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907143f8e388b/Desktop/MSBA 2024/Pricing Project/"/>
    </mc:Choice>
  </mc:AlternateContent>
  <xr:revisionPtr revIDLastSave="37" documentId="8_{F23CBF92-8CAB-4D24-AA43-549D0BA7BEDE}" xr6:coauthVersionLast="47" xr6:coauthVersionMax="47" xr10:uidLastSave="{591C9BCB-7F67-431A-8BB5-C6F505324549}"/>
  <bookViews>
    <workbookView xWindow="-108" yWindow="-108" windowWidth="23256" windowHeight="12456" xr2:uid="{CA9E4427-B2EF-47B2-83F7-F04CCC0651AE}"/>
  </bookViews>
  <sheets>
    <sheet name="Parameters" sheetId="2" r:id="rId1"/>
    <sheet name="Combined IFRS17 Cashflows" sheetId="49" r:id="rId2"/>
    <sheet name="Results Tables" sheetId="50" r:id="rId3"/>
    <sheet name="CAR Calcs" sheetId="38" r:id="rId4"/>
    <sheet name="IFRS 17 Income Statement" sheetId="48" r:id="rId5"/>
    <sheet name="Report Tables" sheetId="51" r:id="rId6"/>
    <sheet name="Appraisal Calcs - IFRS 17" sheetId="40" r:id="rId7"/>
    <sheet name="Pasted values" sheetId="52" state="hidden" r:id="rId8"/>
  </sheets>
  <definedNames>
    <definedName name="Accidental_Death_Identifier">#REF!</definedName>
    <definedName name="Attr_Exp_Ratio">#REF!</definedName>
    <definedName name="Attr_Maint_Exp_PaidUp">#REF!</definedName>
    <definedName name="Attribut_Acq_Expense">#REF!</definedName>
    <definedName name="Attribut_Mainten_Expenses">#REF!</definedName>
    <definedName name="BEL_ChartRange" localSheetId="1">OFFSET('Combined IFRS17 Cashflows'!$F$69,,,,MIN('Combined IFRS17 Cashflows'!Entry_Age+'Combined IFRS17 Cashflows'!cover_term,101)-'Combined IFRS17 Cashflows'!Entry_Age)</definedName>
    <definedName name="BEL_ChartRange">OFFSET(#REF!,,,,MIN('Combined IFRS17 Cashflows'!Entry_Age+'Combined IFRS17 Cashflows'!cover_term,101)-'Combined IFRS17 Cashflows'!Entry_Age)</definedName>
    <definedName name="Cash_Back_Percentage">#REF!</definedName>
    <definedName name="Cash_Back_Period">#REF!</definedName>
    <definedName name="Cash_Percent">Parameters!$C$20</definedName>
    <definedName name="Commission_Percent">Parameters!$C$6</definedName>
    <definedName name="Corporate_Tax_Rate">Parameters!$G$3</definedName>
    <definedName name="Cost_of_Capital">Parameters!$G$5</definedName>
    <definedName name="cover_term" localSheetId="1">#REF!</definedName>
    <definedName name="cover_term">#REF!</definedName>
    <definedName name="Credit_Factor">Parameters!$F$17</definedName>
    <definedName name="Credit_Risk_Percent">Parameters!$F$16</definedName>
    <definedName name="CSM_ChartRange" localSheetId="1">OFFSET('Combined IFRS17 Cashflows'!$F$83,,,,MIN('Combined IFRS17 Cashflows'!Entry_Age+'Combined IFRS17 Cashflows'!cover_term,101)-'Combined IFRS17 Cashflows'!Entry_Age)</definedName>
    <definedName name="CSM_ChartRange">OFFSET(#REF!,,,,MIN('Combined IFRS17 Cashflows'!Entry_Age+'Combined IFRS17 Cashflows'!cover_term,101)-'Combined IFRS17 Cashflows'!Entry_Age)</definedName>
    <definedName name="CSM_Prof_ChartRange" localSheetId="1">OFFSET('Combined IFRS17 Cashflows'!$F$102,,,,MIN('Combined IFRS17 Cashflows'!Entry_Age+'Combined IFRS17 Cashflows'!cover_term,101)-'Combined IFRS17 Cashflows'!Entry_Age)</definedName>
    <definedName name="CSM_Prof_ChartRange">OFFSET(#REF!,,,,MIN('Combined IFRS17 Cashflows'!Entry_Age+'Combined IFRS17 Cashflows'!cover_term,101)-'Combined IFRS17 Cashflows'!Entry_Age)</definedName>
    <definedName name="Deaths_Lapses_Period">Parameters!$C$8</definedName>
    <definedName name="discr_marg_infl">#REF!</definedName>
    <definedName name="discr_marg_mort">#REF!</definedName>
    <definedName name="Discretionary_Loading">Parameters!$J$18</definedName>
    <definedName name="Distribution_Fee_Loading">#REF!</definedName>
    <definedName name="duration_t">#REF!</definedName>
    <definedName name="Entry_Age" localSheetId="1">#REF!</definedName>
    <definedName name="Entry_Age">#REF!</definedName>
    <definedName name="Equities_Percent">Parameters!$C$18</definedName>
    <definedName name="Equity_Stress">Parameters!$F$20</definedName>
    <definedName name="Escalation_Factor">#REF!</definedName>
    <definedName name="Exp_Infl_Risk_Adj">#REF!</definedName>
    <definedName name="Exp_Prof_Range" localSheetId="1">OFFSET('Combined IFRS17 Cashflows'!$F$116,,,,MIN('Combined IFRS17 Cashflows'!Entry_Age+'Combined IFRS17 Cashflows'!cover_term,101)-'Combined IFRS17 Cashflows'!Entry_Age)</definedName>
    <definedName name="Exp_Prof_Range">OFFSET(#REF!,,,,MIN('Combined IFRS17 Cashflows'!Entry_Age+'Combined IFRS17 Cashflows'!cover_term,101)-'Combined IFRS17 Cashflows'!Entry_Age)</definedName>
    <definedName name="Exp_Risk_Adj">#REF!</definedName>
    <definedName name="Expense_Factor">#REF!</definedName>
    <definedName name="Expense_Inflation">Parameters!$C$5</definedName>
    <definedName name="Expense_Loading">#REF!</definedName>
    <definedName name="Expense_Risk">Parameters!$J$20</definedName>
    <definedName name="Fixed_Int_Sec_Percent">Parameters!$C$19</definedName>
    <definedName name="Fixed_Int_Stress">Parameters!$F$21</definedName>
    <definedName name="Flat_Commission">#REF!</definedName>
    <definedName name="Income_Benefit">#REF!</definedName>
    <definedName name="Income_Benefit_Amt">Parameters!$C$10</definedName>
    <definedName name="Inflation_Factor">#REF!</definedName>
    <definedName name="Initial_Expense">Parameters!$C$2</definedName>
    <definedName name="Initial_Expense_Percent">#REF!</definedName>
    <definedName name="Initial_Expenses">#REF!</definedName>
    <definedName name="Initial_Project_Cost">Parameters!$G$6</definedName>
    <definedName name="Inv_Prof_Range" localSheetId="1">OFFSET('Combined IFRS17 Cashflows'!$F$120,,,,MIN('Combined IFRS17 Cashflows'!Entry_Age+'Combined IFRS17 Cashflows'!cover_term,101)-'Combined IFRS17 Cashflows'!Entry_Age)</definedName>
    <definedName name="Inv_Prof_Range">OFFSET(#REF!,,,,MIN('Combined IFRS17 Cashflows'!Entry_Age+'Combined IFRS17 Cashflows'!cover_term,101)-'Combined IFRS17 Cashflows'!Entry_Age)</definedName>
    <definedName name="Inv_Return_Factor">#REF!</definedName>
    <definedName name="Investment_Return" localSheetId="1">#REF!</definedName>
    <definedName name="Investment_Return">Parameters!$C$9</definedName>
    <definedName name="Lapse_Risk_Adj">#REF!</definedName>
    <definedName name="Lapses_Factor">#REF!</definedName>
    <definedName name="Main_Life_Indicator">#REF!</definedName>
    <definedName name="Mortality_Loading">#REF!</definedName>
    <definedName name="Mortality_Senstvty_Factor">#REF!</definedName>
    <definedName name="Mortality_Table">#REF!</definedName>
    <definedName name="New_Business_Period">Parameters!$C$7</definedName>
    <definedName name="Non_Attribut_Acq_Expense">#REF!</definedName>
    <definedName name="Non_Attribut_Maint_Expense">#REF!</definedName>
    <definedName name="Non_Attribut_Maint_Expense_PaidUp">#REF!</definedName>
    <definedName name="Operational_Risk_Factor">Parameters!$J$16</definedName>
    <definedName name="PaidUp_Expenses">#REF!</definedName>
    <definedName name="Prem_Miss" localSheetId="1">#REF!</definedName>
    <definedName name="Prem_Miss">Parameters!$C$11</definedName>
    <definedName name="Prem_Term">#REF!</definedName>
    <definedName name="Prem_Waiver_Period">#REF!</definedName>
    <definedName name="Premium">#REF!</definedName>
    <definedName name="Premium_Waiver_Age">#REF!</definedName>
    <definedName name="presc_marg_exp_infl">#REF!</definedName>
    <definedName name="presc_marg_mort">#REF!</definedName>
    <definedName name="Property_Percent">Parameters!$C$21</definedName>
    <definedName name="Property_Stress">Parameters!$F$22</definedName>
    <definedName name="RA_ChartRange" localSheetId="1">OFFSET('Combined IFRS17 Cashflows'!$F$76,,,,MIN('Combined IFRS17 Cashflows'!Entry_Age+'Combined IFRS17 Cashflows'!cover_term,101)-'Combined IFRS17 Cashflows'!Entry_Age)</definedName>
    <definedName name="RA_ChartRange">OFFSET(#REF!,,,,MIN('Combined IFRS17 Cashflows'!Entry_Age+'Combined IFRS17 Cashflows'!cover_term,101)-'Combined IFRS17 Cashflows'!Entry_Age)</definedName>
    <definedName name="RA_Prof_ChartRange" localSheetId="1">OFFSET('Combined IFRS17 Cashflows'!$F$103,,,,MIN('Combined IFRS17 Cashflows'!Entry_Age+'Combined IFRS17 Cashflows'!cover_term,101)-'Combined IFRS17 Cashflows'!Entry_Age)</definedName>
    <definedName name="RA_Prof_ChartRange">OFFSET(#REF!,,,,MIN('Combined IFRS17 Cashflows'!Entry_Age+'Combined IFRS17 Cashflows'!cover_term,101)-'Combined IFRS17 Cashflows'!Entry_Age)</definedName>
    <definedName name="RDR" localSheetId="1">#REF!</definedName>
    <definedName name="RDR">#REF!</definedName>
    <definedName name="Ren_Exp_Inflation">#REF!</definedName>
    <definedName name="Renewal_Expense">Parameters!$C$4</definedName>
    <definedName name="Renewal_Expenses">#REF!</definedName>
    <definedName name="Required_Return_On_CAR">Parameters!$G$2</definedName>
    <definedName name="Risk_Adj_Mortality">#REF!</definedName>
    <definedName name="Risk_Discount_Rate">Parameters!$G$4</definedName>
    <definedName name="Sum_Assured">#REF!</definedName>
    <definedName name="Terminal_Expense">Parameters!$C$3</definedName>
    <definedName name="Termination_Expenses">#REF!</definedName>
    <definedName name="Total_ChartRange" localSheetId="1">OFFSET('Combined IFRS17 Cashflows'!$F$92,,,,MIN('Combined IFRS17 Cashflows'!Entry_Age+'Combined IFRS17 Cashflows'!cover_term,101)-'Combined IFRS17 Cashflows'!Entry_Age)</definedName>
    <definedName name="Total_ChartRange">OFFSET(#REF!,,,,MIN('Combined IFRS17 Cashflows'!Entry_Age+'Combined IFRS17 Cashflows'!cover_term,101)-'Combined IFRS17 Cashflows'!Entry_Age)</definedName>
    <definedName name="TotProfit_ChartRange" localSheetId="1">OFFSET('Combined IFRS17 Cashflows'!$F$122,,,,MIN('Combined IFRS17 Cashflows'!Entry_Age+'Combined IFRS17 Cashflows'!cover_term,101)-'Combined IFRS17 Cashflows'!Entry_Age)</definedName>
    <definedName name="TotProfit_ChartRange">OFFSET(#REF!,,,,MIN('Combined IFRS17 Cashflows'!Entry_Age+'Combined IFRS17 Cashflows'!cover_term,101)-'Combined IFRS17 Cashflows'!Entry_Age)</definedName>
    <definedName name="Valuation_Paid_Up_Expenses">#REF!</definedName>
    <definedName name="Valuation_Renewal_Expenses">#REF!</definedName>
    <definedName name="Valuation_Termination_Expenses">#REF!</definedName>
    <definedName name="VAT">#REF!</definedName>
    <definedName name="Volum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14" i="38" l="1"/>
  <c r="DC14" i="38" s="1"/>
  <c r="DD14" i="38"/>
  <c r="DE14" i="38"/>
  <c r="DB15" i="38"/>
  <c r="DC15" i="38"/>
  <c r="E12" i="50"/>
  <c r="F12" i="50"/>
  <c r="G12" i="50"/>
  <c r="H12" i="50"/>
  <c r="I12" i="50"/>
  <c r="J12" i="50"/>
  <c r="K12" i="50"/>
  <c r="L12" i="50"/>
  <c r="M12" i="50"/>
  <c r="D12" i="50"/>
  <c r="CX36" i="38"/>
  <c r="CU36" i="38"/>
  <c r="CP36" i="38"/>
  <c r="CO36" i="38"/>
  <c r="CH36" i="38"/>
  <c r="CE36" i="38"/>
  <c r="BZ36" i="38"/>
  <c r="BY36" i="38"/>
  <c r="BR36" i="38"/>
  <c r="BO36" i="38"/>
  <c r="BJ36" i="38"/>
  <c r="BI36" i="38"/>
  <c r="BB36" i="38"/>
  <c r="AY36" i="38"/>
  <c r="AT36" i="38"/>
  <c r="AS36" i="38"/>
  <c r="AL36" i="38"/>
  <c r="AI36" i="38"/>
  <c r="AD36" i="38"/>
  <c r="AC36" i="38"/>
  <c r="V36" i="38"/>
  <c r="S36" i="38"/>
  <c r="N36" i="38"/>
  <c r="M36" i="38"/>
  <c r="F36" i="38"/>
  <c r="F132" i="49"/>
  <c r="DA132" i="49"/>
  <c r="CZ132" i="49"/>
  <c r="CY132" i="49"/>
  <c r="CX132" i="49"/>
  <c r="CW132" i="49"/>
  <c r="CV132" i="49"/>
  <c r="CU132" i="49"/>
  <c r="CT132" i="49"/>
  <c r="CS132" i="49"/>
  <c r="CR132" i="49"/>
  <c r="CQ132" i="49"/>
  <c r="CP132" i="49"/>
  <c r="CO132" i="49"/>
  <c r="CN132" i="49"/>
  <c r="CM132" i="49"/>
  <c r="CL132" i="49"/>
  <c r="CK132" i="49"/>
  <c r="CJ132" i="49"/>
  <c r="CI132" i="49"/>
  <c r="CH132" i="49"/>
  <c r="CG132" i="49"/>
  <c r="CF132" i="49"/>
  <c r="CE132" i="49"/>
  <c r="CD132" i="49"/>
  <c r="CC132" i="49"/>
  <c r="CB132" i="49"/>
  <c r="CA132" i="49"/>
  <c r="BZ132" i="49"/>
  <c r="BY132" i="49"/>
  <c r="BX132" i="49"/>
  <c r="BW132" i="49"/>
  <c r="BV132" i="49"/>
  <c r="BU132" i="49"/>
  <c r="BT132" i="49"/>
  <c r="BS132" i="49"/>
  <c r="BR132" i="49"/>
  <c r="BQ132" i="49"/>
  <c r="BP132" i="49"/>
  <c r="BO132" i="49"/>
  <c r="BN132" i="49"/>
  <c r="BM132" i="49"/>
  <c r="BL132" i="49"/>
  <c r="BK132" i="49"/>
  <c r="BJ132" i="49"/>
  <c r="BI132" i="49"/>
  <c r="BH132" i="49"/>
  <c r="BG132" i="49"/>
  <c r="BF132" i="49"/>
  <c r="BE132" i="49"/>
  <c r="BD132" i="49"/>
  <c r="BC132" i="49"/>
  <c r="BB132" i="49"/>
  <c r="BA132" i="49"/>
  <c r="AZ132" i="49"/>
  <c r="AY132" i="49"/>
  <c r="AX132" i="49"/>
  <c r="AW132" i="49"/>
  <c r="AV132" i="49"/>
  <c r="AU132" i="49"/>
  <c r="AT132" i="49"/>
  <c r="AS132" i="49"/>
  <c r="AR132" i="49"/>
  <c r="AQ132" i="49"/>
  <c r="AP132" i="49"/>
  <c r="AO132" i="49"/>
  <c r="AN132" i="49"/>
  <c r="AM132" i="49"/>
  <c r="AL132" i="49"/>
  <c r="AK132" i="49"/>
  <c r="AJ132" i="49"/>
  <c r="AI132" i="49"/>
  <c r="AH132" i="49"/>
  <c r="AG132" i="49"/>
  <c r="AF132" i="49"/>
  <c r="AE132" i="49"/>
  <c r="AD132" i="49"/>
  <c r="AC132" i="49"/>
  <c r="AB132" i="49"/>
  <c r="AA132" i="49"/>
  <c r="Z132" i="49"/>
  <c r="Y132" i="49"/>
  <c r="X132" i="49"/>
  <c r="W132" i="49"/>
  <c r="V132" i="49"/>
  <c r="U132" i="49"/>
  <c r="T132" i="49"/>
  <c r="S132" i="49"/>
  <c r="R132" i="49"/>
  <c r="Q132" i="49"/>
  <c r="P132" i="49"/>
  <c r="CW43" i="38"/>
  <c r="CU43" i="38"/>
  <c r="CR43" i="38"/>
  <c r="CO43" i="38"/>
  <c r="CN43" i="38"/>
  <c r="CG43" i="38"/>
  <c r="CE43" i="38"/>
  <c r="CB43" i="38"/>
  <c r="BY43" i="38"/>
  <c r="BX43" i="38"/>
  <c r="BQ43" i="38"/>
  <c r="BO43" i="38"/>
  <c r="BL43" i="38"/>
  <c r="BI43" i="38"/>
  <c r="BH43" i="38"/>
  <c r="BA43" i="38"/>
  <c r="AY43" i="38"/>
  <c r="AV43" i="38"/>
  <c r="AS43" i="38"/>
  <c r="AR43" i="38"/>
  <c r="AK43" i="38"/>
  <c r="AI43" i="38"/>
  <c r="AF43" i="38"/>
  <c r="AC43" i="38"/>
  <c r="AB43" i="38"/>
  <c r="U43" i="38"/>
  <c r="S43" i="38"/>
  <c r="P43" i="38"/>
  <c r="M43" i="38"/>
  <c r="L43" i="38"/>
  <c r="AF19" i="40"/>
  <c r="AH19" i="40"/>
  <c r="AM19" i="40"/>
  <c r="AN19" i="40" s="1"/>
  <c r="AP19" i="40"/>
  <c r="AQ19" i="40" s="1"/>
  <c r="AF20" i="40"/>
  <c r="AP20" i="40"/>
  <c r="AQ20" i="40" s="1"/>
  <c r="AP21" i="40"/>
  <c r="AP22" i="40" s="1"/>
  <c r="AQ22" i="40" s="1"/>
  <c r="AQ21" i="40"/>
  <c r="AP23" i="40"/>
  <c r="B108" i="40"/>
  <c r="O108" i="40"/>
  <c r="R108" i="40"/>
  <c r="T108" i="40" s="1"/>
  <c r="W108" i="40"/>
  <c r="Z108" i="40" s="1"/>
  <c r="CL119" i="40"/>
  <c r="CK119" i="40"/>
  <c r="BV119" i="40"/>
  <c r="BU119" i="40"/>
  <c r="BK3" i="48"/>
  <c r="BL3" i="48"/>
  <c r="BM3" i="48"/>
  <c r="BN3" i="48"/>
  <c r="BO3" i="48"/>
  <c r="BP3" i="48"/>
  <c r="BQ3" i="48"/>
  <c r="BR3" i="48"/>
  <c r="BS3" i="48"/>
  <c r="BT3" i="48"/>
  <c r="BU3" i="48"/>
  <c r="BV3" i="48"/>
  <c r="BW3" i="48"/>
  <c r="BX3" i="48"/>
  <c r="BY3" i="48"/>
  <c r="BZ3" i="48"/>
  <c r="CA3" i="48"/>
  <c r="CB3" i="48"/>
  <c r="CC3" i="48"/>
  <c r="CD3" i="48"/>
  <c r="CE3" i="48"/>
  <c r="CF3" i="48"/>
  <c r="CG3" i="48"/>
  <c r="CH3" i="48"/>
  <c r="CI3" i="48"/>
  <c r="CJ3" i="48"/>
  <c r="CK3" i="48"/>
  <c r="CL3" i="48"/>
  <c r="CM3" i="48"/>
  <c r="CN3" i="48"/>
  <c r="CO3" i="48"/>
  <c r="CP3" i="48"/>
  <c r="CQ3" i="48"/>
  <c r="CR3" i="48"/>
  <c r="CS3" i="48"/>
  <c r="CT3" i="48"/>
  <c r="CU3" i="48"/>
  <c r="CV3" i="48"/>
  <c r="CW3" i="48"/>
  <c r="CX3" i="48"/>
  <c r="BK4" i="48"/>
  <c r="BL4" i="48"/>
  <c r="BM4" i="48"/>
  <c r="BN4" i="48"/>
  <c r="BO4" i="48"/>
  <c r="BP4" i="48"/>
  <c r="BQ4" i="48"/>
  <c r="BR4" i="48"/>
  <c r="BS4" i="48"/>
  <c r="BT4" i="48"/>
  <c r="BU4" i="48"/>
  <c r="BV4" i="48"/>
  <c r="BW4" i="48"/>
  <c r="BX4" i="48"/>
  <c r="BY4" i="48"/>
  <c r="BZ4" i="48"/>
  <c r="CA4" i="48"/>
  <c r="CB4" i="48"/>
  <c r="CC4" i="48"/>
  <c r="CD4" i="48"/>
  <c r="CE4" i="48"/>
  <c r="CF4" i="48"/>
  <c r="CG4" i="48"/>
  <c r="CH4" i="48"/>
  <c r="CI4" i="48"/>
  <c r="CJ4" i="48"/>
  <c r="CK4" i="48"/>
  <c r="CL4" i="48"/>
  <c r="CM4" i="48"/>
  <c r="CM8" i="48" s="1"/>
  <c r="CN4" i="48"/>
  <c r="CO4" i="48"/>
  <c r="CP4" i="48"/>
  <c r="CQ4" i="48"/>
  <c r="CR4" i="48"/>
  <c r="CS4" i="48"/>
  <c r="CT4" i="48"/>
  <c r="CU4" i="48"/>
  <c r="CV4" i="48"/>
  <c r="CW4" i="48"/>
  <c r="CX4" i="48"/>
  <c r="BK5" i="48"/>
  <c r="BL5" i="48"/>
  <c r="BM5" i="48"/>
  <c r="BN5" i="48"/>
  <c r="BO5" i="48"/>
  <c r="BP5" i="48"/>
  <c r="BQ5" i="48"/>
  <c r="BR5" i="48"/>
  <c r="BS5" i="48"/>
  <c r="BT5" i="48"/>
  <c r="BU5" i="48"/>
  <c r="BV5" i="48"/>
  <c r="BW5" i="48"/>
  <c r="BX5" i="48"/>
  <c r="BY5" i="48"/>
  <c r="BZ5" i="48"/>
  <c r="CA5" i="48"/>
  <c r="CB5" i="48"/>
  <c r="CC5" i="48"/>
  <c r="CD5" i="48"/>
  <c r="CE5" i="48"/>
  <c r="CF5" i="48"/>
  <c r="CG5" i="48"/>
  <c r="CH5" i="48"/>
  <c r="CI5" i="48"/>
  <c r="CJ5" i="48"/>
  <c r="CK5" i="48"/>
  <c r="CL5" i="48"/>
  <c r="CM5" i="48"/>
  <c r="CN5" i="48"/>
  <c r="CO5" i="48"/>
  <c r="CP5" i="48"/>
  <c r="CQ5" i="48"/>
  <c r="CR5" i="48"/>
  <c r="CS5" i="48"/>
  <c r="CT5" i="48"/>
  <c r="CU5" i="48"/>
  <c r="CV5" i="48"/>
  <c r="CW5" i="48"/>
  <c r="CX5" i="48"/>
  <c r="BK6" i="48"/>
  <c r="BL6" i="48"/>
  <c r="BM6" i="48"/>
  <c r="BN6" i="48"/>
  <c r="BO6" i="48"/>
  <c r="BP6" i="48"/>
  <c r="BQ6" i="48"/>
  <c r="BR6" i="48"/>
  <c r="BS6" i="48"/>
  <c r="BT6" i="48"/>
  <c r="BU6" i="48"/>
  <c r="BV6" i="48"/>
  <c r="BW6" i="48"/>
  <c r="BX6" i="48"/>
  <c r="BY6" i="48"/>
  <c r="BZ6" i="48"/>
  <c r="CA6" i="48"/>
  <c r="CB6" i="48"/>
  <c r="CC6" i="48"/>
  <c r="CD6" i="48"/>
  <c r="CE6" i="48"/>
  <c r="CF6" i="48"/>
  <c r="CG6" i="48"/>
  <c r="CH6" i="48"/>
  <c r="CI6" i="48"/>
  <c r="CJ6" i="48"/>
  <c r="CK6" i="48"/>
  <c r="CL6" i="48"/>
  <c r="CM6" i="48"/>
  <c r="CN6" i="48"/>
  <c r="CO6" i="48"/>
  <c r="CP6" i="48"/>
  <c r="CQ6" i="48"/>
  <c r="CR6" i="48"/>
  <c r="CS6" i="48"/>
  <c r="CT6" i="48"/>
  <c r="CU6" i="48"/>
  <c r="CV6" i="48"/>
  <c r="CW6" i="48"/>
  <c r="CX6" i="48"/>
  <c r="BK7" i="48"/>
  <c r="BL7" i="48"/>
  <c r="BM7" i="48"/>
  <c r="BN7" i="48"/>
  <c r="BO7" i="48"/>
  <c r="BP7" i="48"/>
  <c r="BQ7" i="48"/>
  <c r="BR7" i="48"/>
  <c r="BS7" i="48"/>
  <c r="BT7" i="48"/>
  <c r="BU7" i="48"/>
  <c r="BV7" i="48"/>
  <c r="BW7" i="48"/>
  <c r="BX7" i="48"/>
  <c r="BY7" i="48"/>
  <c r="BZ7" i="48"/>
  <c r="CA7" i="48"/>
  <c r="CB7" i="48"/>
  <c r="CC7" i="48"/>
  <c r="CD7" i="48"/>
  <c r="CE7" i="48"/>
  <c r="CF7" i="48"/>
  <c r="CG7" i="48"/>
  <c r="CH7" i="48"/>
  <c r="CI7" i="48"/>
  <c r="CJ7" i="48"/>
  <c r="CK7" i="48"/>
  <c r="CL7" i="48"/>
  <c r="CM7" i="48"/>
  <c r="CN7" i="48"/>
  <c r="CO7" i="48"/>
  <c r="CP7" i="48"/>
  <c r="CQ7" i="48"/>
  <c r="CR7" i="48"/>
  <c r="CS7" i="48"/>
  <c r="CT7" i="48"/>
  <c r="CU7" i="48"/>
  <c r="CV7" i="48"/>
  <c r="CW7" i="48"/>
  <c r="CX7" i="48"/>
  <c r="CQ8" i="48"/>
  <c r="CR8" i="48"/>
  <c r="BK10" i="48"/>
  <c r="BL10" i="48"/>
  <c r="BM10" i="48"/>
  <c r="BN10" i="48"/>
  <c r="BO10" i="48"/>
  <c r="BP10" i="48"/>
  <c r="BQ10" i="48"/>
  <c r="BR10" i="48"/>
  <c r="BS10" i="48"/>
  <c r="BT10" i="48"/>
  <c r="BU10" i="48"/>
  <c r="BV10" i="48"/>
  <c r="BW10" i="48"/>
  <c r="BX10" i="48"/>
  <c r="BY10" i="48"/>
  <c r="BZ10" i="48"/>
  <c r="CA10" i="48"/>
  <c r="CB10" i="48"/>
  <c r="CC10" i="48"/>
  <c r="CD10" i="48"/>
  <c r="CE10" i="48"/>
  <c r="CF10" i="48"/>
  <c r="CG10" i="48"/>
  <c r="CH10" i="48"/>
  <c r="CI10" i="48"/>
  <c r="CJ10" i="48"/>
  <c r="CK10" i="48"/>
  <c r="CL10" i="48"/>
  <c r="CM10" i="48"/>
  <c r="CN10" i="48"/>
  <c r="CO10" i="48"/>
  <c r="CP10" i="48"/>
  <c r="CQ10" i="48"/>
  <c r="CR10" i="48"/>
  <c r="CS10" i="48"/>
  <c r="CT10" i="48"/>
  <c r="CU10" i="48"/>
  <c r="CV10" i="48"/>
  <c r="CW10" i="48"/>
  <c r="CX10" i="48"/>
  <c r="BK11" i="48"/>
  <c r="BL11" i="48"/>
  <c r="BM11" i="48"/>
  <c r="BN11" i="48"/>
  <c r="BO11" i="48"/>
  <c r="BP11" i="48"/>
  <c r="BP13" i="48" s="1"/>
  <c r="BQ11" i="48"/>
  <c r="BR11" i="48"/>
  <c r="BS11" i="48"/>
  <c r="BT11" i="48"/>
  <c r="BU11" i="48"/>
  <c r="BV11" i="48"/>
  <c r="BW11" i="48"/>
  <c r="BX11" i="48"/>
  <c r="BY11" i="48"/>
  <c r="BZ11" i="48"/>
  <c r="CA11" i="48"/>
  <c r="CB11" i="48"/>
  <c r="CC11" i="48"/>
  <c r="CD11" i="48"/>
  <c r="CE11" i="48"/>
  <c r="CF11" i="48"/>
  <c r="CG11" i="48"/>
  <c r="CH11" i="48"/>
  <c r="CI11" i="48"/>
  <c r="CJ11" i="48"/>
  <c r="CK11" i="48"/>
  <c r="CK13" i="48" s="1"/>
  <c r="CL11" i="48"/>
  <c r="CM11" i="48"/>
  <c r="CN11" i="48"/>
  <c r="CO11" i="48"/>
  <c r="CP11" i="48"/>
  <c r="CQ11" i="48"/>
  <c r="CR11" i="48"/>
  <c r="CS11" i="48"/>
  <c r="CT11" i="48"/>
  <c r="CU11" i="48"/>
  <c r="CV11" i="48"/>
  <c r="CV13" i="48" s="1"/>
  <c r="CW11" i="48"/>
  <c r="CX11" i="48"/>
  <c r="BK12" i="48"/>
  <c r="BL12" i="48"/>
  <c r="BM12" i="48"/>
  <c r="BN12" i="48"/>
  <c r="BO12" i="48"/>
  <c r="BP12" i="48"/>
  <c r="BQ12" i="48"/>
  <c r="BR12" i="48"/>
  <c r="BS12" i="48"/>
  <c r="BT12" i="48"/>
  <c r="BU12" i="48"/>
  <c r="BV12" i="48"/>
  <c r="BW12" i="48"/>
  <c r="BX12" i="48"/>
  <c r="BY12" i="48"/>
  <c r="BY13" i="48" s="1"/>
  <c r="BZ12" i="48"/>
  <c r="CA12" i="48"/>
  <c r="CB12" i="48"/>
  <c r="CC12" i="48"/>
  <c r="CD12" i="48"/>
  <c r="CE12" i="48"/>
  <c r="CF12" i="48"/>
  <c r="CG12" i="48"/>
  <c r="CH12" i="48"/>
  <c r="CI12" i="48"/>
  <c r="CJ12" i="48"/>
  <c r="CK12" i="48"/>
  <c r="CL12" i="48"/>
  <c r="CM12" i="48"/>
  <c r="CN12" i="48"/>
  <c r="CO12" i="48"/>
  <c r="CO13" i="48" s="1"/>
  <c r="CP12" i="48"/>
  <c r="CQ12" i="48"/>
  <c r="CR12" i="48"/>
  <c r="CS12" i="48"/>
  <c r="CT12" i="48"/>
  <c r="CU12" i="48"/>
  <c r="CV12" i="48"/>
  <c r="CW12" i="48"/>
  <c r="CX12" i="48"/>
  <c r="BX13" i="48"/>
  <c r="CF13" i="48"/>
  <c r="CL13" i="48"/>
  <c r="CN13" i="48"/>
  <c r="BK17" i="48"/>
  <c r="BL17" i="48"/>
  <c r="BM17" i="48"/>
  <c r="BN17" i="48"/>
  <c r="BO17" i="48"/>
  <c r="BP17" i="48"/>
  <c r="BQ17" i="48"/>
  <c r="BR17" i="48"/>
  <c r="BS17" i="48"/>
  <c r="BT17" i="48"/>
  <c r="BU17" i="48"/>
  <c r="BV17" i="48"/>
  <c r="BW17" i="48"/>
  <c r="BX17" i="48"/>
  <c r="BY17" i="48"/>
  <c r="BZ17" i="48"/>
  <c r="CA17" i="48"/>
  <c r="CB17" i="48"/>
  <c r="CC17" i="48"/>
  <c r="CD17" i="48"/>
  <c r="CE17" i="48"/>
  <c r="CF17" i="48"/>
  <c r="CG17" i="48"/>
  <c r="CH17" i="48"/>
  <c r="CI17" i="48"/>
  <c r="CJ17" i="48"/>
  <c r="CK17" i="48"/>
  <c r="CL17" i="48"/>
  <c r="CM17" i="48"/>
  <c r="CN17" i="48"/>
  <c r="CO17" i="48"/>
  <c r="CP17" i="48"/>
  <c r="CQ17" i="48"/>
  <c r="CR17" i="48"/>
  <c r="CS17" i="48"/>
  <c r="CT17" i="48"/>
  <c r="CU17" i="48"/>
  <c r="CV17" i="48"/>
  <c r="CW17" i="48"/>
  <c r="CX17" i="48"/>
  <c r="BK19" i="48"/>
  <c r="BL19" i="48"/>
  <c r="BM19" i="48"/>
  <c r="BN19" i="48"/>
  <c r="BO19" i="48"/>
  <c r="BP19" i="48"/>
  <c r="BQ19" i="48"/>
  <c r="BR19" i="48"/>
  <c r="BS19" i="48"/>
  <c r="BT19" i="48"/>
  <c r="BU19" i="48"/>
  <c r="BV19" i="48"/>
  <c r="BW19" i="48"/>
  <c r="BW21" i="48" s="1"/>
  <c r="BX19" i="48"/>
  <c r="BY19" i="48"/>
  <c r="BZ19" i="48"/>
  <c r="CA19" i="48"/>
  <c r="CB19" i="48"/>
  <c r="CC19" i="48"/>
  <c r="CD19" i="48"/>
  <c r="CE19" i="48"/>
  <c r="CF19" i="48"/>
  <c r="CG19" i="48"/>
  <c r="CH19" i="48"/>
  <c r="CI19" i="48"/>
  <c r="CJ19" i="48"/>
  <c r="CK19" i="48"/>
  <c r="CL19" i="48"/>
  <c r="CL21" i="48" s="1"/>
  <c r="CM19" i="48"/>
  <c r="CN19" i="48"/>
  <c r="CO19" i="48"/>
  <c r="CP19" i="48"/>
  <c r="CQ19" i="48"/>
  <c r="CR19" i="48"/>
  <c r="CS19" i="48"/>
  <c r="CT19" i="48"/>
  <c r="CU19" i="48"/>
  <c r="CV19" i="48"/>
  <c r="CW19" i="48"/>
  <c r="CX19" i="48"/>
  <c r="BK20" i="48"/>
  <c r="BK21" i="48" s="1"/>
  <c r="BL20" i="48"/>
  <c r="BL21" i="48" s="1"/>
  <c r="BM20" i="48"/>
  <c r="BN20" i="48"/>
  <c r="BO20" i="48"/>
  <c r="BP20" i="48"/>
  <c r="BQ20" i="48"/>
  <c r="BR20" i="48"/>
  <c r="BS20" i="48"/>
  <c r="BT20" i="48"/>
  <c r="BU20" i="48"/>
  <c r="BV20" i="48"/>
  <c r="BW20" i="48"/>
  <c r="BX20" i="48"/>
  <c r="BY20" i="48"/>
  <c r="BZ20" i="48"/>
  <c r="CA20" i="48"/>
  <c r="CB20" i="48"/>
  <c r="CC20" i="48"/>
  <c r="CD20" i="48"/>
  <c r="CE20" i="48"/>
  <c r="CF20" i="48"/>
  <c r="CG20" i="48"/>
  <c r="CH20" i="48"/>
  <c r="CI20" i="48"/>
  <c r="CJ20" i="48"/>
  <c r="CK20" i="48"/>
  <c r="CL20" i="48"/>
  <c r="CM20" i="48"/>
  <c r="CN20" i="48"/>
  <c r="CO20" i="48"/>
  <c r="CO21" i="48" s="1"/>
  <c r="CP20" i="48"/>
  <c r="CQ20" i="48"/>
  <c r="CR20" i="48"/>
  <c r="CR21" i="48" s="1"/>
  <c r="CS20" i="48"/>
  <c r="CT20" i="48"/>
  <c r="CU20" i="48"/>
  <c r="CV20" i="48"/>
  <c r="CW20" i="48"/>
  <c r="CX20" i="48"/>
  <c r="BX21" i="48"/>
  <c r="BY21" i="48"/>
  <c r="BK26" i="48"/>
  <c r="BL26" i="48"/>
  <c r="BM26" i="48"/>
  <c r="BN26" i="48"/>
  <c r="BO26" i="48"/>
  <c r="BP26" i="48"/>
  <c r="BQ26" i="48"/>
  <c r="BR26" i="48"/>
  <c r="BS26" i="48"/>
  <c r="BT26" i="48"/>
  <c r="BU26" i="48"/>
  <c r="BV26" i="48"/>
  <c r="BW26" i="48"/>
  <c r="BX26" i="48"/>
  <c r="BY26" i="48"/>
  <c r="BZ26" i="48"/>
  <c r="CA26" i="48"/>
  <c r="CB26" i="48"/>
  <c r="CC26" i="48"/>
  <c r="CD26" i="48"/>
  <c r="CE26" i="48"/>
  <c r="CF26" i="48"/>
  <c r="CG26" i="48"/>
  <c r="CH26" i="48"/>
  <c r="CI26" i="48"/>
  <c r="CJ26" i="48"/>
  <c r="CK26" i="48"/>
  <c r="CL26" i="48"/>
  <c r="CM26" i="48"/>
  <c r="CN26" i="48"/>
  <c r="CO26" i="48"/>
  <c r="CP26" i="48"/>
  <c r="CQ26" i="48"/>
  <c r="CR26" i="48"/>
  <c r="CS26" i="48"/>
  <c r="CT26" i="48"/>
  <c r="CU26" i="48"/>
  <c r="CV26" i="48"/>
  <c r="CW26" i="48"/>
  <c r="CX26" i="48"/>
  <c r="BK27" i="48"/>
  <c r="BL27" i="48"/>
  <c r="BM27" i="48"/>
  <c r="BN27" i="48"/>
  <c r="BO27" i="48"/>
  <c r="BP27" i="48"/>
  <c r="BQ27" i="48"/>
  <c r="BR27" i="48"/>
  <c r="BS27" i="48"/>
  <c r="BT27" i="48"/>
  <c r="BU27" i="48"/>
  <c r="BV27" i="48"/>
  <c r="BW27" i="48"/>
  <c r="BX27" i="48"/>
  <c r="BY27" i="48"/>
  <c r="BZ27" i="48"/>
  <c r="CA27" i="48"/>
  <c r="CB27" i="48"/>
  <c r="CC27" i="48"/>
  <c r="CD27" i="48"/>
  <c r="CE27" i="48"/>
  <c r="CF27" i="48"/>
  <c r="CG27" i="48"/>
  <c r="CH27" i="48"/>
  <c r="CI27" i="48"/>
  <c r="CJ27" i="48"/>
  <c r="CK27" i="48"/>
  <c r="CL27" i="48"/>
  <c r="CM27" i="48"/>
  <c r="CN27" i="48"/>
  <c r="CO27" i="48"/>
  <c r="CP27" i="48"/>
  <c r="CQ27" i="48"/>
  <c r="CR27" i="48"/>
  <c r="CS27" i="48"/>
  <c r="CT27" i="48"/>
  <c r="CU27" i="48"/>
  <c r="CV27" i="48"/>
  <c r="CW27" i="48"/>
  <c r="CX27" i="48"/>
  <c r="BK29" i="48"/>
  <c r="BL29" i="48"/>
  <c r="BM29" i="48"/>
  <c r="BN29" i="48"/>
  <c r="BN31" i="48" s="1"/>
  <c r="BO119" i="40" s="1"/>
  <c r="BO29" i="48"/>
  <c r="BO31" i="48" s="1"/>
  <c r="BP119" i="40" s="1"/>
  <c r="BP29" i="48"/>
  <c r="BQ29" i="48"/>
  <c r="BR29" i="48"/>
  <c r="BS29" i="48"/>
  <c r="BT29" i="48"/>
  <c r="BU29" i="48"/>
  <c r="BV29" i="48"/>
  <c r="BW29" i="48"/>
  <c r="BX29" i="48"/>
  <c r="BY29" i="48"/>
  <c r="BZ29" i="48"/>
  <c r="CA29" i="48"/>
  <c r="CB29" i="48"/>
  <c r="CC29" i="48"/>
  <c r="CD29" i="48"/>
  <c r="CD31" i="48" s="1"/>
  <c r="CE119" i="40" s="1"/>
  <c r="CE29" i="48"/>
  <c r="CE31" i="48" s="1"/>
  <c r="CF119" i="40" s="1"/>
  <c r="CF29" i="48"/>
  <c r="CG29" i="48"/>
  <c r="CG31" i="48" s="1"/>
  <c r="CH119" i="40" s="1"/>
  <c r="CH29" i="48"/>
  <c r="CI29" i="48"/>
  <c r="CJ29" i="48"/>
  <c r="CK29" i="48"/>
  <c r="CL29" i="48"/>
  <c r="CM29" i="48"/>
  <c r="CN29" i="48"/>
  <c r="CO29" i="48"/>
  <c r="CP29" i="48"/>
  <c r="CQ29" i="48"/>
  <c r="CR29" i="48"/>
  <c r="CS29" i="48"/>
  <c r="CT29" i="48"/>
  <c r="CT31" i="48" s="1"/>
  <c r="CU119" i="40" s="1"/>
  <c r="CU29" i="48"/>
  <c r="CU31" i="48" s="1"/>
  <c r="CV119" i="40" s="1"/>
  <c r="CV29" i="48"/>
  <c r="CW29" i="48"/>
  <c r="CX29" i="48"/>
  <c r="BK30" i="48"/>
  <c r="BL30" i="48"/>
  <c r="BM30" i="48"/>
  <c r="BN30" i="48"/>
  <c r="BO30" i="48"/>
  <c r="BP30" i="48"/>
  <c r="BP31" i="48" s="1"/>
  <c r="BQ119" i="40" s="1"/>
  <c r="BQ30" i="48"/>
  <c r="BR30" i="48"/>
  <c r="BS30" i="48"/>
  <c r="BT30" i="48"/>
  <c r="BU30" i="48"/>
  <c r="BU31" i="48" s="1"/>
  <c r="BV30" i="48"/>
  <c r="BV31" i="48" s="1"/>
  <c r="BW119" i="40" s="1"/>
  <c r="BW30" i="48"/>
  <c r="BX30" i="48"/>
  <c r="BY30" i="48"/>
  <c r="BY31" i="48" s="1"/>
  <c r="BZ119" i="40" s="1"/>
  <c r="BZ30" i="48"/>
  <c r="CA30" i="48"/>
  <c r="CB30" i="48"/>
  <c r="CC30" i="48"/>
  <c r="CD30" i="48"/>
  <c r="CE30" i="48"/>
  <c r="CF30" i="48"/>
  <c r="CG30" i="48"/>
  <c r="CH30" i="48"/>
  <c r="CI30" i="48"/>
  <c r="CI31" i="48" s="1"/>
  <c r="CJ119" i="40" s="1"/>
  <c r="CJ30" i="48"/>
  <c r="CJ31" i="48" s="1"/>
  <c r="CK30" i="48"/>
  <c r="CK31" i="48" s="1"/>
  <c r="CL30" i="48"/>
  <c r="CM30" i="48"/>
  <c r="CN30" i="48"/>
  <c r="CO30" i="48"/>
  <c r="CO31" i="48" s="1"/>
  <c r="CP119" i="40" s="1"/>
  <c r="CP30" i="48"/>
  <c r="CQ30" i="48"/>
  <c r="CR30" i="48"/>
  <c r="CS30" i="48"/>
  <c r="CT30" i="48"/>
  <c r="CU30" i="48"/>
  <c r="CV30" i="48"/>
  <c r="CW30" i="48"/>
  <c r="CX30" i="48"/>
  <c r="CX31" i="48" s="1"/>
  <c r="CY119" i="40" s="1"/>
  <c r="BQ31" i="48"/>
  <c r="BR119" i="40" s="1"/>
  <c r="BR31" i="48"/>
  <c r="BS119" i="40" s="1"/>
  <c r="BS31" i="48"/>
  <c r="BT119" i="40" s="1"/>
  <c r="BT31" i="48"/>
  <c r="CW31" i="48"/>
  <c r="CX119" i="40" s="1"/>
  <c r="AN3" i="48"/>
  <c r="AO3" i="48"/>
  <c r="AP3" i="48"/>
  <c r="AQ3" i="48"/>
  <c r="AR3" i="48"/>
  <c r="AS3" i="48"/>
  <c r="AT3" i="48"/>
  <c r="AU3" i="48"/>
  <c r="AV3" i="48"/>
  <c r="AW3" i="48"/>
  <c r="AX3" i="48"/>
  <c r="AY3" i="48"/>
  <c r="AZ3" i="48"/>
  <c r="BA3" i="48"/>
  <c r="BB3" i="48"/>
  <c r="BC3" i="48"/>
  <c r="BD3" i="48"/>
  <c r="BE3" i="48"/>
  <c r="BF3" i="48"/>
  <c r="BG3" i="48"/>
  <c r="BH3" i="48"/>
  <c r="BI3" i="48"/>
  <c r="BJ3" i="48"/>
  <c r="AN4" i="48"/>
  <c r="AO4" i="48"/>
  <c r="AP4" i="48"/>
  <c r="AQ4" i="48"/>
  <c r="AR4" i="48"/>
  <c r="AS4" i="48"/>
  <c r="AT4" i="48"/>
  <c r="AU4" i="48"/>
  <c r="AV4" i="48"/>
  <c r="AW4" i="48"/>
  <c r="AX4" i="48"/>
  <c r="AY4" i="48"/>
  <c r="AZ4" i="48"/>
  <c r="BA4" i="48"/>
  <c r="BB4" i="48"/>
  <c r="BC4" i="48"/>
  <c r="BD4" i="48"/>
  <c r="BE4" i="48"/>
  <c r="BF4" i="48"/>
  <c r="BG4" i="48"/>
  <c r="BH4" i="48"/>
  <c r="BI4" i="48"/>
  <c r="BJ4" i="48"/>
  <c r="AN5" i="48"/>
  <c r="AO5" i="48"/>
  <c r="AP5" i="48"/>
  <c r="AQ5" i="48"/>
  <c r="AR5" i="48"/>
  <c r="AS5" i="48"/>
  <c r="AT5" i="48"/>
  <c r="AU5" i="48"/>
  <c r="AV5" i="48"/>
  <c r="AW5" i="48"/>
  <c r="AX5" i="48"/>
  <c r="AY5" i="48"/>
  <c r="AZ5" i="48"/>
  <c r="BA5" i="48"/>
  <c r="BB5" i="48"/>
  <c r="BC5" i="48"/>
  <c r="BD5" i="48"/>
  <c r="BE5" i="48"/>
  <c r="BF5" i="48"/>
  <c r="BG5" i="48"/>
  <c r="BH5" i="48"/>
  <c r="BI5" i="48"/>
  <c r="BJ5" i="48"/>
  <c r="AN6" i="48"/>
  <c r="AO6" i="48"/>
  <c r="AP6" i="48"/>
  <c r="AQ6" i="48"/>
  <c r="AR6" i="48"/>
  <c r="AS6" i="48"/>
  <c r="AT6" i="48"/>
  <c r="AU6" i="48"/>
  <c r="AV6" i="48"/>
  <c r="AW6" i="48"/>
  <c r="AX6" i="48"/>
  <c r="AY6" i="48"/>
  <c r="AZ6" i="48"/>
  <c r="BA6" i="48"/>
  <c r="BB6" i="48"/>
  <c r="BC6" i="48"/>
  <c r="BD6" i="48"/>
  <c r="BE6" i="48"/>
  <c r="BF6" i="48"/>
  <c r="BG6" i="48"/>
  <c r="BH6" i="48"/>
  <c r="BI6" i="48"/>
  <c r="BJ6" i="48"/>
  <c r="AN7" i="48"/>
  <c r="AO7" i="48"/>
  <c r="AP7" i="48"/>
  <c r="AQ7" i="48"/>
  <c r="AR7" i="48"/>
  <c r="AS7" i="48"/>
  <c r="AT7" i="48"/>
  <c r="AU7" i="48"/>
  <c r="AV7" i="48"/>
  <c r="AW7" i="48"/>
  <c r="AX7" i="48"/>
  <c r="AY7" i="48"/>
  <c r="AZ7" i="48"/>
  <c r="BA7" i="48"/>
  <c r="BB7" i="48"/>
  <c r="BC7" i="48"/>
  <c r="BD7" i="48"/>
  <c r="BE7" i="48"/>
  <c r="BF7" i="48"/>
  <c r="BG7" i="48"/>
  <c r="BH7" i="48"/>
  <c r="BI7" i="48"/>
  <c r="BJ7" i="48"/>
  <c r="AN10" i="48"/>
  <c r="AO10" i="48"/>
  <c r="AP10" i="48"/>
  <c r="AQ10" i="48"/>
  <c r="AR10" i="48"/>
  <c r="AS10" i="48"/>
  <c r="AT10" i="48"/>
  <c r="AU10" i="48"/>
  <c r="AV10" i="48"/>
  <c r="AW10" i="48"/>
  <c r="AX10" i="48"/>
  <c r="AY10" i="48"/>
  <c r="AZ10" i="48"/>
  <c r="BA10" i="48"/>
  <c r="BB10" i="48"/>
  <c r="BC10" i="48"/>
  <c r="BD10" i="48"/>
  <c r="BE10" i="48"/>
  <c r="BF10" i="48"/>
  <c r="BG10" i="48"/>
  <c r="BH10" i="48"/>
  <c r="BI10" i="48"/>
  <c r="BJ10" i="48"/>
  <c r="AN11" i="48"/>
  <c r="AO11" i="48"/>
  <c r="AP11" i="48"/>
  <c r="AQ11" i="48"/>
  <c r="AR11" i="48"/>
  <c r="AS11" i="48"/>
  <c r="AT11" i="48"/>
  <c r="AU11" i="48"/>
  <c r="AV11" i="48"/>
  <c r="AW11" i="48"/>
  <c r="AX11" i="48"/>
  <c r="AY11" i="48"/>
  <c r="AZ11" i="48"/>
  <c r="BA11" i="48"/>
  <c r="BB11" i="48"/>
  <c r="BC11" i="48"/>
  <c r="BD11" i="48"/>
  <c r="BE11" i="48"/>
  <c r="BF11" i="48"/>
  <c r="BG11" i="48"/>
  <c r="BH11" i="48"/>
  <c r="BI11" i="48"/>
  <c r="BJ11" i="48"/>
  <c r="AN12" i="48"/>
  <c r="AO12" i="48"/>
  <c r="AP12" i="48"/>
  <c r="AQ12" i="48"/>
  <c r="AR12" i="48"/>
  <c r="AS12" i="48"/>
  <c r="AT12" i="48"/>
  <c r="AU12" i="48"/>
  <c r="AV12" i="48"/>
  <c r="AW12" i="48"/>
  <c r="AX12" i="48"/>
  <c r="AY12" i="48"/>
  <c r="AZ12" i="48"/>
  <c r="BA12" i="48"/>
  <c r="BB12" i="48"/>
  <c r="BC12" i="48"/>
  <c r="BD12" i="48"/>
  <c r="BE12" i="48"/>
  <c r="BF12" i="48"/>
  <c r="BG12" i="48"/>
  <c r="BH12" i="48"/>
  <c r="BI12" i="48"/>
  <c r="BJ12" i="48"/>
  <c r="AN17" i="48"/>
  <c r="AO17" i="48"/>
  <c r="AP17" i="48"/>
  <c r="AQ17" i="48"/>
  <c r="AR17" i="48"/>
  <c r="AS17" i="48"/>
  <c r="AT17" i="48"/>
  <c r="AU17" i="48"/>
  <c r="AV17" i="48"/>
  <c r="AW17" i="48"/>
  <c r="AX17" i="48"/>
  <c r="AY17" i="48"/>
  <c r="AZ17" i="48"/>
  <c r="BA17" i="48"/>
  <c r="BB17" i="48"/>
  <c r="BC17" i="48"/>
  <c r="BD17" i="48"/>
  <c r="BE17" i="48"/>
  <c r="BF17" i="48"/>
  <c r="BG17" i="48"/>
  <c r="BH17" i="48"/>
  <c r="BI17" i="48"/>
  <c r="BJ17" i="48"/>
  <c r="AN19" i="48"/>
  <c r="AO19" i="48"/>
  <c r="AP19" i="48"/>
  <c r="AQ19" i="48"/>
  <c r="AR19" i="48"/>
  <c r="AS19" i="48"/>
  <c r="AT19" i="48"/>
  <c r="AU19" i="48"/>
  <c r="AV19" i="48"/>
  <c r="AW19" i="48"/>
  <c r="AX19" i="48"/>
  <c r="AY19" i="48"/>
  <c r="AZ19" i="48"/>
  <c r="BA19" i="48"/>
  <c r="BB19" i="48"/>
  <c r="BC19" i="48"/>
  <c r="BD19" i="48"/>
  <c r="BE19" i="48"/>
  <c r="BF19" i="48"/>
  <c r="BG19" i="48"/>
  <c r="BH19" i="48"/>
  <c r="BI19" i="48"/>
  <c r="BJ19" i="48"/>
  <c r="AN20" i="48"/>
  <c r="AO20" i="48"/>
  <c r="AP20" i="48"/>
  <c r="AQ20" i="48"/>
  <c r="AR20" i="48"/>
  <c r="AS20" i="48"/>
  <c r="AT20" i="48"/>
  <c r="AU20" i="48"/>
  <c r="AV20" i="48"/>
  <c r="AW20" i="48"/>
  <c r="AX20" i="48"/>
  <c r="AY20" i="48"/>
  <c r="AZ20" i="48"/>
  <c r="BA20" i="48"/>
  <c r="BB20" i="48"/>
  <c r="BC20" i="48"/>
  <c r="BD20" i="48"/>
  <c r="BE20" i="48"/>
  <c r="BF20" i="48"/>
  <c r="BG20" i="48"/>
  <c r="BH20" i="48"/>
  <c r="BI20" i="48"/>
  <c r="BJ20" i="48"/>
  <c r="AN26" i="48"/>
  <c r="AO26" i="48"/>
  <c r="AP26" i="48"/>
  <c r="AQ26" i="48"/>
  <c r="AR26" i="48"/>
  <c r="AS26" i="48"/>
  <c r="AT26" i="48"/>
  <c r="AU26" i="48"/>
  <c r="AV26" i="48"/>
  <c r="AW26" i="48"/>
  <c r="AX26" i="48"/>
  <c r="AY26" i="48"/>
  <c r="AZ26" i="48"/>
  <c r="BA26" i="48"/>
  <c r="BB26" i="48"/>
  <c r="BC26" i="48"/>
  <c r="BD26" i="48"/>
  <c r="BE26" i="48"/>
  <c r="BF26" i="48"/>
  <c r="BG26" i="48"/>
  <c r="BH26" i="48"/>
  <c r="BI26" i="48"/>
  <c r="BJ26" i="48"/>
  <c r="AN27" i="48"/>
  <c r="AO27" i="48"/>
  <c r="AP27" i="48"/>
  <c r="AQ27" i="48"/>
  <c r="AR27" i="48"/>
  <c r="AS27" i="48"/>
  <c r="AT27" i="48"/>
  <c r="AU27" i="48"/>
  <c r="AV27" i="48"/>
  <c r="AW27" i="48"/>
  <c r="AX27" i="48"/>
  <c r="AY27" i="48"/>
  <c r="AZ27" i="48"/>
  <c r="BA27" i="48"/>
  <c r="BB27" i="48"/>
  <c r="BC27" i="48"/>
  <c r="BD27" i="48"/>
  <c r="BE27" i="48"/>
  <c r="BF27" i="48"/>
  <c r="BG27" i="48"/>
  <c r="BH27" i="48"/>
  <c r="BI27" i="48"/>
  <c r="BJ27" i="48"/>
  <c r="AN29" i="48"/>
  <c r="AO29" i="48"/>
  <c r="AP29" i="48"/>
  <c r="AQ29" i="48"/>
  <c r="AR29" i="48"/>
  <c r="AS29" i="48"/>
  <c r="AT29" i="48"/>
  <c r="AU29" i="48"/>
  <c r="AV29" i="48"/>
  <c r="AW29" i="48"/>
  <c r="AX29" i="48"/>
  <c r="AY29" i="48"/>
  <c r="AZ29" i="48"/>
  <c r="BA29" i="48"/>
  <c r="BB29" i="48"/>
  <c r="BC29" i="48"/>
  <c r="BD29" i="48"/>
  <c r="BE29" i="48"/>
  <c r="BF29" i="48"/>
  <c r="BG29" i="48"/>
  <c r="BH29" i="48"/>
  <c r="BI29" i="48"/>
  <c r="BJ29" i="48"/>
  <c r="AN30" i="48"/>
  <c r="AO30" i="48"/>
  <c r="AP30" i="48"/>
  <c r="AQ30" i="48"/>
  <c r="AR30" i="48"/>
  <c r="AS30" i="48"/>
  <c r="AT30" i="48"/>
  <c r="AU30" i="48"/>
  <c r="AV30" i="48"/>
  <c r="AW30" i="48"/>
  <c r="AX30" i="48"/>
  <c r="AY30" i="48"/>
  <c r="AZ30" i="48"/>
  <c r="BA30" i="48"/>
  <c r="BB30" i="48"/>
  <c r="BC30" i="48"/>
  <c r="BD30" i="48"/>
  <c r="BE30" i="48"/>
  <c r="BF30" i="48"/>
  <c r="BG30" i="48"/>
  <c r="BH30" i="48"/>
  <c r="BI30" i="48"/>
  <c r="BJ30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AJ3" i="48"/>
  <c r="AK3" i="48"/>
  <c r="AL3" i="48"/>
  <c r="AM3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AG4" i="48"/>
  <c r="AH4" i="48"/>
  <c r="AI4" i="48"/>
  <c r="AJ4" i="48"/>
  <c r="AK4" i="48"/>
  <c r="AL4" i="48"/>
  <c r="AM4" i="48"/>
  <c r="M5" i="48"/>
  <c r="N5" i="48"/>
  <c r="O5" i="48"/>
  <c r="P5" i="48"/>
  <c r="Q5" i="48"/>
  <c r="R5" i="48"/>
  <c r="S5" i="48"/>
  <c r="T5" i="48"/>
  <c r="U5" i="48"/>
  <c r="V5" i="48"/>
  <c r="W5" i="48"/>
  <c r="X5" i="48"/>
  <c r="Y5" i="48"/>
  <c r="Z5" i="48"/>
  <c r="AA5" i="48"/>
  <c r="AB5" i="48"/>
  <c r="AC5" i="48"/>
  <c r="AD5" i="48"/>
  <c r="AE5" i="48"/>
  <c r="AF5" i="48"/>
  <c r="AG5" i="48"/>
  <c r="AH5" i="48"/>
  <c r="AI5" i="48"/>
  <c r="AJ5" i="48"/>
  <c r="AK5" i="48"/>
  <c r="AL5" i="48"/>
  <c r="AM5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AG6" i="48"/>
  <c r="AH6" i="48"/>
  <c r="AI6" i="48"/>
  <c r="AJ6" i="48"/>
  <c r="AK6" i="48"/>
  <c r="AL6" i="48"/>
  <c r="AM6" i="48"/>
  <c r="M7" i="48"/>
  <c r="N7" i="48"/>
  <c r="O7" i="48"/>
  <c r="P7" i="48"/>
  <c r="Q7" i="48"/>
  <c r="R7" i="48"/>
  <c r="S7" i="48"/>
  <c r="T7" i="48"/>
  <c r="U7" i="48"/>
  <c r="V7" i="48"/>
  <c r="W7" i="48"/>
  <c r="X7" i="48"/>
  <c r="Y7" i="48"/>
  <c r="Z7" i="48"/>
  <c r="AA7" i="48"/>
  <c r="AB7" i="48"/>
  <c r="AC7" i="48"/>
  <c r="AD7" i="48"/>
  <c r="AE7" i="48"/>
  <c r="AF7" i="48"/>
  <c r="AG7" i="48"/>
  <c r="AH7" i="48"/>
  <c r="AI7" i="48"/>
  <c r="AJ7" i="48"/>
  <c r="AK7" i="48"/>
  <c r="AL7" i="48"/>
  <c r="AM7" i="48"/>
  <c r="M10" i="48"/>
  <c r="N10" i="48"/>
  <c r="O10" i="48"/>
  <c r="P10" i="48"/>
  <c r="Q10" i="48"/>
  <c r="R10" i="48"/>
  <c r="S10" i="48"/>
  <c r="T10" i="48"/>
  <c r="U10" i="48"/>
  <c r="V10" i="48"/>
  <c r="W10" i="48"/>
  <c r="X10" i="48"/>
  <c r="Y10" i="48"/>
  <c r="Z10" i="48"/>
  <c r="AA10" i="48"/>
  <c r="AB10" i="48"/>
  <c r="AC10" i="48"/>
  <c r="AD10" i="48"/>
  <c r="AE10" i="48"/>
  <c r="AF10" i="48"/>
  <c r="AG10" i="48"/>
  <c r="AH10" i="48"/>
  <c r="AI10" i="48"/>
  <c r="AJ10" i="48"/>
  <c r="AK10" i="48"/>
  <c r="AL10" i="48"/>
  <c r="AM10" i="48"/>
  <c r="M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Z11" i="48"/>
  <c r="AA11" i="48"/>
  <c r="AB11" i="48"/>
  <c r="AC11" i="48"/>
  <c r="AD11" i="48"/>
  <c r="AE11" i="48"/>
  <c r="AF11" i="48"/>
  <c r="AG11" i="48"/>
  <c r="AH11" i="48"/>
  <c r="AI11" i="48"/>
  <c r="AJ11" i="48"/>
  <c r="AK11" i="48"/>
  <c r="AL11" i="48"/>
  <c r="AM11" i="48"/>
  <c r="M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Z12" i="48"/>
  <c r="AA12" i="48"/>
  <c r="AB12" i="48"/>
  <c r="AC12" i="48"/>
  <c r="AD12" i="48"/>
  <c r="AE12" i="48"/>
  <c r="AF12" i="48"/>
  <c r="AG12" i="48"/>
  <c r="AH12" i="48"/>
  <c r="AI12" i="48"/>
  <c r="AJ12" i="48"/>
  <c r="AK12" i="48"/>
  <c r="AL12" i="48"/>
  <c r="AM12" i="48"/>
  <c r="M17" i="48"/>
  <c r="N17" i="48"/>
  <c r="O17" i="48"/>
  <c r="P17" i="48"/>
  <c r="Q17" i="48"/>
  <c r="R17" i="48"/>
  <c r="S17" i="48"/>
  <c r="T17" i="48"/>
  <c r="U17" i="48"/>
  <c r="V17" i="48"/>
  <c r="W17" i="48"/>
  <c r="X17" i="48"/>
  <c r="Y17" i="48"/>
  <c r="Z17" i="48"/>
  <c r="AA17" i="48"/>
  <c r="AB17" i="48"/>
  <c r="AC17" i="48"/>
  <c r="AD17" i="48"/>
  <c r="AE17" i="48"/>
  <c r="AF17" i="48"/>
  <c r="AG17" i="48"/>
  <c r="AH17" i="48"/>
  <c r="AI17" i="48"/>
  <c r="AJ17" i="48"/>
  <c r="AK17" i="48"/>
  <c r="AL17" i="48"/>
  <c r="AM17" i="48"/>
  <c r="M19" i="48"/>
  <c r="N19" i="48"/>
  <c r="O19" i="48"/>
  <c r="P19" i="48"/>
  <c r="Q19" i="48"/>
  <c r="R19" i="48"/>
  <c r="S19" i="48"/>
  <c r="T19" i="48"/>
  <c r="U19" i="48"/>
  <c r="V19" i="48"/>
  <c r="W19" i="48"/>
  <c r="X19" i="48"/>
  <c r="Y19" i="48"/>
  <c r="Z19" i="48"/>
  <c r="AA19" i="48"/>
  <c r="AB19" i="48"/>
  <c r="AC19" i="48"/>
  <c r="AD19" i="48"/>
  <c r="AE19" i="48"/>
  <c r="AF19" i="48"/>
  <c r="AG19" i="48"/>
  <c r="AH19" i="48"/>
  <c r="AI19" i="48"/>
  <c r="AJ19" i="48"/>
  <c r="AK19" i="48"/>
  <c r="AL19" i="48"/>
  <c r="AM19" i="48"/>
  <c r="M20" i="48"/>
  <c r="N20" i="48"/>
  <c r="O20" i="48"/>
  <c r="P20" i="48"/>
  <c r="Q20" i="48"/>
  <c r="R20" i="48"/>
  <c r="S20" i="48"/>
  <c r="T20" i="48"/>
  <c r="U20" i="48"/>
  <c r="V20" i="48"/>
  <c r="W20" i="48"/>
  <c r="X20" i="48"/>
  <c r="Y20" i="48"/>
  <c r="Z20" i="48"/>
  <c r="AA20" i="48"/>
  <c r="AB20" i="48"/>
  <c r="AC20" i="48"/>
  <c r="AD20" i="48"/>
  <c r="AE20" i="48"/>
  <c r="AF20" i="48"/>
  <c r="AG20" i="48"/>
  <c r="AH20" i="48"/>
  <c r="AI20" i="48"/>
  <c r="AJ20" i="48"/>
  <c r="AK20" i="48"/>
  <c r="AL20" i="48"/>
  <c r="AM20" i="48"/>
  <c r="M26" i="48"/>
  <c r="N26" i="48"/>
  <c r="O26" i="48"/>
  <c r="P26" i="48"/>
  <c r="Q26" i="48"/>
  <c r="R26" i="48"/>
  <c r="S26" i="48"/>
  <c r="T26" i="48"/>
  <c r="U26" i="48"/>
  <c r="V26" i="48"/>
  <c r="W26" i="48"/>
  <c r="X26" i="48"/>
  <c r="Y26" i="48"/>
  <c r="Z26" i="48"/>
  <c r="AA26" i="48"/>
  <c r="AB26" i="48"/>
  <c r="AC26" i="48"/>
  <c r="AD26" i="48"/>
  <c r="AE26" i="48"/>
  <c r="AF26" i="48"/>
  <c r="AG26" i="48"/>
  <c r="AH26" i="48"/>
  <c r="AI26" i="48"/>
  <c r="AJ26" i="48"/>
  <c r="AK26" i="48"/>
  <c r="AL26" i="48"/>
  <c r="AM26" i="48"/>
  <c r="M27" i="48"/>
  <c r="N27" i="48"/>
  <c r="O27" i="48"/>
  <c r="P27" i="48"/>
  <c r="Q27" i="48"/>
  <c r="R27" i="48"/>
  <c r="S27" i="48"/>
  <c r="T27" i="48"/>
  <c r="U27" i="48"/>
  <c r="V27" i="48"/>
  <c r="W27" i="48"/>
  <c r="X27" i="48"/>
  <c r="Y27" i="48"/>
  <c r="Z27" i="48"/>
  <c r="AA27" i="48"/>
  <c r="AB27" i="48"/>
  <c r="AC27" i="48"/>
  <c r="AD27" i="48"/>
  <c r="AE27" i="48"/>
  <c r="AF27" i="48"/>
  <c r="AG27" i="48"/>
  <c r="AH27" i="48"/>
  <c r="AI27" i="48"/>
  <c r="AJ27" i="48"/>
  <c r="AK27" i="48"/>
  <c r="AL27" i="48"/>
  <c r="AM27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AF29" i="48"/>
  <c r="AG29" i="48"/>
  <c r="AH29" i="48"/>
  <c r="AI29" i="48"/>
  <c r="AJ29" i="48"/>
  <c r="AK29" i="48"/>
  <c r="AL29" i="48"/>
  <c r="AM29" i="48"/>
  <c r="M30" i="48"/>
  <c r="N30" i="48"/>
  <c r="O30" i="48"/>
  <c r="P30" i="48"/>
  <c r="Q30" i="48"/>
  <c r="R30" i="48"/>
  <c r="S30" i="48"/>
  <c r="T30" i="48"/>
  <c r="U30" i="48"/>
  <c r="V30" i="48"/>
  <c r="W30" i="48"/>
  <c r="X30" i="48"/>
  <c r="Y30" i="48"/>
  <c r="Z30" i="48"/>
  <c r="AA30" i="48"/>
  <c r="AB30" i="48"/>
  <c r="AC30" i="48"/>
  <c r="AD30" i="48"/>
  <c r="AE30" i="48"/>
  <c r="AF30" i="48"/>
  <c r="AG30" i="48"/>
  <c r="AH30" i="48"/>
  <c r="AI30" i="48"/>
  <c r="AJ30" i="48"/>
  <c r="AK30" i="48"/>
  <c r="AL30" i="48"/>
  <c r="AM30" i="48"/>
  <c r="CY115" i="40"/>
  <c r="CY123" i="40"/>
  <c r="N115" i="40"/>
  <c r="O115" i="40"/>
  <c r="P115" i="40"/>
  <c r="Q115" i="40"/>
  <c r="R115" i="40"/>
  <c r="S115" i="40"/>
  <c r="T115" i="40"/>
  <c r="U115" i="40"/>
  <c r="V115" i="40"/>
  <c r="W115" i="40"/>
  <c r="X115" i="40"/>
  <c r="Y115" i="40"/>
  <c r="Z115" i="40"/>
  <c r="AA115" i="40"/>
  <c r="AB115" i="40"/>
  <c r="AC115" i="40"/>
  <c r="AD115" i="40"/>
  <c r="AE115" i="40"/>
  <c r="AF115" i="40"/>
  <c r="AG115" i="40"/>
  <c r="AH115" i="40"/>
  <c r="AI115" i="40"/>
  <c r="AJ115" i="40"/>
  <c r="AK115" i="40"/>
  <c r="AL115" i="40"/>
  <c r="AM115" i="40"/>
  <c r="AN115" i="40"/>
  <c r="AO115" i="40"/>
  <c r="AP115" i="40"/>
  <c r="AQ115" i="40"/>
  <c r="AR115" i="40"/>
  <c r="AS115" i="40"/>
  <c r="AT115" i="40"/>
  <c r="AU115" i="40"/>
  <c r="AV115" i="40"/>
  <c r="AW115" i="40"/>
  <c r="AX115" i="40"/>
  <c r="AY115" i="40"/>
  <c r="AZ115" i="40"/>
  <c r="BA115" i="40"/>
  <c r="BB115" i="40"/>
  <c r="BC115" i="40"/>
  <c r="BD115" i="40"/>
  <c r="BE115" i="40"/>
  <c r="BF115" i="40"/>
  <c r="BG115" i="40"/>
  <c r="BH115" i="40"/>
  <c r="BI115" i="40"/>
  <c r="BJ115" i="40"/>
  <c r="BK115" i="40"/>
  <c r="BL115" i="40"/>
  <c r="BM115" i="40"/>
  <c r="BN115" i="40"/>
  <c r="BO115" i="40"/>
  <c r="BP115" i="40"/>
  <c r="BQ115" i="40"/>
  <c r="BR115" i="40"/>
  <c r="BS115" i="40"/>
  <c r="BT115" i="40"/>
  <c r="BU115" i="40"/>
  <c r="BV115" i="40"/>
  <c r="BW115" i="40"/>
  <c r="BX115" i="40"/>
  <c r="BY115" i="40"/>
  <c r="BZ115" i="40"/>
  <c r="CA115" i="40"/>
  <c r="CB115" i="40"/>
  <c r="CC115" i="40"/>
  <c r="CD115" i="40"/>
  <c r="CE115" i="40"/>
  <c r="CF115" i="40"/>
  <c r="CG115" i="40"/>
  <c r="CH115" i="40"/>
  <c r="CI115" i="40"/>
  <c r="CJ115" i="40"/>
  <c r="CK115" i="40"/>
  <c r="CL115" i="40"/>
  <c r="CM115" i="40"/>
  <c r="CN115" i="40"/>
  <c r="CO115" i="40"/>
  <c r="CP115" i="40"/>
  <c r="CQ115" i="40"/>
  <c r="CR115" i="40"/>
  <c r="CS115" i="40"/>
  <c r="CT115" i="40"/>
  <c r="CU115" i="40"/>
  <c r="CV115" i="40"/>
  <c r="CW115" i="40"/>
  <c r="CX115" i="40"/>
  <c r="N123" i="40"/>
  <c r="O123" i="40"/>
  <c r="P123" i="40"/>
  <c r="Q123" i="40"/>
  <c r="R123" i="40"/>
  <c r="S123" i="40"/>
  <c r="T123" i="40"/>
  <c r="U123" i="40"/>
  <c r="V123" i="40"/>
  <c r="W123" i="40"/>
  <c r="X123" i="40"/>
  <c r="Y123" i="40"/>
  <c r="Z123" i="40"/>
  <c r="AA123" i="40"/>
  <c r="AB123" i="40"/>
  <c r="AC123" i="40"/>
  <c r="AD123" i="40"/>
  <c r="AE123" i="40"/>
  <c r="AF123" i="40"/>
  <c r="AG123" i="40"/>
  <c r="AH123" i="40"/>
  <c r="AI123" i="40"/>
  <c r="AJ123" i="40"/>
  <c r="AK123" i="40"/>
  <c r="AL123" i="40"/>
  <c r="AM123" i="40"/>
  <c r="AN123" i="40"/>
  <c r="AO123" i="40"/>
  <c r="AP123" i="40"/>
  <c r="AQ123" i="40"/>
  <c r="AR123" i="40"/>
  <c r="AS123" i="40"/>
  <c r="AT123" i="40"/>
  <c r="AU123" i="40"/>
  <c r="AV123" i="40"/>
  <c r="AW123" i="40"/>
  <c r="AX123" i="40"/>
  <c r="AY123" i="40"/>
  <c r="AZ123" i="40"/>
  <c r="BA123" i="40"/>
  <c r="BB123" i="40"/>
  <c r="BC123" i="40"/>
  <c r="BD123" i="40"/>
  <c r="BE123" i="40"/>
  <c r="BF123" i="40"/>
  <c r="BG123" i="40"/>
  <c r="BH123" i="40"/>
  <c r="BI123" i="40"/>
  <c r="BJ123" i="40"/>
  <c r="BK123" i="40"/>
  <c r="BL123" i="40"/>
  <c r="BM123" i="40"/>
  <c r="BN123" i="40"/>
  <c r="BO123" i="40"/>
  <c r="BP123" i="40"/>
  <c r="BQ123" i="40"/>
  <c r="BR123" i="40"/>
  <c r="BS123" i="40"/>
  <c r="BT123" i="40"/>
  <c r="BU123" i="40"/>
  <c r="BV123" i="40"/>
  <c r="BW123" i="40"/>
  <c r="BX123" i="40"/>
  <c r="BY123" i="40"/>
  <c r="BZ123" i="40"/>
  <c r="CA123" i="40"/>
  <c r="CB123" i="40"/>
  <c r="CC123" i="40"/>
  <c r="CD123" i="40"/>
  <c r="CE123" i="40"/>
  <c r="CF123" i="40"/>
  <c r="CG123" i="40"/>
  <c r="CH123" i="40"/>
  <c r="CI123" i="40"/>
  <c r="CJ123" i="40"/>
  <c r="CK123" i="40"/>
  <c r="CL123" i="40"/>
  <c r="CM123" i="40"/>
  <c r="CN123" i="40"/>
  <c r="CO123" i="40"/>
  <c r="CP123" i="40"/>
  <c r="CQ123" i="40"/>
  <c r="CR123" i="40"/>
  <c r="CS123" i="40"/>
  <c r="CT123" i="40"/>
  <c r="CU123" i="40"/>
  <c r="CV123" i="40"/>
  <c r="CW123" i="40"/>
  <c r="CX123" i="40"/>
  <c r="M43" i="50"/>
  <c r="L43" i="50"/>
  <c r="K43" i="50"/>
  <c r="J43" i="50"/>
  <c r="I43" i="50"/>
  <c r="H43" i="50"/>
  <c r="G43" i="50"/>
  <c r="F43" i="50"/>
  <c r="E43" i="50"/>
  <c r="D43" i="50"/>
  <c r="AI39" i="38"/>
  <c r="N40" i="38"/>
  <c r="N39" i="38" s="1"/>
  <c r="O40" i="38"/>
  <c r="O39" i="38" s="1"/>
  <c r="P40" i="38"/>
  <c r="Q40" i="38"/>
  <c r="R40" i="38"/>
  <c r="S40" i="38"/>
  <c r="T40" i="38"/>
  <c r="U40" i="38"/>
  <c r="V40" i="38"/>
  <c r="W40" i="38"/>
  <c r="X40" i="38"/>
  <c r="Y40" i="38"/>
  <c r="Z40" i="38"/>
  <c r="AA40" i="38"/>
  <c r="AB40" i="38"/>
  <c r="AC40" i="38"/>
  <c r="AD40" i="38"/>
  <c r="AD39" i="38" s="1"/>
  <c r="AE40" i="38"/>
  <c r="AE39" i="38" s="1"/>
  <c r="AF40" i="38"/>
  <c r="AG40" i="38"/>
  <c r="AH40" i="38"/>
  <c r="AI40" i="38"/>
  <c r="AJ40" i="38"/>
  <c r="AK40" i="38"/>
  <c r="AL40" i="38"/>
  <c r="AM40" i="38"/>
  <c r="AN40" i="38"/>
  <c r="AO40" i="38"/>
  <c r="AP40" i="38"/>
  <c r="AQ40" i="38"/>
  <c r="AR40" i="38"/>
  <c r="AS40" i="38"/>
  <c r="AT40" i="38"/>
  <c r="AT39" i="38" s="1"/>
  <c r="AU40" i="38"/>
  <c r="AU39" i="38" s="1"/>
  <c r="AV40" i="38"/>
  <c r="AW40" i="38"/>
  <c r="AX40" i="38"/>
  <c r="AY40" i="38"/>
  <c r="AY39" i="38" s="1"/>
  <c r="AZ40" i="38"/>
  <c r="BA40" i="38"/>
  <c r="BB40" i="38"/>
  <c r="BC40" i="38"/>
  <c r="BD40" i="38"/>
  <c r="BE40" i="38"/>
  <c r="BF40" i="38"/>
  <c r="BG40" i="38"/>
  <c r="BH40" i="38"/>
  <c r="BI40" i="38"/>
  <c r="BJ40" i="38"/>
  <c r="BJ39" i="38" s="1"/>
  <c r="BK40" i="38"/>
  <c r="BK39" i="38" s="1"/>
  <c r="BL40" i="38"/>
  <c r="BM40" i="38"/>
  <c r="BN40" i="38"/>
  <c r="BO40" i="38"/>
  <c r="BP40" i="38"/>
  <c r="BQ40" i="38"/>
  <c r="BR40" i="38"/>
  <c r="BS40" i="38"/>
  <c r="BT40" i="38"/>
  <c r="BU40" i="38"/>
  <c r="BV40" i="38"/>
  <c r="BW40" i="38"/>
  <c r="BX40" i="38"/>
  <c r="BY40" i="38"/>
  <c r="BZ40" i="38"/>
  <c r="BZ39" i="38" s="1"/>
  <c r="CA40" i="38"/>
  <c r="CA39" i="38" s="1"/>
  <c r="CB40" i="38"/>
  <c r="CC40" i="38"/>
  <c r="CC39" i="38" s="1"/>
  <c r="CD40" i="38"/>
  <c r="CE40" i="38"/>
  <c r="CF40" i="38"/>
  <c r="CG40" i="38"/>
  <c r="CH40" i="38"/>
  <c r="CI40" i="38"/>
  <c r="CJ40" i="38"/>
  <c r="CK40" i="38"/>
  <c r="CL40" i="38"/>
  <c r="CM40" i="38"/>
  <c r="CN40" i="38"/>
  <c r="CN39" i="38" s="1"/>
  <c r="CO40" i="38"/>
  <c r="CP40" i="38"/>
  <c r="CP39" i="38" s="1"/>
  <c r="CQ40" i="38"/>
  <c r="CQ39" i="38" s="1"/>
  <c r="CR40" i="38"/>
  <c r="CS40" i="38"/>
  <c r="CS39" i="38" s="1"/>
  <c r="CT40" i="38"/>
  <c r="CU40" i="38"/>
  <c r="CV40" i="38"/>
  <c r="CW40" i="38"/>
  <c r="CX40" i="38"/>
  <c r="CY40" i="38"/>
  <c r="N41" i="38"/>
  <c r="O41" i="38"/>
  <c r="P41" i="38"/>
  <c r="Q41" i="38"/>
  <c r="R41" i="38"/>
  <c r="S41" i="38"/>
  <c r="T41" i="38"/>
  <c r="T39" i="38" s="1"/>
  <c r="U41" i="38"/>
  <c r="V41" i="38"/>
  <c r="W41" i="38"/>
  <c r="X41" i="38"/>
  <c r="Y41" i="38"/>
  <c r="Z41" i="38"/>
  <c r="AA41" i="38"/>
  <c r="AB41" i="38"/>
  <c r="AC41" i="38"/>
  <c r="AD41" i="38"/>
  <c r="AE41" i="38"/>
  <c r="AF41" i="38"/>
  <c r="AG41" i="38"/>
  <c r="AH41" i="38"/>
  <c r="AI41" i="38"/>
  <c r="AJ41" i="38"/>
  <c r="AK41" i="38"/>
  <c r="AL41" i="38"/>
  <c r="AM41" i="38"/>
  <c r="AN41" i="38"/>
  <c r="AO41" i="38"/>
  <c r="AP41" i="38"/>
  <c r="AQ41" i="38"/>
  <c r="AR41" i="38"/>
  <c r="AS41" i="38"/>
  <c r="AT41" i="38"/>
  <c r="AU41" i="38"/>
  <c r="AV41" i="38"/>
  <c r="AW41" i="38"/>
  <c r="AX41" i="38"/>
  <c r="AY41" i="38"/>
  <c r="AZ41" i="38"/>
  <c r="BA41" i="38"/>
  <c r="BB41" i="38"/>
  <c r="BC41" i="38"/>
  <c r="BD41" i="38"/>
  <c r="BE41" i="38"/>
  <c r="BF41" i="38"/>
  <c r="BG41" i="38"/>
  <c r="BH41" i="38"/>
  <c r="BI41" i="38"/>
  <c r="BJ41" i="38"/>
  <c r="BK41" i="38"/>
  <c r="BL41" i="38"/>
  <c r="BM41" i="38"/>
  <c r="BN41" i="38"/>
  <c r="BO41" i="38"/>
  <c r="BP41" i="38"/>
  <c r="BQ41" i="38"/>
  <c r="BR41" i="38"/>
  <c r="BS41" i="38"/>
  <c r="BT41" i="38"/>
  <c r="BU41" i="38"/>
  <c r="BV41" i="38"/>
  <c r="BW41" i="38"/>
  <c r="BX41" i="38"/>
  <c r="BY41" i="38"/>
  <c r="BZ41" i="38"/>
  <c r="CA41" i="38"/>
  <c r="CB41" i="38"/>
  <c r="CC41" i="38"/>
  <c r="CD41" i="38"/>
  <c r="CE41" i="38"/>
  <c r="CF41" i="38"/>
  <c r="CG41" i="38"/>
  <c r="CH41" i="38"/>
  <c r="CI41" i="38"/>
  <c r="CJ41" i="38"/>
  <c r="CK41" i="38"/>
  <c r="CL41" i="38"/>
  <c r="CM41" i="38"/>
  <c r="CN41" i="38"/>
  <c r="CO41" i="38"/>
  <c r="CP41" i="38"/>
  <c r="CQ41" i="38"/>
  <c r="CR41" i="38"/>
  <c r="CS41" i="38"/>
  <c r="CT41" i="38"/>
  <c r="CU41" i="38"/>
  <c r="CV41" i="38"/>
  <c r="CW41" i="38"/>
  <c r="CX41" i="38"/>
  <c r="CY41" i="38"/>
  <c r="N45" i="38"/>
  <c r="O45" i="38"/>
  <c r="P45" i="38"/>
  <c r="Q45" i="38"/>
  <c r="R45" i="38"/>
  <c r="S45" i="38"/>
  <c r="T45" i="38"/>
  <c r="U45" i="38"/>
  <c r="V45" i="38"/>
  <c r="W45" i="38"/>
  <c r="X45" i="38"/>
  <c r="Y45" i="38"/>
  <c r="Z45" i="38"/>
  <c r="AA45" i="38"/>
  <c r="AB45" i="38"/>
  <c r="AC45" i="38"/>
  <c r="AD45" i="38"/>
  <c r="AE45" i="38"/>
  <c r="AF45" i="38"/>
  <c r="AG45" i="38"/>
  <c r="AH45" i="38"/>
  <c r="AI45" i="38"/>
  <c r="AJ45" i="38"/>
  <c r="AK45" i="38"/>
  <c r="AL45" i="38"/>
  <c r="AM45" i="38"/>
  <c r="AN45" i="38"/>
  <c r="AO45" i="38"/>
  <c r="AP45" i="38"/>
  <c r="AQ45" i="38"/>
  <c r="AR45" i="38"/>
  <c r="AS45" i="38"/>
  <c r="AT45" i="38"/>
  <c r="AU45" i="38"/>
  <c r="AV45" i="38"/>
  <c r="AW45" i="38"/>
  <c r="AX45" i="38"/>
  <c r="AY45" i="38"/>
  <c r="AZ45" i="38"/>
  <c r="BA45" i="38"/>
  <c r="BB45" i="38"/>
  <c r="BC45" i="38"/>
  <c r="BD45" i="38"/>
  <c r="BE45" i="38"/>
  <c r="BF45" i="38"/>
  <c r="BG45" i="38"/>
  <c r="BH45" i="38"/>
  <c r="BI45" i="38"/>
  <c r="BJ45" i="38"/>
  <c r="BK45" i="38"/>
  <c r="BL45" i="38"/>
  <c r="BM45" i="38"/>
  <c r="BN45" i="38"/>
  <c r="BO45" i="38"/>
  <c r="BP45" i="38"/>
  <c r="BQ45" i="38"/>
  <c r="BR45" i="38"/>
  <c r="BS45" i="38"/>
  <c r="BT45" i="38"/>
  <c r="BU45" i="38"/>
  <c r="BV45" i="38"/>
  <c r="BW45" i="38"/>
  <c r="BX45" i="38"/>
  <c r="BY45" i="38"/>
  <c r="BZ45" i="38"/>
  <c r="CA45" i="38"/>
  <c r="CB45" i="38"/>
  <c r="CC45" i="38"/>
  <c r="CD45" i="38"/>
  <c r="CE45" i="38"/>
  <c r="CF45" i="38"/>
  <c r="CG45" i="38"/>
  <c r="CH45" i="38"/>
  <c r="CI45" i="38"/>
  <c r="CJ45" i="38"/>
  <c r="CK45" i="38"/>
  <c r="CL45" i="38"/>
  <c r="CM45" i="38"/>
  <c r="CN45" i="38"/>
  <c r="CO45" i="38"/>
  <c r="CP45" i="38"/>
  <c r="CQ45" i="38"/>
  <c r="CR45" i="38"/>
  <c r="CS45" i="38"/>
  <c r="CT45" i="38"/>
  <c r="CU45" i="38"/>
  <c r="CV45" i="38"/>
  <c r="CW45" i="38"/>
  <c r="CX45" i="38"/>
  <c r="CY45" i="38"/>
  <c r="N48" i="38"/>
  <c r="O48" i="38"/>
  <c r="P48" i="38"/>
  <c r="Q48" i="38"/>
  <c r="R48" i="38"/>
  <c r="S48" i="38"/>
  <c r="T48" i="38"/>
  <c r="U48" i="38"/>
  <c r="V48" i="38"/>
  <c r="W48" i="38"/>
  <c r="X48" i="38"/>
  <c r="Y48" i="38"/>
  <c r="Z48" i="38"/>
  <c r="AA48" i="38"/>
  <c r="AB48" i="38"/>
  <c r="AC48" i="38"/>
  <c r="AD48" i="38"/>
  <c r="AE48" i="38"/>
  <c r="AF48" i="38"/>
  <c r="AG48" i="38"/>
  <c r="AH48" i="38"/>
  <c r="AI48" i="38"/>
  <c r="AJ48" i="38"/>
  <c r="AK48" i="38"/>
  <c r="AL48" i="38"/>
  <c r="AM48" i="38"/>
  <c r="AN48" i="38"/>
  <c r="AO48" i="38"/>
  <c r="AP48" i="38"/>
  <c r="AQ48" i="38"/>
  <c r="AR48" i="38"/>
  <c r="AS48" i="38"/>
  <c r="AT48" i="38"/>
  <c r="AU48" i="38"/>
  <c r="AV48" i="38"/>
  <c r="AW48" i="38"/>
  <c r="AX48" i="38"/>
  <c r="AY48" i="38"/>
  <c r="AZ48" i="38"/>
  <c r="BA48" i="38"/>
  <c r="BB48" i="38"/>
  <c r="BC48" i="38"/>
  <c r="BD48" i="38"/>
  <c r="BE48" i="38"/>
  <c r="BF48" i="38"/>
  <c r="BG48" i="38"/>
  <c r="BH48" i="38"/>
  <c r="BI48" i="38"/>
  <c r="BJ48" i="38"/>
  <c r="BK48" i="38"/>
  <c r="BL48" i="38"/>
  <c r="BM48" i="38"/>
  <c r="BN48" i="38"/>
  <c r="BO48" i="38"/>
  <c r="BP48" i="38"/>
  <c r="BQ48" i="38"/>
  <c r="BR48" i="38"/>
  <c r="BS48" i="38"/>
  <c r="BT48" i="38"/>
  <c r="BU48" i="38"/>
  <c r="BV48" i="38"/>
  <c r="BW48" i="38"/>
  <c r="BX48" i="38"/>
  <c r="BY48" i="38"/>
  <c r="BZ48" i="38"/>
  <c r="CA48" i="38"/>
  <c r="CB48" i="38"/>
  <c r="CC48" i="38"/>
  <c r="CD48" i="38"/>
  <c r="CE48" i="38"/>
  <c r="CF48" i="38"/>
  <c r="CG48" i="38"/>
  <c r="CH48" i="38"/>
  <c r="CI48" i="38"/>
  <c r="CJ48" i="38"/>
  <c r="CK48" i="38"/>
  <c r="CL48" i="38"/>
  <c r="CM48" i="38"/>
  <c r="CN48" i="38"/>
  <c r="CO48" i="38"/>
  <c r="CP48" i="38"/>
  <c r="CQ48" i="38"/>
  <c r="CR48" i="38"/>
  <c r="CS48" i="38"/>
  <c r="CT48" i="38"/>
  <c r="CU48" i="38"/>
  <c r="CV48" i="38"/>
  <c r="CW48" i="38"/>
  <c r="CX48" i="38"/>
  <c r="CY48" i="38"/>
  <c r="O43" i="38"/>
  <c r="P36" i="38"/>
  <c r="Q43" i="38"/>
  <c r="R43" i="38"/>
  <c r="T43" i="38"/>
  <c r="U36" i="38"/>
  <c r="V43" i="38"/>
  <c r="W43" i="38"/>
  <c r="X43" i="38"/>
  <c r="Y43" i="38"/>
  <c r="Z43" i="38"/>
  <c r="AA43" i="38"/>
  <c r="AB36" i="38"/>
  <c r="AB35" i="38" s="1"/>
  <c r="AE43" i="38"/>
  <c r="AF36" i="38"/>
  <c r="AG43" i="38"/>
  <c r="AH43" i="38"/>
  <c r="AJ43" i="38"/>
  <c r="AK36" i="38"/>
  <c r="AL43" i="38"/>
  <c r="AM43" i="38"/>
  <c r="AN43" i="38"/>
  <c r="AO43" i="38"/>
  <c r="AP43" i="38"/>
  <c r="AQ43" i="38"/>
  <c r="AR36" i="38"/>
  <c r="AR35" i="38" s="1"/>
  <c r="AT43" i="38"/>
  <c r="AU43" i="38"/>
  <c r="AV36" i="38"/>
  <c r="AW43" i="38"/>
  <c r="AX43" i="38"/>
  <c r="AZ43" i="38"/>
  <c r="BA36" i="38"/>
  <c r="BB43" i="38"/>
  <c r="BC43" i="38"/>
  <c r="BD43" i="38"/>
  <c r="BE43" i="38"/>
  <c r="BF43" i="38"/>
  <c r="BG43" i="38"/>
  <c r="BH36" i="38"/>
  <c r="BH35" i="38" s="1"/>
  <c r="BK43" i="38"/>
  <c r="BL36" i="38"/>
  <c r="BM43" i="38"/>
  <c r="BN43" i="38"/>
  <c r="BP43" i="38"/>
  <c r="BQ36" i="38"/>
  <c r="BR43" i="38"/>
  <c r="BS43" i="38"/>
  <c r="BT43" i="38"/>
  <c r="BU43" i="38"/>
  <c r="BV43" i="38"/>
  <c r="BW43" i="38"/>
  <c r="BX36" i="38"/>
  <c r="BX35" i="38" s="1"/>
  <c r="BZ43" i="38"/>
  <c r="CA43" i="38"/>
  <c r="CB36" i="38"/>
  <c r="CC43" i="38"/>
  <c r="CD43" i="38"/>
  <c r="CF43" i="38"/>
  <c r="CG36" i="38"/>
  <c r="CH43" i="38"/>
  <c r="CI43" i="38"/>
  <c r="CJ43" i="38"/>
  <c r="CK43" i="38"/>
  <c r="CL43" i="38"/>
  <c r="CM43" i="38"/>
  <c r="CN36" i="38"/>
  <c r="CN35" i="38" s="1"/>
  <c r="CP43" i="38"/>
  <c r="CQ43" i="38"/>
  <c r="CR36" i="38"/>
  <c r="CS43" i="38"/>
  <c r="CT43" i="38"/>
  <c r="CV43" i="38"/>
  <c r="CW36" i="38"/>
  <c r="CX43" i="38"/>
  <c r="CY43" i="38"/>
  <c r="E43" i="38"/>
  <c r="F43" i="38"/>
  <c r="G43" i="38"/>
  <c r="H43" i="38"/>
  <c r="I43" i="38"/>
  <c r="J43" i="38"/>
  <c r="K43" i="38"/>
  <c r="L36" i="38"/>
  <c r="D43" i="38"/>
  <c r="CG46" i="38"/>
  <c r="CH46" i="38"/>
  <c r="CI46" i="38"/>
  <c r="CJ46" i="38"/>
  <c r="CK46" i="38"/>
  <c r="CL47" i="38"/>
  <c r="CM47" i="38"/>
  <c r="CN47" i="38"/>
  <c r="CO47" i="38"/>
  <c r="CP47" i="38"/>
  <c r="CQ47" i="38"/>
  <c r="CR46" i="38"/>
  <c r="CS47" i="38"/>
  <c r="CT47" i="38"/>
  <c r="CU47" i="38"/>
  <c r="CV46" i="38"/>
  <c r="CW46" i="38"/>
  <c r="CX46" i="38"/>
  <c r="CY46" i="38"/>
  <c r="O47" i="38"/>
  <c r="P46" i="38"/>
  <c r="Q47" i="38"/>
  <c r="R47" i="38"/>
  <c r="S47" i="38"/>
  <c r="T46" i="38"/>
  <c r="U46" i="38"/>
  <c r="V46" i="38"/>
  <c r="W46" i="38"/>
  <c r="X46" i="38"/>
  <c r="Y46" i="38"/>
  <c r="Z47" i="38"/>
  <c r="AA47" i="38"/>
  <c r="AB47" i="38"/>
  <c r="AC47" i="38"/>
  <c r="AD47" i="38"/>
  <c r="AE47" i="38"/>
  <c r="AF46" i="38"/>
  <c r="AG47" i="38"/>
  <c r="AH47" i="38"/>
  <c r="AI47" i="38"/>
  <c r="AJ46" i="38"/>
  <c r="AK46" i="38"/>
  <c r="AL46" i="38"/>
  <c r="AM46" i="38"/>
  <c r="AN46" i="38"/>
  <c r="AO46" i="38"/>
  <c r="AP47" i="38"/>
  <c r="AQ47" i="38"/>
  <c r="AR47" i="38"/>
  <c r="AS47" i="38"/>
  <c r="AT47" i="38"/>
  <c r="AU47" i="38"/>
  <c r="AV46" i="38"/>
  <c r="AW47" i="38"/>
  <c r="AX47" i="38"/>
  <c r="AY47" i="38"/>
  <c r="AZ46" i="38"/>
  <c r="BA46" i="38"/>
  <c r="BB46" i="38"/>
  <c r="BC46" i="38"/>
  <c r="BD46" i="38"/>
  <c r="BE46" i="38"/>
  <c r="BF47" i="38"/>
  <c r="BG47" i="38"/>
  <c r="BH47" i="38"/>
  <c r="BI47" i="38"/>
  <c r="BJ47" i="38"/>
  <c r="BK47" i="38"/>
  <c r="BL46" i="38"/>
  <c r="BM47" i="38"/>
  <c r="BN47" i="38"/>
  <c r="BO47" i="38"/>
  <c r="BP46" i="38"/>
  <c r="BQ46" i="38"/>
  <c r="BR46" i="38"/>
  <c r="BS46" i="38"/>
  <c r="BT46" i="38"/>
  <c r="BU46" i="38"/>
  <c r="BV47" i="38"/>
  <c r="BW47" i="38"/>
  <c r="BX47" i="38"/>
  <c r="BY47" i="38"/>
  <c r="BZ47" i="38"/>
  <c r="CA47" i="38"/>
  <c r="CB46" i="38"/>
  <c r="CC47" i="38"/>
  <c r="CD47" i="38"/>
  <c r="CE47" i="38"/>
  <c r="CF46" i="38"/>
  <c r="N47" i="38"/>
  <c r="DB16" i="38" l="1"/>
  <c r="DE15" i="38"/>
  <c r="DD15" i="38"/>
  <c r="D36" i="38"/>
  <c r="T36" i="38"/>
  <c r="AJ36" i="38"/>
  <c r="AJ35" i="38" s="1"/>
  <c r="AZ36" i="38"/>
  <c r="BP36" i="38"/>
  <c r="BP35" i="38" s="1"/>
  <c r="CF36" i="38"/>
  <c r="CF35" i="38" s="1"/>
  <c r="CV36" i="38"/>
  <c r="CV35" i="38" s="1"/>
  <c r="CJ39" i="38"/>
  <c r="BT39" i="38"/>
  <c r="BD39" i="38"/>
  <c r="AN39" i="38"/>
  <c r="X39" i="38"/>
  <c r="E36" i="38"/>
  <c r="BJ35" i="38"/>
  <c r="AD35" i="38"/>
  <c r="N35" i="38"/>
  <c r="BX39" i="38"/>
  <c r="BH39" i="38"/>
  <c r="AR39" i="38"/>
  <c r="AB39" i="38"/>
  <c r="CX39" i="38"/>
  <c r="CH39" i="38"/>
  <c r="BR39" i="38"/>
  <c r="BR51" i="38" s="1"/>
  <c r="BB39" i="38"/>
  <c r="AL39" i="38"/>
  <c r="V39" i="38"/>
  <c r="G36" i="38"/>
  <c r="W36" i="38"/>
  <c r="W35" i="38" s="1"/>
  <c r="AM36" i="38"/>
  <c r="BC36" i="38"/>
  <c r="BS36" i="38"/>
  <c r="CI36" i="38"/>
  <c r="CI35" i="38" s="1"/>
  <c r="CY36" i="38"/>
  <c r="H36" i="38"/>
  <c r="X36" i="38"/>
  <c r="AN36" i="38"/>
  <c r="AN35" i="38" s="1"/>
  <c r="BD36" i="38"/>
  <c r="BD35" i="38" s="1"/>
  <c r="BT36" i="38"/>
  <c r="BT35" i="38" s="1"/>
  <c r="CJ36" i="38"/>
  <c r="CJ35" i="38" s="1"/>
  <c r="I36" i="38"/>
  <c r="Y36" i="38"/>
  <c r="AO36" i="38"/>
  <c r="BE36" i="38"/>
  <c r="BU36" i="38"/>
  <c r="CK36" i="38"/>
  <c r="CU39" i="38"/>
  <c r="BO39" i="38"/>
  <c r="BO51" i="38" s="1"/>
  <c r="S39" i="38"/>
  <c r="J36" i="38"/>
  <c r="Z36" i="38"/>
  <c r="AP36" i="38"/>
  <c r="BF36" i="38"/>
  <c r="BV36" i="38"/>
  <c r="BV35" i="38" s="1"/>
  <c r="CL36" i="38"/>
  <c r="CL35" i="38" s="1"/>
  <c r="CT39" i="38"/>
  <c r="CD39" i="38"/>
  <c r="BN39" i="38"/>
  <c r="AX39" i="38"/>
  <c r="AH39" i="38"/>
  <c r="R39" i="38"/>
  <c r="K36" i="38"/>
  <c r="AA36" i="38"/>
  <c r="AA35" i="38" s="1"/>
  <c r="AQ36" i="38"/>
  <c r="AQ35" i="38" s="1"/>
  <c r="BG36" i="38"/>
  <c r="BG35" i="38" s="1"/>
  <c r="BW36" i="38"/>
  <c r="BW35" i="38" s="1"/>
  <c r="CM36" i="38"/>
  <c r="BM39" i="38"/>
  <c r="AW39" i="38"/>
  <c r="AG39" i="38"/>
  <c r="Q39" i="38"/>
  <c r="BR35" i="38"/>
  <c r="N43" i="38"/>
  <c r="AD43" i="38"/>
  <c r="BJ43" i="38"/>
  <c r="O36" i="38"/>
  <c r="AE36" i="38"/>
  <c r="AU36" i="38"/>
  <c r="BK36" i="38"/>
  <c r="CA36" i="38"/>
  <c r="CA35" i="38" s="1"/>
  <c r="CQ36" i="38"/>
  <c r="CQ35" i="38" s="1"/>
  <c r="CX35" i="38"/>
  <c r="BB35" i="38"/>
  <c r="V35" i="38"/>
  <c r="Q36" i="38"/>
  <c r="Q35" i="38" s="1"/>
  <c r="AG36" i="38"/>
  <c r="AG35" i="38" s="1"/>
  <c r="AW36" i="38"/>
  <c r="AW35" i="38" s="1"/>
  <c r="BM36" i="38"/>
  <c r="BM35" i="38" s="1"/>
  <c r="CC36" i="38"/>
  <c r="CS36" i="38"/>
  <c r="R36" i="38"/>
  <c r="AH36" i="38"/>
  <c r="AX36" i="38"/>
  <c r="BN36" i="38"/>
  <c r="CD36" i="38"/>
  <c r="CD35" i="38" s="1"/>
  <c r="CT36" i="38"/>
  <c r="CT35" i="38" s="1"/>
  <c r="P47" i="38"/>
  <c r="CL46" i="38"/>
  <c r="CY35" i="38"/>
  <c r="BS35" i="38"/>
  <c r="AM35" i="38"/>
  <c r="BL47" i="38"/>
  <c r="AV47" i="38"/>
  <c r="AF47" i="38"/>
  <c r="BV46" i="38"/>
  <c r="AP46" i="38"/>
  <c r="Z46" i="38"/>
  <c r="BF46" i="38"/>
  <c r="CR47" i="38"/>
  <c r="CB47" i="38"/>
  <c r="CH35" i="38"/>
  <c r="BZ35" i="38"/>
  <c r="AL35" i="38"/>
  <c r="BC35" i="38"/>
  <c r="CE39" i="38"/>
  <c r="CO39" i="38"/>
  <c r="BY39" i="38"/>
  <c r="BI39" i="38"/>
  <c r="AS39" i="38"/>
  <c r="AC39" i="38"/>
  <c r="CL31" i="48"/>
  <c r="CM119" i="40" s="1"/>
  <c r="CS21" i="48"/>
  <c r="CC21" i="48"/>
  <c r="BM21" i="48"/>
  <c r="CS8" i="48"/>
  <c r="CC8" i="48"/>
  <c r="BM8" i="48"/>
  <c r="BM23" i="48" s="1"/>
  <c r="CD21" i="48"/>
  <c r="CB21" i="48"/>
  <c r="CJ8" i="48"/>
  <c r="BT8" i="48"/>
  <c r="BT15" i="48" s="1"/>
  <c r="CB8" i="48"/>
  <c r="CB23" i="48" s="1"/>
  <c r="BL8" i="48"/>
  <c r="BL23" i="48" s="1"/>
  <c r="BV21" i="48"/>
  <c r="BN21" i="48"/>
  <c r="CI21" i="48"/>
  <c r="BS21" i="48"/>
  <c r="CQ21" i="48"/>
  <c r="CA21" i="48"/>
  <c r="CA8" i="48"/>
  <c r="BK8" i="48"/>
  <c r="BK15" i="48" s="1"/>
  <c r="CT21" i="48"/>
  <c r="CL39" i="38"/>
  <c r="BV39" i="38"/>
  <c r="BF39" i="38"/>
  <c r="AP39" i="38"/>
  <c r="Z39" i="38"/>
  <c r="CX21" i="48"/>
  <c r="CH21" i="48"/>
  <c r="BR21" i="48"/>
  <c r="CP21" i="48"/>
  <c r="BZ21" i="48"/>
  <c r="CP8" i="48"/>
  <c r="BZ8" i="48"/>
  <c r="CK39" i="38"/>
  <c r="BU39" i="38"/>
  <c r="BE39" i="38"/>
  <c r="AO39" i="38"/>
  <c r="Y39" i="38"/>
  <c r="CH31" i="48"/>
  <c r="CI119" i="40" s="1"/>
  <c r="CY39" i="38"/>
  <c r="CI39" i="38"/>
  <c r="BS39" i="38"/>
  <c r="BC39" i="38"/>
  <c r="AM39" i="38"/>
  <c r="W39" i="38"/>
  <c r="CV31" i="48"/>
  <c r="CW119" i="40" s="1"/>
  <c r="CF31" i="48"/>
  <c r="CG119" i="40" s="1"/>
  <c r="CM21" i="48"/>
  <c r="CR13" i="48"/>
  <c r="CB13" i="48"/>
  <c r="BL13" i="48"/>
  <c r="CW39" i="38"/>
  <c r="BQ39" i="38"/>
  <c r="BA39" i="38"/>
  <c r="AK39" i="38"/>
  <c r="U39" i="38"/>
  <c r="CV39" i="38"/>
  <c r="CF39" i="38"/>
  <c r="BP39" i="38"/>
  <c r="AZ39" i="38"/>
  <c r="AJ39" i="38"/>
  <c r="CM13" i="48"/>
  <c r="CM15" i="48" s="1"/>
  <c r="BW13" i="48"/>
  <c r="BV13" i="48"/>
  <c r="CG39" i="38"/>
  <c r="CG51" i="38" s="1"/>
  <c r="CN21" i="48"/>
  <c r="BU13" i="48"/>
  <c r="AW51" i="38"/>
  <c r="CK47" i="38"/>
  <c r="BU47" i="38"/>
  <c r="BE47" i="38"/>
  <c r="AO47" i="38"/>
  <c r="AO51" i="38" s="1"/>
  <c r="Y47" i="38"/>
  <c r="Y51" i="38" s="1"/>
  <c r="CU46" i="38"/>
  <c r="CU51" i="38" s="1"/>
  <c r="CE46" i="38"/>
  <c r="BO46" i="38"/>
  <c r="AY46" i="38"/>
  <c r="AI46" i="38"/>
  <c r="AI51" i="38" s="1"/>
  <c r="S46" i="38"/>
  <c r="CW35" i="38"/>
  <c r="CG35" i="38"/>
  <c r="BQ35" i="38"/>
  <c r="BA35" i="38"/>
  <c r="AK35" i="38"/>
  <c r="U35" i="38"/>
  <c r="CJ47" i="38"/>
  <c r="CJ51" i="38" s="1"/>
  <c r="BT47" i="38"/>
  <c r="BT51" i="38" s="1"/>
  <c r="BD47" i="38"/>
  <c r="BD51" i="38" s="1"/>
  <c r="AN47" i="38"/>
  <c r="AN51" i="38" s="1"/>
  <c r="X47" i="38"/>
  <c r="X51" i="38" s="1"/>
  <c r="CT46" i="38"/>
  <c r="CD46" i="38"/>
  <c r="BN46" i="38"/>
  <c r="BN51" i="38" s="1"/>
  <c r="AX46" i="38"/>
  <c r="AX51" i="38" s="1"/>
  <c r="AH46" i="38"/>
  <c r="AH51" i="38" s="1"/>
  <c r="R46" i="38"/>
  <c r="R51" i="38" s="1"/>
  <c r="AZ35" i="38"/>
  <c r="T35" i="38"/>
  <c r="CY47" i="38"/>
  <c r="CI47" i="38"/>
  <c r="BS47" i="38"/>
  <c r="BC47" i="38"/>
  <c r="AM47" i="38"/>
  <c r="W47" i="38"/>
  <c r="CS46" i="38"/>
  <c r="CS51" i="38" s="1"/>
  <c r="CC46" i="38"/>
  <c r="CC51" i="38" s="1"/>
  <c r="BM46" i="38"/>
  <c r="AW46" i="38"/>
  <c r="AG46" i="38"/>
  <c r="Q46" i="38"/>
  <c r="CU35" i="38"/>
  <c r="CE35" i="38"/>
  <c r="BO35" i="38"/>
  <c r="AY35" i="38"/>
  <c r="AI35" i="38"/>
  <c r="S35" i="38"/>
  <c r="CX47" i="38"/>
  <c r="CX51" i="38" s="1"/>
  <c r="CH47" i="38"/>
  <c r="CH51" i="38" s="1"/>
  <c r="BR47" i="38"/>
  <c r="BB47" i="38"/>
  <c r="BB51" i="38" s="1"/>
  <c r="AL47" i="38"/>
  <c r="AL51" i="38" s="1"/>
  <c r="V47" i="38"/>
  <c r="V51" i="38" s="1"/>
  <c r="BN35" i="38"/>
  <c r="AX35" i="38"/>
  <c r="AH35" i="38"/>
  <c r="R35" i="38"/>
  <c r="CW47" i="38"/>
  <c r="CG47" i="38"/>
  <c r="BQ47" i="38"/>
  <c r="BA47" i="38"/>
  <c r="AK47" i="38"/>
  <c r="U47" i="38"/>
  <c r="CQ46" i="38"/>
  <c r="CQ51" i="38" s="1"/>
  <c r="CA46" i="38"/>
  <c r="CA51" i="38" s="1"/>
  <c r="BK46" i="38"/>
  <c r="BK51" i="38" s="1"/>
  <c r="AU46" i="38"/>
  <c r="AU51" i="38" s="1"/>
  <c r="AE46" i="38"/>
  <c r="AE51" i="38" s="1"/>
  <c r="O46" i="38"/>
  <c r="O51" i="38" s="1"/>
  <c r="CS35" i="38"/>
  <c r="CC35" i="38"/>
  <c r="CV47" i="38"/>
  <c r="CF47" i="38"/>
  <c r="BP47" i="38"/>
  <c r="BP51" i="38" s="1"/>
  <c r="AZ47" i="38"/>
  <c r="AZ51" i="38" s="1"/>
  <c r="AJ47" i="38"/>
  <c r="T47" i="38"/>
  <c r="T51" i="38" s="1"/>
  <c r="CP46" i="38"/>
  <c r="BZ46" i="38"/>
  <c r="BJ46" i="38"/>
  <c r="AT46" i="38"/>
  <c r="AT51" i="38" s="1"/>
  <c r="AD46" i="38"/>
  <c r="AD51" i="38" s="1"/>
  <c r="N46" i="38"/>
  <c r="N51" i="38" s="1"/>
  <c r="CR35" i="38"/>
  <c r="CB35" i="38"/>
  <c r="BL35" i="38"/>
  <c r="AV35" i="38"/>
  <c r="AF35" i="38"/>
  <c r="P35" i="38"/>
  <c r="CO46" i="38"/>
  <c r="CO51" i="38" s="1"/>
  <c r="BY46" i="38"/>
  <c r="BI46" i="38"/>
  <c r="AS46" i="38"/>
  <c r="AC46" i="38"/>
  <c r="BK35" i="38"/>
  <c r="AU35" i="38"/>
  <c r="AE35" i="38"/>
  <c r="O35" i="38"/>
  <c r="CN46" i="38"/>
  <c r="CN51" i="38" s="1"/>
  <c r="BX46" i="38"/>
  <c r="BH46" i="38"/>
  <c r="BH51" i="38" s="1"/>
  <c r="AR46" i="38"/>
  <c r="AR51" i="38" s="1"/>
  <c r="AB46" i="38"/>
  <c r="AB51" i="38" s="1"/>
  <c r="CP35" i="38"/>
  <c r="AT35" i="38"/>
  <c r="CM46" i="38"/>
  <c r="BW46" i="38"/>
  <c r="BG46" i="38"/>
  <c r="AQ46" i="38"/>
  <c r="AA46" i="38"/>
  <c r="CO35" i="38"/>
  <c r="BY35" i="38"/>
  <c r="BI35" i="38"/>
  <c r="AS35" i="38"/>
  <c r="AC35" i="38"/>
  <c r="AA39" i="38"/>
  <c r="AQ39" i="38"/>
  <c r="BG39" i="38"/>
  <c r="BW39" i="38"/>
  <c r="CM39" i="38"/>
  <c r="CM35" i="38"/>
  <c r="BF35" i="38"/>
  <c r="AP35" i="38"/>
  <c r="Z35" i="38"/>
  <c r="CK35" i="38"/>
  <c r="BU35" i="38"/>
  <c r="BE35" i="38"/>
  <c r="AO35" i="38"/>
  <c r="Y35" i="38"/>
  <c r="CF51" i="38"/>
  <c r="X35" i="38"/>
  <c r="P39" i="38"/>
  <c r="P51" i="38" s="1"/>
  <c r="AF39" i="38"/>
  <c r="AF51" i="38" s="1"/>
  <c r="AV39" i="38"/>
  <c r="AV51" i="38" s="1"/>
  <c r="BL39" i="38"/>
  <c r="BL51" i="38" s="1"/>
  <c r="CB39" i="38"/>
  <c r="CR39" i="38"/>
  <c r="AP24" i="40"/>
  <c r="AQ23" i="40"/>
  <c r="AM20" i="40"/>
  <c r="AF21" i="40"/>
  <c r="AH20" i="40"/>
  <c r="BV8" i="48"/>
  <c r="BV23" i="48" s="1"/>
  <c r="BU8" i="48"/>
  <c r="CS31" i="48"/>
  <c r="CT119" i="40" s="1"/>
  <c r="CC31" i="48"/>
  <c r="CD119" i="40" s="1"/>
  <c r="BM31" i="48"/>
  <c r="BN119" i="40" s="1"/>
  <c r="CK21" i="48"/>
  <c r="BU21" i="48"/>
  <c r="BU23" i="48" s="1"/>
  <c r="CW13" i="48"/>
  <c r="CW23" i="48" s="1"/>
  <c r="CG13" i="48"/>
  <c r="BQ13" i="48"/>
  <c r="CU21" i="48"/>
  <c r="CU23" i="48" s="1"/>
  <c r="BS13" i="48"/>
  <c r="BR13" i="48"/>
  <c r="CR31" i="48"/>
  <c r="CS119" i="40" s="1"/>
  <c r="CB31" i="48"/>
  <c r="CC119" i="40" s="1"/>
  <c r="BL31" i="48"/>
  <c r="BM119" i="40" s="1"/>
  <c r="CJ21" i="48"/>
  <c r="CJ23" i="48" s="1"/>
  <c r="BT21" i="48"/>
  <c r="CI8" i="48"/>
  <c r="BS8" i="48"/>
  <c r="CM31" i="48"/>
  <c r="CN119" i="40" s="1"/>
  <c r="CE21" i="48"/>
  <c r="CL8" i="48"/>
  <c r="CL23" i="48" s="1"/>
  <c r="CH13" i="48"/>
  <c r="CQ31" i="48"/>
  <c r="CR119" i="40" s="1"/>
  <c r="CA31" i="48"/>
  <c r="CB119" i="40" s="1"/>
  <c r="BK31" i="48"/>
  <c r="BL119" i="40" s="1"/>
  <c r="CU13" i="48"/>
  <c r="CE13" i="48"/>
  <c r="BO13" i="48"/>
  <c r="CX8" i="48"/>
  <c r="CH8" i="48"/>
  <c r="BR8" i="48"/>
  <c r="BR23" i="48" s="1"/>
  <c r="BW31" i="48"/>
  <c r="BX119" i="40" s="1"/>
  <c r="BO21" i="48"/>
  <c r="CI13" i="48"/>
  <c r="CX13" i="48"/>
  <c r="CK8" i="48"/>
  <c r="CK15" i="48" s="1"/>
  <c r="CP31" i="48"/>
  <c r="CQ119" i="40" s="1"/>
  <c r="BZ31" i="48"/>
  <c r="CA119" i="40" s="1"/>
  <c r="CT13" i="48"/>
  <c r="CD13" i="48"/>
  <c r="BN13" i="48"/>
  <c r="CW8" i="48"/>
  <c r="CW15" i="48" s="1"/>
  <c r="CG8" i="48"/>
  <c r="BQ8" i="48"/>
  <c r="BQ15" i="48" s="1"/>
  <c r="CS13" i="48"/>
  <c r="CS23" i="48" s="1"/>
  <c r="CC13" i="48"/>
  <c r="CC23" i="48" s="1"/>
  <c r="BM13" i="48"/>
  <c r="BM15" i="48" s="1"/>
  <c r="CN8" i="48"/>
  <c r="BX8" i="48"/>
  <c r="BX23" i="48" s="1"/>
  <c r="CV8" i="48"/>
  <c r="CF8" i="48"/>
  <c r="CF15" i="48" s="1"/>
  <c r="BP8" i="48"/>
  <c r="CQ13" i="48"/>
  <c r="CQ23" i="48" s="1"/>
  <c r="CA13" i="48"/>
  <c r="CA15" i="48" s="1"/>
  <c r="BK13" i="48"/>
  <c r="BK23" i="48" s="1"/>
  <c r="CT8" i="48"/>
  <c r="CD8" i="48"/>
  <c r="BN8" i="48"/>
  <c r="BN15" i="48" s="1"/>
  <c r="CP13" i="48"/>
  <c r="BZ13" i="48"/>
  <c r="CO8" i="48"/>
  <c r="CO15" i="48" s="1"/>
  <c r="BY8" i="48"/>
  <c r="BY23" i="48" s="1"/>
  <c r="CW21" i="48"/>
  <c r="CG21" i="48"/>
  <c r="BQ21" i="48"/>
  <c r="CN31" i="48"/>
  <c r="CO119" i="40" s="1"/>
  <c r="BX31" i="48"/>
  <c r="BY119" i="40" s="1"/>
  <c r="CV21" i="48"/>
  <c r="CV23" i="48" s="1"/>
  <c r="CF21" i="48"/>
  <c r="BP21" i="48"/>
  <c r="BP23" i="48" s="1"/>
  <c r="CJ13" i="48"/>
  <c r="BT13" i="48"/>
  <c r="CU8" i="48"/>
  <c r="CE8" i="48"/>
  <c r="CE23" i="48" s="1"/>
  <c r="BO8" i="48"/>
  <c r="BW8" i="48"/>
  <c r="BT23" i="48"/>
  <c r="BY15" i="48"/>
  <c r="CE15" i="48"/>
  <c r="CK23" i="48"/>
  <c r="BU15" i="48"/>
  <c r="CX15" i="48"/>
  <c r="CH23" i="48"/>
  <c r="BO15" i="48"/>
  <c r="CR23" i="48"/>
  <c r="CN15" i="48"/>
  <c r="CN23" i="48"/>
  <c r="BX15" i="48"/>
  <c r="CU15" i="48"/>
  <c r="CV15" i="48"/>
  <c r="BP15" i="48"/>
  <c r="CT15" i="48"/>
  <c r="CJ15" i="48"/>
  <c r="CR15" i="48"/>
  <c r="BL15" i="48"/>
  <c r="AW31" i="48"/>
  <c r="AX119" i="40" s="1"/>
  <c r="BC21" i="48"/>
  <c r="AR31" i="48"/>
  <c r="AS119" i="40" s="1"/>
  <c r="AE21" i="48"/>
  <c r="O21" i="48"/>
  <c r="AX21" i="48"/>
  <c r="BJ31" i="48"/>
  <c r="BK119" i="40" s="1"/>
  <c r="AT31" i="48"/>
  <c r="AU119" i="40" s="1"/>
  <c r="BA31" i="48"/>
  <c r="BB119" i="40" s="1"/>
  <c r="BF21" i="48"/>
  <c r="AP21" i="48"/>
  <c r="AW21" i="48"/>
  <c r="AS31" i="48"/>
  <c r="AT119" i="40" s="1"/>
  <c r="BE21" i="48"/>
  <c r="AO21" i="48"/>
  <c r="AV21" i="48"/>
  <c r="BH31" i="48"/>
  <c r="BI119" i="40" s="1"/>
  <c r="BD21" i="48"/>
  <c r="AN21" i="48"/>
  <c r="AU21" i="48"/>
  <c r="AX31" i="48"/>
  <c r="AY119" i="40" s="1"/>
  <c r="BB21" i="48"/>
  <c r="BC8" i="48"/>
  <c r="AU8" i="48"/>
  <c r="BB8" i="48"/>
  <c r="AV8" i="48"/>
  <c r="BA8" i="48"/>
  <c r="AN31" i="48"/>
  <c r="AO119" i="40" s="1"/>
  <c r="BJ21" i="48"/>
  <c r="BA21" i="48"/>
  <c r="AP13" i="48"/>
  <c r="AV31" i="48"/>
  <c r="AW119" i="40" s="1"/>
  <c r="BC31" i="48"/>
  <c r="BD119" i="40" s="1"/>
  <c r="BI21" i="48"/>
  <c r="AS21" i="48"/>
  <c r="AZ21" i="48"/>
  <c r="BE13" i="48"/>
  <c r="AO13" i="48"/>
  <c r="BD31" i="48"/>
  <c r="BE119" i="40" s="1"/>
  <c r="AT21" i="48"/>
  <c r="BF13" i="48"/>
  <c r="AU31" i="48"/>
  <c r="AV119" i="40" s="1"/>
  <c r="BB31" i="48"/>
  <c r="BC119" i="40" s="1"/>
  <c r="AY21" i="48"/>
  <c r="BD13" i="48"/>
  <c r="AN13" i="48"/>
  <c r="AU13" i="48"/>
  <c r="BI31" i="48"/>
  <c r="BJ119" i="40" s="1"/>
  <c r="AZ8" i="48"/>
  <c r="AY8" i="48"/>
  <c r="AP8" i="48"/>
  <c r="BJ13" i="48"/>
  <c r="BH8" i="48"/>
  <c r="AQ21" i="48"/>
  <c r="BG13" i="48"/>
  <c r="AY13" i="48"/>
  <c r="BJ8" i="48"/>
  <c r="AV13" i="48"/>
  <c r="BG21" i="48"/>
  <c r="AQ13" i="48"/>
  <c r="AZ31" i="48"/>
  <c r="BA119" i="40" s="1"/>
  <c r="BG31" i="48"/>
  <c r="BH119" i="40" s="1"/>
  <c r="AQ31" i="48"/>
  <c r="AR119" i="40" s="1"/>
  <c r="AX13" i="48"/>
  <c r="BC13" i="48"/>
  <c r="AZ13" i="48"/>
  <c r="AY31" i="48"/>
  <c r="AZ119" i="40" s="1"/>
  <c r="BF31" i="48"/>
  <c r="BG119" i="40" s="1"/>
  <c r="AP31" i="48"/>
  <c r="AQ119" i="40" s="1"/>
  <c r="AR8" i="48"/>
  <c r="BE31" i="48"/>
  <c r="BF119" i="40" s="1"/>
  <c r="AO31" i="48"/>
  <c r="AP119" i="40" s="1"/>
  <c r="AT8" i="48"/>
  <c r="AW13" i="48"/>
  <c r="BI8" i="48"/>
  <c r="BG8" i="48"/>
  <c r="AQ8" i="48"/>
  <c r="AX8" i="48"/>
  <c r="BE8" i="48"/>
  <c r="AO8" i="48"/>
  <c r="BF8" i="48"/>
  <c r="AW8" i="48"/>
  <c r="BD8" i="48"/>
  <c r="AN8" i="48"/>
  <c r="AS8" i="48"/>
  <c r="AT13" i="48"/>
  <c r="BB13" i="48"/>
  <c r="BI13" i="48"/>
  <c r="AS13" i="48"/>
  <c r="BH21" i="48"/>
  <c r="AR21" i="48"/>
  <c r="BA13" i="48"/>
  <c r="BH13" i="48"/>
  <c r="AR13" i="48"/>
  <c r="V13" i="48"/>
  <c r="AB31" i="48"/>
  <c r="AC119" i="40" s="1"/>
  <c r="U13" i="48"/>
  <c r="AE31" i="48"/>
  <c r="AF119" i="40" s="1"/>
  <c r="O31" i="48"/>
  <c r="P119" i="40" s="1"/>
  <c r="AI8" i="48"/>
  <c r="AA31" i="48"/>
  <c r="AB119" i="40" s="1"/>
  <c r="AD31" i="48"/>
  <c r="AE119" i="40" s="1"/>
  <c r="N31" i="48"/>
  <c r="O119" i="40" s="1"/>
  <c r="S8" i="48"/>
  <c r="AK13" i="48"/>
  <c r="M21" i="48"/>
  <c r="Z21" i="48"/>
  <c r="AK21" i="48"/>
  <c r="U21" i="48"/>
  <c r="Z31" i="48"/>
  <c r="AA119" i="40" s="1"/>
  <c r="AK31" i="48"/>
  <c r="AL119" i="40" s="1"/>
  <c r="U31" i="48"/>
  <c r="V119" i="40" s="1"/>
  <c r="AG21" i="48"/>
  <c r="AH8" i="48"/>
  <c r="R8" i="48"/>
  <c r="AF21" i="48"/>
  <c r="AG13" i="48"/>
  <c r="Q13" i="48"/>
  <c r="AB13" i="48"/>
  <c r="AM13" i="48"/>
  <c r="W13" i="48"/>
  <c r="Q8" i="48"/>
  <c r="Y31" i="48"/>
  <c r="Z119" i="40" s="1"/>
  <c r="AI31" i="48"/>
  <c r="AJ119" i="40" s="1"/>
  <c r="S31" i="48"/>
  <c r="T119" i="40" s="1"/>
  <c r="X21" i="48"/>
  <c r="AI21" i="48"/>
  <c r="S21" i="48"/>
  <c r="Q21" i="48"/>
  <c r="P21" i="48"/>
  <c r="AJ13" i="48"/>
  <c r="T13" i="48"/>
  <c r="AE13" i="48"/>
  <c r="O13" i="48"/>
  <c r="AD21" i="48"/>
  <c r="N21" i="48"/>
  <c r="AC31" i="48"/>
  <c r="AD119" i="40" s="1"/>
  <c r="M31" i="48"/>
  <c r="N119" i="40" s="1"/>
  <c r="AC21" i="48"/>
  <c r="AI13" i="48"/>
  <c r="S13" i="48"/>
  <c r="AD13" i="48"/>
  <c r="N13" i="48"/>
  <c r="AG8" i="48"/>
  <c r="AF13" i="48"/>
  <c r="P13" i="48"/>
  <c r="AL13" i="48"/>
  <c r="AJ31" i="48"/>
  <c r="AK119" i="40" s="1"/>
  <c r="X31" i="48"/>
  <c r="Y119" i="40" s="1"/>
  <c r="AC13" i="48"/>
  <c r="M13" i="48"/>
  <c r="AJ8" i="48"/>
  <c r="T8" i="48"/>
  <c r="AE8" i="48"/>
  <c r="O8" i="48"/>
  <c r="Z8" i="48"/>
  <c r="AA8" i="48"/>
  <c r="AM31" i="48"/>
  <c r="AN119" i="40" s="1"/>
  <c r="W31" i="48"/>
  <c r="X119" i="40" s="1"/>
  <c r="AH31" i="48"/>
  <c r="AI119" i="40" s="1"/>
  <c r="R31" i="48"/>
  <c r="S119" i="40" s="1"/>
  <c r="AD8" i="48"/>
  <c r="N8" i="48"/>
  <c r="Y8" i="48"/>
  <c r="P8" i="48"/>
  <c r="AL31" i="48"/>
  <c r="AM119" i="40" s="1"/>
  <c r="V31" i="48"/>
  <c r="W119" i="40" s="1"/>
  <c r="AG31" i="48"/>
  <c r="AH119" i="40" s="1"/>
  <c r="Q31" i="48"/>
  <c r="R119" i="40" s="1"/>
  <c r="AB21" i="48"/>
  <c r="AM21" i="48"/>
  <c r="W21" i="48"/>
  <c r="AA13" i="48"/>
  <c r="AC8" i="48"/>
  <c r="M8" i="48"/>
  <c r="X8" i="48"/>
  <c r="T31" i="48"/>
  <c r="U119" i="40" s="1"/>
  <c r="AF8" i="48"/>
  <c r="AF31" i="48"/>
  <c r="AG119" i="40" s="1"/>
  <c r="P31" i="48"/>
  <c r="Q119" i="40" s="1"/>
  <c r="AA21" i="48"/>
  <c r="AL21" i="48"/>
  <c r="V21" i="48"/>
  <c r="AB8" i="48"/>
  <c r="AM8" i="48"/>
  <c r="W8" i="48"/>
  <c r="Y13" i="48"/>
  <c r="AL8" i="48"/>
  <c r="V8" i="48"/>
  <c r="Y21" i="48"/>
  <c r="AJ21" i="48"/>
  <c r="T21" i="48"/>
  <c r="AH13" i="48"/>
  <c r="R13" i="48"/>
  <c r="X13" i="48"/>
  <c r="AK8" i="48"/>
  <c r="U8" i="48"/>
  <c r="AH21" i="48"/>
  <c r="R21" i="48"/>
  <c r="Z13" i="48"/>
  <c r="CD51" i="38"/>
  <c r="AY51" i="38"/>
  <c r="CP51" i="38"/>
  <c r="BZ51" i="38"/>
  <c r="BJ51" i="38"/>
  <c r="DE16" i="38" l="1"/>
  <c r="DB17" i="38"/>
  <c r="DC17" i="38"/>
  <c r="DC16" i="38"/>
  <c r="DD17" i="38"/>
  <c r="DD16" i="38"/>
  <c r="CB51" i="38"/>
  <c r="Q51" i="38"/>
  <c r="BF51" i="38"/>
  <c r="BM51" i="38"/>
  <c r="S51" i="38"/>
  <c r="AS51" i="38"/>
  <c r="CI51" i="38"/>
  <c r="AG51" i="38"/>
  <c r="CT51" i="38"/>
  <c r="CE51" i="38"/>
  <c r="BE51" i="38"/>
  <c r="BX51" i="38"/>
  <c r="CL51" i="38"/>
  <c r="AQ51" i="38"/>
  <c r="BV51" i="38"/>
  <c r="AJ51" i="38"/>
  <c r="AM51" i="38"/>
  <c r="BG51" i="38"/>
  <c r="W51" i="38"/>
  <c r="BI51" i="38"/>
  <c r="BS51" i="38"/>
  <c r="Z51" i="38"/>
  <c r="BY51" i="38"/>
  <c r="AA51" i="38"/>
  <c r="CV51" i="38"/>
  <c r="AP51" i="38"/>
  <c r="U51" i="38"/>
  <c r="AK51" i="38"/>
  <c r="BW51" i="38"/>
  <c r="BC51" i="38"/>
  <c r="BA51" i="38"/>
  <c r="BQ51" i="38"/>
  <c r="CW51" i="38"/>
  <c r="CR51" i="38"/>
  <c r="CM51" i="38"/>
  <c r="AC51" i="38"/>
  <c r="BU51" i="38"/>
  <c r="CQ15" i="48"/>
  <c r="CH15" i="48"/>
  <c r="BW15" i="48"/>
  <c r="CA23" i="48"/>
  <c r="CB15" i="48"/>
  <c r="BO23" i="48"/>
  <c r="BZ23" i="48"/>
  <c r="CP23" i="48"/>
  <c r="CG23" i="48"/>
  <c r="CM23" i="48"/>
  <c r="CL15" i="48"/>
  <c r="CX23" i="48"/>
  <c r="CD23" i="48"/>
  <c r="BN23" i="48"/>
  <c r="CT23" i="48"/>
  <c r="CF23" i="48"/>
  <c r="BS23" i="48"/>
  <c r="CY51" i="38"/>
  <c r="CI23" i="48"/>
  <c r="CK51" i="38"/>
  <c r="AF22" i="40"/>
  <c r="AH21" i="40"/>
  <c r="AN20" i="40"/>
  <c r="AM21" i="40"/>
  <c r="AN21" i="40" s="1"/>
  <c r="AP25" i="40"/>
  <c r="AQ24" i="40"/>
  <c r="CG15" i="48"/>
  <c r="BS15" i="48"/>
  <c r="CC15" i="48"/>
  <c r="CS15" i="48"/>
  <c r="BQ23" i="48"/>
  <c r="CD15" i="48"/>
  <c r="CO23" i="48"/>
  <c r="CI15" i="48"/>
  <c r="BR15" i="48"/>
  <c r="BV15" i="48"/>
  <c r="BW23" i="48"/>
  <c r="CP15" i="48"/>
  <c r="BZ15" i="48"/>
  <c r="AN15" i="48"/>
  <c r="AU15" i="48"/>
  <c r="R15" i="48"/>
  <c r="AW23" i="48"/>
  <c r="AV23" i="48"/>
  <c r="BC15" i="48"/>
  <c r="AZ23" i="48"/>
  <c r="AQ15" i="48"/>
  <c r="AZ15" i="48"/>
  <c r="BE23" i="48"/>
  <c r="AU23" i="48"/>
  <c r="AP23" i="48"/>
  <c r="AR23" i="48"/>
  <c r="AX23" i="48"/>
  <c r="AN23" i="48"/>
  <c r="BD15" i="48"/>
  <c r="BI23" i="48"/>
  <c r="BA23" i="48"/>
  <c r="AT15" i="48"/>
  <c r="BB23" i="48"/>
  <c r="BH23" i="48"/>
  <c r="BE15" i="48"/>
  <c r="AX15" i="48"/>
  <c r="BJ23" i="48"/>
  <c r="AP15" i="48"/>
  <c r="BI15" i="48"/>
  <c r="AS15" i="48"/>
  <c r="BH15" i="48"/>
  <c r="BA15" i="48"/>
  <c r="BD23" i="48"/>
  <c r="AY23" i="48"/>
  <c r="V15" i="48"/>
  <c r="BF15" i="48"/>
  <c r="AR15" i="48"/>
  <c r="AQ23" i="48"/>
  <c r="AO23" i="48"/>
  <c r="BB15" i="48"/>
  <c r="BG15" i="48"/>
  <c r="BF23" i="48"/>
  <c r="AY15" i="48"/>
  <c r="AT23" i="48"/>
  <c r="BJ15" i="48"/>
  <c r="BC23" i="48"/>
  <c r="AO15" i="48"/>
  <c r="AW15" i="48"/>
  <c r="AV15" i="48"/>
  <c r="AS23" i="48"/>
  <c r="BG23" i="48"/>
  <c r="Q15" i="48"/>
  <c r="AK15" i="48"/>
  <c r="S15" i="48"/>
  <c r="Z15" i="48"/>
  <c r="AI15" i="48"/>
  <c r="AK23" i="48"/>
  <c r="AM15" i="48"/>
  <c r="AJ23" i="48"/>
  <c r="AJ15" i="48"/>
  <c r="Y23" i="48"/>
  <c r="AC15" i="48"/>
  <c r="P15" i="48"/>
  <c r="AH23" i="48"/>
  <c r="AF23" i="48"/>
  <c r="X15" i="48"/>
  <c r="AG15" i="48"/>
  <c r="N15" i="48"/>
  <c r="W15" i="48"/>
  <c r="AE23" i="48"/>
  <c r="T15" i="48"/>
  <c r="S23" i="48"/>
  <c r="AB15" i="48"/>
  <c r="AA23" i="48"/>
  <c r="U23" i="48"/>
  <c r="R23" i="48"/>
  <c r="AF15" i="48"/>
  <c r="AD23" i="48"/>
  <c r="AL15" i="48"/>
  <c r="W23" i="48"/>
  <c r="AI23" i="48"/>
  <c r="AC23" i="48"/>
  <c r="O23" i="48"/>
  <c r="N23" i="48"/>
  <c r="X23" i="48"/>
  <c r="V23" i="48"/>
  <c r="M23" i="48"/>
  <c r="AH15" i="48"/>
  <c r="AG23" i="48"/>
  <c r="AA15" i="48"/>
  <c r="P23" i="48"/>
  <c r="Y15" i="48"/>
  <c r="AD15" i="48"/>
  <c r="Q23" i="48"/>
  <c r="AB23" i="48"/>
  <c r="O15" i="48"/>
  <c r="M15" i="48"/>
  <c r="AM23" i="48"/>
  <c r="Z23" i="48"/>
  <c r="AL23" i="48"/>
  <c r="AE15" i="48"/>
  <c r="T23" i="48"/>
  <c r="U15" i="48"/>
  <c r="DB18" i="38" l="1"/>
  <c r="DC18" i="38"/>
  <c r="DD18" i="38"/>
  <c r="DE17" i="38"/>
  <c r="AP26" i="40"/>
  <c r="AQ25" i="40"/>
  <c r="AF23" i="40"/>
  <c r="AH22" i="40"/>
  <c r="AM22" i="40"/>
  <c r="AN22" i="40" s="1"/>
  <c r="DB19" i="38" l="1"/>
  <c r="DE18" i="38"/>
  <c r="AF24" i="40"/>
  <c r="AH23" i="40"/>
  <c r="AP27" i="40"/>
  <c r="AQ26" i="40"/>
  <c r="AM23" i="40"/>
  <c r="AN23" i="40" s="1"/>
  <c r="DB20" i="38" l="1"/>
  <c r="DD20" i="38"/>
  <c r="DC20" i="38"/>
  <c r="DC19" i="38"/>
  <c r="DE19" i="38"/>
  <c r="DD19" i="38"/>
  <c r="AQ27" i="40"/>
  <c r="AP28" i="40"/>
  <c r="AH24" i="40"/>
  <c r="AF25" i="40"/>
  <c r="AM24" i="40"/>
  <c r="AN24" i="40" s="1"/>
  <c r="DB21" i="38" l="1"/>
  <c r="DE20" i="38"/>
  <c r="AH25" i="40"/>
  <c r="AF26" i="40"/>
  <c r="AM26" i="40"/>
  <c r="AM25" i="40"/>
  <c r="AN25" i="40" s="1"/>
  <c r="AP29" i="40"/>
  <c r="AQ28" i="40"/>
  <c r="DB22" i="38" l="1"/>
  <c r="DD22" i="38"/>
  <c r="DE21" i="38"/>
  <c r="DD21" i="38"/>
  <c r="DC21" i="38"/>
  <c r="DC22" i="38"/>
  <c r="AP30" i="40"/>
  <c r="AQ29" i="40"/>
  <c r="AF27" i="40"/>
  <c r="AH26" i="40"/>
  <c r="AN26" i="40" s="1"/>
  <c r="DB23" i="38" l="1"/>
  <c r="DE22" i="38"/>
  <c r="AF28" i="40"/>
  <c r="AH27" i="40"/>
  <c r="AM27" i="40"/>
  <c r="AN27" i="40" s="1"/>
  <c r="AM28" i="40"/>
  <c r="AP31" i="40"/>
  <c r="AQ30" i="40"/>
  <c r="DB24" i="38" l="1"/>
  <c r="DD23" i="38"/>
  <c r="DC23" i="38"/>
  <c r="DE23" i="38"/>
  <c r="AP32" i="40"/>
  <c r="AQ31" i="40"/>
  <c r="AF29" i="40"/>
  <c r="AH28" i="40"/>
  <c r="AN28" i="40" s="1"/>
  <c r="DB25" i="38" l="1"/>
  <c r="DE24" i="38"/>
  <c r="DC24" i="38"/>
  <c r="DD24" i="38"/>
  <c r="DE25" i="38"/>
  <c r="AH29" i="40"/>
  <c r="AF30" i="40"/>
  <c r="AM29" i="40"/>
  <c r="AN29" i="40" s="1"/>
  <c r="AQ32" i="40"/>
  <c r="AP33" i="40"/>
  <c r="DB26" i="38" l="1"/>
  <c r="DC25" i="38"/>
  <c r="DD25" i="38"/>
  <c r="AH30" i="40"/>
  <c r="AF31" i="40"/>
  <c r="AM30" i="40"/>
  <c r="AN30" i="40" s="1"/>
  <c r="AQ33" i="40"/>
  <c r="AP34" i="40"/>
  <c r="DB27" i="38" l="1"/>
  <c r="DC26" i="38"/>
  <c r="DD26" i="38"/>
  <c r="DE26" i="38"/>
  <c r="AP35" i="40"/>
  <c r="AQ34" i="40"/>
  <c r="AF32" i="40"/>
  <c r="AH31" i="40"/>
  <c r="AM31" i="40"/>
  <c r="AN31" i="40" s="1"/>
  <c r="DB28" i="38" l="1"/>
  <c r="DE27" i="38"/>
  <c r="DD27" i="38"/>
  <c r="DC27" i="38"/>
  <c r="AF33" i="40"/>
  <c r="AH32" i="40"/>
  <c r="AM32" i="40"/>
  <c r="AN32" i="40" s="1"/>
  <c r="AP36" i="40"/>
  <c r="AQ35" i="40"/>
  <c r="DB29" i="38" l="1"/>
  <c r="DE28" i="38"/>
  <c r="DD28" i="38"/>
  <c r="DC28" i="38"/>
  <c r="AP37" i="40"/>
  <c r="AQ36" i="40"/>
  <c r="AF34" i="40"/>
  <c r="AH33" i="40"/>
  <c r="AM33" i="40"/>
  <c r="AN33" i="40" s="1"/>
  <c r="DB30" i="38" l="1"/>
  <c r="DC29" i="38"/>
  <c r="DD29" i="38"/>
  <c r="DE29" i="38"/>
  <c r="AF35" i="40"/>
  <c r="AH34" i="40"/>
  <c r="AM34" i="40"/>
  <c r="AN34" i="40" s="1"/>
  <c r="AP38" i="40"/>
  <c r="AQ37" i="40"/>
  <c r="DB31" i="38" l="1"/>
  <c r="DC30" i="38"/>
  <c r="DD30" i="38"/>
  <c r="DE30" i="38"/>
  <c r="AQ38" i="40"/>
  <c r="AP39" i="40"/>
  <c r="AH35" i="40"/>
  <c r="AF36" i="40"/>
  <c r="AM35" i="40"/>
  <c r="DB32" i="38" l="1"/>
  <c r="DE31" i="38"/>
  <c r="DD31" i="38"/>
  <c r="DC31" i="38"/>
  <c r="AN35" i="40"/>
  <c r="AF37" i="40"/>
  <c r="AH36" i="40"/>
  <c r="AM36" i="40"/>
  <c r="AN36" i="40" s="1"/>
  <c r="AP40" i="40"/>
  <c r="AQ39" i="40"/>
  <c r="DB33" i="38" l="1"/>
  <c r="DE32" i="38"/>
  <c r="DD32" i="38"/>
  <c r="DC32" i="38"/>
  <c r="AP41" i="40"/>
  <c r="AQ40" i="40"/>
  <c r="AF38" i="40"/>
  <c r="AH37" i="40"/>
  <c r="AM37" i="40"/>
  <c r="AN37" i="40" s="1"/>
  <c r="DB34" i="38" l="1"/>
  <c r="DD33" i="38"/>
  <c r="DC33" i="38"/>
  <c r="DE33" i="38"/>
  <c r="AF39" i="40"/>
  <c r="AH38" i="40"/>
  <c r="AM38" i="40"/>
  <c r="AN38" i="40" s="1"/>
  <c r="AP42" i="40"/>
  <c r="AQ41" i="40"/>
  <c r="DB35" i="38" l="1"/>
  <c r="DC34" i="38"/>
  <c r="DD34" i="38"/>
  <c r="DE34" i="38"/>
  <c r="AP43" i="40"/>
  <c r="AQ42" i="40"/>
  <c r="AF40" i="40"/>
  <c r="AH39" i="40"/>
  <c r="AM39" i="40"/>
  <c r="AN39" i="40" s="1"/>
  <c r="DB36" i="38" l="1"/>
  <c r="DD35" i="38"/>
  <c r="DC35" i="38"/>
  <c r="DE35" i="38"/>
  <c r="AH40" i="40"/>
  <c r="AF41" i="40"/>
  <c r="AM40" i="40"/>
  <c r="AN40" i="40" s="1"/>
  <c r="AQ43" i="40"/>
  <c r="AP44" i="40"/>
  <c r="DB37" i="38" l="1"/>
  <c r="DC36" i="38"/>
  <c r="DE36" i="38"/>
  <c r="DD36" i="38"/>
  <c r="AP45" i="40"/>
  <c r="AQ44" i="40"/>
  <c r="AH41" i="40"/>
  <c r="AF42" i="40"/>
  <c r="AM41" i="40"/>
  <c r="AN41" i="40" s="1"/>
  <c r="DB38" i="38" l="1"/>
  <c r="DC37" i="38"/>
  <c r="DE37" i="38"/>
  <c r="DD37" i="38"/>
  <c r="AF43" i="40"/>
  <c r="AH42" i="40"/>
  <c r="AM42" i="40"/>
  <c r="AN42" i="40" s="1"/>
  <c r="AQ45" i="40"/>
  <c r="AP46" i="40"/>
  <c r="DB39" i="38" l="1"/>
  <c r="DE38" i="38"/>
  <c r="DC38" i="38"/>
  <c r="DD38" i="38"/>
  <c r="AP47" i="40"/>
  <c r="AQ46" i="40"/>
  <c r="AF44" i="40"/>
  <c r="AH43" i="40"/>
  <c r="AM43" i="40"/>
  <c r="AN43" i="40" s="1"/>
  <c r="DB40" i="38" l="1"/>
  <c r="DD39" i="38"/>
  <c r="DC39" i="38"/>
  <c r="DE39" i="38"/>
  <c r="AF45" i="40"/>
  <c r="AH44" i="40"/>
  <c r="AM44" i="40"/>
  <c r="AN44" i="40" s="1"/>
  <c r="AP48" i="40"/>
  <c r="AQ47" i="40"/>
  <c r="DB41" i="38" l="1"/>
  <c r="DC40" i="38"/>
  <c r="DD40" i="38"/>
  <c r="DE40" i="38"/>
  <c r="AQ48" i="40"/>
  <c r="AP49" i="40"/>
  <c r="AH45" i="40"/>
  <c r="AF46" i="40"/>
  <c r="AM45" i="40"/>
  <c r="AN45" i="40" s="1"/>
  <c r="DB42" i="38" l="1"/>
  <c r="DD41" i="38"/>
  <c r="DE41" i="38"/>
  <c r="DC41" i="38"/>
  <c r="AH46" i="40"/>
  <c r="AF47" i="40"/>
  <c r="AM46" i="40"/>
  <c r="AN46" i="40" s="1"/>
  <c r="AQ49" i="40"/>
  <c r="AP50" i="40"/>
  <c r="DB43" i="38" l="1"/>
  <c r="DE42" i="38"/>
  <c r="DC42" i="38"/>
  <c r="DD42" i="38"/>
  <c r="AP51" i="40"/>
  <c r="AQ50" i="40"/>
  <c r="AF48" i="40"/>
  <c r="AH47" i="40"/>
  <c r="AM47" i="40"/>
  <c r="AN47" i="40" s="1"/>
  <c r="DB44" i="38" l="1"/>
  <c r="DD43" i="38"/>
  <c r="DE43" i="38"/>
  <c r="DC43" i="38"/>
  <c r="AF49" i="40"/>
  <c r="AH48" i="40"/>
  <c r="AM48" i="40"/>
  <c r="AN48" i="40" s="1"/>
  <c r="AP52" i="40"/>
  <c r="AQ51" i="40"/>
  <c r="DB45" i="38" l="1"/>
  <c r="DD44" i="38"/>
  <c r="DC44" i="38"/>
  <c r="DE44" i="38"/>
  <c r="AP53" i="40"/>
  <c r="AQ52" i="40"/>
  <c r="AF50" i="40"/>
  <c r="AH49" i="40"/>
  <c r="AM49" i="40"/>
  <c r="AN49" i="40" s="1"/>
  <c r="DB46" i="38" l="1"/>
  <c r="DC45" i="38"/>
  <c r="DD45" i="38"/>
  <c r="DE45" i="38"/>
  <c r="AF51" i="40"/>
  <c r="AH50" i="40"/>
  <c r="AM50" i="40"/>
  <c r="AN50" i="40" s="1"/>
  <c r="AP54" i="40"/>
  <c r="AQ53" i="40"/>
  <c r="DB47" i="38" l="1"/>
  <c r="DD46" i="38"/>
  <c r="DC46" i="38"/>
  <c r="DE46" i="38"/>
  <c r="AQ54" i="40"/>
  <c r="AP55" i="40"/>
  <c r="AH51" i="40"/>
  <c r="AF52" i="40"/>
  <c r="AM51" i="40"/>
  <c r="AN51" i="40" s="1"/>
  <c r="DB48" i="38" l="1"/>
  <c r="DE47" i="38"/>
  <c r="DD47" i="38"/>
  <c r="DC47" i="38"/>
  <c r="AF53" i="40"/>
  <c r="AH52" i="40"/>
  <c r="AM52" i="40"/>
  <c r="AN52" i="40" s="1"/>
  <c r="AP56" i="40"/>
  <c r="AQ55" i="40"/>
  <c r="DB49" i="38" l="1"/>
  <c r="DC48" i="38"/>
  <c r="DD48" i="38"/>
  <c r="DE48" i="38"/>
  <c r="AP57" i="40"/>
  <c r="AQ56" i="40"/>
  <c r="AF54" i="40"/>
  <c r="AH53" i="40"/>
  <c r="AM53" i="40"/>
  <c r="AN53" i="40" s="1"/>
  <c r="DB50" i="38" l="1"/>
  <c r="DD49" i="38"/>
  <c r="DE49" i="38"/>
  <c r="DC49" i="38"/>
  <c r="AF55" i="40"/>
  <c r="AH54" i="40"/>
  <c r="AM54" i="40"/>
  <c r="AN54" i="40" s="1"/>
  <c r="AP58" i="40"/>
  <c r="AQ57" i="40"/>
  <c r="DB51" i="38" l="1"/>
  <c r="DC50" i="38"/>
  <c r="DE50" i="38"/>
  <c r="DD50" i="38"/>
  <c r="AP59" i="40"/>
  <c r="AQ58" i="40"/>
  <c r="AF56" i="40"/>
  <c r="AH55" i="40"/>
  <c r="AM55" i="40"/>
  <c r="AN55" i="40" s="1"/>
  <c r="DB52" i="38" l="1"/>
  <c r="DD51" i="38"/>
  <c r="DE51" i="38"/>
  <c r="DC51" i="38"/>
  <c r="AH56" i="40"/>
  <c r="AF57" i="40"/>
  <c r="AM56" i="40"/>
  <c r="AN56" i="40" s="1"/>
  <c r="AQ59" i="40"/>
  <c r="AP60" i="40"/>
  <c r="DB53" i="38" l="1"/>
  <c r="DD52" i="38"/>
  <c r="DC52" i="38"/>
  <c r="DE52" i="38"/>
  <c r="AP61" i="40"/>
  <c r="AQ60" i="40"/>
  <c r="AH57" i="40"/>
  <c r="AF58" i="40"/>
  <c r="AM57" i="40"/>
  <c r="AN57" i="40" s="1"/>
  <c r="DB54" i="38" l="1"/>
  <c r="DD53" i="38"/>
  <c r="DC53" i="38"/>
  <c r="DE53" i="38"/>
  <c r="AF59" i="40"/>
  <c r="AH58" i="40"/>
  <c r="AM58" i="40"/>
  <c r="AN58" i="40" s="1"/>
  <c r="AP62" i="40"/>
  <c r="AQ61" i="40"/>
  <c r="DB55" i="38" l="1"/>
  <c r="DC54" i="38"/>
  <c r="DD54" i="38"/>
  <c r="DE54" i="38"/>
  <c r="AP63" i="40"/>
  <c r="AQ62" i="40"/>
  <c r="AF60" i="40"/>
  <c r="AH59" i="40"/>
  <c r="AM59" i="40"/>
  <c r="AN59" i="40" s="1"/>
  <c r="DB56" i="38" l="1"/>
  <c r="DE55" i="38"/>
  <c r="DD55" i="38"/>
  <c r="DC55" i="38"/>
  <c r="AF61" i="40"/>
  <c r="AH60" i="40"/>
  <c r="AM60" i="40"/>
  <c r="AN60" i="40" s="1"/>
  <c r="AP64" i="40"/>
  <c r="AQ63" i="40"/>
  <c r="DB57" i="38" l="1"/>
  <c r="DD56" i="38"/>
  <c r="DE56" i="38"/>
  <c r="DC56" i="38"/>
  <c r="AP65" i="40"/>
  <c r="AQ64" i="40"/>
  <c r="AH61" i="40"/>
  <c r="AF62" i="40"/>
  <c r="AM61" i="40"/>
  <c r="AN61" i="40" s="1"/>
  <c r="DB58" i="38" l="1"/>
  <c r="DD57" i="38"/>
  <c r="DC57" i="38"/>
  <c r="DE57" i="38"/>
  <c r="AH62" i="40"/>
  <c r="AF63" i="40"/>
  <c r="AM62" i="40"/>
  <c r="AN62" i="40" s="1"/>
  <c r="AQ65" i="40"/>
  <c r="AP66" i="40"/>
  <c r="DB59" i="38" l="1"/>
  <c r="DC58" i="38"/>
  <c r="DD58" i="38"/>
  <c r="DE58" i="38"/>
  <c r="AP67" i="40"/>
  <c r="AQ66" i="40"/>
  <c r="AF64" i="40"/>
  <c r="AH63" i="40"/>
  <c r="AM63" i="40"/>
  <c r="AN63" i="40" s="1"/>
  <c r="DB60" i="38" l="1"/>
  <c r="DD59" i="38"/>
  <c r="DE59" i="38"/>
  <c r="DC59" i="38"/>
  <c r="AF65" i="40"/>
  <c r="AH64" i="40"/>
  <c r="AM64" i="40"/>
  <c r="AN64" i="40" s="1"/>
  <c r="AP68" i="40"/>
  <c r="AQ67" i="40"/>
  <c r="DB61" i="38" l="1"/>
  <c r="DE60" i="38"/>
  <c r="DD60" i="38"/>
  <c r="DC60" i="38"/>
  <c r="AP69" i="40"/>
  <c r="AQ68" i="40"/>
  <c r="AF66" i="40"/>
  <c r="AH65" i="40"/>
  <c r="AM65" i="40"/>
  <c r="AN65" i="40" s="1"/>
  <c r="DB62" i="38" l="1"/>
  <c r="DD61" i="38"/>
  <c r="DE61" i="38"/>
  <c r="DC61" i="38"/>
  <c r="AF67" i="40"/>
  <c r="AH66" i="40"/>
  <c r="AM66" i="40"/>
  <c r="AN66" i="40" s="1"/>
  <c r="AP70" i="40"/>
  <c r="AQ69" i="40"/>
  <c r="DB63" i="38" l="1"/>
  <c r="DE62" i="38"/>
  <c r="DC62" i="38"/>
  <c r="DD62" i="38"/>
  <c r="AQ70" i="40"/>
  <c r="AP71" i="40"/>
  <c r="AH67" i="40"/>
  <c r="AF68" i="40"/>
  <c r="AM67" i="40"/>
  <c r="AN67" i="40" s="1"/>
  <c r="DB64" i="38" l="1"/>
  <c r="DC63" i="38"/>
  <c r="DD63" i="38"/>
  <c r="DE63" i="38"/>
  <c r="AF69" i="40"/>
  <c r="AH68" i="40"/>
  <c r="AM68" i="40"/>
  <c r="AN68" i="40" s="1"/>
  <c r="AP72" i="40"/>
  <c r="AQ71" i="40"/>
  <c r="DB65" i="38" l="1"/>
  <c r="DD64" i="38"/>
  <c r="DE64" i="38"/>
  <c r="DC64" i="38"/>
  <c r="AP73" i="40"/>
  <c r="AQ72" i="40"/>
  <c r="AF70" i="40"/>
  <c r="AH69" i="40"/>
  <c r="AM69" i="40"/>
  <c r="AN69" i="40" s="1"/>
  <c r="DB66" i="38" l="1"/>
  <c r="DD65" i="38"/>
  <c r="DC65" i="38"/>
  <c r="DE65" i="38"/>
  <c r="AF71" i="40"/>
  <c r="AH70" i="40"/>
  <c r="AM70" i="40"/>
  <c r="AN70" i="40" s="1"/>
  <c r="AP74" i="40"/>
  <c r="AQ73" i="40"/>
  <c r="DB67" i="38" l="1"/>
  <c r="DC66" i="38"/>
  <c r="DE66" i="38"/>
  <c r="DD66" i="38"/>
  <c r="AP75" i="40"/>
  <c r="AQ74" i="40"/>
  <c r="AF72" i="40"/>
  <c r="AH71" i="40"/>
  <c r="AM71" i="40"/>
  <c r="AN71" i="40" s="1"/>
  <c r="DB68" i="38" l="1"/>
  <c r="DE67" i="38"/>
  <c r="DD67" i="38"/>
  <c r="DC67" i="38"/>
  <c r="AH72" i="40"/>
  <c r="AF73" i="40"/>
  <c r="AM72" i="40"/>
  <c r="AN72" i="40" s="1"/>
  <c r="AQ75" i="40"/>
  <c r="AP76" i="40"/>
  <c r="DB69" i="38" l="1"/>
  <c r="DE68" i="38"/>
  <c r="DC68" i="38"/>
  <c r="DD68" i="38"/>
  <c r="AH73" i="40"/>
  <c r="AF74" i="40"/>
  <c r="AM73" i="40"/>
  <c r="AN73" i="40" s="1"/>
  <c r="AP77" i="40"/>
  <c r="AQ76" i="40"/>
  <c r="DB70" i="38" l="1"/>
  <c r="DD69" i="38"/>
  <c r="DC69" i="38"/>
  <c r="DE69" i="38"/>
  <c r="AQ77" i="40"/>
  <c r="AP78" i="40"/>
  <c r="AF75" i="40"/>
  <c r="AH74" i="40"/>
  <c r="AM74" i="40"/>
  <c r="AN74" i="40" s="1"/>
  <c r="DB71" i="38" l="1"/>
  <c r="DC70" i="38"/>
  <c r="DE70" i="38"/>
  <c r="DD70" i="38"/>
  <c r="AF76" i="40"/>
  <c r="AH75" i="40"/>
  <c r="AM75" i="40"/>
  <c r="AN75" i="40" s="1"/>
  <c r="AP79" i="40"/>
  <c r="AQ78" i="40"/>
  <c r="DB72" i="38" l="1"/>
  <c r="DE71" i="38"/>
  <c r="DD71" i="38"/>
  <c r="DC71" i="38"/>
  <c r="AP80" i="40"/>
  <c r="AQ79" i="40"/>
  <c r="AF77" i="40"/>
  <c r="AH76" i="40"/>
  <c r="AM76" i="40"/>
  <c r="AN76" i="40" s="1"/>
  <c r="DB73" i="38" l="1"/>
  <c r="DD72" i="38"/>
  <c r="DE72" i="38"/>
  <c r="DC72" i="38"/>
  <c r="AH77" i="40"/>
  <c r="AF78" i="40"/>
  <c r="AM77" i="40"/>
  <c r="AN77" i="40" s="1"/>
  <c r="AQ80" i="40"/>
  <c r="AP81" i="40"/>
  <c r="DB74" i="38" l="1"/>
  <c r="DD73" i="38"/>
  <c r="DE73" i="38"/>
  <c r="DC73" i="38"/>
  <c r="AQ81" i="40"/>
  <c r="AP82" i="40"/>
  <c r="AH78" i="40"/>
  <c r="AF79" i="40"/>
  <c r="AM78" i="40"/>
  <c r="AN78" i="40" s="1"/>
  <c r="DB75" i="38" l="1"/>
  <c r="DE74" i="38"/>
  <c r="DC74" i="38"/>
  <c r="DD74" i="38"/>
  <c r="AF80" i="40"/>
  <c r="AH79" i="40"/>
  <c r="AM79" i="40"/>
  <c r="AN79" i="40" s="1"/>
  <c r="AP83" i="40"/>
  <c r="AQ82" i="40"/>
  <c r="DB76" i="38" l="1"/>
  <c r="DD75" i="38"/>
  <c r="DE75" i="38"/>
  <c r="DC75" i="38"/>
  <c r="AP84" i="40"/>
  <c r="AQ83" i="40"/>
  <c r="AF81" i="40"/>
  <c r="AH80" i="40"/>
  <c r="AM80" i="40"/>
  <c r="AN80" i="40" s="1"/>
  <c r="DB77" i="38" l="1"/>
  <c r="DC76" i="38"/>
  <c r="DE76" i="38"/>
  <c r="DD76" i="38"/>
  <c r="AF82" i="40"/>
  <c r="AH81" i="40"/>
  <c r="AM81" i="40"/>
  <c r="AN81" i="40" s="1"/>
  <c r="AP85" i="40"/>
  <c r="AQ84" i="40"/>
  <c r="DB78" i="38" l="1"/>
  <c r="DD77" i="38"/>
  <c r="DC77" i="38"/>
  <c r="DE77" i="38"/>
  <c r="AP86" i="40"/>
  <c r="AQ85" i="40"/>
  <c r="AF83" i="40"/>
  <c r="AH82" i="40"/>
  <c r="AM82" i="40"/>
  <c r="AN82" i="40" s="1"/>
  <c r="DB79" i="38" l="1"/>
  <c r="DE78" i="38"/>
  <c r="DD78" i="38"/>
  <c r="DC78" i="38"/>
  <c r="AH83" i="40"/>
  <c r="AF84" i="40"/>
  <c r="AM83" i="40"/>
  <c r="AN83" i="40" s="1"/>
  <c r="AQ86" i="40"/>
  <c r="AP87" i="40"/>
  <c r="DB80" i="38" l="1"/>
  <c r="DE79" i="38"/>
  <c r="DD79" i="38"/>
  <c r="DC79" i="38"/>
  <c r="AP88" i="40"/>
  <c r="AQ87" i="40"/>
  <c r="AF85" i="40"/>
  <c r="AH84" i="40"/>
  <c r="AM84" i="40"/>
  <c r="AN84" i="40" s="1"/>
  <c r="DB81" i="38" l="1"/>
  <c r="DC80" i="38"/>
  <c r="DE80" i="38"/>
  <c r="DD80" i="38"/>
  <c r="AF86" i="40"/>
  <c r="AH85" i="40"/>
  <c r="AM85" i="40"/>
  <c r="AN85" i="40" s="1"/>
  <c r="AP89" i="40"/>
  <c r="AQ88" i="40"/>
  <c r="DB82" i="38" l="1"/>
  <c r="DD81" i="38"/>
  <c r="DE81" i="38"/>
  <c r="DC81" i="38"/>
  <c r="AP90" i="40"/>
  <c r="AQ89" i="40"/>
  <c r="AF87" i="40"/>
  <c r="AH86" i="40"/>
  <c r="AM86" i="40"/>
  <c r="AN86" i="40" s="1"/>
  <c r="DB83" i="38" l="1"/>
  <c r="DC82" i="38"/>
  <c r="DD82" i="38"/>
  <c r="DE82" i="38"/>
  <c r="AF88" i="40"/>
  <c r="AH87" i="40"/>
  <c r="AM87" i="40"/>
  <c r="AN87" i="40" s="1"/>
  <c r="AP91" i="40"/>
  <c r="AQ90" i="40"/>
  <c r="DB84" i="38" l="1"/>
  <c r="DD83" i="38"/>
  <c r="DE83" i="38"/>
  <c r="DC83" i="38"/>
  <c r="AQ91" i="40"/>
  <c r="AP92" i="40"/>
  <c r="AH88" i="40"/>
  <c r="AF89" i="40"/>
  <c r="AM88" i="40"/>
  <c r="AN88" i="40" s="1"/>
  <c r="DB85" i="38" l="1"/>
  <c r="DE84" i="38"/>
  <c r="DD84" i="38"/>
  <c r="DC84" i="38"/>
  <c r="AH89" i="40"/>
  <c r="AF90" i="40"/>
  <c r="AM89" i="40"/>
  <c r="AN89" i="40" s="1"/>
  <c r="AP93" i="40"/>
  <c r="AQ92" i="40"/>
  <c r="DB86" i="38" l="1"/>
  <c r="DC85" i="38"/>
  <c r="DD85" i="38"/>
  <c r="DE85" i="38"/>
  <c r="AP94" i="40"/>
  <c r="AQ93" i="40"/>
  <c r="AF91" i="40"/>
  <c r="AH90" i="40"/>
  <c r="AM90" i="40"/>
  <c r="AN90" i="40" s="1"/>
  <c r="DB87" i="38" l="1"/>
  <c r="DC86" i="38"/>
  <c r="DD86" i="38"/>
  <c r="DE86" i="38"/>
  <c r="AF92" i="40"/>
  <c r="AH91" i="40"/>
  <c r="AM91" i="40"/>
  <c r="AN91" i="40" s="1"/>
  <c r="AP95" i="40"/>
  <c r="AQ94" i="40"/>
  <c r="DB88" i="38" l="1"/>
  <c r="DE87" i="38"/>
  <c r="DD87" i="38"/>
  <c r="DC87" i="38"/>
  <c r="AP96" i="40"/>
  <c r="AQ95" i="40"/>
  <c r="AF93" i="40"/>
  <c r="AH92" i="40"/>
  <c r="AM92" i="40"/>
  <c r="AN92" i="40" s="1"/>
  <c r="DB89" i="38" l="1"/>
  <c r="DC88" i="38"/>
  <c r="DD88" i="38"/>
  <c r="DE88" i="38"/>
  <c r="AH93" i="40"/>
  <c r="AF94" i="40"/>
  <c r="AM93" i="40"/>
  <c r="AN93" i="40" s="1"/>
  <c r="AQ96" i="40"/>
  <c r="AP97" i="40"/>
  <c r="DB90" i="38" l="1"/>
  <c r="DD89" i="38"/>
  <c r="DE89" i="38"/>
  <c r="DC89" i="38"/>
  <c r="AQ97" i="40"/>
  <c r="AP98" i="40"/>
  <c r="AH94" i="40"/>
  <c r="AF95" i="40"/>
  <c r="AM94" i="40"/>
  <c r="AN94" i="40" s="1"/>
  <c r="DB91" i="38" l="1"/>
  <c r="DC90" i="38"/>
  <c r="DE90" i="38"/>
  <c r="DD90" i="38"/>
  <c r="AF96" i="40"/>
  <c r="AH95" i="40"/>
  <c r="AM95" i="40"/>
  <c r="AN95" i="40" s="1"/>
  <c r="AP99" i="40"/>
  <c r="AQ98" i="40"/>
  <c r="DB92" i="38" l="1"/>
  <c r="DD91" i="38"/>
  <c r="DE91" i="38"/>
  <c r="DC91" i="38"/>
  <c r="AP100" i="40"/>
  <c r="AQ99" i="40"/>
  <c r="AF97" i="40"/>
  <c r="AH96" i="40"/>
  <c r="AM96" i="40"/>
  <c r="AN96" i="40" s="1"/>
  <c r="DB93" i="38" l="1"/>
  <c r="DE92" i="38"/>
  <c r="DC92" i="38"/>
  <c r="DD92" i="38"/>
  <c r="AF98" i="40"/>
  <c r="AH97" i="40"/>
  <c r="AM97" i="40"/>
  <c r="AN97" i="40" s="1"/>
  <c r="AP101" i="40"/>
  <c r="AQ100" i="40"/>
  <c r="DB94" i="38" l="1"/>
  <c r="DD93" i="38"/>
  <c r="DE93" i="38"/>
  <c r="DC93" i="38"/>
  <c r="AP102" i="40"/>
  <c r="AQ101" i="40"/>
  <c r="AF99" i="40"/>
  <c r="AH98" i="40"/>
  <c r="AM98" i="40"/>
  <c r="AN98" i="40" s="1"/>
  <c r="DB95" i="38" l="1"/>
  <c r="DC94" i="38"/>
  <c r="DE94" i="38"/>
  <c r="DD94" i="38"/>
  <c r="AH99" i="40"/>
  <c r="AF100" i="40"/>
  <c r="AM99" i="40"/>
  <c r="AN99" i="40" s="1"/>
  <c r="AQ102" i="40"/>
  <c r="AP103" i="40"/>
  <c r="DB96" i="38" l="1"/>
  <c r="DE95" i="38"/>
  <c r="DD95" i="38"/>
  <c r="DC95" i="38"/>
  <c r="AP104" i="40"/>
  <c r="AQ103" i="40"/>
  <c r="AF101" i="40"/>
  <c r="AH100" i="40"/>
  <c r="AM100" i="40"/>
  <c r="AN100" i="40" s="1"/>
  <c r="DB97" i="38" l="1"/>
  <c r="DE96" i="38"/>
  <c r="DC96" i="38"/>
  <c r="DD96" i="38"/>
  <c r="AF102" i="40"/>
  <c r="AH101" i="40"/>
  <c r="AM101" i="40"/>
  <c r="AN101" i="40" s="1"/>
  <c r="AP105" i="40"/>
  <c r="AQ104" i="40"/>
  <c r="DB98" i="38" l="1"/>
  <c r="DD97" i="38"/>
  <c r="DC97" i="38"/>
  <c r="DE97" i="38"/>
  <c r="AQ105" i="40"/>
  <c r="AP106" i="40"/>
  <c r="AH102" i="40"/>
  <c r="AF103" i="40"/>
  <c r="AM102" i="40"/>
  <c r="AN102" i="40" s="1"/>
  <c r="DB99" i="38" l="1"/>
  <c r="DD98" i="38"/>
  <c r="DE98" i="38"/>
  <c r="DC98" i="38"/>
  <c r="AP107" i="40"/>
  <c r="AQ106" i="40"/>
  <c r="AF104" i="40"/>
  <c r="AH103" i="40"/>
  <c r="AM103" i="40"/>
  <c r="AN103" i="40" s="1"/>
  <c r="DB100" i="38" l="1"/>
  <c r="DD99" i="38"/>
  <c r="DE99" i="38"/>
  <c r="DC99" i="38"/>
  <c r="AH104" i="40"/>
  <c r="AF105" i="40"/>
  <c r="AM104" i="40"/>
  <c r="AN104" i="40" s="1"/>
  <c r="AQ107" i="40"/>
  <c r="AP108" i="40"/>
  <c r="AQ108" i="40" s="1"/>
  <c r="DB101" i="38" l="1"/>
  <c r="DE100" i="38"/>
  <c r="DC100" i="38"/>
  <c r="DD100" i="38"/>
  <c r="AH105" i="40"/>
  <c r="AF106" i="40"/>
  <c r="AM105" i="40"/>
  <c r="AN105" i="40" s="1"/>
  <c r="DB102" i="38" l="1"/>
  <c r="DD101" i="38"/>
  <c r="DE101" i="38"/>
  <c r="DC101" i="38"/>
  <c r="AF107" i="40"/>
  <c r="AH106" i="40"/>
  <c r="AM106" i="40"/>
  <c r="AN106" i="40" s="1"/>
  <c r="DB103" i="38" l="1"/>
  <c r="DC102" i="38"/>
  <c r="DE102" i="38"/>
  <c r="DD102" i="38"/>
  <c r="AF108" i="40"/>
  <c r="AH107" i="40"/>
  <c r="AM107" i="40"/>
  <c r="AN107" i="40" s="1"/>
  <c r="DD103" i="38" l="1"/>
  <c r="DE103" i="38"/>
  <c r="DC103" i="38"/>
  <c r="AH108" i="40"/>
  <c r="AM108" i="40"/>
  <c r="AN108" i="40" s="1"/>
  <c r="M40" i="38" l="1"/>
  <c r="U130" i="49"/>
  <c r="V130" i="49"/>
  <c r="W130" i="49"/>
  <c r="X130" i="49"/>
  <c r="Y130" i="49"/>
  <c r="Z130" i="49"/>
  <c r="AA130" i="49"/>
  <c r="AB130" i="49"/>
  <c r="AC130" i="49"/>
  <c r="AK130" i="49"/>
  <c r="AL130" i="49"/>
  <c r="AM130" i="49"/>
  <c r="AN130" i="49"/>
  <c r="AO130" i="49"/>
  <c r="AP130" i="49"/>
  <c r="AQ130" i="49"/>
  <c r="AR130" i="49"/>
  <c r="AS130" i="49"/>
  <c r="BA130" i="49"/>
  <c r="BB130" i="49"/>
  <c r="BC130" i="49"/>
  <c r="BD130" i="49"/>
  <c r="BE130" i="49"/>
  <c r="BF130" i="49"/>
  <c r="BG130" i="49"/>
  <c r="BH130" i="49"/>
  <c r="BI130" i="49"/>
  <c r="BQ130" i="49"/>
  <c r="BR130" i="49"/>
  <c r="BS130" i="49"/>
  <c r="BT130" i="49"/>
  <c r="BU130" i="49"/>
  <c r="BV130" i="49"/>
  <c r="BW130" i="49"/>
  <c r="BX130" i="49"/>
  <c r="BY130" i="49"/>
  <c r="CG130" i="49"/>
  <c r="CH130" i="49"/>
  <c r="CI130" i="49"/>
  <c r="CJ130" i="49"/>
  <c r="CK130" i="49"/>
  <c r="CL130" i="49"/>
  <c r="CM130" i="49"/>
  <c r="CN130" i="49"/>
  <c r="CO130" i="49"/>
  <c r="CW130" i="49"/>
  <c r="CX130" i="49"/>
  <c r="CY130" i="49"/>
  <c r="CZ130" i="49"/>
  <c r="DA130" i="49"/>
  <c r="P126" i="49"/>
  <c r="P130" i="49" s="1"/>
  <c r="Q126" i="49"/>
  <c r="Q130" i="49" s="1"/>
  <c r="R126" i="49"/>
  <c r="R130" i="49" s="1"/>
  <c r="S126" i="49"/>
  <c r="S130" i="49" s="1"/>
  <c r="T126" i="49"/>
  <c r="T130" i="49" s="1"/>
  <c r="U126" i="49"/>
  <c r="V126" i="49"/>
  <c r="W126" i="49"/>
  <c r="X126" i="49"/>
  <c r="Y126" i="49"/>
  <c r="Z126" i="49"/>
  <c r="AA126" i="49"/>
  <c r="AB126" i="49"/>
  <c r="AC126" i="49"/>
  <c r="AD126" i="49"/>
  <c r="AD130" i="49" s="1"/>
  <c r="AE126" i="49"/>
  <c r="AE130" i="49" s="1"/>
  <c r="AF126" i="49"/>
  <c r="AF130" i="49" s="1"/>
  <c r="AG126" i="49"/>
  <c r="AG130" i="49" s="1"/>
  <c r="AH126" i="49"/>
  <c r="AH130" i="49" s="1"/>
  <c r="AI126" i="49"/>
  <c r="AI130" i="49" s="1"/>
  <c r="AJ126" i="49"/>
  <c r="AJ130" i="49" s="1"/>
  <c r="AK126" i="49"/>
  <c r="AL126" i="49"/>
  <c r="AM126" i="49"/>
  <c r="AN126" i="49"/>
  <c r="AO126" i="49"/>
  <c r="AP126" i="49"/>
  <c r="AQ126" i="49"/>
  <c r="AR126" i="49"/>
  <c r="AS126" i="49"/>
  <c r="AT126" i="49"/>
  <c r="AT130" i="49" s="1"/>
  <c r="AU126" i="49"/>
  <c r="AU130" i="49" s="1"/>
  <c r="AV126" i="49"/>
  <c r="AV130" i="49" s="1"/>
  <c r="AW126" i="49"/>
  <c r="AW130" i="49" s="1"/>
  <c r="AX126" i="49"/>
  <c r="AX130" i="49" s="1"/>
  <c r="AY126" i="49"/>
  <c r="AY130" i="49" s="1"/>
  <c r="AZ126" i="49"/>
  <c r="AZ130" i="49" s="1"/>
  <c r="BA126" i="49"/>
  <c r="BB126" i="49"/>
  <c r="BC126" i="49"/>
  <c r="BD126" i="49"/>
  <c r="BE126" i="49"/>
  <c r="BF126" i="49"/>
  <c r="BG126" i="49"/>
  <c r="BH126" i="49"/>
  <c r="BI126" i="49"/>
  <c r="BJ126" i="49"/>
  <c r="BJ130" i="49" s="1"/>
  <c r="BK126" i="49"/>
  <c r="BK130" i="49" s="1"/>
  <c r="BL126" i="49"/>
  <c r="BL130" i="49" s="1"/>
  <c r="BM126" i="49"/>
  <c r="BM130" i="49" s="1"/>
  <c r="BN126" i="49"/>
  <c r="BN130" i="49" s="1"/>
  <c r="BO126" i="49"/>
  <c r="BO130" i="49" s="1"/>
  <c r="BP126" i="49"/>
  <c r="BP130" i="49" s="1"/>
  <c r="BQ126" i="49"/>
  <c r="BR126" i="49"/>
  <c r="BS126" i="49"/>
  <c r="BT126" i="49"/>
  <c r="BU126" i="49"/>
  <c r="BV126" i="49"/>
  <c r="BW126" i="49"/>
  <c r="BX126" i="49"/>
  <c r="BY126" i="49"/>
  <c r="BZ126" i="49"/>
  <c r="BZ130" i="49" s="1"/>
  <c r="CA126" i="49"/>
  <c r="CA130" i="49" s="1"/>
  <c r="CB126" i="49"/>
  <c r="CB130" i="49" s="1"/>
  <c r="CC126" i="49"/>
  <c r="CC130" i="49" s="1"/>
  <c r="CD126" i="49"/>
  <c r="CD130" i="49" s="1"/>
  <c r="CE126" i="49"/>
  <c r="CE130" i="49" s="1"/>
  <c r="CF126" i="49"/>
  <c r="CF130" i="49" s="1"/>
  <c r="CG126" i="49"/>
  <c r="CH126" i="49"/>
  <c r="CI126" i="49"/>
  <c r="CJ126" i="49"/>
  <c r="CK126" i="49"/>
  <c r="CL126" i="49"/>
  <c r="CM126" i="49"/>
  <c r="CN126" i="49"/>
  <c r="CO126" i="49"/>
  <c r="CP126" i="49"/>
  <c r="CP130" i="49" s="1"/>
  <c r="CQ126" i="49"/>
  <c r="CQ130" i="49" s="1"/>
  <c r="CR126" i="49"/>
  <c r="CR130" i="49" s="1"/>
  <c r="CS126" i="49"/>
  <c r="CS130" i="49" s="1"/>
  <c r="CT126" i="49"/>
  <c r="CT130" i="49" s="1"/>
  <c r="CU126" i="49"/>
  <c r="CU130" i="49" s="1"/>
  <c r="CV126" i="49"/>
  <c r="CV130" i="49" s="1"/>
  <c r="CW126" i="49"/>
  <c r="CX126" i="49"/>
  <c r="CY126" i="49"/>
  <c r="CZ126" i="49"/>
  <c r="DA126" i="49"/>
  <c r="N14" i="50"/>
  <c r="N15" i="50"/>
  <c r="O15" i="50"/>
  <c r="P15" i="50"/>
  <c r="Q15" i="50"/>
  <c r="R15" i="50"/>
  <c r="S15" i="50"/>
  <c r="T15" i="50"/>
  <c r="U15" i="50"/>
  <c r="V15" i="50"/>
  <c r="W15" i="50"/>
  <c r="X15" i="50"/>
  <c r="Y15" i="50"/>
  <c r="Z15" i="50"/>
  <c r="AA15" i="50"/>
  <c r="AB15" i="50"/>
  <c r="AC15" i="50"/>
  <c r="AD15" i="50"/>
  <c r="AE15" i="50"/>
  <c r="AF15" i="50"/>
  <c r="AG15" i="50"/>
  <c r="AH15" i="50"/>
  <c r="AI15" i="50"/>
  <c r="AJ15" i="50"/>
  <c r="AK15" i="50"/>
  <c r="AL15" i="50"/>
  <c r="AM15" i="50"/>
  <c r="AN15" i="50"/>
  <c r="AO15" i="50"/>
  <c r="AP15" i="50"/>
  <c r="AQ15" i="50"/>
  <c r="AR15" i="50"/>
  <c r="AS15" i="50"/>
  <c r="AT15" i="50"/>
  <c r="AU15" i="50"/>
  <c r="AV15" i="50"/>
  <c r="AW15" i="50"/>
  <c r="AX15" i="50"/>
  <c r="AY15" i="50"/>
  <c r="AZ15" i="50"/>
  <c r="BA15" i="50"/>
  <c r="BB15" i="50"/>
  <c r="BC15" i="50"/>
  <c r="BD15" i="50"/>
  <c r="BE15" i="50"/>
  <c r="BF15" i="50"/>
  <c r="BG15" i="50"/>
  <c r="BH15" i="50"/>
  <c r="BI15" i="50"/>
  <c r="BJ15" i="50"/>
  <c r="BK15" i="50"/>
  <c r="BL15" i="50"/>
  <c r="BM15" i="50"/>
  <c r="BN15" i="50"/>
  <c r="BO15" i="50"/>
  <c r="BP15" i="50"/>
  <c r="BQ15" i="50"/>
  <c r="BR15" i="50"/>
  <c r="BS15" i="50"/>
  <c r="BT15" i="50"/>
  <c r="BU15" i="50"/>
  <c r="BV15" i="50"/>
  <c r="BW15" i="50"/>
  <c r="BX15" i="50"/>
  <c r="BY15" i="50"/>
  <c r="BZ15" i="50"/>
  <c r="CA15" i="50"/>
  <c r="CB15" i="50"/>
  <c r="CC15" i="50"/>
  <c r="CD15" i="50"/>
  <c r="CE15" i="50"/>
  <c r="CF15" i="50"/>
  <c r="CG15" i="50"/>
  <c r="CH15" i="50"/>
  <c r="CI15" i="50"/>
  <c r="CJ15" i="50"/>
  <c r="CK15" i="50"/>
  <c r="CL15" i="50"/>
  <c r="CM15" i="50"/>
  <c r="CN15" i="50"/>
  <c r="CO15" i="50"/>
  <c r="CP15" i="50"/>
  <c r="CQ15" i="50"/>
  <c r="CR15" i="50"/>
  <c r="CS15" i="50"/>
  <c r="CT15" i="50"/>
  <c r="CU15" i="50"/>
  <c r="CV15" i="50"/>
  <c r="CW15" i="50"/>
  <c r="CX15" i="50"/>
  <c r="CY15" i="50"/>
  <c r="N17" i="50"/>
  <c r="O17" i="50"/>
  <c r="P17" i="50"/>
  <c r="Q17" i="50"/>
  <c r="R17" i="50"/>
  <c r="S17" i="50"/>
  <c r="T17" i="50"/>
  <c r="U17" i="50"/>
  <c r="V17" i="50"/>
  <c r="W17" i="50"/>
  <c r="X17" i="50"/>
  <c r="Y17" i="50"/>
  <c r="Z17" i="50"/>
  <c r="AA17" i="50"/>
  <c r="AB17" i="50"/>
  <c r="AC17" i="50"/>
  <c r="AD17" i="50"/>
  <c r="AE17" i="50"/>
  <c r="AF17" i="50"/>
  <c r="AG17" i="50"/>
  <c r="AH17" i="50"/>
  <c r="AI17" i="50"/>
  <c r="AJ17" i="50"/>
  <c r="AK17" i="50"/>
  <c r="AL17" i="50"/>
  <c r="AM17" i="50"/>
  <c r="AN17" i="50"/>
  <c r="AO17" i="50"/>
  <c r="AP17" i="50"/>
  <c r="AQ17" i="50"/>
  <c r="AR17" i="50"/>
  <c r="AS17" i="50"/>
  <c r="AT17" i="50"/>
  <c r="AU17" i="50"/>
  <c r="AV17" i="50"/>
  <c r="AW17" i="50"/>
  <c r="AX17" i="50"/>
  <c r="AY17" i="50"/>
  <c r="AZ17" i="50"/>
  <c r="BA17" i="50"/>
  <c r="BB17" i="50"/>
  <c r="BC17" i="50"/>
  <c r="BD17" i="50"/>
  <c r="BE17" i="50"/>
  <c r="BF17" i="50"/>
  <c r="BG17" i="50"/>
  <c r="BH17" i="50"/>
  <c r="BI17" i="50"/>
  <c r="BJ17" i="50"/>
  <c r="BK17" i="50"/>
  <c r="BL17" i="50"/>
  <c r="BM17" i="50"/>
  <c r="BN17" i="50"/>
  <c r="BO17" i="50"/>
  <c r="BP17" i="50"/>
  <c r="BQ17" i="50"/>
  <c r="BR17" i="50"/>
  <c r="BS17" i="50"/>
  <c r="BT17" i="50"/>
  <c r="BU17" i="50"/>
  <c r="BV17" i="50"/>
  <c r="BW17" i="50"/>
  <c r="BX17" i="50"/>
  <c r="BY17" i="50"/>
  <c r="BZ17" i="50"/>
  <c r="CA17" i="50"/>
  <c r="CB17" i="50"/>
  <c r="CC17" i="50"/>
  <c r="CD17" i="50"/>
  <c r="CE17" i="50"/>
  <c r="CF17" i="50"/>
  <c r="CG17" i="50"/>
  <c r="CH17" i="50"/>
  <c r="CI17" i="50"/>
  <c r="CJ17" i="50"/>
  <c r="CK17" i="50"/>
  <c r="CL17" i="50"/>
  <c r="CM17" i="50"/>
  <c r="CN17" i="50"/>
  <c r="CO17" i="50"/>
  <c r="CP17" i="50"/>
  <c r="CQ17" i="50"/>
  <c r="CR17" i="50"/>
  <c r="CS17" i="50"/>
  <c r="CT17" i="50"/>
  <c r="CU17" i="50"/>
  <c r="CV17" i="50"/>
  <c r="CW17" i="50"/>
  <c r="CX17" i="50"/>
  <c r="CY17" i="50"/>
  <c r="N18" i="50"/>
  <c r="O18" i="50"/>
  <c r="P18" i="50"/>
  <c r="Q18" i="50"/>
  <c r="R18" i="50"/>
  <c r="S18" i="50"/>
  <c r="T18" i="50"/>
  <c r="U18" i="50"/>
  <c r="V18" i="50"/>
  <c r="W18" i="50"/>
  <c r="X18" i="50"/>
  <c r="Y18" i="50"/>
  <c r="Z18" i="50"/>
  <c r="AA18" i="50"/>
  <c r="AB18" i="50"/>
  <c r="AC18" i="50"/>
  <c r="AD18" i="50"/>
  <c r="AE18" i="50"/>
  <c r="AF18" i="50"/>
  <c r="AG18" i="50"/>
  <c r="AH18" i="50"/>
  <c r="AI18" i="50"/>
  <c r="AJ18" i="50"/>
  <c r="AK18" i="50"/>
  <c r="AL18" i="50"/>
  <c r="AM18" i="50"/>
  <c r="AN18" i="50"/>
  <c r="AO18" i="50"/>
  <c r="AP18" i="50"/>
  <c r="AQ18" i="50"/>
  <c r="AR18" i="50"/>
  <c r="AS18" i="50"/>
  <c r="AT18" i="50"/>
  <c r="AU18" i="50"/>
  <c r="AV18" i="50"/>
  <c r="AW18" i="50"/>
  <c r="AX18" i="50"/>
  <c r="AY18" i="50"/>
  <c r="AZ18" i="50"/>
  <c r="BA18" i="50"/>
  <c r="BB18" i="50"/>
  <c r="BC18" i="50"/>
  <c r="BD18" i="50"/>
  <c r="BE18" i="50"/>
  <c r="BF18" i="50"/>
  <c r="BG18" i="50"/>
  <c r="BH18" i="50"/>
  <c r="BI18" i="50"/>
  <c r="BJ18" i="50"/>
  <c r="BK18" i="50"/>
  <c r="BL18" i="50"/>
  <c r="BM18" i="50"/>
  <c r="BN18" i="50"/>
  <c r="BO18" i="50"/>
  <c r="BP18" i="50"/>
  <c r="BQ18" i="50"/>
  <c r="BR18" i="50"/>
  <c r="BS18" i="50"/>
  <c r="BT18" i="50"/>
  <c r="BU18" i="50"/>
  <c r="BV18" i="50"/>
  <c r="BW18" i="50"/>
  <c r="BX18" i="50"/>
  <c r="BY18" i="50"/>
  <c r="BZ18" i="50"/>
  <c r="CA18" i="50"/>
  <c r="CB18" i="50"/>
  <c r="CC18" i="50"/>
  <c r="CD18" i="50"/>
  <c r="CE18" i="50"/>
  <c r="CF18" i="50"/>
  <c r="CG18" i="50"/>
  <c r="CH18" i="50"/>
  <c r="CI18" i="50"/>
  <c r="CJ18" i="50"/>
  <c r="CK18" i="50"/>
  <c r="CL18" i="50"/>
  <c r="CM18" i="50"/>
  <c r="CN18" i="50"/>
  <c r="CO18" i="50"/>
  <c r="CP18" i="50"/>
  <c r="CQ18" i="50"/>
  <c r="CR18" i="50"/>
  <c r="CS18" i="50"/>
  <c r="CT18" i="50"/>
  <c r="CU18" i="50"/>
  <c r="CV18" i="50"/>
  <c r="CW18" i="50"/>
  <c r="CX18" i="50"/>
  <c r="CY18" i="50"/>
  <c r="N19" i="50"/>
  <c r="O19" i="50"/>
  <c r="P19" i="50"/>
  <c r="Q19" i="50"/>
  <c r="R19" i="50"/>
  <c r="S19" i="50"/>
  <c r="T19" i="50"/>
  <c r="U19" i="50"/>
  <c r="V19" i="50"/>
  <c r="W19" i="50"/>
  <c r="X19" i="50"/>
  <c r="Y19" i="50"/>
  <c r="Z19" i="50"/>
  <c r="AA19" i="50"/>
  <c r="AB19" i="50"/>
  <c r="AC19" i="50"/>
  <c r="AD19" i="50"/>
  <c r="AE19" i="50"/>
  <c r="AF19" i="50"/>
  <c r="AG19" i="50"/>
  <c r="AH19" i="50"/>
  <c r="AI19" i="50"/>
  <c r="AJ19" i="50"/>
  <c r="AK19" i="50"/>
  <c r="AL19" i="50"/>
  <c r="AM19" i="50"/>
  <c r="AN19" i="50"/>
  <c r="AO19" i="50"/>
  <c r="AP19" i="50"/>
  <c r="AQ19" i="50"/>
  <c r="AR19" i="50"/>
  <c r="AS19" i="50"/>
  <c r="AT19" i="50"/>
  <c r="AU19" i="50"/>
  <c r="AV19" i="50"/>
  <c r="AW19" i="50"/>
  <c r="AX19" i="50"/>
  <c r="AY19" i="50"/>
  <c r="AZ19" i="50"/>
  <c r="BA19" i="50"/>
  <c r="BB19" i="50"/>
  <c r="BC19" i="50"/>
  <c r="BD19" i="50"/>
  <c r="BE19" i="50"/>
  <c r="BF19" i="50"/>
  <c r="BG19" i="50"/>
  <c r="BH19" i="50"/>
  <c r="BI19" i="50"/>
  <c r="BJ19" i="50"/>
  <c r="BK19" i="50"/>
  <c r="BL19" i="50"/>
  <c r="BM19" i="50"/>
  <c r="BN19" i="50"/>
  <c r="BO19" i="50"/>
  <c r="BP19" i="50"/>
  <c r="BQ19" i="50"/>
  <c r="BR19" i="50"/>
  <c r="BS19" i="50"/>
  <c r="BT19" i="50"/>
  <c r="BU19" i="50"/>
  <c r="BV19" i="50"/>
  <c r="BW19" i="50"/>
  <c r="BX19" i="50"/>
  <c r="BY19" i="50"/>
  <c r="BZ19" i="50"/>
  <c r="CA19" i="50"/>
  <c r="CB19" i="50"/>
  <c r="CC19" i="50"/>
  <c r="CD19" i="50"/>
  <c r="CE19" i="50"/>
  <c r="CF19" i="50"/>
  <c r="CG19" i="50"/>
  <c r="CH19" i="50"/>
  <c r="CI19" i="50"/>
  <c r="CJ19" i="50"/>
  <c r="CK19" i="50"/>
  <c r="CL19" i="50"/>
  <c r="CM19" i="50"/>
  <c r="CN19" i="50"/>
  <c r="CO19" i="50"/>
  <c r="CP19" i="50"/>
  <c r="CQ19" i="50"/>
  <c r="CR19" i="50"/>
  <c r="CS19" i="50"/>
  <c r="CT19" i="50"/>
  <c r="CU19" i="50"/>
  <c r="CV19" i="50"/>
  <c r="CW19" i="50"/>
  <c r="CX19" i="50"/>
  <c r="CY19" i="50"/>
  <c r="N20" i="50"/>
  <c r="O20" i="50"/>
  <c r="P20" i="50"/>
  <c r="Q20" i="50"/>
  <c r="R20" i="50"/>
  <c r="S20" i="50"/>
  <c r="T20" i="50"/>
  <c r="U20" i="50"/>
  <c r="V20" i="50"/>
  <c r="W20" i="50"/>
  <c r="X20" i="50"/>
  <c r="Y20" i="50"/>
  <c r="Z20" i="50"/>
  <c r="AA20" i="50"/>
  <c r="AB20" i="50"/>
  <c r="AC20" i="50"/>
  <c r="AD20" i="50"/>
  <c r="AE20" i="50"/>
  <c r="AF20" i="50"/>
  <c r="AG20" i="50"/>
  <c r="AH20" i="50"/>
  <c r="AI20" i="50"/>
  <c r="AJ20" i="50"/>
  <c r="AK20" i="50"/>
  <c r="AL20" i="50"/>
  <c r="AM20" i="50"/>
  <c r="AN20" i="50"/>
  <c r="AO20" i="50"/>
  <c r="AP20" i="50"/>
  <c r="AQ20" i="50"/>
  <c r="AR20" i="50"/>
  <c r="AS20" i="50"/>
  <c r="AT20" i="50"/>
  <c r="AU20" i="50"/>
  <c r="AV20" i="50"/>
  <c r="AW20" i="50"/>
  <c r="AX20" i="50"/>
  <c r="AY20" i="50"/>
  <c r="AZ20" i="50"/>
  <c r="BA20" i="50"/>
  <c r="BB20" i="50"/>
  <c r="BC20" i="50"/>
  <c r="BD20" i="50"/>
  <c r="BE20" i="50"/>
  <c r="BF20" i="50"/>
  <c r="BG20" i="50"/>
  <c r="BH20" i="50"/>
  <c r="BI20" i="50"/>
  <c r="BJ20" i="50"/>
  <c r="BK20" i="50"/>
  <c r="BL20" i="50"/>
  <c r="BM20" i="50"/>
  <c r="BN20" i="50"/>
  <c r="BO20" i="50"/>
  <c r="BP20" i="50"/>
  <c r="BQ20" i="50"/>
  <c r="BR20" i="50"/>
  <c r="BS20" i="50"/>
  <c r="BT20" i="50"/>
  <c r="BU20" i="50"/>
  <c r="BV20" i="50"/>
  <c r="BW20" i="50"/>
  <c r="BX20" i="50"/>
  <c r="BY20" i="50"/>
  <c r="BZ20" i="50"/>
  <c r="CA20" i="50"/>
  <c r="CB20" i="50"/>
  <c r="CC20" i="50"/>
  <c r="CD20" i="50"/>
  <c r="CE20" i="50"/>
  <c r="CF20" i="50"/>
  <c r="CG20" i="50"/>
  <c r="CH20" i="50"/>
  <c r="CI20" i="50"/>
  <c r="CJ20" i="50"/>
  <c r="CK20" i="50"/>
  <c r="CL20" i="50"/>
  <c r="CM20" i="50"/>
  <c r="CN20" i="50"/>
  <c r="CO20" i="50"/>
  <c r="CP20" i="50"/>
  <c r="CQ20" i="50"/>
  <c r="CR20" i="50"/>
  <c r="CS20" i="50"/>
  <c r="CT20" i="50"/>
  <c r="CU20" i="50"/>
  <c r="CV20" i="50"/>
  <c r="CW20" i="50"/>
  <c r="CX20" i="50"/>
  <c r="CY20" i="50"/>
  <c r="N21" i="50"/>
  <c r="O21" i="50"/>
  <c r="P21" i="50"/>
  <c r="Q21" i="50"/>
  <c r="R21" i="50"/>
  <c r="S21" i="50"/>
  <c r="T21" i="50"/>
  <c r="U21" i="50"/>
  <c r="V21" i="50"/>
  <c r="W21" i="50"/>
  <c r="X21" i="50"/>
  <c r="Y21" i="50"/>
  <c r="Z21" i="50"/>
  <c r="AA21" i="50"/>
  <c r="AB21" i="50"/>
  <c r="AC21" i="50"/>
  <c r="AD21" i="50"/>
  <c r="AE21" i="50"/>
  <c r="AF21" i="50"/>
  <c r="AG21" i="50"/>
  <c r="AH21" i="50"/>
  <c r="AI21" i="50"/>
  <c r="AJ21" i="50"/>
  <c r="AK21" i="50"/>
  <c r="AL21" i="50"/>
  <c r="AM21" i="50"/>
  <c r="AN21" i="50"/>
  <c r="AO21" i="50"/>
  <c r="AP21" i="50"/>
  <c r="AQ21" i="50"/>
  <c r="AR21" i="50"/>
  <c r="AS21" i="50"/>
  <c r="AT21" i="50"/>
  <c r="AU21" i="50"/>
  <c r="AV21" i="50"/>
  <c r="AW21" i="50"/>
  <c r="AX21" i="50"/>
  <c r="AY21" i="50"/>
  <c r="AZ21" i="50"/>
  <c r="BA21" i="50"/>
  <c r="BB21" i="50"/>
  <c r="BC21" i="50"/>
  <c r="BD21" i="50"/>
  <c r="BE21" i="50"/>
  <c r="BF21" i="50"/>
  <c r="BG21" i="50"/>
  <c r="BH21" i="50"/>
  <c r="BI21" i="50"/>
  <c r="BJ21" i="50"/>
  <c r="BK21" i="50"/>
  <c r="BL21" i="50"/>
  <c r="BM21" i="50"/>
  <c r="BN21" i="50"/>
  <c r="BO21" i="50"/>
  <c r="BP21" i="50"/>
  <c r="BQ21" i="50"/>
  <c r="BR21" i="50"/>
  <c r="BS21" i="50"/>
  <c r="BT21" i="50"/>
  <c r="BU21" i="50"/>
  <c r="BV21" i="50"/>
  <c r="BW21" i="50"/>
  <c r="BX21" i="50"/>
  <c r="BY21" i="50"/>
  <c r="BZ21" i="50"/>
  <c r="CA21" i="50"/>
  <c r="CB21" i="50"/>
  <c r="CC21" i="50"/>
  <c r="CD21" i="50"/>
  <c r="CE21" i="50"/>
  <c r="CF21" i="50"/>
  <c r="CG21" i="50"/>
  <c r="CH21" i="50"/>
  <c r="CI21" i="50"/>
  <c r="CJ21" i="50"/>
  <c r="CK21" i="50"/>
  <c r="CL21" i="50"/>
  <c r="CM21" i="50"/>
  <c r="CN21" i="50"/>
  <c r="CO21" i="50"/>
  <c r="CP21" i="50"/>
  <c r="CQ21" i="50"/>
  <c r="CR21" i="50"/>
  <c r="CS21" i="50"/>
  <c r="CT21" i="50"/>
  <c r="CU21" i="50"/>
  <c r="CV21" i="50"/>
  <c r="CW21" i="50"/>
  <c r="CX21" i="50"/>
  <c r="CY21" i="50"/>
  <c r="N22" i="50"/>
  <c r="O22" i="50"/>
  <c r="P22" i="50"/>
  <c r="Q22" i="50"/>
  <c r="R22" i="50"/>
  <c r="S22" i="50"/>
  <c r="T22" i="50"/>
  <c r="U22" i="50"/>
  <c r="V22" i="50"/>
  <c r="W22" i="50"/>
  <c r="X22" i="50"/>
  <c r="Y22" i="50"/>
  <c r="Z22" i="50"/>
  <c r="AA22" i="50"/>
  <c r="AB22" i="50"/>
  <c r="AC22" i="50"/>
  <c r="AD22" i="50"/>
  <c r="AE22" i="50"/>
  <c r="AF22" i="50"/>
  <c r="AG22" i="50"/>
  <c r="AH22" i="50"/>
  <c r="AI22" i="50"/>
  <c r="AJ22" i="50"/>
  <c r="AK22" i="50"/>
  <c r="AL22" i="50"/>
  <c r="AM22" i="50"/>
  <c r="AN22" i="50"/>
  <c r="AO22" i="50"/>
  <c r="AP22" i="50"/>
  <c r="AQ22" i="50"/>
  <c r="AR22" i="50"/>
  <c r="AS22" i="50"/>
  <c r="AT22" i="50"/>
  <c r="AU22" i="50"/>
  <c r="AV22" i="50"/>
  <c r="AW22" i="50"/>
  <c r="AX22" i="50"/>
  <c r="AY22" i="50"/>
  <c r="AZ22" i="50"/>
  <c r="BA22" i="50"/>
  <c r="BB22" i="50"/>
  <c r="BC22" i="50"/>
  <c r="BD22" i="50"/>
  <c r="BE22" i="50"/>
  <c r="BF22" i="50"/>
  <c r="BG22" i="50"/>
  <c r="BH22" i="50"/>
  <c r="BI22" i="50"/>
  <c r="BJ22" i="50"/>
  <c r="BK22" i="50"/>
  <c r="BL22" i="50"/>
  <c r="BM22" i="50"/>
  <c r="BN22" i="50"/>
  <c r="BO22" i="50"/>
  <c r="BP22" i="50"/>
  <c r="BQ22" i="50"/>
  <c r="BR22" i="50"/>
  <c r="BS22" i="50"/>
  <c r="BT22" i="50"/>
  <c r="BU22" i="50"/>
  <c r="BV22" i="50"/>
  <c r="BW22" i="50"/>
  <c r="BX22" i="50"/>
  <c r="BY22" i="50"/>
  <c r="BZ22" i="50"/>
  <c r="CA22" i="50"/>
  <c r="CB22" i="50"/>
  <c r="CC22" i="50"/>
  <c r="CD22" i="50"/>
  <c r="CE22" i="50"/>
  <c r="CF22" i="50"/>
  <c r="CG22" i="50"/>
  <c r="CH22" i="50"/>
  <c r="CI22" i="50"/>
  <c r="CJ22" i="50"/>
  <c r="CK22" i="50"/>
  <c r="CL22" i="50"/>
  <c r="CM22" i="50"/>
  <c r="CN22" i="50"/>
  <c r="CO22" i="50"/>
  <c r="CP22" i="50"/>
  <c r="CQ22" i="50"/>
  <c r="CR22" i="50"/>
  <c r="CS22" i="50"/>
  <c r="CT22" i="50"/>
  <c r="CU22" i="50"/>
  <c r="CV22" i="50"/>
  <c r="CW22" i="50"/>
  <c r="CX22" i="50"/>
  <c r="CY22" i="50"/>
  <c r="N25" i="50"/>
  <c r="N43" i="50" s="1"/>
  <c r="O25" i="50"/>
  <c r="O43" i="50" s="1"/>
  <c r="P25" i="50"/>
  <c r="P43" i="50" s="1"/>
  <c r="Q25" i="50"/>
  <c r="R25" i="50"/>
  <c r="S25" i="50"/>
  <c r="T25" i="50"/>
  <c r="U25" i="50"/>
  <c r="V25" i="50"/>
  <c r="W25" i="50"/>
  <c r="W43" i="50" s="1"/>
  <c r="X25" i="50"/>
  <c r="X43" i="50" s="1"/>
  <c r="Y25" i="50"/>
  <c r="Y43" i="50" s="1"/>
  <c r="Z25" i="50"/>
  <c r="Z43" i="50" s="1"/>
  <c r="AA25" i="50"/>
  <c r="AA43" i="50" s="1"/>
  <c r="AB25" i="50"/>
  <c r="AB43" i="50" s="1"/>
  <c r="AC25" i="50"/>
  <c r="AC43" i="50" s="1"/>
  <c r="AD25" i="50"/>
  <c r="AD43" i="50" s="1"/>
  <c r="AE25" i="50"/>
  <c r="AE43" i="50" s="1"/>
  <c r="AF25" i="50"/>
  <c r="AF43" i="50" s="1"/>
  <c r="AG25" i="50"/>
  <c r="AH25" i="50"/>
  <c r="AI25" i="50"/>
  <c r="AJ25" i="50"/>
  <c r="AK25" i="50"/>
  <c r="AL25" i="50"/>
  <c r="AM25" i="50"/>
  <c r="AM43" i="50" s="1"/>
  <c r="AN25" i="50"/>
  <c r="AN43" i="50" s="1"/>
  <c r="AO25" i="50"/>
  <c r="AO43" i="50" s="1"/>
  <c r="AP25" i="50"/>
  <c r="AP43" i="50" s="1"/>
  <c r="AQ25" i="50"/>
  <c r="AQ43" i="50" s="1"/>
  <c r="AR25" i="50"/>
  <c r="AR43" i="50" s="1"/>
  <c r="AS25" i="50"/>
  <c r="AS43" i="50" s="1"/>
  <c r="AT25" i="50"/>
  <c r="AT43" i="50" s="1"/>
  <c r="AU25" i="50"/>
  <c r="AU43" i="50" s="1"/>
  <c r="AV25" i="50"/>
  <c r="AV43" i="50" s="1"/>
  <c r="AW25" i="50"/>
  <c r="AX25" i="50"/>
  <c r="AY25" i="50"/>
  <c r="AZ25" i="50"/>
  <c r="BA25" i="50"/>
  <c r="BB25" i="50"/>
  <c r="BC25" i="50"/>
  <c r="BC43" i="50" s="1"/>
  <c r="BD25" i="50"/>
  <c r="BD43" i="50" s="1"/>
  <c r="BE25" i="50"/>
  <c r="BE43" i="50" s="1"/>
  <c r="BF25" i="50"/>
  <c r="BF43" i="50" s="1"/>
  <c r="BG25" i="50"/>
  <c r="BG43" i="50" s="1"/>
  <c r="BH25" i="50"/>
  <c r="BH43" i="50" s="1"/>
  <c r="BI25" i="50"/>
  <c r="BI43" i="50" s="1"/>
  <c r="BJ25" i="50"/>
  <c r="BJ43" i="50" s="1"/>
  <c r="BK25" i="50"/>
  <c r="BK43" i="50" s="1"/>
  <c r="BL25" i="50"/>
  <c r="BL43" i="50" s="1"/>
  <c r="BM25" i="50"/>
  <c r="BN25" i="50"/>
  <c r="BO25" i="50"/>
  <c r="BP25" i="50"/>
  <c r="BQ25" i="50"/>
  <c r="BR25" i="50"/>
  <c r="BS25" i="50"/>
  <c r="BS43" i="50" s="1"/>
  <c r="BT25" i="50"/>
  <c r="BT43" i="50" s="1"/>
  <c r="BU25" i="50"/>
  <c r="BU43" i="50" s="1"/>
  <c r="BV25" i="50"/>
  <c r="BV43" i="50" s="1"/>
  <c r="BW25" i="50"/>
  <c r="BW43" i="50" s="1"/>
  <c r="BX25" i="50"/>
  <c r="BX43" i="50" s="1"/>
  <c r="BY25" i="50"/>
  <c r="BY43" i="50" s="1"/>
  <c r="BZ25" i="50"/>
  <c r="BZ43" i="50" s="1"/>
  <c r="CA25" i="50"/>
  <c r="CA43" i="50" s="1"/>
  <c r="CB25" i="50"/>
  <c r="CB43" i="50" s="1"/>
  <c r="CC25" i="50"/>
  <c r="CD25" i="50"/>
  <c r="CE25" i="50"/>
  <c r="CF25" i="50"/>
  <c r="CG25" i="50"/>
  <c r="CH25" i="50"/>
  <c r="CI25" i="50"/>
  <c r="CI43" i="50" s="1"/>
  <c r="CJ25" i="50"/>
  <c r="CJ43" i="50" s="1"/>
  <c r="CK25" i="50"/>
  <c r="CK43" i="50" s="1"/>
  <c r="CL25" i="50"/>
  <c r="CL43" i="50" s="1"/>
  <c r="CM25" i="50"/>
  <c r="CM43" i="50" s="1"/>
  <c r="CN25" i="50"/>
  <c r="CN43" i="50" s="1"/>
  <c r="CO25" i="50"/>
  <c r="CO43" i="50" s="1"/>
  <c r="CP25" i="50"/>
  <c r="CP43" i="50" s="1"/>
  <c r="CQ25" i="50"/>
  <c r="CQ43" i="50" s="1"/>
  <c r="CR25" i="50"/>
  <c r="CR43" i="50" s="1"/>
  <c r="CS25" i="50"/>
  <c r="CT25" i="50"/>
  <c r="CU25" i="50"/>
  <c r="CV25" i="50"/>
  <c r="CW25" i="50"/>
  <c r="CX25" i="50"/>
  <c r="CY25" i="50"/>
  <c r="CY43" i="50" s="1"/>
  <c r="N38" i="50"/>
  <c r="O38" i="50"/>
  <c r="P38" i="50"/>
  <c r="Q38" i="50"/>
  <c r="R38" i="50"/>
  <c r="S38" i="50"/>
  <c r="T38" i="50"/>
  <c r="U38" i="50"/>
  <c r="V38" i="50"/>
  <c r="W38" i="50"/>
  <c r="X38" i="50"/>
  <c r="Y38" i="50"/>
  <c r="Z38" i="50"/>
  <c r="AA38" i="50"/>
  <c r="AB38" i="50"/>
  <c r="AC38" i="50"/>
  <c r="AD38" i="50"/>
  <c r="AE38" i="50"/>
  <c r="AF38" i="50"/>
  <c r="AG38" i="50"/>
  <c r="AH38" i="50"/>
  <c r="AI38" i="50"/>
  <c r="AJ38" i="50"/>
  <c r="AK38" i="50"/>
  <c r="AL38" i="50"/>
  <c r="AM38" i="50"/>
  <c r="AN38" i="50"/>
  <c r="AO38" i="50"/>
  <c r="AP38" i="50"/>
  <c r="AQ38" i="50"/>
  <c r="AR38" i="50"/>
  <c r="AS38" i="50"/>
  <c r="AT38" i="50"/>
  <c r="AU38" i="50"/>
  <c r="AV38" i="50"/>
  <c r="AW38" i="50"/>
  <c r="AX38" i="50"/>
  <c r="AY38" i="50"/>
  <c r="AZ38" i="50"/>
  <c r="BA38" i="50"/>
  <c r="BB38" i="50"/>
  <c r="BC38" i="50"/>
  <c r="BD38" i="50"/>
  <c r="BE38" i="50"/>
  <c r="BF38" i="50"/>
  <c r="BG38" i="50"/>
  <c r="BH38" i="50"/>
  <c r="BI38" i="50"/>
  <c r="BJ38" i="50"/>
  <c r="BK38" i="50"/>
  <c r="BL38" i="50"/>
  <c r="BM38" i="50"/>
  <c r="BN38" i="50"/>
  <c r="BO38" i="50"/>
  <c r="BP38" i="50"/>
  <c r="BQ38" i="50"/>
  <c r="BR38" i="50"/>
  <c r="BS38" i="50"/>
  <c r="BT38" i="50"/>
  <c r="BU38" i="50"/>
  <c r="BV38" i="50"/>
  <c r="BW38" i="50"/>
  <c r="BX38" i="50"/>
  <c r="BY38" i="50"/>
  <c r="BZ38" i="50"/>
  <c r="CA38" i="50"/>
  <c r="CB38" i="50"/>
  <c r="CC38" i="50"/>
  <c r="CD38" i="50"/>
  <c r="CE38" i="50"/>
  <c r="CF38" i="50"/>
  <c r="CG38" i="50"/>
  <c r="CH38" i="50"/>
  <c r="CI38" i="50"/>
  <c r="CJ38" i="50"/>
  <c r="CK38" i="50"/>
  <c r="CL38" i="50"/>
  <c r="CM38" i="50"/>
  <c r="CN38" i="50"/>
  <c r="CO38" i="50"/>
  <c r="CP38" i="50"/>
  <c r="CQ38" i="50"/>
  <c r="CR38" i="50"/>
  <c r="CS38" i="50"/>
  <c r="CT38" i="50"/>
  <c r="CU38" i="50"/>
  <c r="CV38" i="50"/>
  <c r="CW38" i="50"/>
  <c r="CX38" i="50"/>
  <c r="CY38" i="50"/>
  <c r="M14" i="50"/>
  <c r="D40" i="38"/>
  <c r="CX43" i="50" l="1"/>
  <c r="CH43" i="50"/>
  <c r="BR43" i="50"/>
  <c r="BB43" i="50"/>
  <c r="AL43" i="50"/>
  <c r="V43" i="50"/>
  <c r="CW43" i="50"/>
  <c r="CG43" i="50"/>
  <c r="BQ43" i="50"/>
  <c r="BA43" i="50"/>
  <c r="AK43" i="50"/>
  <c r="U43" i="50"/>
  <c r="CV43" i="50"/>
  <c r="CF43" i="50"/>
  <c r="BP43" i="50"/>
  <c r="AZ43" i="50"/>
  <c r="AJ43" i="50"/>
  <c r="T43" i="50"/>
  <c r="CU43" i="50"/>
  <c r="CE43" i="50"/>
  <c r="BO43" i="50"/>
  <c r="AY43" i="50"/>
  <c r="AI43" i="50"/>
  <c r="S43" i="50"/>
  <c r="CT43" i="50"/>
  <c r="CD43" i="50"/>
  <c r="BN43" i="50"/>
  <c r="AX43" i="50"/>
  <c r="AH43" i="50"/>
  <c r="R43" i="50"/>
  <c r="CS43" i="50"/>
  <c r="CC43" i="50"/>
  <c r="BM43" i="50"/>
  <c r="AW43" i="50"/>
  <c r="AG43" i="50"/>
  <c r="Q43" i="50"/>
  <c r="O14" i="50"/>
  <c r="N16" i="50"/>
  <c r="N23" i="50" s="1"/>
  <c r="N26" i="50" s="1"/>
  <c r="N27" i="50" s="1"/>
  <c r="N34" i="50"/>
  <c r="N55" i="50" s="1"/>
  <c r="N120" i="40" l="1"/>
  <c r="P14" i="50"/>
  <c r="O16" i="50"/>
  <c r="O23" i="50" s="1"/>
  <c r="O26" i="50" s="1"/>
  <c r="O27" i="50" s="1"/>
  <c r="O34" i="50"/>
  <c r="O55" i="50" s="1"/>
  <c r="O120" i="40" l="1"/>
  <c r="Q14" i="50"/>
  <c r="P34" i="50"/>
  <c r="P55" i="50" s="1"/>
  <c r="Q34" i="50" l="1"/>
  <c r="Q55" i="50" s="1"/>
  <c r="R14" i="50"/>
  <c r="S14" i="50" l="1"/>
  <c r="R34" i="50"/>
  <c r="R55" i="50" s="1"/>
  <c r="T14" i="50" l="1"/>
  <c r="S34" i="50"/>
  <c r="S55" i="50" s="1"/>
  <c r="U14" i="50" l="1"/>
  <c r="T34" i="50"/>
  <c r="T55" i="50" s="1"/>
  <c r="V14" i="50" l="1"/>
  <c r="U34" i="50"/>
  <c r="U55" i="50" s="1"/>
  <c r="W14" i="50" l="1"/>
  <c r="V34" i="50"/>
  <c r="V55" i="50" s="1"/>
  <c r="X14" i="50" l="1"/>
  <c r="W34" i="50"/>
  <c r="W55" i="50" s="1"/>
  <c r="X34" i="50" l="1"/>
  <c r="X55" i="50" s="1"/>
  <c r="Y14" i="50"/>
  <c r="Y34" i="50" l="1"/>
  <c r="Y55" i="50" s="1"/>
  <c r="Z14" i="50"/>
  <c r="AA14" i="50" l="1"/>
  <c r="Z34" i="50"/>
  <c r="Z55" i="50" s="1"/>
  <c r="AA34" i="50" l="1"/>
  <c r="AA55" i="50" s="1"/>
  <c r="AB14" i="50"/>
  <c r="AC14" i="50" l="1"/>
  <c r="AB34" i="50"/>
  <c r="AB55" i="50" s="1"/>
  <c r="AD14" i="50" l="1"/>
  <c r="AC34" i="50"/>
  <c r="AC55" i="50" s="1"/>
  <c r="AE14" i="50" l="1"/>
  <c r="AD34" i="50"/>
  <c r="AD55" i="50" s="1"/>
  <c r="AF14" i="50" l="1"/>
  <c r="AE34" i="50"/>
  <c r="AE55" i="50" s="1"/>
  <c r="AG14" i="50" l="1"/>
  <c r="AF34" i="50"/>
  <c r="AF55" i="50" s="1"/>
  <c r="AG34" i="50" l="1"/>
  <c r="AG55" i="50" s="1"/>
  <c r="AH14" i="50"/>
  <c r="AI14" i="50" l="1"/>
  <c r="AH34" i="50"/>
  <c r="AH55" i="50" s="1"/>
  <c r="AJ14" i="50" l="1"/>
  <c r="AI34" i="50"/>
  <c r="AI55" i="50" s="1"/>
  <c r="AK14" i="50" l="1"/>
  <c r="AJ34" i="50"/>
  <c r="AJ55" i="50" s="1"/>
  <c r="AL14" i="50" l="1"/>
  <c r="AK34" i="50"/>
  <c r="AK55" i="50" s="1"/>
  <c r="AM14" i="50" l="1"/>
  <c r="AL34" i="50"/>
  <c r="AL55" i="50" s="1"/>
  <c r="AM34" i="50" l="1"/>
  <c r="AM55" i="50" s="1"/>
  <c r="AN14" i="50"/>
  <c r="AN34" i="50" l="1"/>
  <c r="AN55" i="50" s="1"/>
  <c r="AO14" i="50"/>
  <c r="AO34" i="50" l="1"/>
  <c r="AO55" i="50" s="1"/>
  <c r="AP14" i="50"/>
  <c r="AP34" i="50" l="1"/>
  <c r="AP55" i="50" s="1"/>
  <c r="AQ14" i="50"/>
  <c r="AQ34" i="50" l="1"/>
  <c r="AQ55" i="50" s="1"/>
  <c r="AR14" i="50"/>
  <c r="AS14" i="50" l="1"/>
  <c r="AR34" i="50"/>
  <c r="AR55" i="50" s="1"/>
  <c r="AS34" i="50" l="1"/>
  <c r="AS55" i="50" s="1"/>
  <c r="AT14" i="50"/>
  <c r="AU14" i="50" l="1"/>
  <c r="AT34" i="50"/>
  <c r="AT55" i="50" s="1"/>
  <c r="AV14" i="50" l="1"/>
  <c r="AU34" i="50"/>
  <c r="AU55" i="50" s="1"/>
  <c r="AW14" i="50" l="1"/>
  <c r="AV34" i="50"/>
  <c r="AV55" i="50" s="1"/>
  <c r="AW34" i="50" l="1"/>
  <c r="AW55" i="50" s="1"/>
  <c r="AX14" i="50"/>
  <c r="AY14" i="50" l="1"/>
  <c r="AX34" i="50"/>
  <c r="AX55" i="50" s="1"/>
  <c r="AZ14" i="50" l="1"/>
  <c r="AY34" i="50"/>
  <c r="AY55" i="50" s="1"/>
  <c r="BA14" i="50" l="1"/>
  <c r="AZ34" i="50"/>
  <c r="AZ55" i="50" s="1"/>
  <c r="BB14" i="50" l="1"/>
  <c r="BA34" i="50"/>
  <c r="BA55" i="50" s="1"/>
  <c r="BC14" i="50" l="1"/>
  <c r="BB34" i="50"/>
  <c r="BB55" i="50" s="1"/>
  <c r="BD14" i="50" l="1"/>
  <c r="BC34" i="50"/>
  <c r="BC55" i="50" s="1"/>
  <c r="BD34" i="50" l="1"/>
  <c r="BD55" i="50" s="1"/>
  <c r="BE14" i="50"/>
  <c r="BE34" i="50" l="1"/>
  <c r="BE55" i="50" s="1"/>
  <c r="BF14" i="50"/>
  <c r="BG14" i="50" l="1"/>
  <c r="BF34" i="50"/>
  <c r="BF55" i="50" s="1"/>
  <c r="BG34" i="50" l="1"/>
  <c r="BG55" i="50" s="1"/>
  <c r="BH14" i="50"/>
  <c r="BI14" i="50" l="1"/>
  <c r="BH34" i="50"/>
  <c r="BH55" i="50" s="1"/>
  <c r="BI34" i="50" l="1"/>
  <c r="BI55" i="50" s="1"/>
  <c r="BJ14" i="50"/>
  <c r="BK14" i="50" l="1"/>
  <c r="BJ34" i="50"/>
  <c r="BJ55" i="50" s="1"/>
  <c r="BL14" i="50" l="1"/>
  <c r="BK34" i="50"/>
  <c r="BK55" i="50" s="1"/>
  <c r="BM14" i="50" l="1"/>
  <c r="BL34" i="50"/>
  <c r="BL55" i="50" s="1"/>
  <c r="BM34" i="50" l="1"/>
  <c r="BM55" i="50" s="1"/>
  <c r="BN14" i="50"/>
  <c r="BO14" i="50" l="1"/>
  <c r="BN34" i="50"/>
  <c r="BN55" i="50" s="1"/>
  <c r="BP14" i="50" l="1"/>
  <c r="BO34" i="50"/>
  <c r="BO55" i="50" s="1"/>
  <c r="BQ14" i="50" l="1"/>
  <c r="BP34" i="50"/>
  <c r="BP55" i="50" s="1"/>
  <c r="BR14" i="50" l="1"/>
  <c r="BQ34" i="50"/>
  <c r="BQ55" i="50" s="1"/>
  <c r="BS14" i="50" l="1"/>
  <c r="BR34" i="50"/>
  <c r="BR55" i="50" s="1"/>
  <c r="BS34" i="50" l="1"/>
  <c r="BS55" i="50" s="1"/>
  <c r="BT14" i="50"/>
  <c r="BT34" i="50" l="1"/>
  <c r="BT55" i="50" s="1"/>
  <c r="BU14" i="50"/>
  <c r="BU34" i="50" l="1"/>
  <c r="BU55" i="50" s="1"/>
  <c r="BV14" i="50"/>
  <c r="BV34" i="50" l="1"/>
  <c r="BV55" i="50" s="1"/>
  <c r="BW14" i="50"/>
  <c r="BW34" i="50" l="1"/>
  <c r="BW55" i="50" s="1"/>
  <c r="BX14" i="50"/>
  <c r="BY14" i="50" l="1"/>
  <c r="BX34" i="50"/>
  <c r="BX55" i="50" s="1"/>
  <c r="BY34" i="50" l="1"/>
  <c r="BY55" i="50" s="1"/>
  <c r="BZ14" i="50"/>
  <c r="CA14" i="50" l="1"/>
  <c r="BZ34" i="50"/>
  <c r="BZ55" i="50" s="1"/>
  <c r="CB14" i="50" l="1"/>
  <c r="CA34" i="50"/>
  <c r="CA55" i="50" s="1"/>
  <c r="CC14" i="50" l="1"/>
  <c r="CB34" i="50"/>
  <c r="CB55" i="50" s="1"/>
  <c r="CC34" i="50" l="1"/>
  <c r="CC55" i="50" s="1"/>
  <c r="CD14" i="50"/>
  <c r="CE14" i="50" l="1"/>
  <c r="CD34" i="50"/>
  <c r="CD55" i="50" s="1"/>
  <c r="CF14" i="50" l="1"/>
  <c r="CE34" i="50"/>
  <c r="CE55" i="50" s="1"/>
  <c r="CG14" i="50" l="1"/>
  <c r="CF34" i="50"/>
  <c r="CF55" i="50" s="1"/>
  <c r="CH14" i="50" l="1"/>
  <c r="CG34" i="50"/>
  <c r="CG55" i="50" s="1"/>
  <c r="CI14" i="50" l="1"/>
  <c r="CH34" i="50"/>
  <c r="CH55" i="50" s="1"/>
  <c r="CI34" i="50" l="1"/>
  <c r="CI55" i="50" s="1"/>
  <c r="CJ14" i="50"/>
  <c r="CJ34" i="50" l="1"/>
  <c r="CJ55" i="50" s="1"/>
  <c r="CK14" i="50"/>
  <c r="CK34" i="50" l="1"/>
  <c r="CK55" i="50" s="1"/>
  <c r="CL14" i="50"/>
  <c r="CL34" i="50" l="1"/>
  <c r="CL55" i="50" s="1"/>
  <c r="CM14" i="50"/>
  <c r="CM34" i="50" l="1"/>
  <c r="CM55" i="50" s="1"/>
  <c r="CN14" i="50"/>
  <c r="CO14" i="50" l="1"/>
  <c r="CN34" i="50"/>
  <c r="CN55" i="50" s="1"/>
  <c r="CP14" i="50" l="1"/>
  <c r="CO34" i="50"/>
  <c r="CO55" i="50" s="1"/>
  <c r="CQ14" i="50" l="1"/>
  <c r="CP34" i="50"/>
  <c r="CP55" i="50" s="1"/>
  <c r="CR14" i="50" l="1"/>
  <c r="CQ34" i="50"/>
  <c r="CQ55" i="50" s="1"/>
  <c r="CS14" i="50" l="1"/>
  <c r="CR34" i="50"/>
  <c r="CR55" i="50" s="1"/>
  <c r="CS34" i="50" l="1"/>
  <c r="CS55" i="50" s="1"/>
  <c r="CT14" i="50"/>
  <c r="CU14" i="50" l="1"/>
  <c r="CT34" i="50"/>
  <c r="CT55" i="50" s="1"/>
  <c r="CV14" i="50" l="1"/>
  <c r="CU34" i="50"/>
  <c r="CU55" i="50" s="1"/>
  <c r="CW14" i="50" l="1"/>
  <c r="CV34" i="50"/>
  <c r="CV55" i="50" s="1"/>
  <c r="CX14" i="50" l="1"/>
  <c r="CW34" i="50"/>
  <c r="CW55" i="50" s="1"/>
  <c r="CY14" i="50" l="1"/>
  <c r="CX34" i="50"/>
  <c r="CX55" i="50" s="1"/>
  <c r="CY34" i="50" l="1"/>
  <c r="CY55" i="50" s="1"/>
  <c r="C52" i="50" s="1"/>
  <c r="F21" i="2" l="1"/>
  <c r="N12" i="2"/>
  <c r="M10" i="2"/>
  <c r="M11" i="2"/>
  <c r="M12" i="2"/>
  <c r="I12" i="2"/>
  <c r="I11" i="2"/>
  <c r="I10" i="2"/>
  <c r="J10" i="2" s="1"/>
  <c r="D9" i="50" l="1"/>
  <c r="E9" i="50"/>
  <c r="F9" i="50"/>
  <c r="M9" i="50"/>
  <c r="G9" i="50"/>
  <c r="H9" i="50"/>
  <c r="I9" i="50"/>
  <c r="J9" i="50"/>
  <c r="K9" i="50"/>
  <c r="L9" i="50"/>
  <c r="E11" i="50" l="1"/>
  <c r="F11" i="50"/>
  <c r="G11" i="50"/>
  <c r="H11" i="50"/>
  <c r="I11" i="50"/>
  <c r="J11" i="50"/>
  <c r="K11" i="50"/>
  <c r="L11" i="50"/>
  <c r="M11" i="50"/>
  <c r="D11" i="50"/>
  <c r="F45" i="38" l="1"/>
  <c r="G45" i="38"/>
  <c r="H45" i="38"/>
  <c r="I45" i="38"/>
  <c r="J45" i="38"/>
  <c r="K45" i="38"/>
  <c r="L45" i="38"/>
  <c r="M45" i="38"/>
  <c r="E45" i="38"/>
  <c r="E40" i="38"/>
  <c r="F40" i="38"/>
  <c r="G40" i="38"/>
  <c r="H40" i="38"/>
  <c r="I40" i="38"/>
  <c r="J40" i="38"/>
  <c r="K40" i="38"/>
  <c r="L40" i="38"/>
  <c r="D41" i="38"/>
  <c r="D39" i="38" s="1"/>
  <c r="D4" i="51" l="1"/>
  <c r="E4" i="51"/>
  <c r="F4" i="51"/>
  <c r="G4" i="51"/>
  <c r="H4" i="51"/>
  <c r="I4" i="51"/>
  <c r="J4" i="51"/>
  <c r="K4" i="51"/>
  <c r="L4" i="51"/>
  <c r="M4" i="51"/>
  <c r="D6" i="51"/>
  <c r="E6" i="51"/>
  <c r="F6" i="51"/>
  <c r="G6" i="51"/>
  <c r="H6" i="51"/>
  <c r="I6" i="51"/>
  <c r="J6" i="51"/>
  <c r="K6" i="51"/>
  <c r="L6" i="51"/>
  <c r="M6" i="51"/>
  <c r="E16" i="50" l="1"/>
  <c r="F16" i="50"/>
  <c r="G16" i="50"/>
  <c r="H16" i="50"/>
  <c r="I16" i="50"/>
  <c r="J16" i="50"/>
  <c r="K16" i="50"/>
  <c r="L16" i="50"/>
  <c r="M16" i="50"/>
  <c r="D16" i="50"/>
  <c r="E38" i="50"/>
  <c r="E5" i="51" s="1"/>
  <c r="F38" i="50"/>
  <c r="F5" i="51" s="1"/>
  <c r="G38" i="50"/>
  <c r="G5" i="51" s="1"/>
  <c r="H38" i="50"/>
  <c r="H5" i="51" s="1"/>
  <c r="I38" i="50"/>
  <c r="I5" i="51" s="1"/>
  <c r="J38" i="50"/>
  <c r="J5" i="51" s="1"/>
  <c r="K38" i="50"/>
  <c r="K5" i="51" s="1"/>
  <c r="L38" i="50"/>
  <c r="L5" i="51" s="1"/>
  <c r="M38" i="50"/>
  <c r="M5" i="51" s="1"/>
  <c r="D38" i="50"/>
  <c r="D5" i="51" s="1"/>
  <c r="D13" i="51" l="1"/>
  <c r="M13" i="51"/>
  <c r="K13" i="51"/>
  <c r="I13" i="51"/>
  <c r="G13" i="51"/>
  <c r="F13" i="51"/>
  <c r="L13" i="51"/>
  <c r="J13" i="51"/>
  <c r="H13" i="51"/>
  <c r="E13" i="51"/>
  <c r="E123" i="40"/>
  <c r="F123" i="40"/>
  <c r="G123" i="40"/>
  <c r="H123" i="40"/>
  <c r="I123" i="40"/>
  <c r="J123" i="40"/>
  <c r="K123" i="40"/>
  <c r="L123" i="40"/>
  <c r="M123" i="40"/>
  <c r="D123" i="40"/>
  <c r="D34" i="50"/>
  <c r="F34" i="50" l="1"/>
  <c r="G34" i="50"/>
  <c r="H34" i="50"/>
  <c r="I34" i="50"/>
  <c r="J34" i="50"/>
  <c r="K34" i="50"/>
  <c r="L34" i="50"/>
  <c r="M34" i="50"/>
  <c r="E34" i="50"/>
  <c r="AH8" i="40" l="1"/>
  <c r="E15" i="50" l="1"/>
  <c r="E10" i="51" s="1"/>
  <c r="F15" i="50"/>
  <c r="F10" i="51" s="1"/>
  <c r="G15" i="50"/>
  <c r="G10" i="51" s="1"/>
  <c r="H15" i="50"/>
  <c r="H10" i="51" s="1"/>
  <c r="I15" i="50"/>
  <c r="I10" i="51" s="1"/>
  <c r="J15" i="50"/>
  <c r="J10" i="51" s="1"/>
  <c r="K15" i="50"/>
  <c r="K10" i="51" s="1"/>
  <c r="L15" i="50"/>
  <c r="L10" i="51" s="1"/>
  <c r="M15" i="50"/>
  <c r="M10" i="51" s="1"/>
  <c r="E17" i="50"/>
  <c r="E11" i="51" s="1"/>
  <c r="F17" i="50"/>
  <c r="F11" i="51" s="1"/>
  <c r="G17" i="50"/>
  <c r="G11" i="51" s="1"/>
  <c r="H17" i="50"/>
  <c r="H11" i="51" s="1"/>
  <c r="I17" i="50"/>
  <c r="I11" i="51" s="1"/>
  <c r="J17" i="50"/>
  <c r="J11" i="51" s="1"/>
  <c r="K17" i="50"/>
  <c r="K11" i="51" s="1"/>
  <c r="L17" i="50"/>
  <c r="L11" i="51" s="1"/>
  <c r="M17" i="50"/>
  <c r="M11" i="51" s="1"/>
  <c r="E18" i="50"/>
  <c r="E12" i="51" s="1"/>
  <c r="F18" i="50"/>
  <c r="F12" i="51" s="1"/>
  <c r="G18" i="50"/>
  <c r="G12" i="51" s="1"/>
  <c r="H18" i="50"/>
  <c r="H12" i="51" s="1"/>
  <c r="I18" i="50"/>
  <c r="I12" i="51" s="1"/>
  <c r="J18" i="50"/>
  <c r="J12" i="51" s="1"/>
  <c r="K18" i="50"/>
  <c r="K12" i="51" s="1"/>
  <c r="L18" i="50"/>
  <c r="L12" i="51" s="1"/>
  <c r="M18" i="50"/>
  <c r="M12" i="51" s="1"/>
  <c r="E19" i="50"/>
  <c r="E14" i="51" s="1"/>
  <c r="F19" i="50"/>
  <c r="F14" i="51" s="1"/>
  <c r="G19" i="50"/>
  <c r="G14" i="51" s="1"/>
  <c r="H19" i="50"/>
  <c r="H14" i="51" s="1"/>
  <c r="I19" i="50"/>
  <c r="I14" i="51" s="1"/>
  <c r="J19" i="50"/>
  <c r="J14" i="51" s="1"/>
  <c r="K19" i="50"/>
  <c r="K14" i="51" s="1"/>
  <c r="L19" i="50"/>
  <c r="L14" i="51" s="1"/>
  <c r="M19" i="50"/>
  <c r="M14" i="51" s="1"/>
  <c r="E20" i="50"/>
  <c r="E15" i="51" s="1"/>
  <c r="F20" i="50"/>
  <c r="F15" i="51" s="1"/>
  <c r="G20" i="50"/>
  <c r="G15" i="51" s="1"/>
  <c r="H20" i="50"/>
  <c r="H15" i="51" s="1"/>
  <c r="I20" i="50"/>
  <c r="I15" i="51" s="1"/>
  <c r="J20" i="50"/>
  <c r="J15" i="51" s="1"/>
  <c r="K20" i="50"/>
  <c r="K15" i="51" s="1"/>
  <c r="L20" i="50"/>
  <c r="L15" i="51" s="1"/>
  <c r="M20" i="50"/>
  <c r="M15" i="51" s="1"/>
  <c r="E21" i="50"/>
  <c r="E16" i="51" s="1"/>
  <c r="F21" i="50"/>
  <c r="F16" i="51" s="1"/>
  <c r="G21" i="50"/>
  <c r="G16" i="51" s="1"/>
  <c r="H21" i="50"/>
  <c r="H16" i="51" s="1"/>
  <c r="I21" i="50"/>
  <c r="I16" i="51" s="1"/>
  <c r="J21" i="50"/>
  <c r="J16" i="51" s="1"/>
  <c r="K21" i="50"/>
  <c r="K16" i="51" s="1"/>
  <c r="L21" i="50"/>
  <c r="L16" i="51" s="1"/>
  <c r="M21" i="50"/>
  <c r="M16" i="51" s="1"/>
  <c r="E22" i="50"/>
  <c r="E17" i="51" s="1"/>
  <c r="F22" i="50"/>
  <c r="F17" i="51" s="1"/>
  <c r="G22" i="50"/>
  <c r="G17" i="51" s="1"/>
  <c r="H22" i="50"/>
  <c r="H17" i="51" s="1"/>
  <c r="I22" i="50"/>
  <c r="I17" i="51" s="1"/>
  <c r="J22" i="50"/>
  <c r="J17" i="51" s="1"/>
  <c r="K22" i="50"/>
  <c r="K17" i="51" s="1"/>
  <c r="L22" i="50"/>
  <c r="L17" i="51" s="1"/>
  <c r="M22" i="50"/>
  <c r="M17" i="51" s="1"/>
  <c r="D17" i="50"/>
  <c r="D11" i="51" s="1"/>
  <c r="D18" i="50"/>
  <c r="D12" i="51" s="1"/>
  <c r="D19" i="50"/>
  <c r="D14" i="51" s="1"/>
  <c r="D20" i="50"/>
  <c r="D15" i="51" s="1"/>
  <c r="D21" i="50"/>
  <c r="D16" i="51" s="1"/>
  <c r="D22" i="50"/>
  <c r="D17" i="51" s="1"/>
  <c r="D15" i="50"/>
  <c r="G126" i="49"/>
  <c r="H126" i="49"/>
  <c r="I126" i="49"/>
  <c r="J126" i="49"/>
  <c r="K126" i="49"/>
  <c r="L126" i="49"/>
  <c r="M126" i="49"/>
  <c r="N126" i="49"/>
  <c r="O126" i="49"/>
  <c r="F126" i="49"/>
  <c r="D10" i="51" l="1"/>
  <c r="D23" i="50"/>
  <c r="H23" i="50"/>
  <c r="K23" i="50"/>
  <c r="J23" i="50"/>
  <c r="I23" i="50"/>
  <c r="G23" i="50"/>
  <c r="F23" i="50"/>
  <c r="E23" i="50"/>
  <c r="M23" i="50"/>
  <c r="L23" i="50"/>
  <c r="G55" i="50"/>
  <c r="F55" i="50"/>
  <c r="H55" i="50"/>
  <c r="D55" i="50"/>
  <c r="M55" i="50"/>
  <c r="E55" i="50"/>
  <c r="L55" i="50"/>
  <c r="K55" i="50"/>
  <c r="J55" i="50"/>
  <c r="I55" i="50"/>
  <c r="D31" i="51" l="1"/>
  <c r="DS5" i="38" l="1"/>
  <c r="DS6" i="38" s="1"/>
  <c r="DS7" i="38" s="1"/>
  <c r="DS8" i="38" s="1"/>
  <c r="DS9" i="38" s="1"/>
  <c r="DS10" i="38" s="1"/>
  <c r="DS11" i="38" s="1"/>
  <c r="DS12" i="38" s="1"/>
  <c r="DS13" i="38" s="1"/>
  <c r="E19" i="38"/>
  <c r="F19" i="38" s="1"/>
  <c r="G19" i="38" s="1"/>
  <c r="H19" i="38" s="1"/>
  <c r="I19" i="38" s="1"/>
  <c r="J19" i="38" s="1"/>
  <c r="K19" i="38" s="1"/>
  <c r="L19" i="38" s="1"/>
  <c r="M19" i="38" s="1"/>
  <c r="N19" i="38" s="1"/>
  <c r="O19" i="38" s="1"/>
  <c r="P19" i="38" s="1"/>
  <c r="Q19" i="38" s="1"/>
  <c r="R19" i="38" s="1"/>
  <c r="S19" i="38" s="1"/>
  <c r="T19" i="38" s="1"/>
  <c r="U19" i="38" s="1"/>
  <c r="V19" i="38" s="1"/>
  <c r="W19" i="38" s="1"/>
  <c r="X19" i="38" s="1"/>
  <c r="Y19" i="38" s="1"/>
  <c r="Z19" i="38" s="1"/>
  <c r="AA19" i="38" s="1"/>
  <c r="AB19" i="38" s="1"/>
  <c r="AC19" i="38" s="1"/>
  <c r="AD19" i="38" s="1"/>
  <c r="AE19" i="38" s="1"/>
  <c r="AF19" i="38" s="1"/>
  <c r="AG19" i="38" s="1"/>
  <c r="AH19" i="38" s="1"/>
  <c r="AI19" i="38" s="1"/>
  <c r="AJ19" i="38" s="1"/>
  <c r="AK19" i="38" s="1"/>
  <c r="AL19" i="38" s="1"/>
  <c r="AM19" i="38" s="1"/>
  <c r="AN19" i="38" s="1"/>
  <c r="AO19" i="38" s="1"/>
  <c r="AP19" i="38" s="1"/>
  <c r="AQ19" i="38" s="1"/>
  <c r="AR19" i="38" s="1"/>
  <c r="AS19" i="38" s="1"/>
  <c r="AT19" i="38" s="1"/>
  <c r="AU19" i="38" s="1"/>
  <c r="AV19" i="38" s="1"/>
  <c r="AW19" i="38" s="1"/>
  <c r="AX19" i="38" s="1"/>
  <c r="AY19" i="38" s="1"/>
  <c r="AZ19" i="38" s="1"/>
  <c r="BA19" i="38" s="1"/>
  <c r="BB19" i="38" s="1"/>
  <c r="BC19" i="38" s="1"/>
  <c r="BD19" i="38" s="1"/>
  <c r="BE19" i="38" s="1"/>
  <c r="BF19" i="38" s="1"/>
  <c r="BG19" i="38" s="1"/>
  <c r="BH19" i="38" s="1"/>
  <c r="BI19" i="38" s="1"/>
  <c r="BJ19" i="38" s="1"/>
  <c r="BK19" i="38" s="1"/>
  <c r="BL19" i="38" s="1"/>
  <c r="BM19" i="38" s="1"/>
  <c r="BN19" i="38" s="1"/>
  <c r="BO19" i="38" s="1"/>
  <c r="BP19" i="38" s="1"/>
  <c r="BQ19" i="38" s="1"/>
  <c r="BR19" i="38" s="1"/>
  <c r="BS19" i="38" s="1"/>
  <c r="BT19" i="38" s="1"/>
  <c r="BU19" i="38" s="1"/>
  <c r="BV19" i="38" s="1"/>
  <c r="BW19" i="38" s="1"/>
  <c r="BX19" i="38" s="1"/>
  <c r="BY19" i="38" s="1"/>
  <c r="BZ19" i="38" s="1"/>
  <c r="CA19" i="38" s="1"/>
  <c r="CB19" i="38" s="1"/>
  <c r="CC19" i="38" s="1"/>
  <c r="CD19" i="38" s="1"/>
  <c r="CE19" i="38" s="1"/>
  <c r="CF19" i="38" s="1"/>
  <c r="CG19" i="38" s="1"/>
  <c r="CH19" i="38" s="1"/>
  <c r="CI19" i="38" s="1"/>
  <c r="CJ19" i="38" s="1"/>
  <c r="CK19" i="38" s="1"/>
  <c r="CL19" i="38" s="1"/>
  <c r="CM19" i="38" s="1"/>
  <c r="CN19" i="38" s="1"/>
  <c r="CO19" i="38" s="1"/>
  <c r="CP19" i="38" s="1"/>
  <c r="CQ19" i="38" s="1"/>
  <c r="CR19" i="38" s="1"/>
  <c r="CS19" i="38" s="1"/>
  <c r="CT19" i="38" s="1"/>
  <c r="CU19" i="38" s="1"/>
  <c r="CV19" i="38" s="1"/>
  <c r="CW19" i="38" s="1"/>
  <c r="CX19" i="38" s="1"/>
  <c r="CY19" i="38" s="1"/>
  <c r="E3" i="38"/>
  <c r="F3" i="38" s="1"/>
  <c r="G3" i="38" s="1"/>
  <c r="H3" i="38" s="1"/>
  <c r="I3" i="38" s="1"/>
  <c r="J3" i="38" s="1"/>
  <c r="K3" i="38" s="1"/>
  <c r="L3" i="38" s="1"/>
  <c r="M3" i="38" s="1"/>
  <c r="N3" i="38" s="1"/>
  <c r="O3" i="38" s="1"/>
  <c r="P3" i="38" s="1"/>
  <c r="Q3" i="38" s="1"/>
  <c r="R3" i="38" s="1"/>
  <c r="S3" i="38" s="1"/>
  <c r="T3" i="38" s="1"/>
  <c r="U3" i="38" s="1"/>
  <c r="V3" i="38" s="1"/>
  <c r="W3" i="38" s="1"/>
  <c r="X3" i="38" s="1"/>
  <c r="Y3" i="38" s="1"/>
  <c r="Z3" i="38" s="1"/>
  <c r="AA3" i="38" s="1"/>
  <c r="AB3" i="38" s="1"/>
  <c r="AC3" i="38" s="1"/>
  <c r="AD3" i="38" s="1"/>
  <c r="AE3" i="38" s="1"/>
  <c r="AF3" i="38" s="1"/>
  <c r="AG3" i="38" s="1"/>
  <c r="AH3" i="38" s="1"/>
  <c r="AI3" i="38" s="1"/>
  <c r="AJ3" i="38" s="1"/>
  <c r="AK3" i="38" s="1"/>
  <c r="AL3" i="38" s="1"/>
  <c r="AM3" i="38" s="1"/>
  <c r="AN3" i="38" s="1"/>
  <c r="AO3" i="38" s="1"/>
  <c r="AP3" i="38" s="1"/>
  <c r="AQ3" i="38" s="1"/>
  <c r="AR3" i="38" s="1"/>
  <c r="AS3" i="38" s="1"/>
  <c r="AT3" i="38" s="1"/>
  <c r="AU3" i="38" s="1"/>
  <c r="AV3" i="38" s="1"/>
  <c r="AW3" i="38" s="1"/>
  <c r="AX3" i="38" s="1"/>
  <c r="AY3" i="38" s="1"/>
  <c r="AZ3" i="38" s="1"/>
  <c r="BA3" i="38" s="1"/>
  <c r="BB3" i="38" s="1"/>
  <c r="BC3" i="38" s="1"/>
  <c r="BD3" i="38" s="1"/>
  <c r="BE3" i="38" s="1"/>
  <c r="BF3" i="38" s="1"/>
  <c r="BG3" i="38" s="1"/>
  <c r="BH3" i="38" s="1"/>
  <c r="BI3" i="38" s="1"/>
  <c r="BJ3" i="38" s="1"/>
  <c r="BK3" i="38" s="1"/>
  <c r="BL3" i="38" s="1"/>
  <c r="BM3" i="38" s="1"/>
  <c r="BN3" i="38" s="1"/>
  <c r="BO3" i="38" s="1"/>
  <c r="BP3" i="38" s="1"/>
  <c r="BQ3" i="38" s="1"/>
  <c r="BR3" i="38" s="1"/>
  <c r="BS3" i="38" s="1"/>
  <c r="BT3" i="38" s="1"/>
  <c r="BU3" i="38" s="1"/>
  <c r="BV3" i="38" s="1"/>
  <c r="BW3" i="38" s="1"/>
  <c r="BX3" i="38" s="1"/>
  <c r="BY3" i="38" s="1"/>
  <c r="BZ3" i="38" s="1"/>
  <c r="CA3" i="38" s="1"/>
  <c r="CB3" i="38" s="1"/>
  <c r="CC3" i="38" s="1"/>
  <c r="CD3" i="38" s="1"/>
  <c r="CE3" i="38" s="1"/>
  <c r="CF3" i="38" s="1"/>
  <c r="CG3" i="38" s="1"/>
  <c r="CH3" i="38" s="1"/>
  <c r="CI3" i="38" s="1"/>
  <c r="CJ3" i="38" s="1"/>
  <c r="CK3" i="38" s="1"/>
  <c r="CL3" i="38" s="1"/>
  <c r="CM3" i="38" s="1"/>
  <c r="CN3" i="38" s="1"/>
  <c r="CO3" i="38" s="1"/>
  <c r="CP3" i="38" s="1"/>
  <c r="CQ3" i="38" s="1"/>
  <c r="CR3" i="38" s="1"/>
  <c r="CS3" i="38" s="1"/>
  <c r="CT3" i="38" s="1"/>
  <c r="CU3" i="38" s="1"/>
  <c r="CV3" i="38" s="1"/>
  <c r="CW3" i="38" s="1"/>
  <c r="CX3" i="38" s="1"/>
  <c r="CY3" i="38" s="1"/>
  <c r="L30" i="48" l="1"/>
  <c r="K30" i="48"/>
  <c r="J30" i="48"/>
  <c r="I30" i="48"/>
  <c r="H30" i="48"/>
  <c r="G30" i="48"/>
  <c r="F30" i="48"/>
  <c r="E30" i="48"/>
  <c r="D30" i="48"/>
  <c r="C30" i="48"/>
  <c r="F29" i="48"/>
  <c r="G29" i="48"/>
  <c r="H29" i="48"/>
  <c r="I29" i="48"/>
  <c r="J29" i="48"/>
  <c r="K29" i="48"/>
  <c r="L29" i="48"/>
  <c r="E29" i="48"/>
  <c r="D29" i="48"/>
  <c r="C29" i="48"/>
  <c r="L3" i="50"/>
  <c r="M3" i="50"/>
  <c r="L4" i="50"/>
  <c r="M4" i="50"/>
  <c r="L5" i="50"/>
  <c r="M5" i="50"/>
  <c r="L6" i="50"/>
  <c r="M6" i="50"/>
  <c r="L7" i="50"/>
  <c r="M7" i="50"/>
  <c r="L8" i="50"/>
  <c r="M8" i="50"/>
  <c r="L10" i="50"/>
  <c r="M10" i="50"/>
  <c r="E3" i="50"/>
  <c r="F3" i="50"/>
  <c r="G3" i="50"/>
  <c r="H3" i="50"/>
  <c r="I3" i="50"/>
  <c r="J3" i="50"/>
  <c r="K3" i="50"/>
  <c r="E4" i="50"/>
  <c r="F4" i="50"/>
  <c r="G4" i="50"/>
  <c r="H4" i="50"/>
  <c r="I4" i="50"/>
  <c r="J4" i="50"/>
  <c r="K4" i="50"/>
  <c r="E5" i="50"/>
  <c r="F5" i="50"/>
  <c r="G5" i="50"/>
  <c r="H5" i="50"/>
  <c r="I5" i="50"/>
  <c r="J5" i="50"/>
  <c r="K5" i="50"/>
  <c r="E6" i="50"/>
  <c r="F6" i="50"/>
  <c r="G6" i="50"/>
  <c r="H6" i="50"/>
  <c r="I6" i="50"/>
  <c r="J6" i="50"/>
  <c r="K6" i="50"/>
  <c r="E7" i="50"/>
  <c r="F7" i="50"/>
  <c r="G7" i="50"/>
  <c r="H7" i="50"/>
  <c r="I7" i="50"/>
  <c r="J7" i="50"/>
  <c r="K7" i="50"/>
  <c r="E8" i="50"/>
  <c r="F8" i="50"/>
  <c r="G8" i="50"/>
  <c r="H8" i="50"/>
  <c r="I8" i="50"/>
  <c r="J8" i="50"/>
  <c r="K8" i="50"/>
  <c r="E10" i="50"/>
  <c r="F10" i="50"/>
  <c r="G10" i="50"/>
  <c r="H10" i="50"/>
  <c r="I10" i="50"/>
  <c r="J10" i="50"/>
  <c r="K10" i="50"/>
  <c r="D4" i="50"/>
  <c r="D5" i="50"/>
  <c r="D6" i="50"/>
  <c r="D7" i="50"/>
  <c r="D8" i="50"/>
  <c r="D10" i="50"/>
  <c r="D3" i="50"/>
  <c r="B49" i="38"/>
  <c r="B48" i="38"/>
  <c r="C31" i="48" l="1"/>
  <c r="D119" i="40" s="1"/>
  <c r="B50" i="38"/>
  <c r="DK4" i="38"/>
  <c r="D133" i="40"/>
  <c r="D128" i="40"/>
  <c r="C43" i="50" s="1"/>
  <c r="D34" i="51" s="1"/>
  <c r="E115" i="40"/>
  <c r="F115" i="40"/>
  <c r="G115" i="40"/>
  <c r="H115" i="40"/>
  <c r="I115" i="40"/>
  <c r="J115" i="40"/>
  <c r="K115" i="40"/>
  <c r="L115" i="40"/>
  <c r="M115" i="40"/>
  <c r="D115" i="40"/>
  <c r="M48" i="38"/>
  <c r="L48" i="38"/>
  <c r="K48" i="38"/>
  <c r="J48" i="38"/>
  <c r="I48" i="38"/>
  <c r="H48" i="38"/>
  <c r="G48" i="38"/>
  <c r="F48" i="38"/>
  <c r="E48" i="38"/>
  <c r="D48" i="38"/>
  <c r="DN4" i="38" s="1"/>
  <c r="E41" i="38"/>
  <c r="E39" i="38" s="1"/>
  <c r="F41" i="38"/>
  <c r="F39" i="38" s="1"/>
  <c r="G41" i="38"/>
  <c r="G39" i="38" s="1"/>
  <c r="H41" i="38"/>
  <c r="H39" i="38" s="1"/>
  <c r="I41" i="38"/>
  <c r="I39" i="38" s="1"/>
  <c r="J41" i="38"/>
  <c r="J39" i="38" s="1"/>
  <c r="K41" i="38"/>
  <c r="K39" i="38" s="1"/>
  <c r="L41" i="38"/>
  <c r="L39" i="38" s="1"/>
  <c r="M41" i="38"/>
  <c r="M39" i="38" s="1"/>
  <c r="E34" i="38"/>
  <c r="F34" i="38" s="1"/>
  <c r="G34" i="38" s="1"/>
  <c r="H34" i="38" s="1"/>
  <c r="I34" i="38" s="1"/>
  <c r="J34" i="38" s="1"/>
  <c r="K34" i="38" s="1"/>
  <c r="L34" i="38" s="1"/>
  <c r="M34" i="38" s="1"/>
  <c r="N34" i="38" s="1"/>
  <c r="O34" i="38" s="1"/>
  <c r="P34" i="38" s="1"/>
  <c r="Q34" i="38" s="1"/>
  <c r="R34" i="38" s="1"/>
  <c r="S34" i="38" s="1"/>
  <c r="T34" i="38" s="1"/>
  <c r="U34" i="38" s="1"/>
  <c r="V34" i="38" s="1"/>
  <c r="W34" i="38" s="1"/>
  <c r="X34" i="38" s="1"/>
  <c r="Y34" i="38" s="1"/>
  <c r="Z34" i="38" s="1"/>
  <c r="AA34" i="38" s="1"/>
  <c r="AB34" i="38" s="1"/>
  <c r="AC34" i="38" s="1"/>
  <c r="AD34" i="38" s="1"/>
  <c r="AE34" i="38" s="1"/>
  <c r="AF34" i="38" s="1"/>
  <c r="AG34" i="38" s="1"/>
  <c r="AH34" i="38" s="1"/>
  <c r="AI34" i="38" s="1"/>
  <c r="AJ34" i="38" s="1"/>
  <c r="AK34" i="38" s="1"/>
  <c r="AL34" i="38" s="1"/>
  <c r="AM34" i="38" s="1"/>
  <c r="AN34" i="38" s="1"/>
  <c r="AO34" i="38" s="1"/>
  <c r="AP34" i="38" s="1"/>
  <c r="AQ34" i="38" s="1"/>
  <c r="AR34" i="38" s="1"/>
  <c r="AS34" i="38" s="1"/>
  <c r="AT34" i="38" s="1"/>
  <c r="AU34" i="38" s="1"/>
  <c r="AV34" i="38" s="1"/>
  <c r="AW34" i="38" s="1"/>
  <c r="AX34" i="38" s="1"/>
  <c r="AY34" i="38" s="1"/>
  <c r="AZ34" i="38" s="1"/>
  <c r="BA34" i="38" s="1"/>
  <c r="BB34" i="38" s="1"/>
  <c r="BC34" i="38" s="1"/>
  <c r="BD34" i="38" s="1"/>
  <c r="BE34" i="38" s="1"/>
  <c r="BF34" i="38" s="1"/>
  <c r="BG34" i="38" s="1"/>
  <c r="BH34" i="38" s="1"/>
  <c r="BI34" i="38" s="1"/>
  <c r="BJ34" i="38" s="1"/>
  <c r="BK34" i="38" s="1"/>
  <c r="BL34" i="38" s="1"/>
  <c r="BM34" i="38" s="1"/>
  <c r="BN34" i="38" s="1"/>
  <c r="BO34" i="38" s="1"/>
  <c r="BP34" i="38" s="1"/>
  <c r="BQ34" i="38" s="1"/>
  <c r="BR34" i="38" s="1"/>
  <c r="BS34" i="38" s="1"/>
  <c r="BT34" i="38" s="1"/>
  <c r="BU34" i="38" s="1"/>
  <c r="BV34" i="38" s="1"/>
  <c r="BW34" i="38" s="1"/>
  <c r="BX34" i="38" s="1"/>
  <c r="BY34" i="38" s="1"/>
  <c r="BZ34" i="38" s="1"/>
  <c r="CA34" i="38" s="1"/>
  <c r="CB34" i="38" s="1"/>
  <c r="CC34" i="38" s="1"/>
  <c r="CD34" i="38" s="1"/>
  <c r="CE34" i="38" s="1"/>
  <c r="CF34" i="38" s="1"/>
  <c r="CG34" i="38" s="1"/>
  <c r="CH34" i="38" s="1"/>
  <c r="CI34" i="38" s="1"/>
  <c r="CJ34" i="38" s="1"/>
  <c r="CK34" i="38" s="1"/>
  <c r="CL34" i="38" s="1"/>
  <c r="CM34" i="38" s="1"/>
  <c r="CN34" i="38" s="1"/>
  <c r="CO34" i="38" s="1"/>
  <c r="CP34" i="38" s="1"/>
  <c r="CQ34" i="38" s="1"/>
  <c r="CR34" i="38" s="1"/>
  <c r="CS34" i="38" s="1"/>
  <c r="CT34" i="38" s="1"/>
  <c r="CU34" i="38" s="1"/>
  <c r="CV34" i="38" s="1"/>
  <c r="CW34" i="38" s="1"/>
  <c r="CX34" i="38" s="1"/>
  <c r="CY34" i="38" s="1"/>
  <c r="K31" i="48"/>
  <c r="L119" i="40" s="1"/>
  <c r="I31" i="48"/>
  <c r="J119" i="40" s="1"/>
  <c r="G31" i="48"/>
  <c r="H119" i="40" s="1"/>
  <c r="F31" i="48"/>
  <c r="G119" i="40" s="1"/>
  <c r="E31" i="48"/>
  <c r="F119" i="40" s="1"/>
  <c r="L27" i="48"/>
  <c r="K27" i="48"/>
  <c r="J27" i="48"/>
  <c r="I27" i="48"/>
  <c r="H27" i="48"/>
  <c r="G27" i="48"/>
  <c r="F27" i="48"/>
  <c r="E27" i="48"/>
  <c r="D27" i="48"/>
  <c r="C27" i="48"/>
  <c r="L26" i="48"/>
  <c r="K26" i="48"/>
  <c r="J26" i="48"/>
  <c r="I26" i="48"/>
  <c r="H26" i="48"/>
  <c r="G26" i="48"/>
  <c r="F26" i="48"/>
  <c r="E26" i="48"/>
  <c r="D26" i="48"/>
  <c r="C26" i="48"/>
  <c r="L20" i="48"/>
  <c r="K20" i="48"/>
  <c r="J20" i="48"/>
  <c r="I20" i="48"/>
  <c r="H20" i="48"/>
  <c r="G20" i="48"/>
  <c r="F20" i="48"/>
  <c r="E20" i="48"/>
  <c r="D20" i="48"/>
  <c r="C20" i="48"/>
  <c r="L19" i="48"/>
  <c r="K19" i="48"/>
  <c r="J19" i="48"/>
  <c r="I19" i="48"/>
  <c r="H19" i="48"/>
  <c r="G19" i="48"/>
  <c r="F19" i="48"/>
  <c r="E19" i="48"/>
  <c r="D19" i="48"/>
  <c r="C19" i="48"/>
  <c r="L17" i="48"/>
  <c r="K17" i="48"/>
  <c r="J17" i="48"/>
  <c r="I17" i="48"/>
  <c r="H17" i="48"/>
  <c r="G17" i="48"/>
  <c r="F17" i="48"/>
  <c r="E17" i="48"/>
  <c r="D17" i="48"/>
  <c r="C17" i="48"/>
  <c r="L12" i="48"/>
  <c r="K12" i="48"/>
  <c r="J12" i="48"/>
  <c r="I12" i="48"/>
  <c r="H12" i="48"/>
  <c r="G12" i="48"/>
  <c r="F12" i="48"/>
  <c r="E12" i="48"/>
  <c r="D12" i="48"/>
  <c r="C12" i="48"/>
  <c r="L11" i="48"/>
  <c r="K11" i="48"/>
  <c r="J11" i="48"/>
  <c r="I11" i="48"/>
  <c r="H11" i="48"/>
  <c r="G11" i="48"/>
  <c r="F11" i="48"/>
  <c r="E11" i="48"/>
  <c r="D11" i="48"/>
  <c r="C11" i="48"/>
  <c r="L10" i="48"/>
  <c r="K10" i="48"/>
  <c r="J10" i="48"/>
  <c r="I10" i="48"/>
  <c r="H10" i="48"/>
  <c r="G10" i="48"/>
  <c r="F10" i="48"/>
  <c r="E10" i="48"/>
  <c r="D10" i="48"/>
  <c r="C10" i="48"/>
  <c r="L7" i="48"/>
  <c r="K7" i="48"/>
  <c r="J7" i="48"/>
  <c r="I7" i="48"/>
  <c r="H7" i="48"/>
  <c r="G7" i="48"/>
  <c r="F7" i="48"/>
  <c r="E7" i="48"/>
  <c r="D7" i="48"/>
  <c r="C7" i="48"/>
  <c r="L6" i="48"/>
  <c r="K6" i="48"/>
  <c r="J6" i="48"/>
  <c r="I6" i="48"/>
  <c r="H6" i="48"/>
  <c r="G6" i="48"/>
  <c r="F6" i="48"/>
  <c r="E6" i="48"/>
  <c r="D6" i="48"/>
  <c r="C6" i="48"/>
  <c r="L5" i="48"/>
  <c r="K5" i="48"/>
  <c r="J5" i="48"/>
  <c r="I5" i="48"/>
  <c r="H5" i="48"/>
  <c r="G5" i="48"/>
  <c r="F5" i="48"/>
  <c r="E5" i="48"/>
  <c r="D5" i="48"/>
  <c r="C5" i="48"/>
  <c r="L4" i="48"/>
  <c r="K4" i="48"/>
  <c r="J4" i="48"/>
  <c r="I4" i="48"/>
  <c r="H4" i="48"/>
  <c r="G4" i="48"/>
  <c r="F4" i="48"/>
  <c r="E4" i="48"/>
  <c r="D4" i="48"/>
  <c r="C4" i="48"/>
  <c r="L3" i="48"/>
  <c r="K3" i="48"/>
  <c r="J3" i="48"/>
  <c r="I3" i="48"/>
  <c r="H3" i="48"/>
  <c r="G3" i="48"/>
  <c r="F3" i="48"/>
  <c r="E3" i="48"/>
  <c r="D3" i="48"/>
  <c r="C3" i="48"/>
  <c r="CQ53" i="38" l="1"/>
  <c r="CQ55" i="38" s="1"/>
  <c r="CQ57" i="38" s="1"/>
  <c r="CQ59" i="38" s="1"/>
  <c r="CS53" i="38"/>
  <c r="CS55" i="38" s="1"/>
  <c r="CS57" i="38" s="1"/>
  <c r="CS59" i="38" s="1"/>
  <c r="CF53" i="38"/>
  <c r="CF55" i="38" s="1"/>
  <c r="CE53" i="38"/>
  <c r="CE55" i="38" s="1"/>
  <c r="CE57" i="38" s="1"/>
  <c r="CE59" i="38" s="1"/>
  <c r="AL53" i="38"/>
  <c r="AL55" i="38" s="1"/>
  <c r="AL57" i="38" s="1"/>
  <c r="AL59" i="38" s="1"/>
  <c r="AD53" i="38"/>
  <c r="AD55" i="38" s="1"/>
  <c r="AD57" i="38" s="1"/>
  <c r="AD59" i="38" s="1"/>
  <c r="Y53" i="38"/>
  <c r="Y55" i="38" s="1"/>
  <c r="Y57" i="38" s="1"/>
  <c r="Y59" i="38" s="1"/>
  <c r="Z53" i="38"/>
  <c r="Z55" i="38" s="1"/>
  <c r="Z57" i="38" s="1"/>
  <c r="Z59" i="38" s="1"/>
  <c r="AM53" i="38"/>
  <c r="AM55" i="38" s="1"/>
  <c r="AM57" i="38" s="1"/>
  <c r="AM59" i="38" s="1"/>
  <c r="BR53" i="38"/>
  <c r="BR55" i="38" s="1"/>
  <c r="BR57" i="38" s="1"/>
  <c r="BR59" i="38" s="1"/>
  <c r="CD53" i="38"/>
  <c r="CD55" i="38" s="1"/>
  <c r="CD57" i="38" s="1"/>
  <c r="CD59" i="38" s="1"/>
  <c r="AH53" i="38"/>
  <c r="AH55" i="38" s="1"/>
  <c r="AP53" i="38"/>
  <c r="AP55" i="38" s="1"/>
  <c r="AP57" i="38" s="1"/>
  <c r="AP59" i="38" s="1"/>
  <c r="CA53" i="38"/>
  <c r="CA55" i="38" s="1"/>
  <c r="CA57" i="38" s="1"/>
  <c r="CA59" i="38" s="1"/>
  <c r="AG53" i="38"/>
  <c r="AG55" i="38" s="1"/>
  <c r="CH53" i="38"/>
  <c r="CH55" i="38" s="1"/>
  <c r="BW53" i="38"/>
  <c r="BW55" i="38" s="1"/>
  <c r="BW57" i="38" s="1"/>
  <c r="BW59" i="38" s="1"/>
  <c r="BD53" i="38"/>
  <c r="BD55" i="38" s="1"/>
  <c r="X53" i="38"/>
  <c r="X55" i="38" s="1"/>
  <c r="AE53" i="38"/>
  <c r="AE55" i="38" s="1"/>
  <c r="AE57" i="38" s="1"/>
  <c r="AE59" i="38" s="1"/>
  <c r="BA53" i="38"/>
  <c r="BA55" i="38" s="1"/>
  <c r="BA57" i="38" s="1"/>
  <c r="BA59" i="38" s="1"/>
  <c r="BT53" i="38"/>
  <c r="BT55" i="38" s="1"/>
  <c r="BT57" i="38" s="1"/>
  <c r="BT59" i="38" s="1"/>
  <c r="BB53" i="38"/>
  <c r="BB55" i="38" s="1"/>
  <c r="BX53" i="38"/>
  <c r="BX55" i="38" s="1"/>
  <c r="BX57" i="38" s="1"/>
  <c r="BX59" i="38" s="1"/>
  <c r="CT53" i="38"/>
  <c r="CT55" i="38" s="1"/>
  <c r="CT57" i="38" s="1"/>
  <c r="CT59" i="38" s="1"/>
  <c r="CC53" i="38"/>
  <c r="CC55" i="38" s="1"/>
  <c r="CC57" i="38" s="1"/>
  <c r="CC59" i="38" s="1"/>
  <c r="U53" i="38"/>
  <c r="U55" i="38" s="1"/>
  <c r="U57" i="38" s="1"/>
  <c r="U59" i="38" s="1"/>
  <c r="P53" i="38"/>
  <c r="P55" i="38" s="1"/>
  <c r="P57" i="38" s="1"/>
  <c r="P59" i="38" s="1"/>
  <c r="BQ53" i="38"/>
  <c r="BQ55" i="38" s="1"/>
  <c r="BQ57" i="38" s="1"/>
  <c r="BQ59" i="38" s="1"/>
  <c r="CO53" i="38"/>
  <c r="CO55" i="38" s="1"/>
  <c r="CO57" i="38" s="1"/>
  <c r="CO59" i="38" s="1"/>
  <c r="CV53" i="38"/>
  <c r="CV55" i="38" s="1"/>
  <c r="BY53" i="38"/>
  <c r="BY55" i="38" s="1"/>
  <c r="BY57" i="38" s="1"/>
  <c r="BY59" i="38" s="1"/>
  <c r="AR53" i="38"/>
  <c r="AR55" i="38" s="1"/>
  <c r="AR57" i="38" s="1"/>
  <c r="AR59" i="38" s="1"/>
  <c r="CG53" i="38"/>
  <c r="CG55" i="38" s="1"/>
  <c r="W53" i="38"/>
  <c r="W55" i="38" s="1"/>
  <c r="V53" i="38"/>
  <c r="V55" i="38" s="1"/>
  <c r="BN53" i="38"/>
  <c r="BN55" i="38" s="1"/>
  <c r="BI53" i="38"/>
  <c r="BI55" i="38" s="1"/>
  <c r="BI57" i="38" s="1"/>
  <c r="BI59" i="38" s="1"/>
  <c r="AQ53" i="38"/>
  <c r="AQ55" i="38" s="1"/>
  <c r="AZ53" i="38"/>
  <c r="AZ55" i="38" s="1"/>
  <c r="AX53" i="38"/>
  <c r="AX55" i="38" s="1"/>
  <c r="AX57" i="38" s="1"/>
  <c r="AX59" i="38" s="1"/>
  <c r="CN53" i="38"/>
  <c r="CN55" i="38" s="1"/>
  <c r="AO53" i="38"/>
  <c r="AO55" i="38" s="1"/>
  <c r="AO57" i="38" s="1"/>
  <c r="AO59" i="38" s="1"/>
  <c r="CB53" i="38"/>
  <c r="CB55" i="38" s="1"/>
  <c r="AI53" i="38"/>
  <c r="AI55" i="38" s="1"/>
  <c r="AI57" i="38" s="1"/>
  <c r="AI59" i="38" s="1"/>
  <c r="AU53" i="38"/>
  <c r="AU55" i="38" s="1"/>
  <c r="AU57" i="38" s="1"/>
  <c r="AU59" i="38" s="1"/>
  <c r="Q53" i="38"/>
  <c r="Q55" i="38" s="1"/>
  <c r="Q57" i="38" s="1"/>
  <c r="Q59" i="38" s="1"/>
  <c r="CU53" i="38"/>
  <c r="CU55" i="38" s="1"/>
  <c r="CU57" i="38" s="1"/>
  <c r="CU59" i="38" s="1"/>
  <c r="N53" i="38"/>
  <c r="N55" i="38" s="1"/>
  <c r="CL53" i="38"/>
  <c r="CL55" i="38" s="1"/>
  <c r="CL57" i="38" s="1"/>
  <c r="CL59" i="38" s="1"/>
  <c r="CM53" i="38"/>
  <c r="CM55" i="38" s="1"/>
  <c r="CM57" i="38" s="1"/>
  <c r="CM59" i="38" s="1"/>
  <c r="CY53" i="38"/>
  <c r="CY55" i="38" s="1"/>
  <c r="CY57" i="38" s="1"/>
  <c r="CY59" i="38" s="1"/>
  <c r="AJ53" i="38"/>
  <c r="AJ55" i="38" s="1"/>
  <c r="AV53" i="38"/>
  <c r="AV55" i="38" s="1"/>
  <c r="AW53" i="38"/>
  <c r="AW55" i="38" s="1"/>
  <c r="AW57" i="38" s="1"/>
  <c r="AW59" i="38" s="1"/>
  <c r="BL53" i="38"/>
  <c r="BL55" i="38" s="1"/>
  <c r="BL57" i="38" s="1"/>
  <c r="BL59" i="38" s="1"/>
  <c r="S53" i="38"/>
  <c r="S55" i="38" s="1"/>
  <c r="S57" i="38" s="1"/>
  <c r="S59" i="38" s="1"/>
  <c r="BJ53" i="38"/>
  <c r="BJ55" i="38" s="1"/>
  <c r="BJ57" i="38" s="1"/>
  <c r="BJ59" i="38" s="1"/>
  <c r="O53" i="38"/>
  <c r="O55" i="38" s="1"/>
  <c r="O57" i="38" s="1"/>
  <c r="O59" i="38" s="1"/>
  <c r="BE53" i="38"/>
  <c r="BE55" i="38" s="1"/>
  <c r="BE57" i="38" s="1"/>
  <c r="BE59" i="38" s="1"/>
  <c r="BC53" i="38"/>
  <c r="BC55" i="38" s="1"/>
  <c r="BC57" i="38" s="1"/>
  <c r="BC59" i="38" s="1"/>
  <c r="BV53" i="38"/>
  <c r="BV55" i="38" s="1"/>
  <c r="BV57" i="38" s="1"/>
  <c r="BV59" i="38" s="1"/>
  <c r="AK53" i="38"/>
  <c r="AK55" i="38" s="1"/>
  <c r="AK57" i="38" s="1"/>
  <c r="AK59" i="38" s="1"/>
  <c r="AN53" i="38"/>
  <c r="AN55" i="38" s="1"/>
  <c r="AN57" i="38" s="1"/>
  <c r="AN59" i="38" s="1"/>
  <c r="BU53" i="38"/>
  <c r="BU55" i="38" s="1"/>
  <c r="BU57" i="38" s="1"/>
  <c r="BU59" i="38" s="1"/>
  <c r="AS53" i="38"/>
  <c r="AS55" i="38" s="1"/>
  <c r="AS57" i="38" s="1"/>
  <c r="AS59" i="38" s="1"/>
  <c r="BZ53" i="38"/>
  <c r="BZ55" i="38" s="1"/>
  <c r="BZ57" i="38" s="1"/>
  <c r="BZ59" i="38" s="1"/>
  <c r="AB53" i="38"/>
  <c r="AB55" i="38" s="1"/>
  <c r="AB57" i="38" s="1"/>
  <c r="AB59" i="38" s="1"/>
  <c r="CR53" i="38"/>
  <c r="CR55" i="38" s="1"/>
  <c r="CR57" i="38" s="1"/>
  <c r="CR59" i="38" s="1"/>
  <c r="BP53" i="38"/>
  <c r="BP55" i="38" s="1"/>
  <c r="AY53" i="38"/>
  <c r="AY55" i="38" s="1"/>
  <c r="CW53" i="38"/>
  <c r="CW55" i="38" s="1"/>
  <c r="CW57" i="38" s="1"/>
  <c r="CW59" i="38" s="1"/>
  <c r="BG53" i="38"/>
  <c r="BG55" i="38" s="1"/>
  <c r="BG57" i="38" s="1"/>
  <c r="BG59" i="38" s="1"/>
  <c r="R53" i="38"/>
  <c r="R55" i="38" s="1"/>
  <c r="CK53" i="38"/>
  <c r="CK55" i="38" s="1"/>
  <c r="CK57" i="38" s="1"/>
  <c r="CK59" i="38" s="1"/>
  <c r="AC53" i="38"/>
  <c r="AC55" i="38" s="1"/>
  <c r="AC57" i="38" s="1"/>
  <c r="AC59" i="38" s="1"/>
  <c r="CI53" i="38"/>
  <c r="CI55" i="38" s="1"/>
  <c r="AA53" i="38"/>
  <c r="AA55" i="38" s="1"/>
  <c r="AA57" i="38" s="1"/>
  <c r="AA59" i="38" s="1"/>
  <c r="AT53" i="38"/>
  <c r="AT55" i="38" s="1"/>
  <c r="AT57" i="38" s="1"/>
  <c r="AT59" i="38" s="1"/>
  <c r="T53" i="38"/>
  <c r="T55" i="38" s="1"/>
  <c r="T57" i="38" s="1"/>
  <c r="T59" i="38" s="1"/>
  <c r="BH53" i="38"/>
  <c r="BH55" i="38" s="1"/>
  <c r="BH57" i="38" s="1"/>
  <c r="BH59" i="38" s="1"/>
  <c r="BO53" i="38"/>
  <c r="BO55" i="38" s="1"/>
  <c r="BO57" i="38" s="1"/>
  <c r="BO59" i="38" s="1"/>
  <c r="BK53" i="38"/>
  <c r="BK55" i="38" s="1"/>
  <c r="BK57" i="38" s="1"/>
  <c r="BK59" i="38" s="1"/>
  <c r="BM53" i="38"/>
  <c r="BM55" i="38" s="1"/>
  <c r="BM57" i="38" s="1"/>
  <c r="BM59" i="38" s="1"/>
  <c r="CX53" i="38"/>
  <c r="CX55" i="38" s="1"/>
  <c r="BS53" i="38"/>
  <c r="BS55" i="38" s="1"/>
  <c r="BS57" i="38" s="1"/>
  <c r="BS59" i="38" s="1"/>
  <c r="CP53" i="38"/>
  <c r="CP55" i="38" s="1"/>
  <c r="CP57" i="38" s="1"/>
  <c r="CP59" i="38" s="1"/>
  <c r="CJ53" i="38"/>
  <c r="CJ55" i="38" s="1"/>
  <c r="CJ57" i="38" s="1"/>
  <c r="CJ59" i="38" s="1"/>
  <c r="AF53" i="38"/>
  <c r="AF55" i="38" s="1"/>
  <c r="AF57" i="38" s="1"/>
  <c r="AF59" i="38" s="1"/>
  <c r="BF53" i="38"/>
  <c r="BF55" i="38" s="1"/>
  <c r="BF57" i="38" s="1"/>
  <c r="BF59" i="38" s="1"/>
  <c r="C48" i="50"/>
  <c r="D31" i="48"/>
  <c r="E119" i="40" s="1"/>
  <c r="L31" i="48"/>
  <c r="M119" i="40" s="1"/>
  <c r="H31" i="48"/>
  <c r="I119" i="40" s="1"/>
  <c r="J31" i="48"/>
  <c r="K119" i="40" s="1"/>
  <c r="D2" i="48"/>
  <c r="E2" i="48" s="1"/>
  <c r="F2" i="48" s="1"/>
  <c r="G2" i="48" s="1"/>
  <c r="H2" i="48" s="1"/>
  <c r="I2" i="48" s="1"/>
  <c r="J2" i="48" s="1"/>
  <c r="K2" i="48" s="1"/>
  <c r="L2" i="48" s="1"/>
  <c r="M2" i="48" s="1"/>
  <c r="N2" i="48" s="1"/>
  <c r="O2" i="48" s="1"/>
  <c r="P2" i="48" s="1"/>
  <c r="Q2" i="48" s="1"/>
  <c r="R2" i="48" s="1"/>
  <c r="S2" i="48" s="1"/>
  <c r="T2" i="48" s="1"/>
  <c r="U2" i="48" s="1"/>
  <c r="V2" i="48" s="1"/>
  <c r="W2" i="48" s="1"/>
  <c r="X2" i="48" s="1"/>
  <c r="Y2" i="48" s="1"/>
  <c r="Z2" i="48" s="1"/>
  <c r="AA2" i="48" s="1"/>
  <c r="AB2" i="48" s="1"/>
  <c r="AC2" i="48" s="1"/>
  <c r="AD2" i="48" s="1"/>
  <c r="AE2" i="48" s="1"/>
  <c r="AF2" i="48" s="1"/>
  <c r="AG2" i="48" s="1"/>
  <c r="AH2" i="48" s="1"/>
  <c r="AI2" i="48" s="1"/>
  <c r="AJ2" i="48" s="1"/>
  <c r="AK2" i="48" s="1"/>
  <c r="AL2" i="48" s="1"/>
  <c r="AM2" i="48" s="1"/>
  <c r="AN2" i="48" s="1"/>
  <c r="AO2" i="48" s="1"/>
  <c r="AP2" i="48" s="1"/>
  <c r="AQ2" i="48" s="1"/>
  <c r="AR2" i="48" s="1"/>
  <c r="AS2" i="48" s="1"/>
  <c r="AT2" i="48" s="1"/>
  <c r="AU2" i="48" s="1"/>
  <c r="AV2" i="48" s="1"/>
  <c r="AW2" i="48" s="1"/>
  <c r="AX2" i="48" s="1"/>
  <c r="AY2" i="48" s="1"/>
  <c r="AZ2" i="48" s="1"/>
  <c r="BA2" i="48" s="1"/>
  <c r="BB2" i="48" s="1"/>
  <c r="BC2" i="48" s="1"/>
  <c r="BD2" i="48" s="1"/>
  <c r="BE2" i="48" s="1"/>
  <c r="BF2" i="48" s="1"/>
  <c r="BG2" i="48" s="1"/>
  <c r="BH2" i="48" s="1"/>
  <c r="BI2" i="48" s="1"/>
  <c r="BJ2" i="48" s="1"/>
  <c r="BK2" i="48" s="1"/>
  <c r="BL2" i="48" s="1"/>
  <c r="BM2" i="48" s="1"/>
  <c r="BN2" i="48" s="1"/>
  <c r="BO2" i="48" s="1"/>
  <c r="BP2" i="48" s="1"/>
  <c r="BQ2" i="48" s="1"/>
  <c r="BR2" i="48" s="1"/>
  <c r="BS2" i="48" s="1"/>
  <c r="BT2" i="48" s="1"/>
  <c r="BU2" i="48" s="1"/>
  <c r="BV2" i="48" s="1"/>
  <c r="BW2" i="48" s="1"/>
  <c r="BX2" i="48" s="1"/>
  <c r="BY2" i="48" s="1"/>
  <c r="BZ2" i="48" s="1"/>
  <c r="CA2" i="48" s="1"/>
  <c r="CB2" i="48" s="1"/>
  <c r="CC2" i="48" s="1"/>
  <c r="CD2" i="48" s="1"/>
  <c r="CE2" i="48" s="1"/>
  <c r="CF2" i="48" s="1"/>
  <c r="CG2" i="48" s="1"/>
  <c r="CH2" i="48" s="1"/>
  <c r="CI2" i="48" s="1"/>
  <c r="CJ2" i="48" s="1"/>
  <c r="CK2" i="48" s="1"/>
  <c r="CL2" i="48" s="1"/>
  <c r="CM2" i="48" s="1"/>
  <c r="CN2" i="48" s="1"/>
  <c r="CO2" i="48" s="1"/>
  <c r="CP2" i="48" s="1"/>
  <c r="CQ2" i="48" s="1"/>
  <c r="CR2" i="48" s="1"/>
  <c r="CS2" i="48" s="1"/>
  <c r="CT2" i="48" s="1"/>
  <c r="CU2" i="48" s="1"/>
  <c r="CV2" i="48" s="1"/>
  <c r="CW2" i="48" s="1"/>
  <c r="CX2" i="48" s="1"/>
  <c r="CV57" i="38" l="1"/>
  <c r="CV59" i="38" s="1"/>
  <c r="AG57" i="38"/>
  <c r="AG59" i="38" s="1"/>
  <c r="CA40" i="50"/>
  <c r="CA117" i="40"/>
  <c r="CA118" i="40" s="1"/>
  <c r="AP117" i="40"/>
  <c r="AP118" i="40" s="1"/>
  <c r="AP40" i="50"/>
  <c r="AN117" i="40"/>
  <c r="AN118" i="40" s="1"/>
  <c r="AN40" i="50"/>
  <c r="AU40" i="50"/>
  <c r="AU117" i="40"/>
  <c r="AU118" i="40" s="1"/>
  <c r="CB57" i="38"/>
  <c r="CB59" i="38" s="1"/>
  <c r="P40" i="50"/>
  <c r="P117" i="40"/>
  <c r="P118" i="40" s="1"/>
  <c r="AH57" i="38"/>
  <c r="AH59" i="38" s="1"/>
  <c r="BY40" i="50"/>
  <c r="BY117" i="40"/>
  <c r="BY118" i="40" s="1"/>
  <c r="AI40" i="50"/>
  <c r="AI117" i="40"/>
  <c r="AI118" i="40" s="1"/>
  <c r="O40" i="50"/>
  <c r="O117" i="40"/>
  <c r="O118" i="40" s="1"/>
  <c r="AO117" i="40"/>
  <c r="AO118" i="40" s="1"/>
  <c r="AO40" i="50"/>
  <c r="U40" i="50"/>
  <c r="U117" i="40"/>
  <c r="U118" i="40" s="1"/>
  <c r="CD40" i="50"/>
  <c r="CD117" i="40"/>
  <c r="CD118" i="40" s="1"/>
  <c r="BR117" i="40"/>
  <c r="BR118" i="40" s="1"/>
  <c r="BR40" i="50"/>
  <c r="AK40" i="50"/>
  <c r="AK117" i="40"/>
  <c r="AK118" i="40" s="1"/>
  <c r="AM117" i="40"/>
  <c r="AM118" i="40" s="1"/>
  <c r="AM40" i="50"/>
  <c r="T117" i="40"/>
  <c r="T118" i="40" s="1"/>
  <c r="T40" i="50"/>
  <c r="BQ40" i="50"/>
  <c r="BQ117" i="40"/>
  <c r="BQ118" i="40" s="1"/>
  <c r="CN57" i="38"/>
  <c r="CN59" i="38" s="1"/>
  <c r="AZ57" i="38"/>
  <c r="AZ59" i="38" s="1"/>
  <c r="Z117" i="40"/>
  <c r="Z118" i="40" s="1"/>
  <c r="Z40" i="50"/>
  <c r="CU40" i="50"/>
  <c r="CU117" i="40"/>
  <c r="CU118" i="40" s="1"/>
  <c r="BE117" i="40"/>
  <c r="BE118" i="40" s="1"/>
  <c r="BE40" i="50"/>
  <c r="CT40" i="50"/>
  <c r="CT117" i="40"/>
  <c r="CT118" i="40" s="1"/>
  <c r="AY57" i="38"/>
  <c r="AY59" i="38" s="1"/>
  <c r="AQ57" i="38"/>
  <c r="AQ59" i="38" s="1"/>
  <c r="BB57" i="38"/>
  <c r="BB59" i="38" s="1"/>
  <c r="Y117" i="40"/>
  <c r="Y118" i="40" s="1"/>
  <c r="Y40" i="50"/>
  <c r="BV117" i="40"/>
  <c r="BV118" i="40" s="1"/>
  <c r="BV40" i="50"/>
  <c r="BF117" i="40"/>
  <c r="BF118" i="40" s="1"/>
  <c r="BF40" i="50"/>
  <c r="S40" i="50"/>
  <c r="S117" i="40"/>
  <c r="S118" i="40" s="1"/>
  <c r="BS117" i="40"/>
  <c r="BS118" i="40" s="1"/>
  <c r="BS40" i="50"/>
  <c r="BT117" i="40"/>
  <c r="BT118" i="40" s="1"/>
  <c r="BT40" i="50"/>
  <c r="AD40" i="50"/>
  <c r="AD117" i="40"/>
  <c r="AD118" i="40" s="1"/>
  <c r="AT40" i="50"/>
  <c r="AT117" i="40"/>
  <c r="AT118" i="40" s="1"/>
  <c r="CK117" i="40"/>
  <c r="CK118" i="40" s="1"/>
  <c r="CK40" i="50"/>
  <c r="AF40" i="50"/>
  <c r="AF117" i="40"/>
  <c r="AF118" i="40" s="1"/>
  <c r="BX117" i="40"/>
  <c r="BX118" i="40" s="1"/>
  <c r="BX40" i="50"/>
  <c r="AV57" i="38"/>
  <c r="AV59" i="38" s="1"/>
  <c r="BA40" i="50"/>
  <c r="BA117" i="40"/>
  <c r="BA118" i="40" s="1"/>
  <c r="AL117" i="40"/>
  <c r="AL118" i="40" s="1"/>
  <c r="AL40" i="50"/>
  <c r="Q40" i="50"/>
  <c r="Q117" i="40"/>
  <c r="Q118" i="40" s="1"/>
  <c r="AC40" i="50"/>
  <c r="AC117" i="40"/>
  <c r="AC118" i="40" s="1"/>
  <c r="AX40" i="50"/>
  <c r="AX117" i="40"/>
  <c r="AX118" i="40" s="1"/>
  <c r="CP40" i="50"/>
  <c r="CP117" i="40"/>
  <c r="CP118" i="40" s="1"/>
  <c r="BM40" i="50"/>
  <c r="BM117" i="40"/>
  <c r="BM118" i="40" s="1"/>
  <c r="AE40" i="50"/>
  <c r="AE117" i="40"/>
  <c r="AE118" i="40" s="1"/>
  <c r="CE40" i="50"/>
  <c r="CE117" i="40"/>
  <c r="CE118" i="40" s="1"/>
  <c r="CO40" i="50"/>
  <c r="CO117" i="40"/>
  <c r="CO118" i="40" s="1"/>
  <c r="CC40" i="50"/>
  <c r="CC117" i="40"/>
  <c r="CC118" i="40" s="1"/>
  <c r="CW40" i="50"/>
  <c r="CW117" i="40"/>
  <c r="CW118" i="40" s="1"/>
  <c r="BP57" i="38"/>
  <c r="BP59" i="38" s="1"/>
  <c r="CX57" i="38"/>
  <c r="CX59" i="38" s="1"/>
  <c r="BZ40" i="50"/>
  <c r="BZ117" i="40"/>
  <c r="BZ118" i="40" s="1"/>
  <c r="W57" i="38"/>
  <c r="W59" i="38" s="1"/>
  <c r="X57" i="38"/>
  <c r="X59" i="38" s="1"/>
  <c r="CF57" i="38"/>
  <c r="CF59" i="38" s="1"/>
  <c r="CH57" i="38"/>
  <c r="CH59" i="38" s="1"/>
  <c r="BC117" i="40"/>
  <c r="BC118" i="40" s="1"/>
  <c r="BC40" i="50"/>
  <c r="BJ40" i="50"/>
  <c r="BJ117" i="40"/>
  <c r="BJ118" i="40" s="1"/>
  <c r="BG117" i="40"/>
  <c r="BG118" i="40" s="1"/>
  <c r="BG40" i="50"/>
  <c r="BL40" i="50"/>
  <c r="BL117" i="40"/>
  <c r="BL118" i="40" s="1"/>
  <c r="BI40" i="50"/>
  <c r="BI117" i="40"/>
  <c r="BI118" i="40" s="1"/>
  <c r="AJ57" i="38"/>
  <c r="AJ59" i="38"/>
  <c r="E108" i="40"/>
  <c r="CY40" i="50"/>
  <c r="CY117" i="40"/>
  <c r="CY118" i="40" s="1"/>
  <c r="BK40" i="50"/>
  <c r="BK117" i="40"/>
  <c r="BK118" i="40" s="1"/>
  <c r="BO40" i="50"/>
  <c r="BO117" i="40"/>
  <c r="BO118" i="40" s="1"/>
  <c r="AS40" i="50"/>
  <c r="AS117" i="40"/>
  <c r="AS118" i="40" s="1"/>
  <c r="CL117" i="40"/>
  <c r="CL118" i="40" s="1"/>
  <c r="CL40" i="50"/>
  <c r="CG57" i="38"/>
  <c r="CG59" i="38" s="1"/>
  <c r="BD57" i="38"/>
  <c r="BD59" i="38" s="1"/>
  <c r="CS40" i="50"/>
  <c r="CS117" i="40"/>
  <c r="CS118" i="40" s="1"/>
  <c r="AA117" i="40"/>
  <c r="AA118" i="40" s="1"/>
  <c r="AA40" i="50"/>
  <c r="CI57" i="38"/>
  <c r="CI59" i="38" s="1"/>
  <c r="R57" i="38"/>
  <c r="R59" i="38" s="1"/>
  <c r="CJ117" i="40"/>
  <c r="CJ118" i="40" s="1"/>
  <c r="CJ40" i="50"/>
  <c r="AW40" i="50"/>
  <c r="AW117" i="40"/>
  <c r="AW118" i="40" s="1"/>
  <c r="CR40" i="50"/>
  <c r="CR117" i="40"/>
  <c r="CR118" i="40" s="1"/>
  <c r="BN57" i="38"/>
  <c r="BN59" i="38" s="1"/>
  <c r="AB117" i="40"/>
  <c r="AB118" i="40" s="1"/>
  <c r="AB40" i="50"/>
  <c r="V57" i="38"/>
  <c r="V59" i="38" s="1"/>
  <c r="CM117" i="40"/>
  <c r="CM118" i="40" s="1"/>
  <c r="CM40" i="50"/>
  <c r="BH117" i="40"/>
  <c r="BH118" i="40" s="1"/>
  <c r="BH40" i="50"/>
  <c r="BU117" i="40"/>
  <c r="BU118" i="40" s="1"/>
  <c r="BU40" i="50"/>
  <c r="N57" i="38"/>
  <c r="N59" i="38" s="1"/>
  <c r="AR117" i="40"/>
  <c r="AR118" i="40" s="1"/>
  <c r="AR40" i="50"/>
  <c r="BW117" i="40"/>
  <c r="BW118" i="40" s="1"/>
  <c r="BW40" i="50"/>
  <c r="CQ40" i="50"/>
  <c r="CQ117" i="40"/>
  <c r="CQ118" i="40" s="1"/>
  <c r="D110" i="40"/>
  <c r="AP9" i="40"/>
  <c r="AP10" i="40" s="1"/>
  <c r="AF9" i="40"/>
  <c r="W9" i="40"/>
  <c r="W10" i="40" s="1"/>
  <c r="W11" i="40" s="1"/>
  <c r="R9" i="40"/>
  <c r="T9" i="40" s="1"/>
  <c r="B9" i="40"/>
  <c r="AR8" i="40"/>
  <c r="AQ8" i="40"/>
  <c r="AJ8" i="40"/>
  <c r="T8" i="40"/>
  <c r="O8" i="40"/>
  <c r="F8" i="40"/>
  <c r="S8" i="40" s="1"/>
  <c r="CH117" i="40" l="1"/>
  <c r="CH118" i="40" s="1"/>
  <c r="CH40" i="50"/>
  <c r="CF117" i="40"/>
  <c r="CF118" i="40" s="1"/>
  <c r="CF40" i="50"/>
  <c r="X117" i="40"/>
  <c r="X118" i="40" s="1"/>
  <c r="X40" i="50"/>
  <c r="CX117" i="40"/>
  <c r="CX118" i="40" s="1"/>
  <c r="CX40" i="50"/>
  <c r="BB117" i="40"/>
  <c r="BB118" i="40" s="1"/>
  <c r="BB40" i="50"/>
  <c r="R40" i="50"/>
  <c r="R117" i="40"/>
  <c r="R118" i="40" s="1"/>
  <c r="CI117" i="40"/>
  <c r="CI118" i="40" s="1"/>
  <c r="CI40" i="50"/>
  <c r="CB40" i="50"/>
  <c r="CB117" i="40"/>
  <c r="CB118" i="40" s="1"/>
  <c r="CG40" i="50"/>
  <c r="CG117" i="40"/>
  <c r="CG118" i="40" s="1"/>
  <c r="BN40" i="50"/>
  <c r="BN117" i="40"/>
  <c r="BN118" i="40" s="1"/>
  <c r="AY40" i="50"/>
  <c r="AY117" i="40"/>
  <c r="AY118" i="40" s="1"/>
  <c r="BP117" i="40"/>
  <c r="BP118" i="40" s="1"/>
  <c r="BP40" i="50"/>
  <c r="BX32" i="50"/>
  <c r="BX42" i="50" s="1"/>
  <c r="BX28" i="50"/>
  <c r="BF28" i="50"/>
  <c r="BF32" i="50"/>
  <c r="BF42" i="50" s="1"/>
  <c r="BR32" i="50"/>
  <c r="BR42" i="50" s="1"/>
  <c r="BR28" i="50"/>
  <c r="W117" i="40"/>
  <c r="W118" i="40" s="1"/>
  <c r="W40" i="50"/>
  <c r="CL28" i="50"/>
  <c r="CL32" i="50"/>
  <c r="CL42" i="50" s="1"/>
  <c r="BL28" i="50"/>
  <c r="BL32" i="50"/>
  <c r="BL42" i="50" s="1"/>
  <c r="BZ28" i="50"/>
  <c r="BZ32" i="50"/>
  <c r="BZ42" i="50" s="1"/>
  <c r="BM32" i="50"/>
  <c r="BM42" i="50" s="1"/>
  <c r="BM28" i="50"/>
  <c r="CU32" i="50"/>
  <c r="CU42" i="50" s="1"/>
  <c r="CU28" i="50"/>
  <c r="P28" i="50"/>
  <c r="P32" i="50"/>
  <c r="P42" i="50" s="1"/>
  <c r="CQ32" i="50"/>
  <c r="CQ42" i="50" s="1"/>
  <c r="CQ28" i="50"/>
  <c r="BS28" i="50"/>
  <c r="BS32" i="50"/>
  <c r="BS42" i="50" s="1"/>
  <c r="CE32" i="50"/>
  <c r="CE42" i="50" s="1"/>
  <c r="CE28" i="50"/>
  <c r="AR32" i="50"/>
  <c r="AR42" i="50" s="1"/>
  <c r="AR28" i="50"/>
  <c r="CR32" i="50"/>
  <c r="CR42" i="50" s="1"/>
  <c r="CR28" i="50"/>
  <c r="N40" i="50"/>
  <c r="N117" i="40"/>
  <c r="N118" i="40" s="1"/>
  <c r="AW28" i="50"/>
  <c r="AW32" i="50"/>
  <c r="AW42" i="50" s="1"/>
  <c r="BG28" i="50"/>
  <c r="BG32" i="50"/>
  <c r="BG42" i="50" s="1"/>
  <c r="BV28" i="50"/>
  <c r="BV32" i="50"/>
  <c r="BV42" i="50" s="1"/>
  <c r="Z28" i="50"/>
  <c r="Z32" i="50"/>
  <c r="Z42" i="50" s="1"/>
  <c r="CO28" i="50"/>
  <c r="CO32" i="50"/>
  <c r="CO42" i="50" s="1"/>
  <c r="CJ28" i="50"/>
  <c r="CJ32" i="50"/>
  <c r="CJ42" i="50" s="1"/>
  <c r="CP28" i="50"/>
  <c r="CP32" i="50"/>
  <c r="CP42" i="50" s="1"/>
  <c r="AF32" i="50"/>
  <c r="AF42" i="50" s="1"/>
  <c r="AF28" i="50"/>
  <c r="CD32" i="50"/>
  <c r="CD42" i="50" s="1"/>
  <c r="CD28" i="50"/>
  <c r="AS28" i="50"/>
  <c r="AS32" i="50"/>
  <c r="AS42" i="50" s="1"/>
  <c r="CK32" i="50"/>
  <c r="CK42" i="50" s="1"/>
  <c r="CK28" i="50"/>
  <c r="Y32" i="50"/>
  <c r="Y42" i="50" s="1"/>
  <c r="Y28" i="50"/>
  <c r="AZ117" i="40"/>
  <c r="AZ118" i="40" s="1"/>
  <c r="AZ40" i="50"/>
  <c r="BH32" i="50"/>
  <c r="BH42" i="50" s="1"/>
  <c r="BH28" i="50"/>
  <c r="BJ28" i="50"/>
  <c r="BJ32" i="50"/>
  <c r="BJ42" i="50" s="1"/>
  <c r="AX32" i="50"/>
  <c r="AX42" i="50" s="1"/>
  <c r="AX28" i="50"/>
  <c r="U32" i="50"/>
  <c r="U42" i="50" s="1"/>
  <c r="U28" i="50"/>
  <c r="AU32" i="50"/>
  <c r="AU42" i="50" s="1"/>
  <c r="AU28" i="50"/>
  <c r="CN117" i="40"/>
  <c r="CN118" i="40" s="1"/>
  <c r="CN40" i="50"/>
  <c r="AO32" i="50"/>
  <c r="AO42" i="50" s="1"/>
  <c r="AO28" i="50"/>
  <c r="AN28" i="50"/>
  <c r="AN32" i="50"/>
  <c r="AN42" i="50" s="1"/>
  <c r="CS32" i="50"/>
  <c r="CS42" i="50" s="1"/>
  <c r="CS28" i="50"/>
  <c r="BU32" i="50"/>
  <c r="BU42" i="50" s="1"/>
  <c r="BU28" i="50"/>
  <c r="BC28" i="50"/>
  <c r="BC32" i="50"/>
  <c r="BC42" i="50" s="1"/>
  <c r="BK32" i="50"/>
  <c r="BK42" i="50" s="1"/>
  <c r="BK28" i="50"/>
  <c r="AP28" i="50"/>
  <c r="AP32" i="50"/>
  <c r="AP42" i="50" s="1"/>
  <c r="AB32" i="50"/>
  <c r="AB42" i="50" s="1"/>
  <c r="AB28" i="50"/>
  <c r="BO32" i="50"/>
  <c r="BO42" i="50" s="1"/>
  <c r="BO28" i="50"/>
  <c r="CM28" i="50"/>
  <c r="CM32" i="50"/>
  <c r="CM42" i="50" s="1"/>
  <c r="CW32" i="50"/>
  <c r="CW42" i="50" s="1"/>
  <c r="CW28" i="50"/>
  <c r="AC28" i="50"/>
  <c r="AC32" i="50"/>
  <c r="AC42" i="50" s="1"/>
  <c r="AA28" i="50"/>
  <c r="AA32" i="50"/>
  <c r="AA42" i="50" s="1"/>
  <c r="CC32" i="50"/>
  <c r="CC42" i="50" s="1"/>
  <c r="CC28" i="50"/>
  <c r="Q32" i="50"/>
  <c r="Q42" i="50" s="1"/>
  <c r="Q28" i="50"/>
  <c r="AD28" i="50"/>
  <c r="AD32" i="50"/>
  <c r="AD42" i="50" s="1"/>
  <c r="AQ117" i="40"/>
  <c r="AQ118" i="40" s="1"/>
  <c r="AQ40" i="50"/>
  <c r="BQ32" i="50"/>
  <c r="BQ42" i="50" s="1"/>
  <c r="BQ28" i="50"/>
  <c r="O32" i="50"/>
  <c r="O42" i="50" s="1"/>
  <c r="O28" i="50"/>
  <c r="O29" i="50" s="1"/>
  <c r="O30" i="50" s="1"/>
  <c r="O31" i="50" s="1"/>
  <c r="AT28" i="50"/>
  <c r="AT32" i="50"/>
  <c r="AT42" i="50" s="1"/>
  <c r="V117" i="40"/>
  <c r="V118" i="40" s="1"/>
  <c r="V40" i="50"/>
  <c r="CY28" i="50"/>
  <c r="CY32" i="50"/>
  <c r="CY42" i="50" s="1"/>
  <c r="AL32" i="50"/>
  <c r="AL42" i="50" s="1"/>
  <c r="AL28" i="50"/>
  <c r="BT28" i="50"/>
  <c r="BT32" i="50"/>
  <c r="BT42" i="50" s="1"/>
  <c r="T28" i="50"/>
  <c r="T32" i="50"/>
  <c r="T42" i="50" s="1"/>
  <c r="AI32" i="50"/>
  <c r="AI42" i="50" s="1"/>
  <c r="AI28" i="50"/>
  <c r="CA32" i="50"/>
  <c r="CA42" i="50" s="1"/>
  <c r="CA28" i="50"/>
  <c r="AG40" i="50"/>
  <c r="AG117" i="40"/>
  <c r="AG118" i="40" s="1"/>
  <c r="G108" i="40"/>
  <c r="AK108" i="40"/>
  <c r="AL108" i="40" s="1"/>
  <c r="I108" i="40"/>
  <c r="H108" i="40"/>
  <c r="AJ117" i="40"/>
  <c r="AJ118" i="40" s="1"/>
  <c r="AJ40" i="50"/>
  <c r="AM28" i="50"/>
  <c r="AM32" i="50"/>
  <c r="AM42" i="50" s="1"/>
  <c r="BW28" i="50"/>
  <c r="BW32" i="50"/>
  <c r="BW42" i="50" s="1"/>
  <c r="BD117" i="40"/>
  <c r="BD118" i="40" s="1"/>
  <c r="BD40" i="50"/>
  <c r="BA28" i="50"/>
  <c r="BA32" i="50"/>
  <c r="BA42" i="50" s="1"/>
  <c r="CT32" i="50"/>
  <c r="CT42" i="50" s="1"/>
  <c r="CT28" i="50"/>
  <c r="BY28" i="50"/>
  <c r="BY32" i="50"/>
  <c r="BY42" i="50" s="1"/>
  <c r="AV40" i="50"/>
  <c r="AV117" i="40"/>
  <c r="AV118" i="40" s="1"/>
  <c r="BE32" i="50"/>
  <c r="BE42" i="50" s="1"/>
  <c r="BE28" i="50"/>
  <c r="AH40" i="50"/>
  <c r="AH117" i="40"/>
  <c r="AH118" i="40" s="1"/>
  <c r="CV117" i="40"/>
  <c r="CV118" i="40" s="1"/>
  <c r="CV40" i="50"/>
  <c r="BI28" i="50"/>
  <c r="BI32" i="50"/>
  <c r="BI42" i="50" s="1"/>
  <c r="AE32" i="50"/>
  <c r="AE42" i="50" s="1"/>
  <c r="AE28" i="50"/>
  <c r="S32" i="50"/>
  <c r="S42" i="50" s="1"/>
  <c r="S28" i="50"/>
  <c r="AK32" i="50"/>
  <c r="AK42" i="50" s="1"/>
  <c r="AK28" i="50"/>
  <c r="T16" i="50"/>
  <c r="T23" i="50" s="1"/>
  <c r="T26" i="50" s="1"/>
  <c r="T27" i="50" s="1"/>
  <c r="U16" i="50"/>
  <c r="U23" i="50" s="1"/>
  <c r="U26" i="50" s="1"/>
  <c r="U27" i="50" s="1"/>
  <c r="R16" i="50"/>
  <c r="R23" i="50" s="1"/>
  <c r="R26" i="50" s="1"/>
  <c r="R27" i="50" s="1"/>
  <c r="S16" i="50"/>
  <c r="S23" i="50" s="1"/>
  <c r="S26" i="50" s="1"/>
  <c r="S27" i="50" s="1"/>
  <c r="P16" i="50"/>
  <c r="P23" i="50" s="1"/>
  <c r="P26" i="50" s="1"/>
  <c r="P27" i="50" s="1"/>
  <c r="Q16" i="50"/>
  <c r="Q23" i="50" s="1"/>
  <c r="Q26" i="50" s="1"/>
  <c r="Q27" i="50" s="1"/>
  <c r="AH9" i="40"/>
  <c r="AM9" i="40"/>
  <c r="O9" i="40"/>
  <c r="R10" i="40"/>
  <c r="R11" i="40" s="1"/>
  <c r="Z10" i="40"/>
  <c r="X8" i="40"/>
  <c r="U8" i="40"/>
  <c r="AI8" i="40"/>
  <c r="AQ10" i="40"/>
  <c r="AP11" i="40"/>
  <c r="AQ9" i="40"/>
  <c r="Z11" i="40"/>
  <c r="W12" i="40"/>
  <c r="Z9" i="40"/>
  <c r="B10" i="40"/>
  <c r="AF10" i="40"/>
  <c r="P8" i="40"/>
  <c r="CB28" i="50" l="1"/>
  <c r="CB32" i="50"/>
  <c r="CB42" i="50" s="1"/>
  <c r="CN32" i="50"/>
  <c r="CN42" i="50" s="1"/>
  <c r="CN28" i="50"/>
  <c r="CI28" i="50"/>
  <c r="CI32" i="50"/>
  <c r="CI42" i="50" s="1"/>
  <c r="CV28" i="50"/>
  <c r="CV32" i="50"/>
  <c r="CV42" i="50" s="1"/>
  <c r="AQ28" i="50"/>
  <c r="AQ32" i="50"/>
  <c r="AQ42" i="50" s="1"/>
  <c r="W28" i="50"/>
  <c r="W32" i="50"/>
  <c r="W42" i="50" s="1"/>
  <c r="AJ28" i="50"/>
  <c r="AJ32" i="50"/>
  <c r="AJ42" i="50" s="1"/>
  <c r="R32" i="50"/>
  <c r="R42" i="50" s="1"/>
  <c r="R28" i="50"/>
  <c r="R29" i="50" s="1"/>
  <c r="R30" i="50" s="1"/>
  <c r="R31" i="50" s="1"/>
  <c r="R33" i="50" s="1"/>
  <c r="R121" i="40" s="1"/>
  <c r="BB28" i="50"/>
  <c r="BB32" i="50"/>
  <c r="BB42" i="50" s="1"/>
  <c r="BP28" i="50"/>
  <c r="BP32" i="50"/>
  <c r="BP42" i="50" s="1"/>
  <c r="CX32" i="50"/>
  <c r="CX42" i="50" s="1"/>
  <c r="CX28" i="50"/>
  <c r="N28" i="50"/>
  <c r="N29" i="50" s="1"/>
  <c r="N30" i="50" s="1"/>
  <c r="N31" i="50" s="1"/>
  <c r="N32" i="50"/>
  <c r="N42" i="50" s="1"/>
  <c r="X28" i="50"/>
  <c r="X32" i="50"/>
  <c r="X42" i="50" s="1"/>
  <c r="AY32" i="50"/>
  <c r="AY42" i="50" s="1"/>
  <c r="AY28" i="50"/>
  <c r="AH32" i="50"/>
  <c r="AH42" i="50" s="1"/>
  <c r="AH28" i="50"/>
  <c r="CF28" i="50"/>
  <c r="CF32" i="50"/>
  <c r="CF42" i="50" s="1"/>
  <c r="O122" i="40"/>
  <c r="O33" i="50"/>
  <c r="O121" i="40" s="1"/>
  <c r="O136" i="40"/>
  <c r="O35" i="50"/>
  <c r="BN32" i="50"/>
  <c r="BN42" i="50" s="1"/>
  <c r="BN28" i="50"/>
  <c r="AV28" i="50"/>
  <c r="AV32" i="50"/>
  <c r="AV42" i="50" s="1"/>
  <c r="V28" i="50"/>
  <c r="V32" i="50"/>
  <c r="V42" i="50" s="1"/>
  <c r="BD28" i="50"/>
  <c r="BD32" i="50"/>
  <c r="BD42" i="50" s="1"/>
  <c r="AZ28" i="50"/>
  <c r="AZ32" i="50"/>
  <c r="AZ42" i="50" s="1"/>
  <c r="CH32" i="50"/>
  <c r="CH42" i="50" s="1"/>
  <c r="CH28" i="50"/>
  <c r="AG32" i="50"/>
  <c r="AG42" i="50" s="1"/>
  <c r="AG28" i="50"/>
  <c r="CG32" i="50"/>
  <c r="CG42" i="50" s="1"/>
  <c r="CG28" i="50"/>
  <c r="P29" i="50"/>
  <c r="P30" i="50" s="1"/>
  <c r="P31" i="50" s="1"/>
  <c r="P35" i="50" s="1"/>
  <c r="T29" i="50"/>
  <c r="T30" i="50" s="1"/>
  <c r="T31" i="50" s="1"/>
  <c r="T35" i="50" s="1"/>
  <c r="T120" i="40"/>
  <c r="U29" i="50"/>
  <c r="U30" i="50" s="1"/>
  <c r="U31" i="50" s="1"/>
  <c r="U120" i="40"/>
  <c r="R120" i="40"/>
  <c r="S29" i="50"/>
  <c r="S30" i="50" s="1"/>
  <c r="S31" i="50" s="1"/>
  <c r="S120" i="40"/>
  <c r="P120" i="40"/>
  <c r="Q29" i="50"/>
  <c r="Q30" i="50" s="1"/>
  <c r="Q31" i="50" s="1"/>
  <c r="Q120" i="40"/>
  <c r="AM10" i="40"/>
  <c r="T10" i="40"/>
  <c r="AH10" i="40"/>
  <c r="AF11" i="40"/>
  <c r="O10" i="40"/>
  <c r="B11" i="40"/>
  <c r="W13" i="40"/>
  <c r="Z12" i="40"/>
  <c r="AA8" i="40"/>
  <c r="Y8" i="40"/>
  <c r="AQ11" i="40"/>
  <c r="AP12" i="40"/>
  <c r="R12" i="40"/>
  <c r="T11" i="40"/>
  <c r="N122" i="40" l="1"/>
  <c r="N35" i="50"/>
  <c r="N33" i="50"/>
  <c r="N121" i="40" s="1"/>
  <c r="N136" i="40"/>
  <c r="P122" i="40"/>
  <c r="P33" i="50"/>
  <c r="P121" i="40" s="1"/>
  <c r="T136" i="40"/>
  <c r="T33" i="50"/>
  <c r="T121" i="40" s="1"/>
  <c r="P136" i="40"/>
  <c r="T122" i="40"/>
  <c r="R35" i="50"/>
  <c r="R122" i="40"/>
  <c r="R136" i="40"/>
  <c r="U136" i="40"/>
  <c r="U122" i="40"/>
  <c r="U35" i="50"/>
  <c r="U33" i="50"/>
  <c r="U121" i="40" s="1"/>
  <c r="S122" i="40"/>
  <c r="S136" i="40"/>
  <c r="S33" i="50"/>
  <c r="S121" i="40" s="1"/>
  <c r="S35" i="50"/>
  <c r="Q122" i="40"/>
  <c r="Q33" i="50"/>
  <c r="Q121" i="40" s="1"/>
  <c r="Q136" i="40"/>
  <c r="Q35" i="50"/>
  <c r="AM11" i="40"/>
  <c r="AB8" i="40"/>
  <c r="AD8" i="40" s="1"/>
  <c r="AC8" i="40"/>
  <c r="W14" i="40"/>
  <c r="Z13" i="40"/>
  <c r="AQ12" i="40"/>
  <c r="AP13" i="40"/>
  <c r="AH11" i="40"/>
  <c r="AF12" i="40"/>
  <c r="T12" i="40"/>
  <c r="R13" i="40"/>
  <c r="O11" i="40"/>
  <c r="B12" i="40"/>
  <c r="AM12" i="40" l="1"/>
  <c r="W15" i="40"/>
  <c r="Z14" i="40"/>
  <c r="AF13" i="40"/>
  <c r="AM13" i="40" s="1"/>
  <c r="AH12" i="40"/>
  <c r="B13" i="40"/>
  <c r="O12" i="40"/>
  <c r="AP14" i="40"/>
  <c r="AQ13" i="40"/>
  <c r="T13" i="40"/>
  <c r="R14" i="40"/>
  <c r="AQ14" i="40" l="1"/>
  <c r="AP15" i="40"/>
  <c r="R15" i="40"/>
  <c r="T14" i="40"/>
  <c r="AF14" i="40"/>
  <c r="AM14" i="40" s="1"/>
  <c r="AH13" i="40"/>
  <c r="B14" i="40"/>
  <c r="O13" i="40"/>
  <c r="Z15" i="40"/>
  <c r="W16" i="40"/>
  <c r="R16" i="40" l="1"/>
  <c r="T15" i="40"/>
  <c r="O14" i="40"/>
  <c r="B15" i="40"/>
  <c r="AH14" i="40"/>
  <c r="AF15" i="40"/>
  <c r="AM15" i="40" s="1"/>
  <c r="W17" i="40"/>
  <c r="Z16" i="40"/>
  <c r="AQ15" i="40"/>
  <c r="AP16" i="40"/>
  <c r="O15" i="40" l="1"/>
  <c r="B16" i="40"/>
  <c r="AQ16" i="40"/>
  <c r="AP17" i="40"/>
  <c r="AH15" i="40"/>
  <c r="AF16" i="40"/>
  <c r="AM16" i="40" s="1"/>
  <c r="T16" i="40"/>
  <c r="R17" i="40"/>
  <c r="W18" i="40"/>
  <c r="Z17" i="40"/>
  <c r="Z18" i="40" l="1"/>
  <c r="W19" i="40"/>
  <c r="AP18" i="40"/>
  <c r="AQ18" i="40" s="1"/>
  <c r="AQ17" i="40"/>
  <c r="AF17" i="40"/>
  <c r="AM17" i="40" s="1"/>
  <c r="AH16" i="40"/>
  <c r="B17" i="40"/>
  <c r="O16" i="40"/>
  <c r="T17" i="40"/>
  <c r="R18" i="40"/>
  <c r="Z19" i="40" l="1"/>
  <c r="W20" i="40"/>
  <c r="T18" i="40"/>
  <c r="R19" i="40"/>
  <c r="B18" i="40"/>
  <c r="O17" i="40"/>
  <c r="AF18" i="40"/>
  <c r="AM18" i="40" s="1"/>
  <c r="AM110" i="40" s="1"/>
  <c r="AH17" i="40"/>
  <c r="B19" i="40" l="1"/>
  <c r="C19" i="40" a="1"/>
  <c r="C19" i="40" s="1"/>
  <c r="W21" i="40"/>
  <c r="Z20" i="40"/>
  <c r="R20" i="40"/>
  <c r="T19" i="40"/>
  <c r="O18" i="40"/>
  <c r="AH18" i="40"/>
  <c r="T20" i="40" l="1"/>
  <c r="R21" i="40"/>
  <c r="Z21" i="40"/>
  <c r="W22" i="40"/>
  <c r="O19" i="40"/>
  <c r="B20" i="40"/>
  <c r="C20" i="40" a="1"/>
  <c r="C20" i="40" s="1"/>
  <c r="E19" i="40"/>
  <c r="AK19" i="40" s="1"/>
  <c r="AL19" i="40" s="1"/>
  <c r="DH5" i="38"/>
  <c r="DB5" i="38"/>
  <c r="DM14" i="38" l="1"/>
  <c r="H19" i="40"/>
  <c r="I19" i="40"/>
  <c r="J19" i="40" s="1"/>
  <c r="G19" i="40"/>
  <c r="T21" i="40"/>
  <c r="R22" i="40"/>
  <c r="B21" i="40"/>
  <c r="O20" i="40"/>
  <c r="C21" i="40" a="1"/>
  <c r="C21" i="40" s="1"/>
  <c r="E20" i="40"/>
  <c r="Z22" i="40"/>
  <c r="W23" i="40"/>
  <c r="DB6" i="38"/>
  <c r="DB7" i="38" s="1"/>
  <c r="DB8" i="38" s="1"/>
  <c r="DB9" i="38" s="1"/>
  <c r="DB10" i="38" s="1"/>
  <c r="DB11" i="38" s="1"/>
  <c r="DB12" i="38" s="1"/>
  <c r="DB13" i="38" s="1"/>
  <c r="DH6" i="38"/>
  <c r="DH7" i="38" s="1"/>
  <c r="DH8" i="38" s="1"/>
  <c r="DH9" i="38" s="1"/>
  <c r="DH10" i="38" s="1"/>
  <c r="DH11" i="38" s="1"/>
  <c r="DH12" i="38" s="1"/>
  <c r="DH13" i="38" s="1"/>
  <c r="DH14" i="38" s="1"/>
  <c r="DN5" i="38"/>
  <c r="DK5" i="38"/>
  <c r="C22" i="2"/>
  <c r="DL14" i="38" l="1"/>
  <c r="DK14" i="38"/>
  <c r="DJ14" i="38"/>
  <c r="DI14" i="38"/>
  <c r="DO14" i="38"/>
  <c r="DH15" i="38"/>
  <c r="DL15" i="38"/>
  <c r="DJ15" i="38"/>
  <c r="DP14" i="38"/>
  <c r="DN14" i="38"/>
  <c r="F20" i="40"/>
  <c r="AK20" i="40"/>
  <c r="AL20" i="40" s="1"/>
  <c r="K19" i="40"/>
  <c r="L19" i="40" s="1"/>
  <c r="N19" i="40" s="1"/>
  <c r="AG19" i="40"/>
  <c r="AI19" i="40" s="1"/>
  <c r="T22" i="40"/>
  <c r="R23" i="40"/>
  <c r="G20" i="40"/>
  <c r="I20" i="40"/>
  <c r="J20" i="40" s="1"/>
  <c r="AG20" i="40" s="1"/>
  <c r="AI20" i="40" s="1"/>
  <c r="H20" i="40"/>
  <c r="Z23" i="40"/>
  <c r="W24" i="40"/>
  <c r="B22" i="40"/>
  <c r="O21" i="40"/>
  <c r="C22" i="40" a="1"/>
  <c r="C22" i="40" s="1"/>
  <c r="E21" i="40"/>
  <c r="DN6" i="38"/>
  <c r="DK11" i="38"/>
  <c r="DN13" i="38"/>
  <c r="DK10" i="38"/>
  <c r="DN11" i="38"/>
  <c r="DK6" i="38"/>
  <c r="DN9" i="38"/>
  <c r="DK8" i="38"/>
  <c r="DK7" i="38"/>
  <c r="DK9" i="38"/>
  <c r="DN10" i="38"/>
  <c r="DN12" i="38"/>
  <c r="DN7" i="38"/>
  <c r="DK13" i="38"/>
  <c r="DK12" i="38"/>
  <c r="DN8" i="38"/>
  <c r="C13" i="48"/>
  <c r="C21" i="48"/>
  <c r="C8" i="48"/>
  <c r="D21" i="48"/>
  <c r="D13" i="48"/>
  <c r="DK15" i="38" l="1"/>
  <c r="DH16" i="38"/>
  <c r="DO16" i="38"/>
  <c r="DI15" i="38"/>
  <c r="DM15" i="38"/>
  <c r="DO15" i="38"/>
  <c r="DP15" i="38"/>
  <c r="DI16" i="38"/>
  <c r="DN15" i="38"/>
  <c r="DK16" i="38"/>
  <c r="DN16" i="38"/>
  <c r="DL16" i="38"/>
  <c r="F21" i="40"/>
  <c r="AK21" i="40"/>
  <c r="AL21" i="40" s="1"/>
  <c r="AS19" i="40"/>
  <c r="AJ20" i="40"/>
  <c r="AR20" i="40"/>
  <c r="O22" i="40"/>
  <c r="B23" i="40"/>
  <c r="C23" i="40" a="1"/>
  <c r="C23" i="40" s="1"/>
  <c r="E22" i="40"/>
  <c r="Z24" i="40"/>
  <c r="W25" i="40"/>
  <c r="H21" i="40"/>
  <c r="I21" i="40"/>
  <c r="J21" i="40" s="1"/>
  <c r="AG21" i="40" s="1"/>
  <c r="AI21" i="40" s="1"/>
  <c r="G21" i="40"/>
  <c r="E23" i="40"/>
  <c r="AK23" i="40" s="1"/>
  <c r="AL23" i="40" s="1"/>
  <c r="K20" i="40"/>
  <c r="L20" i="40" s="1"/>
  <c r="T23" i="40"/>
  <c r="R24" i="40"/>
  <c r="E21" i="48"/>
  <c r="G21" i="48"/>
  <c r="F21" i="48"/>
  <c r="G13" i="48"/>
  <c r="F13" i="48"/>
  <c r="C15" i="48"/>
  <c r="D8" i="48"/>
  <c r="E13" i="48"/>
  <c r="C23" i="48"/>
  <c r="DH17" i="38" l="1"/>
  <c r="DM16" i="38"/>
  <c r="DP16" i="38"/>
  <c r="DJ16" i="38"/>
  <c r="AS20" i="40"/>
  <c r="N20" i="40"/>
  <c r="F22" i="40"/>
  <c r="AK22" i="40"/>
  <c r="AL22" i="40" s="1"/>
  <c r="AR21" i="40"/>
  <c r="AJ21" i="40"/>
  <c r="M20" i="40"/>
  <c r="K21" i="40"/>
  <c r="L21" i="40" s="1"/>
  <c r="W26" i="40"/>
  <c r="Z25" i="40"/>
  <c r="G22" i="40"/>
  <c r="F23" i="40"/>
  <c r="H22" i="40"/>
  <c r="I22" i="40"/>
  <c r="J22" i="40" s="1"/>
  <c r="AG22" i="40" s="1"/>
  <c r="AI22" i="40" s="1"/>
  <c r="G23" i="40"/>
  <c r="H23" i="40"/>
  <c r="I23" i="40"/>
  <c r="J23" i="40" s="1"/>
  <c r="AG23" i="40" s="1"/>
  <c r="AI23" i="40" s="1"/>
  <c r="B24" i="40"/>
  <c r="O23" i="40"/>
  <c r="C24" i="40" a="1"/>
  <c r="C24" i="40" s="1"/>
  <c r="T24" i="40"/>
  <c r="R25" i="40"/>
  <c r="E8" i="48"/>
  <c r="E15" i="48" s="1"/>
  <c r="H21" i="48"/>
  <c r="D23" i="48"/>
  <c r="D15" i="48"/>
  <c r="H13" i="48"/>
  <c r="DI18" i="38" l="1"/>
  <c r="DP17" i="38"/>
  <c r="DH18" i="38"/>
  <c r="DI17" i="38"/>
  <c r="DO17" i="38"/>
  <c r="DM17" i="38"/>
  <c r="DL18" i="38"/>
  <c r="DN17" i="38"/>
  <c r="DJ17" i="38"/>
  <c r="DL17" i="38"/>
  <c r="DK18" i="38"/>
  <c r="DN18" i="38"/>
  <c r="DP18" i="38"/>
  <c r="DJ18" i="38"/>
  <c r="DM18" i="38"/>
  <c r="DK17" i="38"/>
  <c r="AS21" i="40"/>
  <c r="N21" i="40"/>
  <c r="AJ23" i="40"/>
  <c r="AR23" i="40"/>
  <c r="AR22" i="40"/>
  <c r="AJ22" i="40"/>
  <c r="K23" i="40"/>
  <c r="L23" i="40" s="1"/>
  <c r="M21" i="40"/>
  <c r="K22" i="40"/>
  <c r="L22" i="40" s="1"/>
  <c r="R26" i="40"/>
  <c r="T25" i="40"/>
  <c r="W27" i="40"/>
  <c r="Z26" i="40"/>
  <c r="P20" i="40"/>
  <c r="S20" i="40"/>
  <c r="O24" i="40"/>
  <c r="B25" i="40"/>
  <c r="C25" i="40" a="1"/>
  <c r="C25" i="40" s="1"/>
  <c r="E24" i="40"/>
  <c r="AK24" i="40" s="1"/>
  <c r="AL24" i="40" s="1"/>
  <c r="E23" i="48"/>
  <c r="I13" i="48"/>
  <c r="F8" i="48"/>
  <c r="I21" i="48"/>
  <c r="AN9" i="40"/>
  <c r="DH19" i="38" l="1"/>
  <c r="DO18" i="38"/>
  <c r="DN19" i="38"/>
  <c r="AS22" i="40"/>
  <c r="N22" i="40"/>
  <c r="AS23" i="40"/>
  <c r="N23" i="40"/>
  <c r="M22" i="40"/>
  <c r="M23" i="40"/>
  <c r="O25" i="40"/>
  <c r="B26" i="40"/>
  <c r="C26" i="40" a="1"/>
  <c r="C26" i="40" s="1"/>
  <c r="E25" i="40"/>
  <c r="AK25" i="40" s="1"/>
  <c r="AL25" i="40" s="1"/>
  <c r="Z27" i="40"/>
  <c r="W28" i="40"/>
  <c r="T26" i="40"/>
  <c r="R27" i="40"/>
  <c r="G24" i="40"/>
  <c r="I24" i="40"/>
  <c r="J24" i="40" s="1"/>
  <c r="H24" i="40"/>
  <c r="F24" i="40"/>
  <c r="U20" i="40"/>
  <c r="X20" i="40"/>
  <c r="AA20" i="40" s="1"/>
  <c r="P21" i="40"/>
  <c r="S21" i="40"/>
  <c r="J13" i="48"/>
  <c r="F15" i="48"/>
  <c r="F23" i="48"/>
  <c r="J21" i="48"/>
  <c r="DH20" i="38" l="1"/>
  <c r="DJ19" i="38"/>
  <c r="DI19" i="38"/>
  <c r="DM19" i="38"/>
  <c r="DP19" i="38"/>
  <c r="DI20" i="38"/>
  <c r="DO19" i="38"/>
  <c r="DM20" i="38"/>
  <c r="DK19" i="38"/>
  <c r="DJ20" i="38"/>
  <c r="DL19" i="38"/>
  <c r="DN20" i="38"/>
  <c r="DP20" i="38"/>
  <c r="F25" i="40"/>
  <c r="AJ25" i="40" s="1"/>
  <c r="K24" i="40"/>
  <c r="L24" i="40" s="1"/>
  <c r="AG24" i="40"/>
  <c r="AI24" i="40" s="1"/>
  <c r="AJ24" i="40"/>
  <c r="AR24" i="40"/>
  <c r="T27" i="40"/>
  <c r="R28" i="40"/>
  <c r="W29" i="40"/>
  <c r="Z28" i="40"/>
  <c r="P23" i="40"/>
  <c r="S23" i="40"/>
  <c r="P22" i="40"/>
  <c r="S22" i="40"/>
  <c r="G25" i="40"/>
  <c r="H25" i="40"/>
  <c r="I25" i="40"/>
  <c r="J25" i="40" s="1"/>
  <c r="AG25" i="40" s="1"/>
  <c r="AI25" i="40" s="1"/>
  <c r="O26" i="40"/>
  <c r="B27" i="40"/>
  <c r="E26" i="40"/>
  <c r="U21" i="40"/>
  <c r="X21" i="40"/>
  <c r="AA21" i="40" s="1"/>
  <c r="K21" i="48"/>
  <c r="K13" i="48"/>
  <c r="G8" i="48"/>
  <c r="DH21" i="38" l="1"/>
  <c r="DK20" i="38"/>
  <c r="DO20" i="38"/>
  <c r="DL20" i="38"/>
  <c r="M24" i="40"/>
  <c r="P24" i="40" s="1"/>
  <c r="N24" i="40"/>
  <c r="AR25" i="40"/>
  <c r="AS24" i="40"/>
  <c r="F26" i="40"/>
  <c r="AK26" i="40"/>
  <c r="AL26" i="40" s="1"/>
  <c r="U22" i="40"/>
  <c r="X22" i="40"/>
  <c r="AA22" i="40" s="1"/>
  <c r="W30" i="40"/>
  <c r="Z29" i="40"/>
  <c r="B28" i="40"/>
  <c r="O27" i="40"/>
  <c r="E27" i="40"/>
  <c r="AK27" i="40" s="1"/>
  <c r="AL27" i="40" s="1"/>
  <c r="R29" i="40"/>
  <c r="T28" i="40"/>
  <c r="K25" i="40"/>
  <c r="L25" i="40" s="1"/>
  <c r="U23" i="40"/>
  <c r="X23" i="40"/>
  <c r="AA23" i="40" s="1"/>
  <c r="G26" i="40"/>
  <c r="H26" i="40"/>
  <c r="I26" i="40"/>
  <c r="J26" i="40" s="1"/>
  <c r="L21" i="48"/>
  <c r="G23" i="48"/>
  <c r="G15" i="48"/>
  <c r="L13" i="48"/>
  <c r="DH22" i="38" l="1"/>
  <c r="DL21" i="38"/>
  <c r="DN21" i="38"/>
  <c r="DK21" i="38"/>
  <c r="DI21" i="38"/>
  <c r="DP21" i="38"/>
  <c r="DM21" i="38"/>
  <c r="DJ21" i="38"/>
  <c r="DO21" i="38"/>
  <c r="S24" i="40"/>
  <c r="U24" i="40" s="1"/>
  <c r="AS25" i="40"/>
  <c r="N25" i="40"/>
  <c r="K26" i="40"/>
  <c r="L26" i="40" s="1"/>
  <c r="AG26" i="40"/>
  <c r="AI26" i="40" s="1"/>
  <c r="AR26" i="40"/>
  <c r="AJ26" i="40"/>
  <c r="M25" i="40"/>
  <c r="R30" i="40"/>
  <c r="T29" i="40"/>
  <c r="O28" i="40"/>
  <c r="B29" i="40"/>
  <c r="E28" i="40"/>
  <c r="AK28" i="40" s="1"/>
  <c r="AL28" i="40" s="1"/>
  <c r="F27" i="40"/>
  <c r="G27" i="40"/>
  <c r="H27" i="40"/>
  <c r="I27" i="40"/>
  <c r="W31" i="40"/>
  <c r="Z30" i="40"/>
  <c r="H8" i="48"/>
  <c r="DH23" i="38" l="1"/>
  <c r="DK22" i="38"/>
  <c r="DI22" i="38"/>
  <c r="DJ22" i="38"/>
  <c r="DN22" i="38"/>
  <c r="DM22" i="38"/>
  <c r="DP22" i="38"/>
  <c r="DO22" i="38"/>
  <c r="DL22" i="38"/>
  <c r="X24" i="40"/>
  <c r="AA24" i="40" s="1"/>
  <c r="AS26" i="40"/>
  <c r="N26" i="40"/>
  <c r="M26" i="40"/>
  <c r="AR27" i="40"/>
  <c r="AJ27" i="40"/>
  <c r="H28" i="40"/>
  <c r="G28" i="40"/>
  <c r="I28" i="40"/>
  <c r="F28" i="40"/>
  <c r="B30" i="40"/>
  <c r="O29" i="40"/>
  <c r="E29" i="40"/>
  <c r="W32" i="40"/>
  <c r="Z31" i="40"/>
  <c r="T30" i="40"/>
  <c r="R31" i="40"/>
  <c r="P25" i="40"/>
  <c r="S25" i="40"/>
  <c r="H15" i="48"/>
  <c r="H23" i="48"/>
  <c r="DH24" i="38" l="1"/>
  <c r="DO23" i="38"/>
  <c r="DL23" i="38"/>
  <c r="DN23" i="38"/>
  <c r="DI23" i="38"/>
  <c r="DK23" i="38"/>
  <c r="DJ23" i="38"/>
  <c r="DP23" i="38"/>
  <c r="DM23" i="38"/>
  <c r="S26" i="40"/>
  <c r="P26" i="40"/>
  <c r="F29" i="40"/>
  <c r="AK29" i="40"/>
  <c r="AL29" i="40" s="1"/>
  <c r="AR28" i="40"/>
  <c r="AJ28" i="40"/>
  <c r="U25" i="40"/>
  <c r="X25" i="40"/>
  <c r="AA25" i="40" s="1"/>
  <c r="T31" i="40"/>
  <c r="R32" i="40"/>
  <c r="Z32" i="40"/>
  <c r="W33" i="40"/>
  <c r="B31" i="40"/>
  <c r="O30" i="40"/>
  <c r="E30" i="40"/>
  <c r="AK30" i="40" s="1"/>
  <c r="AL30" i="40" s="1"/>
  <c r="H29" i="40"/>
  <c r="I29" i="40"/>
  <c r="G29" i="40"/>
  <c r="I8" i="48"/>
  <c r="DH25" i="38" l="1"/>
  <c r="DJ24" i="38"/>
  <c r="DN24" i="38"/>
  <c r="DK24" i="38"/>
  <c r="DP24" i="38"/>
  <c r="DL24" i="38"/>
  <c r="DO24" i="38"/>
  <c r="DI24" i="38"/>
  <c r="DM24" i="38"/>
  <c r="U26" i="40"/>
  <c r="X26" i="40"/>
  <c r="AA26" i="40" s="1"/>
  <c r="AJ29" i="40"/>
  <c r="AR29" i="40"/>
  <c r="F30" i="40"/>
  <c r="I30" i="40"/>
  <c r="G30" i="40"/>
  <c r="H30" i="40"/>
  <c r="B32" i="40"/>
  <c r="O31" i="40"/>
  <c r="E31" i="40"/>
  <c r="AK31" i="40" s="1"/>
  <c r="AL31" i="40" s="1"/>
  <c r="R33" i="40"/>
  <c r="T32" i="40"/>
  <c r="W34" i="40"/>
  <c r="Z33" i="40"/>
  <c r="I15" i="48"/>
  <c r="I23" i="48"/>
  <c r="DH26" i="38" l="1"/>
  <c r="DO25" i="38"/>
  <c r="DN25" i="38"/>
  <c r="DI25" i="38"/>
  <c r="DM25" i="38"/>
  <c r="DL25" i="38"/>
  <c r="DP25" i="38"/>
  <c r="DJ25" i="38"/>
  <c r="DK25" i="38"/>
  <c r="AJ30" i="40"/>
  <c r="AR30" i="40"/>
  <c r="Z34" i="40"/>
  <c r="W35" i="40"/>
  <c r="T33" i="40"/>
  <c r="R34" i="40"/>
  <c r="H31" i="40"/>
  <c r="I31" i="40"/>
  <c r="G31" i="40"/>
  <c r="B33" i="40"/>
  <c r="O32" i="40"/>
  <c r="E32" i="40"/>
  <c r="F31" i="40"/>
  <c r="J8" i="48"/>
  <c r="DH27" i="38" l="1"/>
  <c r="DP26" i="38"/>
  <c r="DI26" i="38"/>
  <c r="DL26" i="38"/>
  <c r="DJ26" i="38"/>
  <c r="DN26" i="38"/>
  <c r="DK26" i="38"/>
  <c r="DM26" i="38"/>
  <c r="DO26" i="38"/>
  <c r="AJ31" i="40"/>
  <c r="AR31" i="40"/>
  <c r="F32" i="40"/>
  <c r="AK32" i="40"/>
  <c r="AL32" i="40" s="1"/>
  <c r="H32" i="40"/>
  <c r="G32" i="40"/>
  <c r="I32" i="40"/>
  <c r="O33" i="40"/>
  <c r="B34" i="40"/>
  <c r="E33" i="40"/>
  <c r="AK33" i="40" s="1"/>
  <c r="AL33" i="40" s="1"/>
  <c r="W36" i="40"/>
  <c r="Z35" i="40"/>
  <c r="T34" i="40"/>
  <c r="R35" i="40"/>
  <c r="J23" i="48"/>
  <c r="J15" i="48"/>
  <c r="DH28" i="38" l="1"/>
  <c r="DP27" i="38"/>
  <c r="DJ27" i="38"/>
  <c r="DK27" i="38"/>
  <c r="DN27" i="38"/>
  <c r="DO27" i="38"/>
  <c r="DL27" i="38"/>
  <c r="DI27" i="38"/>
  <c r="DM27" i="38"/>
  <c r="AR32" i="40"/>
  <c r="AJ32" i="40"/>
  <c r="R36" i="40"/>
  <c r="T35" i="40"/>
  <c r="Z36" i="40"/>
  <c r="W37" i="40"/>
  <c r="F33" i="40"/>
  <c r="G33" i="40"/>
  <c r="I33" i="40"/>
  <c r="H33" i="40"/>
  <c r="O34" i="40"/>
  <c r="B35" i="40"/>
  <c r="E34" i="40"/>
  <c r="AK34" i="40" s="1"/>
  <c r="AL34" i="40" s="1"/>
  <c r="K8" i="48"/>
  <c r="K23" i="48" s="1"/>
  <c r="DH29" i="38" l="1"/>
  <c r="DM28" i="38"/>
  <c r="DJ28" i="38"/>
  <c r="DI28" i="38"/>
  <c r="DK28" i="38"/>
  <c r="DL28" i="38"/>
  <c r="DO28" i="38"/>
  <c r="DP28" i="38"/>
  <c r="DN28" i="38"/>
  <c r="AR33" i="40"/>
  <c r="AJ33" i="40"/>
  <c r="F34" i="40"/>
  <c r="H34" i="40"/>
  <c r="I34" i="40"/>
  <c r="G34" i="40"/>
  <c r="W38" i="40"/>
  <c r="Z37" i="40"/>
  <c r="B36" i="40"/>
  <c r="O35" i="40"/>
  <c r="E35" i="40"/>
  <c r="AK35" i="40" s="1"/>
  <c r="AL35" i="40" s="1"/>
  <c r="T36" i="40"/>
  <c r="R37" i="40"/>
  <c r="K15" i="48"/>
  <c r="DH30" i="38" l="1"/>
  <c r="DN29" i="38"/>
  <c r="DP29" i="38"/>
  <c r="DO29" i="38"/>
  <c r="DL29" i="38"/>
  <c r="DJ29" i="38"/>
  <c r="DK29" i="38"/>
  <c r="DM29" i="38"/>
  <c r="DI29" i="38"/>
  <c r="AJ34" i="40"/>
  <c r="AR34" i="40"/>
  <c r="F35" i="40"/>
  <c r="I35" i="40"/>
  <c r="G35" i="40"/>
  <c r="H35" i="40"/>
  <c r="R38" i="40"/>
  <c r="T37" i="40"/>
  <c r="Z38" i="40"/>
  <c r="W39" i="40"/>
  <c r="O36" i="40"/>
  <c r="B37" i="40"/>
  <c r="E36" i="40"/>
  <c r="AK36" i="40" s="1"/>
  <c r="AL36" i="40" s="1"/>
  <c r="L8" i="48"/>
  <c r="DH31" i="38" l="1"/>
  <c r="DN30" i="38"/>
  <c r="DM30" i="38"/>
  <c r="DJ30" i="38"/>
  <c r="DK30" i="38"/>
  <c r="DP30" i="38"/>
  <c r="DI30" i="38"/>
  <c r="DL30" i="38"/>
  <c r="DO30" i="38"/>
  <c r="AJ35" i="40"/>
  <c r="AR35" i="40"/>
  <c r="Z39" i="40"/>
  <c r="W40" i="40"/>
  <c r="B38" i="40"/>
  <c r="O37" i="40"/>
  <c r="E37" i="40"/>
  <c r="T38" i="40"/>
  <c r="R39" i="40"/>
  <c r="G36" i="40"/>
  <c r="H36" i="40"/>
  <c r="I36" i="40"/>
  <c r="F36" i="40"/>
  <c r="L23" i="48"/>
  <c r="L15" i="48"/>
  <c r="DH32" i="38" l="1"/>
  <c r="DP31" i="38"/>
  <c r="DM31" i="38"/>
  <c r="DL31" i="38"/>
  <c r="DN31" i="38"/>
  <c r="DJ31" i="38"/>
  <c r="DK31" i="38"/>
  <c r="DI31" i="38"/>
  <c r="DO31" i="38"/>
  <c r="AJ36" i="40"/>
  <c r="AR36" i="40"/>
  <c r="F37" i="40"/>
  <c r="AK37" i="40"/>
  <c r="AL37" i="40" s="1"/>
  <c r="I37" i="40"/>
  <c r="G37" i="40"/>
  <c r="H37" i="40"/>
  <c r="R40" i="40"/>
  <c r="T39" i="40"/>
  <c r="B39" i="40"/>
  <c r="O38" i="40"/>
  <c r="E38" i="40"/>
  <c r="AK38" i="40" s="1"/>
  <c r="AL38" i="40" s="1"/>
  <c r="W41" i="40"/>
  <c r="Z40" i="40"/>
  <c r="AN11" i="40"/>
  <c r="AN10" i="40"/>
  <c r="DH33" i="38" l="1"/>
  <c r="DO32" i="38"/>
  <c r="DK32" i="38"/>
  <c r="DL32" i="38"/>
  <c r="DJ32" i="38"/>
  <c r="DP32" i="38"/>
  <c r="DN32" i="38"/>
  <c r="DI32" i="38"/>
  <c r="DM32" i="38"/>
  <c r="AR37" i="40"/>
  <c r="AJ37" i="40"/>
  <c r="W42" i="40"/>
  <c r="Z41" i="40"/>
  <c r="H38" i="40"/>
  <c r="I38" i="40"/>
  <c r="G38" i="40"/>
  <c r="B40" i="40"/>
  <c r="O39" i="40"/>
  <c r="E39" i="40"/>
  <c r="AK39" i="40" s="1"/>
  <c r="AL39" i="40" s="1"/>
  <c r="T40" i="40"/>
  <c r="R41" i="40"/>
  <c r="F38" i="40"/>
  <c r="AN12" i="40"/>
  <c r="DH34" i="38" l="1"/>
  <c r="DN33" i="38"/>
  <c r="DO33" i="38"/>
  <c r="DL33" i="38"/>
  <c r="DJ33" i="38"/>
  <c r="DP33" i="38"/>
  <c r="DM33" i="38"/>
  <c r="DI33" i="38"/>
  <c r="DK33" i="38"/>
  <c r="AR38" i="40"/>
  <c r="AJ38" i="40"/>
  <c r="T41" i="40"/>
  <c r="R42" i="40"/>
  <c r="G39" i="40"/>
  <c r="H39" i="40"/>
  <c r="I39" i="40"/>
  <c r="O40" i="40"/>
  <c r="B41" i="40"/>
  <c r="E40" i="40"/>
  <c r="AK40" i="40" s="1"/>
  <c r="AL40" i="40" s="1"/>
  <c r="F39" i="40"/>
  <c r="W43" i="40"/>
  <c r="Z42" i="40"/>
  <c r="AN13" i="40"/>
  <c r="DH35" i="38" l="1"/>
  <c r="DL34" i="38"/>
  <c r="DI34" i="38"/>
  <c r="DJ34" i="38"/>
  <c r="DM34" i="38"/>
  <c r="DO34" i="38"/>
  <c r="DK34" i="38"/>
  <c r="DN34" i="38"/>
  <c r="DP34" i="38"/>
  <c r="AJ39" i="40"/>
  <c r="AR39" i="40"/>
  <c r="W44" i="40"/>
  <c r="Z43" i="40"/>
  <c r="O41" i="40"/>
  <c r="B42" i="40"/>
  <c r="E41" i="40"/>
  <c r="G40" i="40"/>
  <c r="H40" i="40"/>
  <c r="I40" i="40"/>
  <c r="F40" i="40"/>
  <c r="R43" i="40"/>
  <c r="T42" i="40"/>
  <c r="AN15" i="40"/>
  <c r="AN14" i="40"/>
  <c r="DH36" i="38" l="1"/>
  <c r="DI35" i="38"/>
  <c r="DK35" i="38"/>
  <c r="DO35" i="38"/>
  <c r="DN35" i="38"/>
  <c r="DJ35" i="38"/>
  <c r="DL35" i="38"/>
  <c r="DP35" i="38"/>
  <c r="DM35" i="38"/>
  <c r="AJ40" i="40"/>
  <c r="AR40" i="40"/>
  <c r="F41" i="40"/>
  <c r="AK41" i="40"/>
  <c r="AL41" i="40" s="1"/>
  <c r="G41" i="40"/>
  <c r="I41" i="40"/>
  <c r="H41" i="40"/>
  <c r="T43" i="40"/>
  <c r="R44" i="40"/>
  <c r="B43" i="40"/>
  <c r="O42" i="40"/>
  <c r="E42" i="40"/>
  <c r="AK42" i="40" s="1"/>
  <c r="AL42" i="40" s="1"/>
  <c r="Z44" i="40"/>
  <c r="W45" i="40"/>
  <c r="AN16" i="40"/>
  <c r="DH37" i="38" l="1"/>
  <c r="DP36" i="38"/>
  <c r="DK36" i="38"/>
  <c r="DO36" i="38"/>
  <c r="DM36" i="38"/>
  <c r="DJ36" i="38"/>
  <c r="DL36" i="38"/>
  <c r="DI36" i="38"/>
  <c r="DN36" i="38"/>
  <c r="AJ41" i="40"/>
  <c r="AR41" i="40"/>
  <c r="Z45" i="40"/>
  <c r="W46" i="40"/>
  <c r="B44" i="40"/>
  <c r="O43" i="40"/>
  <c r="E43" i="40"/>
  <c r="AK43" i="40" s="1"/>
  <c r="AL43" i="40" s="1"/>
  <c r="H42" i="40"/>
  <c r="I42" i="40"/>
  <c r="G42" i="40"/>
  <c r="T44" i="40"/>
  <c r="R45" i="40"/>
  <c r="F42" i="40"/>
  <c r="AN17" i="40"/>
  <c r="DH38" i="38" l="1"/>
  <c r="DI37" i="38"/>
  <c r="DJ37" i="38"/>
  <c r="DO37" i="38"/>
  <c r="DN37" i="38"/>
  <c r="DL37" i="38"/>
  <c r="DP37" i="38"/>
  <c r="DK37" i="38"/>
  <c r="DM37" i="38"/>
  <c r="AR42" i="40"/>
  <c r="AJ42" i="40"/>
  <c r="H43" i="40"/>
  <c r="I43" i="40"/>
  <c r="G43" i="40"/>
  <c r="R46" i="40"/>
  <c r="T45" i="40"/>
  <c r="F43" i="40"/>
  <c r="B45" i="40"/>
  <c r="O44" i="40"/>
  <c r="E44" i="40"/>
  <c r="W47" i="40"/>
  <c r="Z46" i="40"/>
  <c r="AN18" i="40"/>
  <c r="AN110" i="40" s="1"/>
  <c r="DH39" i="38" l="1"/>
  <c r="DP38" i="38"/>
  <c r="DO38" i="38"/>
  <c r="DK38" i="38"/>
  <c r="DL38" i="38"/>
  <c r="DJ38" i="38"/>
  <c r="DN38" i="38"/>
  <c r="DM38" i="38"/>
  <c r="DI38" i="38"/>
  <c r="F44" i="40"/>
  <c r="AK44" i="40"/>
  <c r="AL44" i="40" s="1"/>
  <c r="AR43" i="40"/>
  <c r="AJ43" i="40"/>
  <c r="Z47" i="40"/>
  <c r="W48" i="40"/>
  <c r="G44" i="40"/>
  <c r="H44" i="40"/>
  <c r="I44" i="40"/>
  <c r="B46" i="40"/>
  <c r="O45" i="40"/>
  <c r="E45" i="40"/>
  <c r="AK45" i="40" s="1"/>
  <c r="AL45" i="40" s="1"/>
  <c r="R47" i="40"/>
  <c r="T46" i="40"/>
  <c r="DI7" i="38"/>
  <c r="DI9" i="38"/>
  <c r="DI10" i="38"/>
  <c r="DI12" i="38"/>
  <c r="DI13" i="38"/>
  <c r="DI6" i="38"/>
  <c r="DI8" i="38"/>
  <c r="DI11" i="38"/>
  <c r="DI5" i="38"/>
  <c r="DI4" i="38"/>
  <c r="DH40" i="38" l="1"/>
  <c r="DI39" i="38"/>
  <c r="DJ39" i="38"/>
  <c r="DK39" i="38"/>
  <c r="DO39" i="38"/>
  <c r="DM39" i="38"/>
  <c r="DP39" i="38"/>
  <c r="DL39" i="38"/>
  <c r="DN39" i="38"/>
  <c r="AR44" i="40"/>
  <c r="AJ44" i="40"/>
  <c r="T47" i="40"/>
  <c r="R48" i="40"/>
  <c r="O46" i="40"/>
  <c r="B47" i="40"/>
  <c r="E46" i="40"/>
  <c r="W49" i="40"/>
  <c r="Z48" i="40"/>
  <c r="H45" i="40"/>
  <c r="G45" i="40"/>
  <c r="I45" i="40"/>
  <c r="F45" i="40"/>
  <c r="F130" i="49"/>
  <c r="DH41" i="38" l="1"/>
  <c r="DK40" i="38"/>
  <c r="DO40" i="38"/>
  <c r="DP40" i="38"/>
  <c r="DM40" i="38"/>
  <c r="DL40" i="38"/>
  <c r="DI40" i="38"/>
  <c r="DJ40" i="38"/>
  <c r="DN40" i="38"/>
  <c r="AJ45" i="40"/>
  <c r="AR45" i="40"/>
  <c r="F46" i="40"/>
  <c r="AK46" i="40"/>
  <c r="AL46" i="40" s="1"/>
  <c r="W50" i="40"/>
  <c r="Z49" i="40"/>
  <c r="T48" i="40"/>
  <c r="R49" i="40"/>
  <c r="G46" i="40"/>
  <c r="H46" i="40"/>
  <c r="I46" i="40"/>
  <c r="O47" i="40"/>
  <c r="B48" i="40"/>
  <c r="E47" i="40"/>
  <c r="AK47" i="40" s="1"/>
  <c r="AL47" i="40" s="1"/>
  <c r="D25" i="50"/>
  <c r="DH42" i="38" l="1"/>
  <c r="DJ41" i="38"/>
  <c r="DL41" i="38"/>
  <c r="DN41" i="38"/>
  <c r="DI41" i="38"/>
  <c r="DP41" i="38"/>
  <c r="DO41" i="38"/>
  <c r="DK41" i="38"/>
  <c r="DM41" i="38"/>
  <c r="AJ46" i="40"/>
  <c r="AR46" i="40"/>
  <c r="G47" i="40"/>
  <c r="I47" i="40"/>
  <c r="H47" i="40"/>
  <c r="F47" i="40"/>
  <c r="T49" i="40"/>
  <c r="R50" i="40"/>
  <c r="B49" i="40"/>
  <c r="O48" i="40"/>
  <c r="E48" i="40"/>
  <c r="AK48" i="40" s="1"/>
  <c r="AL48" i="40" s="1"/>
  <c r="Z50" i="40"/>
  <c r="W51" i="40"/>
  <c r="D18" i="51"/>
  <c r="D19" i="51" s="1"/>
  <c r="D20" i="51" s="1"/>
  <c r="D26" i="50"/>
  <c r="E25" i="50"/>
  <c r="G130" i="49"/>
  <c r="G132" i="49" s="1"/>
  <c r="DH43" i="38" l="1"/>
  <c r="DI42" i="38"/>
  <c r="DP42" i="38"/>
  <c r="DM42" i="38"/>
  <c r="DK42" i="38"/>
  <c r="DO42" i="38"/>
  <c r="DN42" i="38"/>
  <c r="DJ42" i="38"/>
  <c r="DL42" i="38"/>
  <c r="AJ47" i="40"/>
  <c r="AR47" i="40"/>
  <c r="G48" i="40"/>
  <c r="I48" i="40"/>
  <c r="H48" i="40"/>
  <c r="Z51" i="40"/>
  <c r="W52" i="40"/>
  <c r="O49" i="40"/>
  <c r="B50" i="40"/>
  <c r="E49" i="40"/>
  <c r="AK49" i="40" s="1"/>
  <c r="AL49" i="40" s="1"/>
  <c r="R51" i="40"/>
  <c r="T50" i="40"/>
  <c r="F48" i="40"/>
  <c r="E18" i="51"/>
  <c r="E19" i="51" s="1"/>
  <c r="E20" i="51" s="1"/>
  <c r="D27" i="50"/>
  <c r="D120" i="40" s="1"/>
  <c r="E26" i="50"/>
  <c r="F25" i="50"/>
  <c r="H130" i="49"/>
  <c r="H132" i="49" s="1"/>
  <c r="DH44" i="38" l="1"/>
  <c r="DM43" i="38"/>
  <c r="DP43" i="38"/>
  <c r="DI43" i="38"/>
  <c r="DJ43" i="38"/>
  <c r="DN43" i="38"/>
  <c r="DL43" i="38"/>
  <c r="DK43" i="38"/>
  <c r="DO43" i="38"/>
  <c r="AR48" i="40"/>
  <c r="AJ48" i="40"/>
  <c r="B51" i="40"/>
  <c r="O50" i="40"/>
  <c r="E50" i="40"/>
  <c r="W53" i="40"/>
  <c r="Z52" i="40"/>
  <c r="I49" i="40"/>
  <c r="G49" i="40"/>
  <c r="H49" i="40"/>
  <c r="R52" i="40"/>
  <c r="T51" i="40"/>
  <c r="F49" i="40"/>
  <c r="F18" i="51"/>
  <c r="F19" i="51" s="1"/>
  <c r="F20" i="51" s="1"/>
  <c r="C9" i="40" a="1"/>
  <c r="C9" i="40" s="1"/>
  <c r="E27" i="50"/>
  <c r="C10" i="40" s="1" a="1"/>
  <c r="C10" i="40" s="1"/>
  <c r="F26" i="50"/>
  <c r="DH45" i="38" l="1"/>
  <c r="DI44" i="38"/>
  <c r="DN44" i="38"/>
  <c r="DJ44" i="38"/>
  <c r="DM44" i="38"/>
  <c r="DK44" i="38"/>
  <c r="DL44" i="38"/>
  <c r="DO44" i="38"/>
  <c r="DP44" i="38"/>
  <c r="F50" i="40"/>
  <c r="AK50" i="40"/>
  <c r="AL50" i="40" s="1"/>
  <c r="AR49" i="40"/>
  <c r="AJ49" i="40"/>
  <c r="Z53" i="40"/>
  <c r="W54" i="40"/>
  <c r="T52" i="40"/>
  <c r="R53" i="40"/>
  <c r="G50" i="40"/>
  <c r="I50" i="40"/>
  <c r="H50" i="40"/>
  <c r="B52" i="40"/>
  <c r="O51" i="40"/>
  <c r="E51" i="40"/>
  <c r="AK51" i="40" s="1"/>
  <c r="AL51" i="40" s="1"/>
  <c r="E120" i="40"/>
  <c r="F27" i="50"/>
  <c r="G25" i="50"/>
  <c r="I130" i="49"/>
  <c r="I132" i="49" s="1"/>
  <c r="DH46" i="38" l="1"/>
  <c r="DI45" i="38"/>
  <c r="DJ45" i="38"/>
  <c r="DK45" i="38"/>
  <c r="DM45" i="38"/>
  <c r="DO45" i="38"/>
  <c r="DN45" i="38"/>
  <c r="DP45" i="38"/>
  <c r="DL45" i="38"/>
  <c r="AJ50" i="40"/>
  <c r="AR50" i="40"/>
  <c r="B53" i="40"/>
  <c r="O52" i="40"/>
  <c r="E52" i="40"/>
  <c r="Z54" i="40"/>
  <c r="W55" i="40"/>
  <c r="I51" i="40"/>
  <c r="G51" i="40"/>
  <c r="H51" i="40"/>
  <c r="F51" i="40"/>
  <c r="T53" i="40"/>
  <c r="R54" i="40"/>
  <c r="G18" i="51"/>
  <c r="G19" i="51" s="1"/>
  <c r="G20" i="51" s="1"/>
  <c r="F120" i="40"/>
  <c r="C11" i="40" a="1"/>
  <c r="C11" i="40" s="1"/>
  <c r="G26" i="50"/>
  <c r="DH47" i="38" l="1"/>
  <c r="DP46" i="38"/>
  <c r="DL46" i="38"/>
  <c r="DJ46" i="38"/>
  <c r="DO46" i="38"/>
  <c r="DI46" i="38"/>
  <c r="DN46" i="38"/>
  <c r="DM46" i="38"/>
  <c r="DK46" i="38"/>
  <c r="F52" i="40"/>
  <c r="AK52" i="40"/>
  <c r="AL52" i="40" s="1"/>
  <c r="AJ51" i="40"/>
  <c r="AR51" i="40"/>
  <c r="R55" i="40"/>
  <c r="T54" i="40"/>
  <c r="W56" i="40"/>
  <c r="Z55" i="40"/>
  <c r="G52" i="40"/>
  <c r="H52" i="40"/>
  <c r="I52" i="40"/>
  <c r="O53" i="40"/>
  <c r="B54" i="40"/>
  <c r="E53" i="40"/>
  <c r="AK53" i="40" s="1"/>
  <c r="AL53" i="40" s="1"/>
  <c r="G27" i="50"/>
  <c r="C12" i="40" s="1" a="1"/>
  <c r="C12" i="40" s="1"/>
  <c r="H25" i="50"/>
  <c r="J130" i="49"/>
  <c r="J132" i="49" s="1"/>
  <c r="DH48" i="38" l="1"/>
  <c r="DM47" i="38"/>
  <c r="DL47" i="38"/>
  <c r="DN47" i="38"/>
  <c r="DP47" i="38"/>
  <c r="DO47" i="38"/>
  <c r="DJ47" i="38"/>
  <c r="DI47" i="38"/>
  <c r="DK47" i="38"/>
  <c r="AJ52" i="40"/>
  <c r="AR52" i="40"/>
  <c r="W57" i="40"/>
  <c r="Z56" i="40"/>
  <c r="B55" i="40"/>
  <c r="O54" i="40"/>
  <c r="E54" i="40"/>
  <c r="G53" i="40"/>
  <c r="H53" i="40"/>
  <c r="I53" i="40"/>
  <c r="F53" i="40"/>
  <c r="R56" i="40"/>
  <c r="T55" i="40"/>
  <c r="H18" i="51"/>
  <c r="H19" i="51" s="1"/>
  <c r="H20" i="51" s="1"/>
  <c r="G120" i="40"/>
  <c r="H26" i="50"/>
  <c r="DH49" i="38" l="1"/>
  <c r="DI48" i="38"/>
  <c r="DO48" i="38"/>
  <c r="DP48" i="38"/>
  <c r="DJ48" i="38"/>
  <c r="DM48" i="38"/>
  <c r="DN48" i="38"/>
  <c r="DL48" i="38"/>
  <c r="DK48" i="38"/>
  <c r="AR53" i="40"/>
  <c r="AJ53" i="40"/>
  <c r="F54" i="40"/>
  <c r="AK54" i="40"/>
  <c r="AL54" i="40" s="1"/>
  <c r="T56" i="40"/>
  <c r="R57" i="40"/>
  <c r="H54" i="40"/>
  <c r="I54" i="40"/>
  <c r="G54" i="40"/>
  <c r="B56" i="40"/>
  <c r="O55" i="40"/>
  <c r="E55" i="40"/>
  <c r="AK55" i="40" s="1"/>
  <c r="AL55" i="40" s="1"/>
  <c r="Z57" i="40"/>
  <c r="W58" i="40"/>
  <c r="H27" i="50"/>
  <c r="H120" i="40" s="1"/>
  <c r="I25" i="50"/>
  <c r="K130" i="49"/>
  <c r="K132" i="49" s="1"/>
  <c r="DH50" i="38" l="1"/>
  <c r="DK49" i="38"/>
  <c r="DL49" i="38"/>
  <c r="DJ49" i="38"/>
  <c r="DI49" i="38"/>
  <c r="DP49" i="38"/>
  <c r="DM49" i="38"/>
  <c r="DO49" i="38"/>
  <c r="DN49" i="38"/>
  <c r="AR54" i="40"/>
  <c r="AJ54" i="40"/>
  <c r="H55" i="40"/>
  <c r="I55" i="40"/>
  <c r="G55" i="40"/>
  <c r="Z58" i="40"/>
  <c r="W59" i="40"/>
  <c r="O56" i="40"/>
  <c r="B57" i="40"/>
  <c r="E56" i="40"/>
  <c r="AK56" i="40" s="1"/>
  <c r="AL56" i="40" s="1"/>
  <c r="F55" i="40"/>
  <c r="T57" i="40"/>
  <c r="R58" i="40"/>
  <c r="I18" i="51"/>
  <c r="I19" i="51" s="1"/>
  <c r="I20" i="51" s="1"/>
  <c r="C13" i="40" a="1"/>
  <c r="C13" i="40" s="1"/>
  <c r="J25" i="50"/>
  <c r="L130" i="49"/>
  <c r="L132" i="49" s="1"/>
  <c r="I26" i="50"/>
  <c r="DH51" i="38" l="1"/>
  <c r="DP50" i="38"/>
  <c r="DK50" i="38"/>
  <c r="DI50" i="38"/>
  <c r="DL50" i="38"/>
  <c r="DM50" i="38"/>
  <c r="DN50" i="38"/>
  <c r="DJ50" i="38"/>
  <c r="DO50" i="38"/>
  <c r="AJ55" i="40"/>
  <c r="AR55" i="40"/>
  <c r="O57" i="40"/>
  <c r="B58" i="40"/>
  <c r="E57" i="40"/>
  <c r="T58" i="40"/>
  <c r="R59" i="40"/>
  <c r="H56" i="40"/>
  <c r="I56" i="40"/>
  <c r="G56" i="40"/>
  <c r="W60" i="40"/>
  <c r="Z59" i="40"/>
  <c r="F56" i="40"/>
  <c r="J18" i="51"/>
  <c r="J19" i="51" s="1"/>
  <c r="J20" i="51" s="1"/>
  <c r="I27" i="50"/>
  <c r="J26" i="50"/>
  <c r="M130" i="49"/>
  <c r="M132" i="49" s="1"/>
  <c r="K25" i="50"/>
  <c r="DH52" i="38" l="1"/>
  <c r="DK51" i="38"/>
  <c r="DO51" i="38"/>
  <c r="DP51" i="38"/>
  <c r="DM51" i="38"/>
  <c r="DN51" i="38"/>
  <c r="DI51" i="38"/>
  <c r="DL51" i="38"/>
  <c r="DJ51" i="38"/>
  <c r="AJ56" i="40"/>
  <c r="AR56" i="40"/>
  <c r="F57" i="40"/>
  <c r="AK57" i="40"/>
  <c r="AL57" i="40" s="1"/>
  <c r="Z60" i="40"/>
  <c r="W61" i="40"/>
  <c r="T59" i="40"/>
  <c r="R60" i="40"/>
  <c r="B59" i="40"/>
  <c r="O58" i="40"/>
  <c r="E58" i="40"/>
  <c r="G57" i="40"/>
  <c r="H57" i="40"/>
  <c r="I57" i="40"/>
  <c r="K18" i="51"/>
  <c r="K19" i="51" s="1"/>
  <c r="K20" i="51" s="1"/>
  <c r="I120" i="40"/>
  <c r="C14" i="40" a="1"/>
  <c r="C14" i="40" s="1"/>
  <c r="J27" i="50"/>
  <c r="K26" i="50"/>
  <c r="L25" i="50"/>
  <c r="N130" i="49"/>
  <c r="N132" i="49" s="1"/>
  <c r="DH53" i="38" l="1"/>
  <c r="DI52" i="38"/>
  <c r="DN52" i="38"/>
  <c r="DM52" i="38"/>
  <c r="DO52" i="38"/>
  <c r="DL52" i="38"/>
  <c r="DP52" i="38"/>
  <c r="DK52" i="38"/>
  <c r="DJ52" i="38"/>
  <c r="F58" i="40"/>
  <c r="AK58" i="40"/>
  <c r="AL58" i="40" s="1"/>
  <c r="AJ57" i="40"/>
  <c r="AR57" i="40"/>
  <c r="G58" i="40"/>
  <c r="H58" i="40"/>
  <c r="I58" i="40"/>
  <c r="W62" i="40"/>
  <c r="Z61" i="40"/>
  <c r="B60" i="40"/>
  <c r="O59" i="40"/>
  <c r="E59" i="40"/>
  <c r="AK59" i="40" s="1"/>
  <c r="AL59" i="40" s="1"/>
  <c r="R61" i="40"/>
  <c r="T60" i="40"/>
  <c r="L18" i="51"/>
  <c r="L19" i="51" s="1"/>
  <c r="L20" i="51" s="1"/>
  <c r="C15" i="40" a="1"/>
  <c r="C15" i="40" s="1"/>
  <c r="J120" i="40"/>
  <c r="K27" i="50"/>
  <c r="L26" i="50"/>
  <c r="O130" i="49"/>
  <c r="O132" i="49" s="1"/>
  <c r="M25" i="50"/>
  <c r="DH54" i="38" l="1"/>
  <c r="DJ53" i="38"/>
  <c r="DO53" i="38"/>
  <c r="DK53" i="38"/>
  <c r="DM53" i="38"/>
  <c r="DP53" i="38"/>
  <c r="DI53" i="38"/>
  <c r="DN53" i="38"/>
  <c r="DL53" i="38"/>
  <c r="AR58" i="40"/>
  <c r="AJ58" i="40"/>
  <c r="R62" i="40"/>
  <c r="T61" i="40"/>
  <c r="H59" i="40"/>
  <c r="G59" i="40"/>
  <c r="I59" i="40"/>
  <c r="O60" i="40"/>
  <c r="B61" i="40"/>
  <c r="E60" i="40"/>
  <c r="AK60" i="40" s="1"/>
  <c r="AL60" i="40" s="1"/>
  <c r="Z62" i="40"/>
  <c r="W63" i="40"/>
  <c r="F59" i="40"/>
  <c r="M18" i="51"/>
  <c r="M19" i="51" s="1"/>
  <c r="M20" i="51" s="1"/>
  <c r="C16" i="40" a="1"/>
  <c r="C16" i="40" s="1"/>
  <c r="K120" i="40"/>
  <c r="L27" i="50"/>
  <c r="M26" i="50"/>
  <c r="DH55" i="38" l="1"/>
  <c r="DJ54" i="38"/>
  <c r="DL54" i="38"/>
  <c r="DK54" i="38"/>
  <c r="DO54" i="38"/>
  <c r="DP54" i="38"/>
  <c r="DM54" i="38"/>
  <c r="DI54" i="38"/>
  <c r="DN54" i="38"/>
  <c r="AR59" i="40"/>
  <c r="AJ59" i="40"/>
  <c r="H60" i="40"/>
  <c r="I60" i="40"/>
  <c r="G60" i="40"/>
  <c r="W64" i="40"/>
  <c r="Z63" i="40"/>
  <c r="B62" i="40"/>
  <c r="O61" i="40"/>
  <c r="E61" i="40"/>
  <c r="AK61" i="40" s="1"/>
  <c r="AL61" i="40" s="1"/>
  <c r="F60" i="40"/>
  <c r="R63" i="40"/>
  <c r="T62" i="40"/>
  <c r="L120" i="40"/>
  <c r="C17" i="40" a="1"/>
  <c r="C17" i="40" s="1"/>
  <c r="M27" i="50"/>
  <c r="DH56" i="38" l="1"/>
  <c r="DN55" i="38"/>
  <c r="DJ55" i="38"/>
  <c r="DM55" i="38"/>
  <c r="DK55" i="38"/>
  <c r="DL55" i="38"/>
  <c r="DP55" i="38"/>
  <c r="DO55" i="38"/>
  <c r="DI55" i="38"/>
  <c r="AR60" i="40"/>
  <c r="AJ60" i="40"/>
  <c r="B63" i="40"/>
  <c r="O62" i="40"/>
  <c r="E62" i="40"/>
  <c r="T63" i="40"/>
  <c r="R64" i="40"/>
  <c r="I61" i="40"/>
  <c r="G61" i="40"/>
  <c r="H61" i="40"/>
  <c r="W65" i="40"/>
  <c r="Z64" i="40"/>
  <c r="F61" i="40"/>
  <c r="M120" i="40"/>
  <c r="C18" i="40" a="1"/>
  <c r="C18" i="40" s="1"/>
  <c r="DH57" i="38" l="1"/>
  <c r="DJ56" i="38"/>
  <c r="DI56" i="38"/>
  <c r="DK56" i="38"/>
  <c r="DL56" i="38"/>
  <c r="DN56" i="38"/>
  <c r="DP56" i="38"/>
  <c r="DM56" i="38"/>
  <c r="DO56" i="38"/>
  <c r="AJ61" i="40"/>
  <c r="AR61" i="40"/>
  <c r="F62" i="40"/>
  <c r="AK62" i="40"/>
  <c r="AL62" i="40" s="1"/>
  <c r="R65" i="40"/>
  <c r="T64" i="40"/>
  <c r="W66" i="40"/>
  <c r="Z65" i="40"/>
  <c r="G62" i="40"/>
  <c r="H62" i="40"/>
  <c r="I62" i="40"/>
  <c r="O63" i="40"/>
  <c r="B64" i="40"/>
  <c r="E63" i="40"/>
  <c r="J46" i="38"/>
  <c r="DL10" i="38" s="1"/>
  <c r="H46" i="38"/>
  <c r="DL8" i="38" s="1"/>
  <c r="K47" i="38"/>
  <c r="DM11" i="38" s="1"/>
  <c r="D47" i="38"/>
  <c r="DM4" i="38" s="1"/>
  <c r="DH58" i="38" l="1"/>
  <c r="DP57" i="38"/>
  <c r="DO57" i="38"/>
  <c r="DL57" i="38"/>
  <c r="DJ57" i="38"/>
  <c r="DK57" i="38"/>
  <c r="DM57" i="38"/>
  <c r="DI57" i="38"/>
  <c r="DN57" i="38"/>
  <c r="AJ62" i="40"/>
  <c r="AR62" i="40"/>
  <c r="F63" i="40"/>
  <c r="AK63" i="40"/>
  <c r="AL63" i="40" s="1"/>
  <c r="B65" i="40"/>
  <c r="O64" i="40"/>
  <c r="E64" i="40"/>
  <c r="AK64" i="40" s="1"/>
  <c r="AL64" i="40" s="1"/>
  <c r="G63" i="40"/>
  <c r="I63" i="40"/>
  <c r="H63" i="40"/>
  <c r="Z66" i="40"/>
  <c r="W67" i="40"/>
  <c r="T65" i="40"/>
  <c r="R66" i="40"/>
  <c r="D35" i="38"/>
  <c r="DC8" i="38"/>
  <c r="DC4" i="38"/>
  <c r="H47" i="38"/>
  <c r="DM8" i="38" s="1"/>
  <c r="DC10" i="38"/>
  <c r="D46" i="38"/>
  <c r="DL4" i="38" s="1"/>
  <c r="J47" i="38"/>
  <c r="DM10" i="38" s="1"/>
  <c r="DC11" i="38"/>
  <c r="K46" i="38"/>
  <c r="DL11" i="38" s="1"/>
  <c r="M47" i="38"/>
  <c r="DM13" i="38" s="1"/>
  <c r="M46" i="38"/>
  <c r="DL13" i="38" s="1"/>
  <c r="DC13" i="38"/>
  <c r="M35" i="38"/>
  <c r="DD13" i="38"/>
  <c r="L35" i="38"/>
  <c r="DD12" i="38"/>
  <c r="I47" i="38"/>
  <c r="DM9" i="38" s="1"/>
  <c r="I46" i="38"/>
  <c r="DL9" i="38" s="1"/>
  <c r="DC9" i="38"/>
  <c r="F35" i="38"/>
  <c r="DD6" i="38"/>
  <c r="DD4" i="38"/>
  <c r="E35" i="38"/>
  <c r="DD5" i="38"/>
  <c r="G35" i="38"/>
  <c r="DD7" i="38"/>
  <c r="E47" i="38"/>
  <c r="DM5" i="38" s="1"/>
  <c r="E46" i="38"/>
  <c r="DL5" i="38" s="1"/>
  <c r="DC5" i="38"/>
  <c r="J35" i="38"/>
  <c r="DD10" i="38"/>
  <c r="G47" i="38"/>
  <c r="DM7" i="38" s="1"/>
  <c r="G46" i="38"/>
  <c r="DL7" i="38" s="1"/>
  <c r="DC7" i="38"/>
  <c r="L47" i="38"/>
  <c r="DM12" i="38" s="1"/>
  <c r="L46" i="38"/>
  <c r="DL12" i="38" s="1"/>
  <c r="DC12" i="38"/>
  <c r="H35" i="38"/>
  <c r="DD8" i="38"/>
  <c r="I35" i="38"/>
  <c r="DD9" i="38"/>
  <c r="F47" i="38"/>
  <c r="DM6" i="38" s="1"/>
  <c r="F46" i="38"/>
  <c r="DL6" i="38" s="1"/>
  <c r="DC6" i="38"/>
  <c r="K35" i="38"/>
  <c r="DD11" i="38"/>
  <c r="DH59" i="38" l="1"/>
  <c r="DK58" i="38"/>
  <c r="DP58" i="38"/>
  <c r="DM58" i="38"/>
  <c r="DO58" i="38"/>
  <c r="DL58" i="38"/>
  <c r="DI58" i="38"/>
  <c r="DN58" i="38"/>
  <c r="DJ58" i="38"/>
  <c r="F64" i="40"/>
  <c r="AR64" i="40" s="1"/>
  <c r="AJ63" i="40"/>
  <c r="AR63" i="40"/>
  <c r="Z67" i="40"/>
  <c r="W68" i="40"/>
  <c r="G64" i="40"/>
  <c r="H64" i="40"/>
  <c r="I64" i="40"/>
  <c r="R67" i="40"/>
  <c r="T66" i="40"/>
  <c r="O65" i="40"/>
  <c r="B66" i="40"/>
  <c r="E65" i="40"/>
  <c r="AK65" i="40" s="1"/>
  <c r="AL65" i="40" s="1"/>
  <c r="DJ9" i="38"/>
  <c r="I51" i="38"/>
  <c r="DJ12" i="38"/>
  <c r="L51" i="38"/>
  <c r="DT8" i="38"/>
  <c r="DJ11" i="38"/>
  <c r="K51" i="38"/>
  <c r="DJ6" i="38"/>
  <c r="F51" i="38"/>
  <c r="DT9" i="38"/>
  <c r="DJ7" i="38"/>
  <c r="G51" i="38"/>
  <c r="DT5" i="38"/>
  <c r="DT13" i="38"/>
  <c r="DJ4" i="38"/>
  <c r="D51" i="38"/>
  <c r="DJ13" i="38"/>
  <c r="M51" i="38"/>
  <c r="DT6" i="38"/>
  <c r="DT10" i="38"/>
  <c r="DJ10" i="38"/>
  <c r="J51" i="38"/>
  <c r="DT7" i="38"/>
  <c r="DJ5" i="38"/>
  <c r="E51" i="38"/>
  <c r="DT4" i="38"/>
  <c r="DT11" i="38"/>
  <c r="DT12" i="38"/>
  <c r="DJ8" i="38"/>
  <c r="H51" i="38"/>
  <c r="DH60" i="38" l="1"/>
  <c r="DO59" i="38"/>
  <c r="DP59" i="38"/>
  <c r="DI59" i="38"/>
  <c r="DK59" i="38"/>
  <c r="DM59" i="38"/>
  <c r="DL59" i="38"/>
  <c r="DN59" i="38"/>
  <c r="DJ59" i="38"/>
  <c r="AJ64" i="40"/>
  <c r="G65" i="40"/>
  <c r="H65" i="40"/>
  <c r="I65" i="40"/>
  <c r="O66" i="40"/>
  <c r="B67" i="40"/>
  <c r="E66" i="40"/>
  <c r="AK66" i="40" s="1"/>
  <c r="AL66" i="40" s="1"/>
  <c r="R68" i="40"/>
  <c r="T67" i="40"/>
  <c r="W69" i="40"/>
  <c r="Z68" i="40"/>
  <c r="F65" i="40"/>
  <c r="DO10" i="38"/>
  <c r="J53" i="38"/>
  <c r="E53" i="38"/>
  <c r="DO5" i="38"/>
  <c r="G53" i="38"/>
  <c r="DO7" i="38"/>
  <c r="F53" i="38"/>
  <c r="DO6" i="38"/>
  <c r="D53" i="38"/>
  <c r="DO4" i="38"/>
  <c r="I53" i="38"/>
  <c r="DO9" i="38"/>
  <c r="H53" i="38"/>
  <c r="DO8" i="38"/>
  <c r="K53" i="38"/>
  <c r="DO11" i="38"/>
  <c r="M53" i="38"/>
  <c r="DO13" i="38"/>
  <c r="L53" i="38"/>
  <c r="DO12" i="38"/>
  <c r="DH61" i="38" l="1"/>
  <c r="DJ60" i="38"/>
  <c r="DL60" i="38"/>
  <c r="DK60" i="38"/>
  <c r="DM60" i="38"/>
  <c r="DI60" i="38"/>
  <c r="DP60" i="38"/>
  <c r="DN60" i="38"/>
  <c r="DO60" i="38"/>
  <c r="AR65" i="40"/>
  <c r="AJ65" i="40"/>
  <c r="T68" i="40"/>
  <c r="R69" i="40"/>
  <c r="O67" i="40"/>
  <c r="B68" i="40"/>
  <c r="E67" i="40"/>
  <c r="H66" i="40"/>
  <c r="I66" i="40"/>
  <c r="G66" i="40"/>
  <c r="Z69" i="40"/>
  <c r="W70" i="40"/>
  <c r="F66" i="40"/>
  <c r="DU11" i="38"/>
  <c r="DV11" i="38" s="1"/>
  <c r="DP11" i="38"/>
  <c r="K55" i="38"/>
  <c r="DU8" i="38"/>
  <c r="DV8" i="38" s="1"/>
  <c r="DP8" i="38"/>
  <c r="H55" i="38"/>
  <c r="DP9" i="38"/>
  <c r="DU9" i="38"/>
  <c r="DV9" i="38" s="1"/>
  <c r="I55" i="38"/>
  <c r="DP4" i="38"/>
  <c r="DU4" i="38"/>
  <c r="DV4" i="38" s="1"/>
  <c r="D55" i="38"/>
  <c r="DU6" i="38"/>
  <c r="DV6" i="38" s="1"/>
  <c r="DP6" i="38"/>
  <c r="F55" i="38"/>
  <c r="DU7" i="38"/>
  <c r="DV7" i="38" s="1"/>
  <c r="DP7" i="38"/>
  <c r="G55" i="38"/>
  <c r="DU12" i="38"/>
  <c r="DV12" i="38" s="1"/>
  <c r="DP12" i="38"/>
  <c r="L55" i="38"/>
  <c r="DU5" i="38"/>
  <c r="DV5" i="38" s="1"/>
  <c r="DP5" i="38"/>
  <c r="E55" i="38"/>
  <c r="DU10" i="38"/>
  <c r="DV10" i="38" s="1"/>
  <c r="DP10" i="38"/>
  <c r="J55" i="38"/>
  <c r="DU13" i="38"/>
  <c r="DV13" i="38" s="1"/>
  <c r="DP13" i="38"/>
  <c r="M55" i="38"/>
  <c r="DH62" i="38" l="1"/>
  <c r="DI61" i="38"/>
  <c r="DM61" i="38"/>
  <c r="DO61" i="38"/>
  <c r="DN61" i="38"/>
  <c r="DP61" i="38"/>
  <c r="DL61" i="38"/>
  <c r="DK61" i="38"/>
  <c r="DJ61" i="38"/>
  <c r="AJ66" i="40"/>
  <c r="AR66" i="40"/>
  <c r="F67" i="40"/>
  <c r="AK67" i="40"/>
  <c r="AL67" i="40" s="1"/>
  <c r="H67" i="40"/>
  <c r="I67" i="40"/>
  <c r="G67" i="40"/>
  <c r="T69" i="40"/>
  <c r="R70" i="40"/>
  <c r="W71" i="40"/>
  <c r="Z70" i="40"/>
  <c r="B69" i="40"/>
  <c r="O68" i="40"/>
  <c r="E68" i="40"/>
  <c r="AK68" i="40" s="1"/>
  <c r="AL68" i="40" s="1"/>
  <c r="F57" i="38"/>
  <c r="DW6" i="38" s="1"/>
  <c r="DX6" i="38" s="1"/>
  <c r="M57" i="38"/>
  <c r="DW13" i="38" s="1"/>
  <c r="DX13" i="38" s="1"/>
  <c r="D57" i="38"/>
  <c r="DW4" i="38" s="1"/>
  <c r="DX4" i="38" s="1"/>
  <c r="J57" i="38"/>
  <c r="DW10" i="38" s="1"/>
  <c r="DX10" i="38" s="1"/>
  <c r="I57" i="38"/>
  <c r="DW9" i="38" s="1"/>
  <c r="DX9" i="38" s="1"/>
  <c r="H57" i="38"/>
  <c r="DW8" i="38" s="1"/>
  <c r="DX8" i="38" s="1"/>
  <c r="E57" i="38"/>
  <c r="DW5" i="38" s="1"/>
  <c r="DX5" i="38" s="1"/>
  <c r="K57" i="38"/>
  <c r="DW11" i="38" s="1"/>
  <c r="DX11" i="38" s="1"/>
  <c r="L57" i="38"/>
  <c r="DW12" i="38" s="1"/>
  <c r="DX12" i="38" s="1"/>
  <c r="G57" i="38"/>
  <c r="DW7" i="38" s="1"/>
  <c r="DX7" i="38" s="1"/>
  <c r="DH63" i="38" l="1"/>
  <c r="DM62" i="38"/>
  <c r="DJ62" i="38"/>
  <c r="DK62" i="38"/>
  <c r="DO62" i="38"/>
  <c r="DI62" i="38"/>
  <c r="DN62" i="38"/>
  <c r="DL62" i="38"/>
  <c r="DP62" i="38"/>
  <c r="AJ67" i="40"/>
  <c r="AR67" i="40"/>
  <c r="W72" i="40"/>
  <c r="Z71" i="40"/>
  <c r="B70" i="40"/>
  <c r="O69" i="40"/>
  <c r="E69" i="40"/>
  <c r="AK69" i="40" s="1"/>
  <c r="AL69" i="40" s="1"/>
  <c r="R71" i="40"/>
  <c r="T70" i="40"/>
  <c r="G68" i="40"/>
  <c r="H68" i="40"/>
  <c r="I68" i="40"/>
  <c r="F68" i="40"/>
  <c r="L59" i="38"/>
  <c r="K59" i="38"/>
  <c r="E59" i="38"/>
  <c r="D59" i="38"/>
  <c r="F59" i="38"/>
  <c r="H59" i="38"/>
  <c r="H62" i="38" s="1"/>
  <c r="I59" i="38"/>
  <c r="I62" i="38" s="1"/>
  <c r="J59" i="38"/>
  <c r="J62" i="38" s="1"/>
  <c r="G59" i="38"/>
  <c r="G62" i="38" s="1"/>
  <c r="M59" i="38"/>
  <c r="M62" i="38" s="1"/>
  <c r="DH64" i="38" l="1"/>
  <c r="DP63" i="38"/>
  <c r="DK63" i="38"/>
  <c r="DO63" i="38"/>
  <c r="DL63" i="38"/>
  <c r="DI63" i="38"/>
  <c r="DJ63" i="38"/>
  <c r="DM63" i="38"/>
  <c r="DN63" i="38"/>
  <c r="AJ68" i="40"/>
  <c r="AR68" i="40"/>
  <c r="H69" i="40"/>
  <c r="I69" i="40"/>
  <c r="G69" i="40"/>
  <c r="F69" i="40"/>
  <c r="T71" i="40"/>
  <c r="R72" i="40"/>
  <c r="B71" i="40"/>
  <c r="O70" i="40"/>
  <c r="E70" i="40"/>
  <c r="W73" i="40"/>
  <c r="Z72" i="40"/>
  <c r="DE6" i="38"/>
  <c r="F62" i="38"/>
  <c r="K40" i="50"/>
  <c r="K28" i="50" s="1"/>
  <c r="K29" i="50" s="1"/>
  <c r="K62" i="38"/>
  <c r="DE4" i="38"/>
  <c r="D62" i="38"/>
  <c r="E117" i="40"/>
  <c r="E118" i="40" s="1"/>
  <c r="E62" i="38"/>
  <c r="L117" i="40"/>
  <c r="L118" i="40" s="1"/>
  <c r="L62" i="38"/>
  <c r="DE12" i="38"/>
  <c r="E17" i="40"/>
  <c r="I17" i="40" s="1"/>
  <c r="J17" i="40" s="1"/>
  <c r="L40" i="50"/>
  <c r="L7" i="51" s="1"/>
  <c r="DE11" i="38"/>
  <c r="E16" i="40"/>
  <c r="AK16" i="40" s="1"/>
  <c r="AL16" i="40" s="1"/>
  <c r="E40" i="50"/>
  <c r="E32" i="50" s="1"/>
  <c r="E42" i="50" s="1"/>
  <c r="DE5" i="38"/>
  <c r="E10" i="40"/>
  <c r="G10" i="40" s="1"/>
  <c r="K117" i="40"/>
  <c r="K118" i="40" s="1"/>
  <c r="F40" i="50"/>
  <c r="F32" i="50" s="1"/>
  <c r="F42" i="50" s="1"/>
  <c r="E11" i="40"/>
  <c r="I11" i="40" s="1"/>
  <c r="J11" i="40" s="1"/>
  <c r="F117" i="40"/>
  <c r="F118" i="40" s="1"/>
  <c r="E9" i="40"/>
  <c r="G9" i="40" s="1"/>
  <c r="D40" i="50"/>
  <c r="D7" i="51" s="1"/>
  <c r="D117" i="40"/>
  <c r="E12" i="40"/>
  <c r="G40" i="50"/>
  <c r="G117" i="40"/>
  <c r="G118" i="40" s="1"/>
  <c r="DE7" i="38"/>
  <c r="DE10" i="38"/>
  <c r="E15" i="40"/>
  <c r="J40" i="50"/>
  <c r="J117" i="40"/>
  <c r="J118" i="40" s="1"/>
  <c r="I40" i="50"/>
  <c r="I117" i="40"/>
  <c r="I118" i="40" s="1"/>
  <c r="E14" i="40"/>
  <c r="DE9" i="38"/>
  <c r="DE8" i="38"/>
  <c r="H40" i="50"/>
  <c r="H117" i="40"/>
  <c r="H118" i="40" s="1"/>
  <c r="E13" i="40"/>
  <c r="E18" i="40"/>
  <c r="DE13" i="38"/>
  <c r="M117" i="40"/>
  <c r="M118" i="40" s="1"/>
  <c r="M40" i="50"/>
  <c r="DH65" i="38" l="1"/>
  <c r="DP64" i="38"/>
  <c r="DJ64" i="38"/>
  <c r="DM64" i="38"/>
  <c r="DN64" i="38"/>
  <c r="DI64" i="38"/>
  <c r="DL64" i="38"/>
  <c r="DK64" i="38"/>
  <c r="DO64" i="38"/>
  <c r="K32" i="50"/>
  <c r="K42" i="50" s="1"/>
  <c r="K7" i="51"/>
  <c r="F70" i="40"/>
  <c r="AK70" i="40"/>
  <c r="AL70" i="40" s="1"/>
  <c r="AR69" i="40"/>
  <c r="AJ69" i="40"/>
  <c r="Z73" i="40"/>
  <c r="W74" i="40"/>
  <c r="O71" i="40"/>
  <c r="B72" i="40"/>
  <c r="E71" i="40"/>
  <c r="AK71" i="40" s="1"/>
  <c r="AL71" i="40" s="1"/>
  <c r="R73" i="40"/>
  <c r="T72" i="40"/>
  <c r="H70" i="40"/>
  <c r="I70" i="40"/>
  <c r="G70" i="40"/>
  <c r="H18" i="40"/>
  <c r="F19" i="40"/>
  <c r="D118" i="40"/>
  <c r="Y16" i="50" s="1"/>
  <c r="Y23" i="50" s="1"/>
  <c r="Y26" i="50" s="1"/>
  <c r="Y27" i="50" s="1"/>
  <c r="C30" i="40" s="1" a="1"/>
  <c r="C30" i="40" s="1"/>
  <c r="J30" i="40" s="1"/>
  <c r="AG30" i="40" s="1"/>
  <c r="AI30" i="40" s="1"/>
  <c r="V16" i="50"/>
  <c r="V23" i="50" s="1"/>
  <c r="V26" i="50" s="1"/>
  <c r="V27" i="50" s="1"/>
  <c r="C27" i="40" s="1" a="1"/>
  <c r="C27" i="40" s="1"/>
  <c r="J27" i="40" s="1"/>
  <c r="AG27" i="40" s="1"/>
  <c r="AI27" i="40" s="1"/>
  <c r="F25" i="51"/>
  <c r="E25" i="51"/>
  <c r="L32" i="50"/>
  <c r="L42" i="50" s="1"/>
  <c r="L28" i="50"/>
  <c r="F18" i="40"/>
  <c r="AJ18" i="40" s="1"/>
  <c r="G17" i="40"/>
  <c r="AK17" i="40"/>
  <c r="AL17" i="40" s="1"/>
  <c r="I16" i="40"/>
  <c r="J16" i="40" s="1"/>
  <c r="AG16" i="40" s="1"/>
  <c r="AI16" i="40" s="1"/>
  <c r="F17" i="40"/>
  <c r="AJ17" i="40" s="1"/>
  <c r="G16" i="40"/>
  <c r="F28" i="50"/>
  <c r="F7" i="51"/>
  <c r="E28" i="50"/>
  <c r="E7" i="51"/>
  <c r="AK10" i="40"/>
  <c r="AL10" i="40" s="1"/>
  <c r="I10" i="40"/>
  <c r="J10" i="40" s="1"/>
  <c r="AG10" i="40" s="1"/>
  <c r="AI10" i="40" s="1"/>
  <c r="F11" i="40"/>
  <c r="AJ11" i="40" s="1"/>
  <c r="F12" i="40"/>
  <c r="AJ12" i="40" s="1"/>
  <c r="AK11" i="40"/>
  <c r="AL11" i="40" s="1"/>
  <c r="G11" i="40"/>
  <c r="D32" i="50"/>
  <c r="D42" i="50" s="1"/>
  <c r="F10" i="40"/>
  <c r="AJ10" i="40" s="1"/>
  <c r="I9" i="40"/>
  <c r="AK9" i="40"/>
  <c r="AL9" i="40" s="1"/>
  <c r="F9" i="40"/>
  <c r="AJ9" i="40" s="1"/>
  <c r="D28" i="50"/>
  <c r="J7" i="51"/>
  <c r="J32" i="50"/>
  <c r="J42" i="50" s="1"/>
  <c r="J28" i="50"/>
  <c r="J29" i="50" s="1"/>
  <c r="K17" i="40"/>
  <c r="L17" i="40" s="1"/>
  <c r="AG17" i="40"/>
  <c r="AI17" i="40" s="1"/>
  <c r="G15" i="40"/>
  <c r="F16" i="40"/>
  <c r="I15" i="40"/>
  <c r="J15" i="40" s="1"/>
  <c r="AK15" i="40"/>
  <c r="AL15" i="40" s="1"/>
  <c r="K21" i="51"/>
  <c r="K22" i="51" s="1"/>
  <c r="K30" i="50"/>
  <c r="K31" i="50" s="1"/>
  <c r="K11" i="40"/>
  <c r="L11" i="40" s="1"/>
  <c r="AG11" i="40"/>
  <c r="AI11" i="40" s="1"/>
  <c r="AK13" i="40"/>
  <c r="AL13" i="40" s="1"/>
  <c r="I13" i="40"/>
  <c r="J13" i="40" s="1"/>
  <c r="G13" i="40"/>
  <c r="F14" i="40"/>
  <c r="M7" i="51"/>
  <c r="M32" i="50"/>
  <c r="M42" i="50" s="1"/>
  <c r="M28" i="50"/>
  <c r="M29" i="50" s="1"/>
  <c r="F15" i="40"/>
  <c r="G14" i="40"/>
  <c r="AK14" i="40"/>
  <c r="AL14" i="40" s="1"/>
  <c r="I14" i="40"/>
  <c r="J14" i="40" s="1"/>
  <c r="G7" i="51"/>
  <c r="G32" i="50"/>
  <c r="G42" i="50" s="1"/>
  <c r="G28" i="50"/>
  <c r="G29" i="50" s="1"/>
  <c r="H7" i="51"/>
  <c r="H28" i="50"/>
  <c r="H29" i="50" s="1"/>
  <c r="H32" i="50"/>
  <c r="H42" i="50" s="1"/>
  <c r="I18" i="40"/>
  <c r="J18" i="40" s="1"/>
  <c r="G18" i="40"/>
  <c r="AK18" i="40"/>
  <c r="AL18" i="40" s="1"/>
  <c r="I7" i="51"/>
  <c r="I32" i="50"/>
  <c r="I42" i="50" s="1"/>
  <c r="I28" i="50"/>
  <c r="I29" i="50" s="1"/>
  <c r="I12" i="40"/>
  <c r="J12" i="40" s="1"/>
  <c r="G12" i="40"/>
  <c r="F13" i="40"/>
  <c r="AK12" i="40"/>
  <c r="AL12" i="40" s="1"/>
  <c r="DH66" i="38" l="1"/>
  <c r="DI65" i="38"/>
  <c r="DL65" i="38"/>
  <c r="DK65" i="38"/>
  <c r="DN65" i="38"/>
  <c r="DO65" i="38"/>
  <c r="DJ65" i="38"/>
  <c r="DP65" i="38"/>
  <c r="DM65" i="38"/>
  <c r="K25" i="51"/>
  <c r="N11" i="40"/>
  <c r="N17" i="40"/>
  <c r="J9" i="40"/>
  <c r="K9" i="40" s="1"/>
  <c r="L9" i="40" s="1"/>
  <c r="N9" i="40" s="1"/>
  <c r="F71" i="40"/>
  <c r="AJ71" i="40" s="1"/>
  <c r="M19" i="40"/>
  <c r="S19" i="40" s="1"/>
  <c r="AJ19" i="40"/>
  <c r="AR19" i="40"/>
  <c r="AR70" i="40"/>
  <c r="AJ70" i="40"/>
  <c r="T73" i="40"/>
  <c r="R74" i="40"/>
  <c r="G71" i="40"/>
  <c r="H71" i="40"/>
  <c r="I71" i="40"/>
  <c r="W75" i="40"/>
  <c r="Z74" i="40"/>
  <c r="O72" i="40"/>
  <c r="B73" i="40"/>
  <c r="E72" i="40"/>
  <c r="AK72" i="40" s="1"/>
  <c r="AL72" i="40" s="1"/>
  <c r="K30" i="40"/>
  <c r="L30" i="40" s="1"/>
  <c r="K27" i="40"/>
  <c r="L27" i="40" s="1"/>
  <c r="Y29" i="50"/>
  <c r="Y30" i="50" s="1"/>
  <c r="Y31" i="50" s="1"/>
  <c r="Y120" i="40"/>
  <c r="W16" i="50"/>
  <c r="W23" i="50" s="1"/>
  <c r="W26" i="50" s="1"/>
  <c r="W27" i="50" s="1"/>
  <c r="X16" i="50"/>
  <c r="X23" i="50" s="1"/>
  <c r="X26" i="50" s="1"/>
  <c r="X27" i="50" s="1"/>
  <c r="C29" i="40" s="1" a="1"/>
  <c r="C29" i="40" s="1"/>
  <c r="J29" i="40" s="1"/>
  <c r="AG29" i="40" s="1"/>
  <c r="AI29" i="40" s="1"/>
  <c r="V29" i="50"/>
  <c r="V30" i="50" s="1"/>
  <c r="V31" i="50" s="1"/>
  <c r="V33" i="50" s="1"/>
  <c r="V121" i="40" s="1"/>
  <c r="V120" i="40"/>
  <c r="J25" i="51"/>
  <c r="D25" i="51"/>
  <c r="G25" i="51"/>
  <c r="L25" i="51"/>
  <c r="H25" i="51"/>
  <c r="I25" i="51"/>
  <c r="M25" i="51"/>
  <c r="F21" i="51"/>
  <c r="F22" i="51" s="1"/>
  <c r="F23" i="51" s="1"/>
  <c r="F24" i="51" s="1"/>
  <c r="F29" i="50"/>
  <c r="F30" i="50" s="1"/>
  <c r="F31" i="50" s="1"/>
  <c r="F122" i="40" s="1"/>
  <c r="L21" i="51"/>
  <c r="L22" i="51" s="1"/>
  <c r="L23" i="51" s="1"/>
  <c r="L24" i="51" s="1"/>
  <c r="L29" i="50"/>
  <c r="L30" i="50" s="1"/>
  <c r="L31" i="50" s="1"/>
  <c r="L35" i="50" s="1"/>
  <c r="E29" i="50"/>
  <c r="E30" i="50" s="1"/>
  <c r="E31" i="50" s="1"/>
  <c r="D29" i="50"/>
  <c r="D30" i="50" s="1"/>
  <c r="D31" i="50" s="1"/>
  <c r="K23" i="51"/>
  <c r="K24" i="51" s="1"/>
  <c r="K26" i="51" s="1"/>
  <c r="AR18" i="40"/>
  <c r="AR17" i="40"/>
  <c r="K16" i="40"/>
  <c r="L16" i="40" s="1"/>
  <c r="M17" i="40"/>
  <c r="S17" i="40" s="1"/>
  <c r="E21" i="51"/>
  <c r="E22" i="51" s="1"/>
  <c r="K10" i="40"/>
  <c r="L10" i="40" s="1"/>
  <c r="N10" i="40" s="1"/>
  <c r="AR11" i="40"/>
  <c r="AR12" i="40"/>
  <c r="D21" i="51"/>
  <c r="AR10" i="40"/>
  <c r="D132" i="40"/>
  <c r="AR9" i="40"/>
  <c r="AR14" i="40"/>
  <c r="AJ14" i="40"/>
  <c r="K15" i="40"/>
  <c r="L15" i="40" s="1"/>
  <c r="AG15" i="40"/>
  <c r="AI15" i="40" s="1"/>
  <c r="AR16" i="40"/>
  <c r="AJ16" i="40"/>
  <c r="K13" i="40"/>
  <c r="L13" i="40" s="1"/>
  <c r="AG13" i="40"/>
  <c r="AI13" i="40" s="1"/>
  <c r="H21" i="51"/>
  <c r="H22" i="51" s="1"/>
  <c r="H30" i="50"/>
  <c r="H31" i="50" s="1"/>
  <c r="AS17" i="40"/>
  <c r="AR13" i="40"/>
  <c r="AJ13" i="40"/>
  <c r="G21" i="51"/>
  <c r="G22" i="51" s="1"/>
  <c r="G30" i="50"/>
  <c r="G31" i="50" s="1"/>
  <c r="J21" i="51"/>
  <c r="J22" i="51" s="1"/>
  <c r="J30" i="50"/>
  <c r="J31" i="50" s="1"/>
  <c r="AS11" i="40"/>
  <c r="AG12" i="40"/>
  <c r="AI12" i="40" s="1"/>
  <c r="K12" i="40"/>
  <c r="L12" i="40" s="1"/>
  <c r="N12" i="40" s="1"/>
  <c r="I21" i="51"/>
  <c r="I22" i="51" s="1"/>
  <c r="I30" i="50"/>
  <c r="I31" i="50" s="1"/>
  <c r="AG14" i="40"/>
  <c r="AI14" i="40" s="1"/>
  <c r="K14" i="40"/>
  <c r="L14" i="40" s="1"/>
  <c r="K33" i="50"/>
  <c r="K121" i="40" s="1"/>
  <c r="K122" i="40"/>
  <c r="K35" i="50"/>
  <c r="K136" i="40"/>
  <c r="K18" i="40"/>
  <c r="L18" i="40" s="1"/>
  <c r="N18" i="40" s="1"/>
  <c r="AG18" i="40"/>
  <c r="AI18" i="40" s="1"/>
  <c r="M11" i="40"/>
  <c r="AJ15" i="40"/>
  <c r="AR15" i="40"/>
  <c r="M21" i="51"/>
  <c r="M22" i="51" s="1"/>
  <c r="M30" i="50"/>
  <c r="M31" i="50" s="1"/>
  <c r="M122" i="40" s="1"/>
  <c r="DH67" i="38" l="1"/>
  <c r="DK66" i="38"/>
  <c r="DL66" i="38"/>
  <c r="DP66" i="38"/>
  <c r="DN66" i="38"/>
  <c r="DI66" i="38"/>
  <c r="DM66" i="38"/>
  <c r="DO66" i="38"/>
  <c r="DJ66" i="38"/>
  <c r="M15" i="40"/>
  <c r="S15" i="40" s="1"/>
  <c r="N15" i="40"/>
  <c r="M14" i="40"/>
  <c r="S14" i="40" s="1"/>
  <c r="N14" i="40"/>
  <c r="AS27" i="40"/>
  <c r="N27" i="40"/>
  <c r="M16" i="40"/>
  <c r="S16" i="40" s="1"/>
  <c r="N16" i="40"/>
  <c r="AS30" i="40"/>
  <c r="N30" i="40"/>
  <c r="M13" i="40"/>
  <c r="S13" i="40" s="1"/>
  <c r="N13" i="40"/>
  <c r="AG9" i="40"/>
  <c r="AI9" i="40" s="1"/>
  <c r="AS9" i="40"/>
  <c r="M9" i="40"/>
  <c r="P9" i="40" s="1"/>
  <c r="AR71" i="40"/>
  <c r="P19" i="40"/>
  <c r="F72" i="40"/>
  <c r="H72" i="40"/>
  <c r="G72" i="40"/>
  <c r="I72" i="40"/>
  <c r="O73" i="40"/>
  <c r="B74" i="40"/>
  <c r="E73" i="40"/>
  <c r="AK73" i="40" s="1"/>
  <c r="AL73" i="40" s="1"/>
  <c r="Z75" i="40"/>
  <c r="W76" i="40"/>
  <c r="R75" i="40"/>
  <c r="T74" i="40"/>
  <c r="K29" i="40"/>
  <c r="L29" i="40" s="1"/>
  <c r="W29" i="50"/>
  <c r="W30" i="50" s="1"/>
  <c r="W31" i="50" s="1"/>
  <c r="W35" i="50" s="1"/>
  <c r="C28" i="40" a="1"/>
  <c r="C28" i="40" s="1"/>
  <c r="J28" i="40" s="1"/>
  <c r="AG28" i="40" s="1"/>
  <c r="AI28" i="40" s="1"/>
  <c r="M30" i="40"/>
  <c r="M27" i="40"/>
  <c r="U19" i="40"/>
  <c r="X19" i="40"/>
  <c r="AA19" i="40" s="1"/>
  <c r="V35" i="50"/>
  <c r="W120" i="40"/>
  <c r="Y122" i="40"/>
  <c r="Y35" i="50"/>
  <c r="Y136" i="40"/>
  <c r="Y33" i="50"/>
  <c r="Y121" i="40" s="1"/>
  <c r="X120" i="40"/>
  <c r="X29" i="50"/>
  <c r="X30" i="50" s="1"/>
  <c r="X31" i="50" s="1"/>
  <c r="V136" i="40"/>
  <c r="V122" i="40"/>
  <c r="C47" i="50"/>
  <c r="E136" i="40"/>
  <c r="E33" i="50"/>
  <c r="E121" i="40" s="1"/>
  <c r="E35" i="50"/>
  <c r="E122" i="40"/>
  <c r="D122" i="40"/>
  <c r="D136" i="40"/>
  <c r="D33" i="50"/>
  <c r="D121" i="40" s="1"/>
  <c r="Z16" i="50" s="1"/>
  <c r="Z23" i="50" s="1"/>
  <c r="Z26" i="50" s="1"/>
  <c r="Z27" i="50" s="1"/>
  <c r="C31" i="40" s="1" a="1"/>
  <c r="C31" i="40" s="1"/>
  <c r="J31" i="40" s="1"/>
  <c r="AG31" i="40" s="1"/>
  <c r="AI31" i="40" s="1"/>
  <c r="D35" i="50"/>
  <c r="O19" i="51"/>
  <c r="D22" i="51"/>
  <c r="D23" i="51" s="1"/>
  <c r="D24" i="51" s="1"/>
  <c r="L27" i="51"/>
  <c r="L26" i="51"/>
  <c r="F26" i="51"/>
  <c r="F27" i="51"/>
  <c r="M23" i="51"/>
  <c r="M24" i="51" s="1"/>
  <c r="K27" i="51"/>
  <c r="I23" i="51"/>
  <c r="I24" i="51" s="1"/>
  <c r="E23" i="51"/>
  <c r="E24" i="51" s="1"/>
  <c r="J23" i="51"/>
  <c r="J24" i="51" s="1"/>
  <c r="G23" i="51"/>
  <c r="G24" i="51" s="1"/>
  <c r="H23" i="51"/>
  <c r="H24" i="51" s="1"/>
  <c r="L33" i="50"/>
  <c r="L121" i="40" s="1"/>
  <c r="L122" i="40"/>
  <c r="L136" i="40"/>
  <c r="P17" i="40"/>
  <c r="AS16" i="40"/>
  <c r="F35" i="50"/>
  <c r="F33" i="50"/>
  <c r="F121" i="40" s="1"/>
  <c r="AS10" i="40"/>
  <c r="F136" i="40"/>
  <c r="M10" i="40"/>
  <c r="S10" i="40" s="1"/>
  <c r="X10" i="40" s="1"/>
  <c r="AA10" i="40" s="1"/>
  <c r="M33" i="50"/>
  <c r="M121" i="40" s="1"/>
  <c r="M136" i="40"/>
  <c r="M35" i="50"/>
  <c r="AS14" i="40"/>
  <c r="J33" i="50"/>
  <c r="J121" i="40" s="1"/>
  <c r="J136" i="40"/>
  <c r="J122" i="40"/>
  <c r="J35" i="50"/>
  <c r="I136" i="40"/>
  <c r="I35" i="50"/>
  <c r="I33" i="50"/>
  <c r="I121" i="40" s="1"/>
  <c r="I122" i="40"/>
  <c r="AS13" i="40"/>
  <c r="G136" i="40"/>
  <c r="G122" i="40"/>
  <c r="G35" i="50"/>
  <c r="G33" i="50"/>
  <c r="G121" i="40" s="1"/>
  <c r="S11" i="40"/>
  <c r="P11" i="40"/>
  <c r="H122" i="40"/>
  <c r="H33" i="50"/>
  <c r="H121" i="40" s="1"/>
  <c r="H35" i="50"/>
  <c r="H136" i="40"/>
  <c r="AS18" i="40"/>
  <c r="AS12" i="40"/>
  <c r="M12" i="40"/>
  <c r="AS15" i="40"/>
  <c r="U17" i="40"/>
  <c r="X17" i="40"/>
  <c r="AA17" i="40" s="1"/>
  <c r="M18" i="40"/>
  <c r="P14" i="40" l="1"/>
  <c r="DH68" i="38"/>
  <c r="DI67" i="38"/>
  <c r="DJ67" i="38"/>
  <c r="DM67" i="38"/>
  <c r="DN67" i="38"/>
  <c r="DP67" i="38"/>
  <c r="DO67" i="38"/>
  <c r="DK67" i="38"/>
  <c r="DL67" i="38"/>
  <c r="P16" i="40"/>
  <c r="P15" i="40"/>
  <c r="AS29" i="40"/>
  <c r="N29" i="40"/>
  <c r="P13" i="40"/>
  <c r="S9" i="40"/>
  <c r="X9" i="40" s="1"/>
  <c r="AJ72" i="40"/>
  <c r="AR72" i="40"/>
  <c r="W136" i="40"/>
  <c r="W33" i="50"/>
  <c r="W121" i="40" s="1"/>
  <c r="R76" i="40"/>
  <c r="T75" i="40"/>
  <c r="Z76" i="40"/>
  <c r="W77" i="40"/>
  <c r="H73" i="40"/>
  <c r="I73" i="40"/>
  <c r="G73" i="40"/>
  <c r="B75" i="40"/>
  <c r="O74" i="40"/>
  <c r="E74" i="40"/>
  <c r="AK74" i="40" s="1"/>
  <c r="AL74" i="40" s="1"/>
  <c r="F73" i="40"/>
  <c r="W122" i="40"/>
  <c r="K31" i="40"/>
  <c r="L31" i="40" s="1"/>
  <c r="S27" i="40"/>
  <c r="P27" i="40"/>
  <c r="P30" i="40"/>
  <c r="S30" i="40"/>
  <c r="K28" i="40"/>
  <c r="L28" i="40" s="1"/>
  <c r="N28" i="40" s="1"/>
  <c r="M29" i="40"/>
  <c r="AA16" i="50"/>
  <c r="AA23" i="50" s="1"/>
  <c r="AA26" i="50" s="1"/>
  <c r="AA27" i="50" s="1"/>
  <c r="AB16" i="50"/>
  <c r="AB23" i="50" s="1"/>
  <c r="AB26" i="50" s="1"/>
  <c r="AB27" i="50" s="1"/>
  <c r="C33" i="40" s="1" a="1"/>
  <c r="C33" i="40" s="1"/>
  <c r="J33" i="40" s="1"/>
  <c r="AG33" i="40" s="1"/>
  <c r="AI33" i="40" s="1"/>
  <c r="X33" i="50"/>
  <c r="X121" i="40" s="1"/>
  <c r="X35" i="50"/>
  <c r="X122" i="40"/>
  <c r="X136" i="40"/>
  <c r="Z29" i="50"/>
  <c r="Z30" i="50" s="1"/>
  <c r="Z31" i="50" s="1"/>
  <c r="Z120" i="40"/>
  <c r="E26" i="51"/>
  <c r="E27" i="51"/>
  <c r="M27" i="51"/>
  <c r="M26" i="51"/>
  <c r="H27" i="51"/>
  <c r="H26" i="51"/>
  <c r="G27" i="51"/>
  <c r="G26" i="51"/>
  <c r="J27" i="51"/>
  <c r="J26" i="51"/>
  <c r="I26" i="51"/>
  <c r="I27" i="51"/>
  <c r="D26" i="51"/>
  <c r="D27" i="51"/>
  <c r="U10" i="40"/>
  <c r="P10" i="40"/>
  <c r="U16" i="40"/>
  <c r="X16" i="40"/>
  <c r="AA16" i="40" s="1"/>
  <c r="S18" i="40"/>
  <c r="P18" i="40"/>
  <c r="X13" i="40"/>
  <c r="AA13" i="40" s="1"/>
  <c r="U13" i="40"/>
  <c r="U11" i="40"/>
  <c r="X11" i="40"/>
  <c r="AA11" i="40" s="1"/>
  <c r="E127" i="40"/>
  <c r="U14" i="40"/>
  <c r="X14" i="40"/>
  <c r="AA14" i="40" s="1"/>
  <c r="X15" i="40"/>
  <c r="AA15" i="40" s="1"/>
  <c r="U15" i="40"/>
  <c r="P12" i="40"/>
  <c r="S12" i="40"/>
  <c r="DH69" i="38" l="1"/>
  <c r="DK68" i="38"/>
  <c r="DP68" i="38"/>
  <c r="DN68" i="38"/>
  <c r="DM68" i="38"/>
  <c r="DI68" i="38"/>
  <c r="DJ68" i="38"/>
  <c r="DO68" i="38"/>
  <c r="DL68" i="38"/>
  <c r="U9" i="40"/>
  <c r="AS31" i="40"/>
  <c r="N31" i="40"/>
  <c r="AS28" i="40"/>
  <c r="AJ73" i="40"/>
  <c r="AR73" i="40"/>
  <c r="I74" i="40"/>
  <c r="G74" i="40"/>
  <c r="H74" i="40"/>
  <c r="O75" i="40"/>
  <c r="B76" i="40"/>
  <c r="E75" i="40"/>
  <c r="AK75" i="40" s="1"/>
  <c r="AL75" i="40" s="1"/>
  <c r="F74" i="40"/>
  <c r="R77" i="40"/>
  <c r="T76" i="40"/>
  <c r="W78" i="40"/>
  <c r="Z77" i="40"/>
  <c r="M28" i="40"/>
  <c r="K33" i="40"/>
  <c r="L33" i="40" s="1"/>
  <c r="P29" i="40"/>
  <c r="S29" i="40"/>
  <c r="U27" i="40"/>
  <c r="X27" i="40"/>
  <c r="AA27" i="40" s="1"/>
  <c r="AA29" i="50"/>
  <c r="AA30" i="50" s="1"/>
  <c r="AA31" i="50" s="1"/>
  <c r="AA33" i="50" s="1"/>
  <c r="AA121" i="40" s="1"/>
  <c r="C32" i="40" a="1"/>
  <c r="C32" i="40" s="1"/>
  <c r="J32" i="40" s="1"/>
  <c r="AG32" i="40" s="1"/>
  <c r="M31" i="40"/>
  <c r="X30" i="40"/>
  <c r="AA30" i="40" s="1"/>
  <c r="U30" i="40"/>
  <c r="AG16" i="50"/>
  <c r="AG23" i="50" s="1"/>
  <c r="AG26" i="50" s="1"/>
  <c r="AG27" i="50" s="1"/>
  <c r="AA120" i="40"/>
  <c r="AD16" i="50"/>
  <c r="AD23" i="50" s="1"/>
  <c r="AD26" i="50" s="1"/>
  <c r="AD27" i="50" s="1"/>
  <c r="AE16" i="50"/>
  <c r="AE23" i="50" s="1"/>
  <c r="AE26" i="50" s="1"/>
  <c r="AE27" i="50" s="1"/>
  <c r="C36" i="40" s="1" a="1"/>
  <c r="C36" i="40" s="1"/>
  <c r="J36" i="40" s="1"/>
  <c r="AG36" i="40" s="1"/>
  <c r="AI36" i="40" s="1"/>
  <c r="AB29" i="50"/>
  <c r="AB30" i="50" s="1"/>
  <c r="AB31" i="50" s="1"/>
  <c r="AB120" i="40"/>
  <c r="Z122" i="40"/>
  <c r="Z136" i="40"/>
  <c r="Z33" i="50"/>
  <c r="Z121" i="40" s="1"/>
  <c r="Z35" i="50"/>
  <c r="AF16" i="50"/>
  <c r="AF23" i="50" s="1"/>
  <c r="AF26" i="50" s="1"/>
  <c r="AF27" i="50" s="1"/>
  <c r="C37" i="40" s="1" a="1"/>
  <c r="C37" i="40" s="1"/>
  <c r="J37" i="40" s="1"/>
  <c r="AG37" i="40" s="1"/>
  <c r="AI37" i="40" s="1"/>
  <c r="U18" i="40"/>
  <c r="X18" i="40"/>
  <c r="AA18" i="40" s="1"/>
  <c r="X12" i="40"/>
  <c r="AA12" i="40" s="1"/>
  <c r="U12" i="40"/>
  <c r="Y9" i="40"/>
  <c r="AA9" i="40"/>
  <c r="DH70" i="38" l="1"/>
  <c r="DP69" i="38"/>
  <c r="DJ69" i="38"/>
  <c r="DM69" i="38"/>
  <c r="DN69" i="38"/>
  <c r="DO69" i="38"/>
  <c r="DK69" i="38"/>
  <c r="DL69" i="38"/>
  <c r="DI69" i="38"/>
  <c r="AS33" i="40"/>
  <c r="N33" i="40"/>
  <c r="AB9" i="40"/>
  <c r="AD9" i="40" s="1"/>
  <c r="AI32" i="40"/>
  <c r="AR74" i="40"/>
  <c r="AJ74" i="40"/>
  <c r="AA136" i="40"/>
  <c r="AA122" i="40"/>
  <c r="W79" i="40"/>
  <c r="Z78" i="40"/>
  <c r="G75" i="40"/>
  <c r="H75" i="40"/>
  <c r="I75" i="40"/>
  <c r="O76" i="40"/>
  <c r="B77" i="40"/>
  <c r="E76" i="40"/>
  <c r="F75" i="40"/>
  <c r="R78" i="40"/>
  <c r="T77" i="40"/>
  <c r="K36" i="40"/>
  <c r="L36" i="40" s="1"/>
  <c r="K37" i="40"/>
  <c r="L37" i="40" s="1"/>
  <c r="K32" i="40"/>
  <c r="L32" i="40" s="1"/>
  <c r="N32" i="40" s="1"/>
  <c r="AD29" i="50"/>
  <c r="AD30" i="50" s="1"/>
  <c r="AD31" i="50" s="1"/>
  <c r="AD136" i="40" s="1"/>
  <c r="C35" i="40" a="1"/>
  <c r="C35" i="40" s="1"/>
  <c r="J35" i="40" s="1"/>
  <c r="AG35" i="40" s="1"/>
  <c r="AI35" i="40" s="1"/>
  <c r="P31" i="40"/>
  <c r="S31" i="40"/>
  <c r="M33" i="40"/>
  <c r="AA35" i="50"/>
  <c r="P28" i="40"/>
  <c r="S28" i="40"/>
  <c r="X29" i="40"/>
  <c r="AA29" i="40" s="1"/>
  <c r="U29" i="40"/>
  <c r="AG29" i="50"/>
  <c r="AG30" i="50" s="1"/>
  <c r="AG31" i="50" s="1"/>
  <c r="AG33" i="50" s="1"/>
  <c r="AG121" i="40" s="1"/>
  <c r="C38" i="40" a="1"/>
  <c r="C38" i="40" s="1"/>
  <c r="J38" i="40" s="1"/>
  <c r="AG38" i="40" s="1"/>
  <c r="AI38" i="40" s="1"/>
  <c r="AG120" i="40"/>
  <c r="AB122" i="40"/>
  <c r="AB136" i="40"/>
  <c r="AB35" i="50"/>
  <c r="AB33" i="50"/>
  <c r="AB121" i="40" s="1"/>
  <c r="AE29" i="50"/>
  <c r="AE30" i="50" s="1"/>
  <c r="AE31" i="50" s="1"/>
  <c r="AE120" i="40"/>
  <c r="AD120" i="40"/>
  <c r="AF29" i="50"/>
  <c r="AF30" i="50" s="1"/>
  <c r="AF31" i="50" s="1"/>
  <c r="AF120" i="40"/>
  <c r="Y10" i="40"/>
  <c r="AC9" i="40"/>
  <c r="DH71" i="38" l="1"/>
  <c r="DP70" i="38"/>
  <c r="DN70" i="38"/>
  <c r="DK70" i="38"/>
  <c r="DM70" i="38"/>
  <c r="DJ70" i="38"/>
  <c r="DL70" i="38"/>
  <c r="DO70" i="38"/>
  <c r="DI70" i="38"/>
  <c r="AS37" i="40"/>
  <c r="N37" i="40"/>
  <c r="AS36" i="40"/>
  <c r="N36" i="40"/>
  <c r="AS32" i="40"/>
  <c r="AB10" i="40"/>
  <c r="AB11" i="40" s="1"/>
  <c r="AD35" i="50"/>
  <c r="F76" i="40"/>
  <c r="AK76" i="40"/>
  <c r="AL76" i="40" s="1"/>
  <c r="AR75" i="40"/>
  <c r="AJ75" i="40"/>
  <c r="AD33" i="50"/>
  <c r="AD121" i="40" s="1"/>
  <c r="AG35" i="50"/>
  <c r="R79" i="40"/>
  <c r="T78" i="40"/>
  <c r="AG136" i="40"/>
  <c r="G76" i="40"/>
  <c r="H76" i="40"/>
  <c r="I76" i="40"/>
  <c r="AG122" i="40"/>
  <c r="O77" i="40"/>
  <c r="B78" i="40"/>
  <c r="E77" i="40"/>
  <c r="AK77" i="40" s="1"/>
  <c r="AL77" i="40" s="1"/>
  <c r="Z79" i="40"/>
  <c r="W80" i="40"/>
  <c r="M37" i="40"/>
  <c r="M36" i="40"/>
  <c r="K35" i="40"/>
  <c r="L35" i="40" s="1"/>
  <c r="P33" i="40"/>
  <c r="S33" i="40"/>
  <c r="X31" i="40"/>
  <c r="AA31" i="40" s="1"/>
  <c r="U31" i="40"/>
  <c r="K38" i="40"/>
  <c r="L38" i="40" s="1"/>
  <c r="AD122" i="40"/>
  <c r="M32" i="40"/>
  <c r="X28" i="40"/>
  <c r="U28" i="40"/>
  <c r="AE122" i="40"/>
  <c r="AE33" i="50"/>
  <c r="AE121" i="40" s="1"/>
  <c r="AE136" i="40"/>
  <c r="AE35" i="50"/>
  <c r="AF122" i="40"/>
  <c r="AF136" i="40"/>
  <c r="AF35" i="50"/>
  <c r="AF33" i="50"/>
  <c r="AF121" i="40" s="1"/>
  <c r="AC10" i="40"/>
  <c r="Y11" i="40"/>
  <c r="DH72" i="38" l="1"/>
  <c r="DP71" i="38"/>
  <c r="DN71" i="38"/>
  <c r="DO71" i="38"/>
  <c r="DI71" i="38"/>
  <c r="DK71" i="38"/>
  <c r="DL71" i="38"/>
  <c r="DJ71" i="38"/>
  <c r="DM71" i="38"/>
  <c r="AS35" i="40"/>
  <c r="N35" i="40"/>
  <c r="AS38" i="40"/>
  <c r="N38" i="40"/>
  <c r="AD10" i="40"/>
  <c r="AA28" i="40"/>
  <c r="AR76" i="40"/>
  <c r="AJ76" i="40"/>
  <c r="W81" i="40"/>
  <c r="Z80" i="40"/>
  <c r="I77" i="40"/>
  <c r="G77" i="40"/>
  <c r="H77" i="40"/>
  <c r="O78" i="40"/>
  <c r="B79" i="40"/>
  <c r="E78" i="40"/>
  <c r="AK78" i="40" s="1"/>
  <c r="AL78" i="40" s="1"/>
  <c r="F77" i="40"/>
  <c r="T79" i="40"/>
  <c r="R80" i="40"/>
  <c r="M38" i="40"/>
  <c r="P32" i="40"/>
  <c r="S32" i="40"/>
  <c r="P37" i="40"/>
  <c r="S37" i="40"/>
  <c r="U33" i="40"/>
  <c r="X33" i="40"/>
  <c r="AA33" i="40" s="1"/>
  <c r="M35" i="40"/>
  <c r="P36" i="40"/>
  <c r="S36" i="40"/>
  <c r="AC11" i="40"/>
  <c r="Y12" i="40"/>
  <c r="AD11" i="40"/>
  <c r="AB12" i="40"/>
  <c r="DH73" i="38" l="1"/>
  <c r="DI72" i="38"/>
  <c r="DM72" i="38"/>
  <c r="DK72" i="38"/>
  <c r="DP72" i="38"/>
  <c r="DL72" i="38"/>
  <c r="DJ72" i="38"/>
  <c r="DO72" i="38"/>
  <c r="DN72" i="38"/>
  <c r="AJ77" i="40"/>
  <c r="AR77" i="40"/>
  <c r="F78" i="40"/>
  <c r="H78" i="40"/>
  <c r="I78" i="40"/>
  <c r="G78" i="40"/>
  <c r="O79" i="40"/>
  <c r="B80" i="40"/>
  <c r="E79" i="40"/>
  <c r="AK79" i="40" s="1"/>
  <c r="AL79" i="40" s="1"/>
  <c r="R81" i="40"/>
  <c r="T80" i="40"/>
  <c r="W82" i="40"/>
  <c r="Z81" i="40"/>
  <c r="U36" i="40"/>
  <c r="X36" i="40"/>
  <c r="AA36" i="40" s="1"/>
  <c r="S35" i="40"/>
  <c r="P35" i="40"/>
  <c r="U32" i="40"/>
  <c r="X32" i="40"/>
  <c r="P38" i="40"/>
  <c r="S38" i="40"/>
  <c r="U37" i="40"/>
  <c r="X37" i="40"/>
  <c r="AA37" i="40" s="1"/>
  <c r="AD12" i="40"/>
  <c r="AB13" i="40"/>
  <c r="AC12" i="40"/>
  <c r="Y13" i="40"/>
  <c r="DH74" i="38" l="1"/>
  <c r="DM73" i="38"/>
  <c r="DI73" i="38"/>
  <c r="DL73" i="38"/>
  <c r="DJ73" i="38"/>
  <c r="DN73" i="38"/>
  <c r="DO73" i="38"/>
  <c r="DP73" i="38"/>
  <c r="DK73" i="38"/>
  <c r="AA32" i="40"/>
  <c r="AJ78" i="40"/>
  <c r="AR78" i="40"/>
  <c r="T81" i="40"/>
  <c r="R82" i="40"/>
  <c r="G79" i="40"/>
  <c r="H79" i="40"/>
  <c r="I79" i="40"/>
  <c r="O80" i="40"/>
  <c r="B81" i="40"/>
  <c r="E80" i="40"/>
  <c r="AK80" i="40" s="1"/>
  <c r="AL80" i="40" s="1"/>
  <c r="Z82" i="40"/>
  <c r="W83" i="40"/>
  <c r="F79" i="40"/>
  <c r="U38" i="40"/>
  <c r="X38" i="40"/>
  <c r="AA38" i="40" s="1"/>
  <c r="X35" i="40"/>
  <c r="AA35" i="40" s="1"/>
  <c r="U35" i="40"/>
  <c r="AC13" i="40"/>
  <c r="Y14" i="40"/>
  <c r="AD13" i="40"/>
  <c r="AB14" i="40"/>
  <c r="DH75" i="38" l="1"/>
  <c r="DM74" i="38"/>
  <c r="DK74" i="38"/>
  <c r="DI74" i="38"/>
  <c r="DP74" i="38"/>
  <c r="DJ74" i="38"/>
  <c r="DN74" i="38"/>
  <c r="DL74" i="38"/>
  <c r="DO74" i="38"/>
  <c r="AJ79" i="40"/>
  <c r="AR79" i="40"/>
  <c r="F80" i="40"/>
  <c r="H80" i="40"/>
  <c r="I80" i="40"/>
  <c r="G80" i="40"/>
  <c r="O81" i="40"/>
  <c r="B82" i="40"/>
  <c r="E81" i="40"/>
  <c r="AK81" i="40" s="1"/>
  <c r="AL81" i="40" s="1"/>
  <c r="R83" i="40"/>
  <c r="T82" i="40"/>
  <c r="W84" i="40"/>
  <c r="Z83" i="40"/>
  <c r="AB15" i="40"/>
  <c r="AD14" i="40"/>
  <c r="Y15" i="40"/>
  <c r="AC14" i="40"/>
  <c r="DH76" i="38" l="1"/>
  <c r="DJ75" i="38"/>
  <c r="DM75" i="38"/>
  <c r="DP75" i="38"/>
  <c r="DN75" i="38"/>
  <c r="DI75" i="38"/>
  <c r="DO75" i="38"/>
  <c r="DL75" i="38"/>
  <c r="DK75" i="38"/>
  <c r="AR80" i="40"/>
  <c r="AJ80" i="40"/>
  <c r="R84" i="40"/>
  <c r="T83" i="40"/>
  <c r="G81" i="40"/>
  <c r="I81" i="40"/>
  <c r="H81" i="40"/>
  <c r="F81" i="40"/>
  <c r="Z84" i="40"/>
  <c r="W85" i="40"/>
  <c r="O82" i="40"/>
  <c r="B83" i="40"/>
  <c r="E82" i="40"/>
  <c r="AK82" i="40" s="1"/>
  <c r="AL82" i="40" s="1"/>
  <c r="AC15" i="40"/>
  <c r="Y16" i="40"/>
  <c r="AD15" i="40"/>
  <c r="AB16" i="40"/>
  <c r="DH77" i="38" l="1"/>
  <c r="DP76" i="38"/>
  <c r="DI76" i="38"/>
  <c r="DM76" i="38"/>
  <c r="DK76" i="38"/>
  <c r="DO76" i="38"/>
  <c r="DL76" i="38"/>
  <c r="DJ76" i="38"/>
  <c r="DN76" i="38"/>
  <c r="AR81" i="40"/>
  <c r="AJ81" i="40"/>
  <c r="G82" i="40"/>
  <c r="H82" i="40"/>
  <c r="I82" i="40"/>
  <c r="O83" i="40"/>
  <c r="B84" i="40"/>
  <c r="E83" i="40"/>
  <c r="AK83" i="40" s="1"/>
  <c r="AL83" i="40" s="1"/>
  <c r="Z85" i="40"/>
  <c r="W86" i="40"/>
  <c r="F82" i="40"/>
  <c r="R85" i="40"/>
  <c r="T84" i="40"/>
  <c r="AB17" i="40"/>
  <c r="AD16" i="40"/>
  <c r="AC16" i="40"/>
  <c r="Y17" i="40"/>
  <c r="DH78" i="38" l="1"/>
  <c r="DM77" i="38"/>
  <c r="DP77" i="38"/>
  <c r="DL77" i="38"/>
  <c r="DJ77" i="38"/>
  <c r="DI77" i="38"/>
  <c r="DO77" i="38"/>
  <c r="DK77" i="38"/>
  <c r="DN77" i="38"/>
  <c r="AJ82" i="40"/>
  <c r="AR82" i="40"/>
  <c r="I83" i="40"/>
  <c r="G83" i="40"/>
  <c r="H83" i="40"/>
  <c r="T85" i="40"/>
  <c r="R86" i="40"/>
  <c r="Z86" i="40"/>
  <c r="W87" i="40"/>
  <c r="O84" i="40"/>
  <c r="B85" i="40"/>
  <c r="E84" i="40"/>
  <c r="AK84" i="40" s="1"/>
  <c r="AL84" i="40" s="1"/>
  <c r="F83" i="40"/>
  <c r="Y18" i="40"/>
  <c r="AC17" i="40"/>
  <c r="AD17" i="40"/>
  <c r="AB18" i="40"/>
  <c r="DH79" i="38" l="1"/>
  <c r="DJ78" i="38"/>
  <c r="DK78" i="38"/>
  <c r="DI78" i="38"/>
  <c r="DL78" i="38"/>
  <c r="DN78" i="38"/>
  <c r="DP78" i="38"/>
  <c r="DO78" i="38"/>
  <c r="DM78" i="38"/>
  <c r="AJ83" i="40"/>
  <c r="AR83" i="40"/>
  <c r="H84" i="40"/>
  <c r="I84" i="40"/>
  <c r="G84" i="40"/>
  <c r="O85" i="40"/>
  <c r="B86" i="40"/>
  <c r="E85" i="40"/>
  <c r="W88" i="40"/>
  <c r="Z87" i="40"/>
  <c r="T86" i="40"/>
  <c r="R87" i="40"/>
  <c r="F84" i="40"/>
  <c r="AD18" i="40"/>
  <c r="AA3" i="40" s="1"/>
  <c r="D130" i="40" s="1"/>
  <c r="AB19" i="40"/>
  <c r="AC18" i="40"/>
  <c r="AA4" i="40" s="1"/>
  <c r="D129" i="40" s="1"/>
  <c r="Y19" i="40"/>
  <c r="DH80" i="38" l="1"/>
  <c r="DK79" i="38"/>
  <c r="DO79" i="38"/>
  <c r="DP79" i="38"/>
  <c r="DN79" i="38"/>
  <c r="DJ79" i="38"/>
  <c r="DM79" i="38"/>
  <c r="DI79" i="38"/>
  <c r="DL79" i="38"/>
  <c r="F85" i="40"/>
  <c r="AK85" i="40"/>
  <c r="AL85" i="40" s="1"/>
  <c r="AJ84" i="40"/>
  <c r="AR84" i="40"/>
  <c r="I85" i="40"/>
  <c r="G85" i="40"/>
  <c r="H85" i="40"/>
  <c r="T87" i="40"/>
  <c r="R88" i="40"/>
  <c r="Z88" i="40"/>
  <c r="W89" i="40"/>
  <c r="O86" i="40"/>
  <c r="B87" i="40"/>
  <c r="E86" i="40"/>
  <c r="AK86" i="40" s="1"/>
  <c r="AL86" i="40" s="1"/>
  <c r="AC19" i="40"/>
  <c r="Y20" i="40"/>
  <c r="AD19" i="40"/>
  <c r="AB20" i="40"/>
  <c r="CX16" i="50"/>
  <c r="CX23" i="50" s="1"/>
  <c r="CX26" i="50" s="1"/>
  <c r="CX27" i="50" s="1"/>
  <c r="CY16" i="50"/>
  <c r="CY23" i="50" s="1"/>
  <c r="CY26" i="50" s="1"/>
  <c r="CY27" i="50" s="1"/>
  <c r="C108" i="40" s="1" a="1"/>
  <c r="C108" i="40" s="1"/>
  <c r="CV16" i="50"/>
  <c r="CV23" i="50" s="1"/>
  <c r="CV26" i="50" s="1"/>
  <c r="CV27" i="50" s="1"/>
  <c r="CW16" i="50"/>
  <c r="CW23" i="50" s="1"/>
  <c r="CW26" i="50" s="1"/>
  <c r="CW27" i="50" s="1"/>
  <c r="CT16" i="50"/>
  <c r="CT23" i="50" s="1"/>
  <c r="CT26" i="50" s="1"/>
  <c r="CT27" i="50" s="1"/>
  <c r="CU16" i="50"/>
  <c r="CU23" i="50" s="1"/>
  <c r="CU26" i="50" s="1"/>
  <c r="CU27" i="50" s="1"/>
  <c r="CR16" i="50"/>
  <c r="CR23" i="50" s="1"/>
  <c r="CR26" i="50" s="1"/>
  <c r="CR27" i="50" s="1"/>
  <c r="CS16" i="50"/>
  <c r="CS23" i="50" s="1"/>
  <c r="CS26" i="50" s="1"/>
  <c r="CS27" i="50" s="1"/>
  <c r="CP16" i="50"/>
  <c r="CP23" i="50" s="1"/>
  <c r="CP26" i="50" s="1"/>
  <c r="CP27" i="50" s="1"/>
  <c r="CQ16" i="50"/>
  <c r="CQ23" i="50" s="1"/>
  <c r="CQ26" i="50" s="1"/>
  <c r="CQ27" i="50" s="1"/>
  <c r="CN16" i="50"/>
  <c r="CN23" i="50" s="1"/>
  <c r="CN26" i="50" s="1"/>
  <c r="CN27" i="50" s="1"/>
  <c r="CO16" i="50"/>
  <c r="CO23" i="50" s="1"/>
  <c r="CO26" i="50" s="1"/>
  <c r="CO27" i="50" s="1"/>
  <c r="CL16" i="50"/>
  <c r="CL23" i="50" s="1"/>
  <c r="CL26" i="50" s="1"/>
  <c r="CL27" i="50" s="1"/>
  <c r="CM16" i="50"/>
  <c r="CM23" i="50" s="1"/>
  <c r="CM26" i="50" s="1"/>
  <c r="CM27" i="50" s="1"/>
  <c r="CJ16" i="50"/>
  <c r="CJ23" i="50" s="1"/>
  <c r="CJ26" i="50" s="1"/>
  <c r="CJ27" i="50" s="1"/>
  <c r="CK16" i="50"/>
  <c r="CK23" i="50" s="1"/>
  <c r="CK26" i="50" s="1"/>
  <c r="CK27" i="50" s="1"/>
  <c r="CH16" i="50"/>
  <c r="CH23" i="50" s="1"/>
  <c r="CH26" i="50" s="1"/>
  <c r="CH27" i="50" s="1"/>
  <c r="CI16" i="50"/>
  <c r="CI23" i="50" s="1"/>
  <c r="CI26" i="50" s="1"/>
  <c r="CI27" i="50" s="1"/>
  <c r="CF16" i="50"/>
  <c r="CF23" i="50" s="1"/>
  <c r="CF26" i="50" s="1"/>
  <c r="CF27" i="50" s="1"/>
  <c r="CG16" i="50"/>
  <c r="CG23" i="50" s="1"/>
  <c r="CG26" i="50" s="1"/>
  <c r="CG27" i="50" s="1"/>
  <c r="CD16" i="50"/>
  <c r="CD23" i="50" s="1"/>
  <c r="CD26" i="50" s="1"/>
  <c r="CD27" i="50" s="1"/>
  <c r="CE16" i="50"/>
  <c r="CE23" i="50" s="1"/>
  <c r="CE26" i="50" s="1"/>
  <c r="CE27" i="50" s="1"/>
  <c r="C88" i="40" s="1" a="1"/>
  <c r="C88" i="40" s="1"/>
  <c r="CB16" i="50"/>
  <c r="CB23" i="50" s="1"/>
  <c r="CB26" i="50" s="1"/>
  <c r="CB27" i="50" s="1"/>
  <c r="CC16" i="50"/>
  <c r="CC23" i="50" s="1"/>
  <c r="CC26" i="50" s="1"/>
  <c r="CC27" i="50" s="1"/>
  <c r="C86" i="40" s="1" a="1"/>
  <c r="C86" i="40" s="1"/>
  <c r="BZ16" i="50"/>
  <c r="BZ23" i="50" s="1"/>
  <c r="BZ26" i="50" s="1"/>
  <c r="BZ27" i="50" s="1"/>
  <c r="CA16" i="50"/>
  <c r="CA23" i="50" s="1"/>
  <c r="CA26" i="50" s="1"/>
  <c r="CA27" i="50" s="1"/>
  <c r="C84" i="40" s="1" a="1"/>
  <c r="C84" i="40" s="1"/>
  <c r="J84" i="40" s="1"/>
  <c r="AG84" i="40" s="1"/>
  <c r="AI84" i="40" s="1"/>
  <c r="BX16" i="50"/>
  <c r="BX23" i="50" s="1"/>
  <c r="BX26" i="50" s="1"/>
  <c r="BX27" i="50" s="1"/>
  <c r="BY16" i="50"/>
  <c r="BY23" i="50" s="1"/>
  <c r="BY26" i="50" s="1"/>
  <c r="BY27" i="50" s="1"/>
  <c r="C82" i="40" s="1" a="1"/>
  <c r="C82" i="40" s="1"/>
  <c r="J82" i="40" s="1"/>
  <c r="AG82" i="40" s="1"/>
  <c r="AI82" i="40" s="1"/>
  <c r="BV16" i="50"/>
  <c r="BV23" i="50" s="1"/>
  <c r="BV26" i="50" s="1"/>
  <c r="BV27" i="50" s="1"/>
  <c r="BW16" i="50"/>
  <c r="BW23" i="50" s="1"/>
  <c r="BW26" i="50" s="1"/>
  <c r="BW27" i="50" s="1"/>
  <c r="C80" i="40" s="1" a="1"/>
  <c r="C80" i="40" s="1"/>
  <c r="J80" i="40" s="1"/>
  <c r="AG80" i="40" s="1"/>
  <c r="AI80" i="40" s="1"/>
  <c r="BT16" i="50"/>
  <c r="BT23" i="50" s="1"/>
  <c r="BT26" i="50" s="1"/>
  <c r="BT27" i="50" s="1"/>
  <c r="BU16" i="50"/>
  <c r="BU23" i="50" s="1"/>
  <c r="BU26" i="50" s="1"/>
  <c r="BU27" i="50" s="1"/>
  <c r="C78" i="40" s="1" a="1"/>
  <c r="C78" i="40" s="1"/>
  <c r="J78" i="40" s="1"/>
  <c r="AG78" i="40" s="1"/>
  <c r="AI78" i="40" s="1"/>
  <c r="BR16" i="50"/>
  <c r="BR23" i="50" s="1"/>
  <c r="BR26" i="50" s="1"/>
  <c r="BR27" i="50" s="1"/>
  <c r="BS16" i="50"/>
  <c r="BS23" i="50" s="1"/>
  <c r="BS26" i="50" s="1"/>
  <c r="BS27" i="50" s="1"/>
  <c r="C76" i="40" s="1" a="1"/>
  <c r="C76" i="40" s="1"/>
  <c r="J76" i="40" s="1"/>
  <c r="AG76" i="40" s="1"/>
  <c r="AI76" i="40" s="1"/>
  <c r="BP16" i="50"/>
  <c r="BP23" i="50" s="1"/>
  <c r="BP26" i="50" s="1"/>
  <c r="BP27" i="50" s="1"/>
  <c r="BQ16" i="50"/>
  <c r="BQ23" i="50" s="1"/>
  <c r="BQ26" i="50" s="1"/>
  <c r="BQ27" i="50" s="1"/>
  <c r="C74" i="40" s="1" a="1"/>
  <c r="C74" i="40" s="1"/>
  <c r="J74" i="40" s="1"/>
  <c r="AG74" i="40" s="1"/>
  <c r="AI74" i="40" s="1"/>
  <c r="BN16" i="50"/>
  <c r="BN23" i="50" s="1"/>
  <c r="BN26" i="50" s="1"/>
  <c r="BN27" i="50" s="1"/>
  <c r="BO16" i="50"/>
  <c r="BO23" i="50" s="1"/>
  <c r="BO26" i="50" s="1"/>
  <c r="BO27" i="50" s="1"/>
  <c r="C72" i="40" s="1" a="1"/>
  <c r="C72" i="40" s="1"/>
  <c r="J72" i="40" s="1"/>
  <c r="AG72" i="40" s="1"/>
  <c r="AI72" i="40" s="1"/>
  <c r="BL16" i="50"/>
  <c r="BL23" i="50" s="1"/>
  <c r="BL26" i="50" s="1"/>
  <c r="BL27" i="50" s="1"/>
  <c r="BM16" i="50"/>
  <c r="BM23" i="50" s="1"/>
  <c r="BM26" i="50" s="1"/>
  <c r="BM27" i="50" s="1"/>
  <c r="C70" i="40" s="1" a="1"/>
  <c r="C70" i="40" s="1"/>
  <c r="J70" i="40" s="1"/>
  <c r="AG70" i="40" s="1"/>
  <c r="AI70" i="40" s="1"/>
  <c r="BJ16" i="50"/>
  <c r="BJ23" i="50" s="1"/>
  <c r="BJ26" i="50" s="1"/>
  <c r="BJ27" i="50" s="1"/>
  <c r="BK16" i="50"/>
  <c r="BK23" i="50" s="1"/>
  <c r="BK26" i="50" s="1"/>
  <c r="BK27" i="50" s="1"/>
  <c r="C68" i="40" s="1" a="1"/>
  <c r="C68" i="40" s="1"/>
  <c r="J68" i="40" s="1"/>
  <c r="AG68" i="40" s="1"/>
  <c r="AI68" i="40" s="1"/>
  <c r="BH16" i="50"/>
  <c r="BH23" i="50" s="1"/>
  <c r="BH26" i="50" s="1"/>
  <c r="BH27" i="50" s="1"/>
  <c r="BI16" i="50"/>
  <c r="BI23" i="50" s="1"/>
  <c r="BI26" i="50" s="1"/>
  <c r="BI27" i="50" s="1"/>
  <c r="C66" i="40" s="1" a="1"/>
  <c r="C66" i="40" s="1"/>
  <c r="J66" i="40" s="1"/>
  <c r="AG66" i="40" s="1"/>
  <c r="AI66" i="40" s="1"/>
  <c r="BF16" i="50"/>
  <c r="BF23" i="50" s="1"/>
  <c r="BF26" i="50" s="1"/>
  <c r="BF27" i="50" s="1"/>
  <c r="BG16" i="50"/>
  <c r="BG23" i="50" s="1"/>
  <c r="BG26" i="50" s="1"/>
  <c r="BG27" i="50" s="1"/>
  <c r="C64" i="40" s="1" a="1"/>
  <c r="C64" i="40" s="1"/>
  <c r="J64" i="40" s="1"/>
  <c r="AG64" i="40" s="1"/>
  <c r="AI64" i="40" s="1"/>
  <c r="BD16" i="50"/>
  <c r="BD23" i="50" s="1"/>
  <c r="BD26" i="50" s="1"/>
  <c r="BD27" i="50" s="1"/>
  <c r="BE16" i="50"/>
  <c r="BE23" i="50" s="1"/>
  <c r="BE26" i="50" s="1"/>
  <c r="BE27" i="50" s="1"/>
  <c r="C62" i="40" s="1" a="1"/>
  <c r="C62" i="40" s="1"/>
  <c r="J62" i="40" s="1"/>
  <c r="AG62" i="40" s="1"/>
  <c r="AI62" i="40" s="1"/>
  <c r="BB16" i="50"/>
  <c r="BB23" i="50" s="1"/>
  <c r="BB26" i="50" s="1"/>
  <c r="BB27" i="50" s="1"/>
  <c r="BC16" i="50"/>
  <c r="BC23" i="50" s="1"/>
  <c r="BC26" i="50" s="1"/>
  <c r="BC27" i="50" s="1"/>
  <c r="C60" i="40" s="1" a="1"/>
  <c r="C60" i="40" s="1"/>
  <c r="J60" i="40" s="1"/>
  <c r="AG60" i="40" s="1"/>
  <c r="AI60" i="40" s="1"/>
  <c r="AZ16" i="50"/>
  <c r="AZ23" i="50" s="1"/>
  <c r="AZ26" i="50" s="1"/>
  <c r="AZ27" i="50" s="1"/>
  <c r="BA16" i="50"/>
  <c r="BA23" i="50" s="1"/>
  <c r="BA26" i="50" s="1"/>
  <c r="BA27" i="50" s="1"/>
  <c r="C58" i="40" s="1" a="1"/>
  <c r="C58" i="40" s="1"/>
  <c r="J58" i="40" s="1"/>
  <c r="AG58" i="40" s="1"/>
  <c r="AI58" i="40" s="1"/>
  <c r="AX16" i="50"/>
  <c r="AX23" i="50" s="1"/>
  <c r="AX26" i="50" s="1"/>
  <c r="AX27" i="50" s="1"/>
  <c r="AY16" i="50"/>
  <c r="AY23" i="50" s="1"/>
  <c r="AY26" i="50" s="1"/>
  <c r="AY27" i="50" s="1"/>
  <c r="C56" i="40" s="1" a="1"/>
  <c r="C56" i="40" s="1"/>
  <c r="J56" i="40" s="1"/>
  <c r="AG56" i="40" s="1"/>
  <c r="AI56" i="40" s="1"/>
  <c r="AV16" i="50"/>
  <c r="AV23" i="50" s="1"/>
  <c r="AV26" i="50" s="1"/>
  <c r="AV27" i="50" s="1"/>
  <c r="AW16" i="50"/>
  <c r="AW23" i="50" s="1"/>
  <c r="AW26" i="50" s="1"/>
  <c r="AW27" i="50" s="1"/>
  <c r="C54" i="40" s="1" a="1"/>
  <c r="C54" i="40" s="1"/>
  <c r="J54" i="40" s="1"/>
  <c r="AG54" i="40" s="1"/>
  <c r="AI54" i="40" s="1"/>
  <c r="AT16" i="50"/>
  <c r="AT23" i="50" s="1"/>
  <c r="AT26" i="50" s="1"/>
  <c r="AT27" i="50" s="1"/>
  <c r="AU16" i="50"/>
  <c r="AU23" i="50" s="1"/>
  <c r="AU26" i="50" s="1"/>
  <c r="AU27" i="50" s="1"/>
  <c r="C52" i="40" s="1" a="1"/>
  <c r="C52" i="40" s="1"/>
  <c r="J52" i="40" s="1"/>
  <c r="AG52" i="40" s="1"/>
  <c r="AI52" i="40" s="1"/>
  <c r="AR16" i="50"/>
  <c r="AR23" i="50" s="1"/>
  <c r="AR26" i="50" s="1"/>
  <c r="AR27" i="50" s="1"/>
  <c r="AS16" i="50"/>
  <c r="AS23" i="50" s="1"/>
  <c r="AS26" i="50" s="1"/>
  <c r="AS27" i="50" s="1"/>
  <c r="C50" i="40" s="1" a="1"/>
  <c r="C50" i="40" s="1"/>
  <c r="J50" i="40" s="1"/>
  <c r="AG50" i="40" s="1"/>
  <c r="AI50" i="40" s="1"/>
  <c r="AP16" i="50"/>
  <c r="AP23" i="50" s="1"/>
  <c r="AP26" i="50" s="1"/>
  <c r="AP27" i="50" s="1"/>
  <c r="AQ16" i="50"/>
  <c r="AQ23" i="50" s="1"/>
  <c r="AQ26" i="50" s="1"/>
  <c r="AQ27" i="50" s="1"/>
  <c r="C48" i="40" s="1" a="1"/>
  <c r="C48" i="40" s="1"/>
  <c r="J48" i="40" s="1"/>
  <c r="AG48" i="40" s="1"/>
  <c r="AI48" i="40" s="1"/>
  <c r="AN16" i="50"/>
  <c r="AN23" i="50" s="1"/>
  <c r="AN26" i="50" s="1"/>
  <c r="AN27" i="50" s="1"/>
  <c r="AO16" i="50"/>
  <c r="AO23" i="50" s="1"/>
  <c r="AO26" i="50" s="1"/>
  <c r="AO27" i="50" s="1"/>
  <c r="C46" i="40" s="1" a="1"/>
  <c r="C46" i="40" s="1"/>
  <c r="J46" i="40" s="1"/>
  <c r="AG46" i="40" s="1"/>
  <c r="AI46" i="40" s="1"/>
  <c r="AL16" i="50"/>
  <c r="AL23" i="50" s="1"/>
  <c r="AL26" i="50" s="1"/>
  <c r="AL27" i="50" s="1"/>
  <c r="AM16" i="50"/>
  <c r="AM23" i="50" s="1"/>
  <c r="AM26" i="50" s="1"/>
  <c r="AM27" i="50" s="1"/>
  <c r="C44" i="40" s="1" a="1"/>
  <c r="C44" i="40" s="1"/>
  <c r="J44" i="40" s="1"/>
  <c r="AG44" i="40" s="1"/>
  <c r="AI44" i="40" s="1"/>
  <c r="AJ16" i="50"/>
  <c r="AJ23" i="50" s="1"/>
  <c r="AJ26" i="50" s="1"/>
  <c r="AJ27" i="50" s="1"/>
  <c r="AK16" i="50"/>
  <c r="AK23" i="50" s="1"/>
  <c r="AK26" i="50" s="1"/>
  <c r="AK27" i="50" s="1"/>
  <c r="C42" i="40" s="1" a="1"/>
  <c r="C42" i="40" s="1"/>
  <c r="J42" i="40" s="1"/>
  <c r="AG42" i="40" s="1"/>
  <c r="AI42" i="40" s="1"/>
  <c r="C44" i="50"/>
  <c r="D35" i="51" s="1"/>
  <c r="AH16" i="50"/>
  <c r="AH23" i="50" s="1"/>
  <c r="AH26" i="50" s="1"/>
  <c r="AH27" i="50" s="1"/>
  <c r="C39" i="40" s="1" a="1"/>
  <c r="C39" i="40" s="1"/>
  <c r="J39" i="40" s="1"/>
  <c r="AG39" i="40" s="1"/>
  <c r="C45" i="50"/>
  <c r="AI16" i="50"/>
  <c r="AI23" i="50" s="1"/>
  <c r="AI26" i="50" s="1"/>
  <c r="AI27" i="50" s="1"/>
  <c r="C40" i="40" s="1" a="1"/>
  <c r="C40" i="40" s="1"/>
  <c r="J40" i="40" s="1"/>
  <c r="AG40" i="40" s="1"/>
  <c r="AI40" i="40" s="1"/>
  <c r="DH81" i="38" l="1"/>
  <c r="DJ80" i="38"/>
  <c r="DM80" i="38"/>
  <c r="DO80" i="38"/>
  <c r="DN80" i="38"/>
  <c r="DP80" i="38"/>
  <c r="DI80" i="38"/>
  <c r="DL80" i="38"/>
  <c r="DK80" i="38"/>
  <c r="J108" i="40"/>
  <c r="AG108" i="40" s="1"/>
  <c r="AI108" i="40" s="1"/>
  <c r="AI39" i="40"/>
  <c r="AR85" i="40"/>
  <c r="AJ85" i="40"/>
  <c r="CL29" i="50"/>
  <c r="CL30" i="50" s="1"/>
  <c r="CL31" i="50" s="1"/>
  <c r="CL136" i="40" s="1"/>
  <c r="CP120" i="40"/>
  <c r="CR29" i="50"/>
  <c r="CR30" i="50" s="1"/>
  <c r="CR31" i="50" s="1"/>
  <c r="CR136" i="40" s="1"/>
  <c r="CN120" i="40"/>
  <c r="CT120" i="40"/>
  <c r="CX120" i="40"/>
  <c r="CV120" i="40"/>
  <c r="H86" i="40"/>
  <c r="I86" i="40"/>
  <c r="J86" i="40" s="1"/>
  <c r="G86" i="40"/>
  <c r="B88" i="40"/>
  <c r="O87" i="40"/>
  <c r="E87" i="40"/>
  <c r="AK87" i="40" s="1"/>
  <c r="AL87" i="40" s="1"/>
  <c r="Z89" i="40"/>
  <c r="W90" i="40"/>
  <c r="T88" i="40"/>
  <c r="R89" i="40"/>
  <c r="F86" i="40"/>
  <c r="K50" i="40"/>
  <c r="L50" i="40" s="1"/>
  <c r="K66" i="40"/>
  <c r="L66" i="40" s="1"/>
  <c r="K82" i="40"/>
  <c r="L82" i="40" s="1"/>
  <c r="AR120" i="40"/>
  <c r="C49" i="40" a="1"/>
  <c r="C49" i="40" s="1"/>
  <c r="J49" i="40" s="1"/>
  <c r="AG49" i="40" s="1"/>
  <c r="AI49" i="40" s="1"/>
  <c r="BH120" i="40"/>
  <c r="C65" i="40" a="1"/>
  <c r="C65" i="40" s="1"/>
  <c r="J65" i="40" s="1"/>
  <c r="AG65" i="40" s="1"/>
  <c r="AI65" i="40" s="1"/>
  <c r="BX120" i="40"/>
  <c r="C81" i="40" a="1"/>
  <c r="C81" i="40" s="1"/>
  <c r="J81" i="40" s="1"/>
  <c r="AG81" i="40" s="1"/>
  <c r="AI81" i="40" s="1"/>
  <c r="K68" i="40"/>
  <c r="L68" i="40" s="1"/>
  <c r="K84" i="40"/>
  <c r="L84" i="40" s="1"/>
  <c r="K52" i="40"/>
  <c r="L52" i="40" s="1"/>
  <c r="AT120" i="40"/>
  <c r="C51" i="40" a="1"/>
  <c r="C51" i="40" s="1"/>
  <c r="J51" i="40" s="1"/>
  <c r="AG51" i="40" s="1"/>
  <c r="AI51" i="40" s="1"/>
  <c r="BJ29" i="50"/>
  <c r="BJ30" i="50" s="1"/>
  <c r="BJ31" i="50" s="1"/>
  <c r="BJ35" i="50" s="1"/>
  <c r="C67" i="40" a="1"/>
  <c r="C67" i="40" s="1"/>
  <c r="J67" i="40" s="1"/>
  <c r="AG67" i="40" s="1"/>
  <c r="AI67" i="40" s="1"/>
  <c r="BZ120" i="40"/>
  <c r="C83" i="40" a="1"/>
  <c r="C83" i="40" s="1"/>
  <c r="J83" i="40" s="1"/>
  <c r="AG83" i="40" s="1"/>
  <c r="AI83" i="40" s="1"/>
  <c r="K54" i="40"/>
  <c r="L54" i="40" s="1"/>
  <c r="K70" i="40"/>
  <c r="L70" i="40" s="1"/>
  <c r="K40" i="40"/>
  <c r="L40" i="40" s="1"/>
  <c r="AV120" i="40"/>
  <c r="C53" i="40" a="1"/>
  <c r="C53" i="40" s="1"/>
  <c r="J53" i="40" s="1"/>
  <c r="AG53" i="40" s="1"/>
  <c r="AI53" i="40" s="1"/>
  <c r="BL29" i="50"/>
  <c r="BL30" i="50" s="1"/>
  <c r="BL31" i="50" s="1"/>
  <c r="BL136" i="40" s="1"/>
  <c r="C69" i="40" a="1"/>
  <c r="C69" i="40" s="1"/>
  <c r="J69" i="40" s="1"/>
  <c r="AG69" i="40" s="1"/>
  <c r="AI69" i="40" s="1"/>
  <c r="CB29" i="50"/>
  <c r="CB30" i="50" s="1"/>
  <c r="CB31" i="50" s="1"/>
  <c r="CB35" i="50" s="1"/>
  <c r="C85" i="40" a="1"/>
  <c r="C85" i="40" s="1"/>
  <c r="J85" i="40" s="1"/>
  <c r="AG85" i="40" s="1"/>
  <c r="AI85" i="40" s="1"/>
  <c r="K56" i="40"/>
  <c r="L56" i="40" s="1"/>
  <c r="K72" i="40"/>
  <c r="L72" i="40" s="1"/>
  <c r="AX29" i="50"/>
  <c r="AX30" i="50" s="1"/>
  <c r="AX31" i="50" s="1"/>
  <c r="AX136" i="40" s="1"/>
  <c r="C55" i="40" a="1"/>
  <c r="C55" i="40" s="1"/>
  <c r="J55" i="40" s="1"/>
  <c r="AG55" i="40" s="1"/>
  <c r="AI55" i="40" s="1"/>
  <c r="BN120" i="40"/>
  <c r="C71" i="40" a="1"/>
  <c r="C71" i="40" s="1"/>
  <c r="J71" i="40" s="1"/>
  <c r="AG71" i="40" s="1"/>
  <c r="AI71" i="40" s="1"/>
  <c r="CD120" i="40"/>
  <c r="C87" i="40" a="1"/>
  <c r="C87" i="40" s="1"/>
  <c r="K42" i="40"/>
  <c r="L42" i="40" s="1"/>
  <c r="K74" i="40"/>
  <c r="L74" i="40" s="1"/>
  <c r="K58" i="40"/>
  <c r="L58" i="40" s="1"/>
  <c r="AJ29" i="50"/>
  <c r="AJ30" i="50" s="1"/>
  <c r="AJ31" i="50" s="1"/>
  <c r="AJ122" i="40" s="1"/>
  <c r="C41" i="40" a="1"/>
  <c r="C41" i="40" s="1"/>
  <c r="J41" i="40" s="1"/>
  <c r="AG41" i="40" s="1"/>
  <c r="AI41" i="40" s="1"/>
  <c r="AZ29" i="50"/>
  <c r="AZ30" i="50" s="1"/>
  <c r="AZ31" i="50" s="1"/>
  <c r="AZ122" i="40" s="1"/>
  <c r="C57" i="40" a="1"/>
  <c r="C57" i="40" s="1"/>
  <c r="J57" i="40" s="1"/>
  <c r="AG57" i="40" s="1"/>
  <c r="AI57" i="40" s="1"/>
  <c r="BP120" i="40"/>
  <c r="C73" i="40" a="1"/>
  <c r="C73" i="40" s="1"/>
  <c r="J73" i="40" s="1"/>
  <c r="AG73" i="40" s="1"/>
  <c r="AI73" i="40" s="1"/>
  <c r="CF120" i="40"/>
  <c r="C89" i="40" a="1"/>
  <c r="C89" i="40" s="1"/>
  <c r="K76" i="40"/>
  <c r="L76" i="40" s="1"/>
  <c r="K60" i="40"/>
  <c r="L60" i="40" s="1"/>
  <c r="AL120" i="40"/>
  <c r="C43" i="40" a="1"/>
  <c r="C43" i="40" s="1"/>
  <c r="J43" i="40" s="1"/>
  <c r="AG43" i="40" s="1"/>
  <c r="AI43" i="40" s="1"/>
  <c r="BB29" i="50"/>
  <c r="BB30" i="50" s="1"/>
  <c r="BB31" i="50" s="1"/>
  <c r="BB35" i="50" s="1"/>
  <c r="C59" i="40" a="1"/>
  <c r="C59" i="40" s="1"/>
  <c r="J59" i="40" s="1"/>
  <c r="AG59" i="40" s="1"/>
  <c r="AI59" i="40" s="1"/>
  <c r="BR29" i="50"/>
  <c r="BR30" i="50" s="1"/>
  <c r="BR31" i="50" s="1"/>
  <c r="BR35" i="50" s="1"/>
  <c r="C75" i="40" a="1"/>
  <c r="C75" i="40" s="1"/>
  <c r="J75" i="40" s="1"/>
  <c r="AG75" i="40" s="1"/>
  <c r="AI75" i="40" s="1"/>
  <c r="CH29" i="50"/>
  <c r="CH30" i="50" s="1"/>
  <c r="CH31" i="50" s="1"/>
  <c r="CH35" i="50" s="1"/>
  <c r="K62" i="40"/>
  <c r="L62" i="40" s="1"/>
  <c r="K78" i="40"/>
  <c r="L78" i="40" s="1"/>
  <c r="AD20" i="40"/>
  <c r="AB21" i="40"/>
  <c r="K46" i="40"/>
  <c r="L46" i="40" s="1"/>
  <c r="AN29" i="50"/>
  <c r="AN30" i="50" s="1"/>
  <c r="AN31" i="50" s="1"/>
  <c r="AN136" i="40" s="1"/>
  <c r="C45" i="40" a="1"/>
  <c r="C45" i="40" s="1"/>
  <c r="J45" i="40" s="1"/>
  <c r="AG45" i="40" s="1"/>
  <c r="AI45" i="40" s="1"/>
  <c r="BD29" i="50"/>
  <c r="BD30" i="50" s="1"/>
  <c r="BD31" i="50" s="1"/>
  <c r="BD122" i="40" s="1"/>
  <c r="C61" i="40" a="1"/>
  <c r="C61" i="40" s="1"/>
  <c r="J61" i="40" s="1"/>
  <c r="AG61" i="40" s="1"/>
  <c r="AI61" i="40" s="1"/>
  <c r="BT120" i="40"/>
  <c r="C77" i="40" a="1"/>
  <c r="C77" i="40" s="1"/>
  <c r="J77" i="40" s="1"/>
  <c r="AG77" i="40" s="1"/>
  <c r="AI77" i="40" s="1"/>
  <c r="CJ29" i="50"/>
  <c r="CJ30" i="50" s="1"/>
  <c r="CJ31" i="50" s="1"/>
  <c r="CJ136" i="40" s="1"/>
  <c r="K39" i="40"/>
  <c r="L39" i="40" s="1"/>
  <c r="K44" i="40"/>
  <c r="L44" i="40" s="1"/>
  <c r="K48" i="40"/>
  <c r="L48" i="40" s="1"/>
  <c r="K64" i="40"/>
  <c r="L64" i="40" s="1"/>
  <c r="K80" i="40"/>
  <c r="L80" i="40" s="1"/>
  <c r="Y21" i="40"/>
  <c r="AC20" i="40"/>
  <c r="AP29" i="50"/>
  <c r="AP30" i="50" s="1"/>
  <c r="AP31" i="50" s="1"/>
  <c r="AP122" i="40" s="1"/>
  <c r="C47" i="40" a="1"/>
  <c r="C47" i="40" s="1"/>
  <c r="J47" i="40" s="1"/>
  <c r="AG47" i="40" s="1"/>
  <c r="AI47" i="40" s="1"/>
  <c r="BF29" i="50"/>
  <c r="BF30" i="50" s="1"/>
  <c r="BF31" i="50" s="1"/>
  <c r="BF122" i="40" s="1"/>
  <c r="C63" i="40" a="1"/>
  <c r="C63" i="40" s="1"/>
  <c r="J63" i="40" s="1"/>
  <c r="AG63" i="40" s="1"/>
  <c r="AI63" i="40" s="1"/>
  <c r="BV120" i="40"/>
  <c r="C79" i="40" a="1"/>
  <c r="C79" i="40" s="1"/>
  <c r="J79" i="40" s="1"/>
  <c r="AG79" i="40" s="1"/>
  <c r="AI79" i="40" s="1"/>
  <c r="CV29" i="50"/>
  <c r="CV30" i="50" s="1"/>
  <c r="CV31" i="50" s="1"/>
  <c r="CV136" i="40" s="1"/>
  <c r="CX29" i="50"/>
  <c r="CX30" i="50" s="1"/>
  <c r="CX31" i="50" s="1"/>
  <c r="CX136" i="40" s="1"/>
  <c r="CY29" i="50"/>
  <c r="CY30" i="50" s="1"/>
  <c r="CY31" i="50" s="1"/>
  <c r="CY120" i="40"/>
  <c r="CW120" i="40"/>
  <c r="CW29" i="50"/>
  <c r="CW30" i="50" s="1"/>
  <c r="CW31" i="50" s="1"/>
  <c r="CT29" i="50"/>
  <c r="CT30" i="50" s="1"/>
  <c r="CT31" i="50" s="1"/>
  <c r="CT136" i="40" s="1"/>
  <c r="CR120" i="40"/>
  <c r="CU120" i="40"/>
  <c r="CU29" i="50"/>
  <c r="CU30" i="50" s="1"/>
  <c r="CU31" i="50" s="1"/>
  <c r="CP29" i="50"/>
  <c r="CP30" i="50" s="1"/>
  <c r="CP31" i="50" s="1"/>
  <c r="CP122" i="40" s="1"/>
  <c r="CS120" i="40"/>
  <c r="CS29" i="50"/>
  <c r="CS30" i="50" s="1"/>
  <c r="CS31" i="50" s="1"/>
  <c r="CN29" i="50"/>
  <c r="CN30" i="50" s="1"/>
  <c r="CN31" i="50" s="1"/>
  <c r="CN35" i="50" s="1"/>
  <c r="CQ120" i="40"/>
  <c r="CQ29" i="50"/>
  <c r="CQ30" i="50" s="1"/>
  <c r="CQ31" i="50" s="1"/>
  <c r="CL120" i="40"/>
  <c r="CO29" i="50"/>
  <c r="CO30" i="50" s="1"/>
  <c r="CO31" i="50" s="1"/>
  <c r="CO120" i="40"/>
  <c r="CJ120" i="40"/>
  <c r="CM29" i="50"/>
  <c r="CM30" i="50" s="1"/>
  <c r="CM31" i="50" s="1"/>
  <c r="CM120" i="40"/>
  <c r="CK120" i="40"/>
  <c r="CK29" i="50"/>
  <c r="CK30" i="50" s="1"/>
  <c r="CK31" i="50" s="1"/>
  <c r="CH120" i="40"/>
  <c r="CF29" i="50"/>
  <c r="CF30" i="50" s="1"/>
  <c r="CF31" i="50" s="1"/>
  <c r="CF33" i="50" s="1"/>
  <c r="CF121" i="40" s="1"/>
  <c r="CI29" i="50"/>
  <c r="CI30" i="50" s="1"/>
  <c r="CI31" i="50" s="1"/>
  <c r="CI120" i="40"/>
  <c r="CD29" i="50"/>
  <c r="CD30" i="50" s="1"/>
  <c r="CD31" i="50" s="1"/>
  <c r="CD122" i="40" s="1"/>
  <c r="CG120" i="40"/>
  <c r="CG29" i="50"/>
  <c r="CG30" i="50" s="1"/>
  <c r="CG31" i="50" s="1"/>
  <c r="CB120" i="40"/>
  <c r="CE120" i="40"/>
  <c r="CE29" i="50"/>
  <c r="CE30" i="50" s="1"/>
  <c r="CE31" i="50" s="1"/>
  <c r="BZ29" i="50"/>
  <c r="BZ30" i="50" s="1"/>
  <c r="BZ31" i="50" s="1"/>
  <c r="BZ136" i="40" s="1"/>
  <c r="CC120" i="40"/>
  <c r="CC29" i="50"/>
  <c r="CC30" i="50" s="1"/>
  <c r="CC31" i="50" s="1"/>
  <c r="BX29" i="50"/>
  <c r="BX30" i="50" s="1"/>
  <c r="BX31" i="50" s="1"/>
  <c r="BX33" i="50" s="1"/>
  <c r="BX121" i="40" s="1"/>
  <c r="CA29" i="50"/>
  <c r="CA30" i="50" s="1"/>
  <c r="CA31" i="50" s="1"/>
  <c r="CA120" i="40"/>
  <c r="BV29" i="50"/>
  <c r="BV30" i="50" s="1"/>
  <c r="BV31" i="50" s="1"/>
  <c r="BV136" i="40" s="1"/>
  <c r="BY29" i="50"/>
  <c r="BY30" i="50" s="1"/>
  <c r="BY31" i="50" s="1"/>
  <c r="BY120" i="40"/>
  <c r="BT29" i="50"/>
  <c r="BT30" i="50" s="1"/>
  <c r="BT31" i="50" s="1"/>
  <c r="BT35" i="50" s="1"/>
  <c r="BW29" i="50"/>
  <c r="BW30" i="50" s="1"/>
  <c r="BW31" i="50" s="1"/>
  <c r="BW120" i="40"/>
  <c r="BU120" i="40"/>
  <c r="BU29" i="50"/>
  <c r="BU30" i="50" s="1"/>
  <c r="BU31" i="50" s="1"/>
  <c r="BP29" i="50"/>
  <c r="BP30" i="50" s="1"/>
  <c r="BP31" i="50" s="1"/>
  <c r="BP33" i="50" s="1"/>
  <c r="BP121" i="40" s="1"/>
  <c r="BR120" i="40"/>
  <c r="BS29" i="50"/>
  <c r="BS30" i="50" s="1"/>
  <c r="BS31" i="50" s="1"/>
  <c r="BS120" i="40"/>
  <c r="BN29" i="50"/>
  <c r="BN30" i="50" s="1"/>
  <c r="BN31" i="50" s="1"/>
  <c r="BN33" i="50" s="1"/>
  <c r="BN121" i="40" s="1"/>
  <c r="BQ29" i="50"/>
  <c r="BQ30" i="50" s="1"/>
  <c r="BQ31" i="50" s="1"/>
  <c r="BQ120" i="40"/>
  <c r="BL120" i="40"/>
  <c r="BO29" i="50"/>
  <c r="BO30" i="50" s="1"/>
  <c r="BO31" i="50" s="1"/>
  <c r="BO120" i="40"/>
  <c r="BJ120" i="40"/>
  <c r="BM29" i="50"/>
  <c r="BM30" i="50" s="1"/>
  <c r="BM31" i="50" s="1"/>
  <c r="BM120" i="40"/>
  <c r="BK29" i="50"/>
  <c r="BK30" i="50" s="1"/>
  <c r="BK31" i="50" s="1"/>
  <c r="BK120" i="40"/>
  <c r="BH29" i="50"/>
  <c r="BH30" i="50" s="1"/>
  <c r="BH31" i="50" s="1"/>
  <c r="BH122" i="40" s="1"/>
  <c r="BF120" i="40"/>
  <c r="BI29" i="50"/>
  <c r="BI30" i="50" s="1"/>
  <c r="BI31" i="50" s="1"/>
  <c r="BI120" i="40"/>
  <c r="BG29" i="50"/>
  <c r="BG30" i="50" s="1"/>
  <c r="BG31" i="50" s="1"/>
  <c r="BG120" i="40"/>
  <c r="BD120" i="40"/>
  <c r="BE29" i="50"/>
  <c r="BE30" i="50" s="1"/>
  <c r="BE31" i="50" s="1"/>
  <c r="BE120" i="40"/>
  <c r="BB120" i="40"/>
  <c r="AZ120" i="40"/>
  <c r="BC120" i="40"/>
  <c r="BC29" i="50"/>
  <c r="BC30" i="50" s="1"/>
  <c r="BC31" i="50" s="1"/>
  <c r="BA29" i="50"/>
  <c r="BA30" i="50" s="1"/>
  <c r="BA31" i="50" s="1"/>
  <c r="BA120" i="40"/>
  <c r="AX120" i="40"/>
  <c r="AV29" i="50"/>
  <c r="AV30" i="50" s="1"/>
  <c r="AV31" i="50" s="1"/>
  <c r="AV33" i="50" s="1"/>
  <c r="AV121" i="40" s="1"/>
  <c r="AY120" i="40"/>
  <c r="AY29" i="50"/>
  <c r="AY30" i="50" s="1"/>
  <c r="AY31" i="50" s="1"/>
  <c r="AT29" i="50"/>
  <c r="AT30" i="50" s="1"/>
  <c r="AT31" i="50" s="1"/>
  <c r="AT35" i="50" s="1"/>
  <c r="AW120" i="40"/>
  <c r="AW29" i="50"/>
  <c r="AW30" i="50" s="1"/>
  <c r="AW31" i="50" s="1"/>
  <c r="AR29" i="50"/>
  <c r="AR30" i="50" s="1"/>
  <c r="AR31" i="50" s="1"/>
  <c r="AR136" i="40" s="1"/>
  <c r="AU120" i="40"/>
  <c r="AU29" i="50"/>
  <c r="AU30" i="50" s="1"/>
  <c r="AU31" i="50" s="1"/>
  <c r="AP120" i="40"/>
  <c r="AS120" i="40"/>
  <c r="AS29" i="50"/>
  <c r="AS30" i="50" s="1"/>
  <c r="AS31" i="50" s="1"/>
  <c r="AN120" i="40"/>
  <c r="AQ29" i="50"/>
  <c r="AQ30" i="50" s="1"/>
  <c r="AQ31" i="50" s="1"/>
  <c r="AQ120" i="40"/>
  <c r="AL29" i="50"/>
  <c r="AL30" i="50" s="1"/>
  <c r="AL31" i="50" s="1"/>
  <c r="AL33" i="50" s="1"/>
  <c r="AL121" i="40" s="1"/>
  <c r="AO29" i="50"/>
  <c r="AO30" i="50" s="1"/>
  <c r="AO31" i="50" s="1"/>
  <c r="AO120" i="40"/>
  <c r="AJ120" i="40"/>
  <c r="AM120" i="40"/>
  <c r="AM29" i="50"/>
  <c r="AM30" i="50" s="1"/>
  <c r="AM31" i="50" s="1"/>
  <c r="AK120" i="40"/>
  <c r="AK29" i="50"/>
  <c r="AK30" i="50" s="1"/>
  <c r="AK31" i="50" s="1"/>
  <c r="AI29" i="50"/>
  <c r="AI30" i="50" s="1"/>
  <c r="AI31" i="50" s="1"/>
  <c r="AI120" i="40"/>
  <c r="AH29" i="50"/>
  <c r="AH30" i="50" s="1"/>
  <c r="AH31" i="50" s="1"/>
  <c r="AH120" i="40"/>
  <c r="CL122" i="40" l="1"/>
  <c r="CL33" i="50"/>
  <c r="CL121" i="40" s="1"/>
  <c r="DH82" i="38"/>
  <c r="DK81" i="38"/>
  <c r="DN81" i="38"/>
  <c r="DL81" i="38"/>
  <c r="DO81" i="38"/>
  <c r="DP81" i="38"/>
  <c r="DJ81" i="38"/>
  <c r="DI81" i="38"/>
  <c r="DM81" i="38"/>
  <c r="AS80" i="40"/>
  <c r="N80" i="40"/>
  <c r="AS42" i="40"/>
  <c r="N42" i="40"/>
  <c r="AS70" i="40"/>
  <c r="N70" i="40"/>
  <c r="AS54" i="40"/>
  <c r="N54" i="40"/>
  <c r="AS82" i="40"/>
  <c r="N82" i="40"/>
  <c r="AS44" i="40"/>
  <c r="N44" i="40"/>
  <c r="AS74" i="40"/>
  <c r="N74" i="40"/>
  <c r="AS40" i="40"/>
  <c r="N40" i="40"/>
  <c r="AS39" i="40"/>
  <c r="N39" i="40"/>
  <c r="AS66" i="40"/>
  <c r="N66" i="40"/>
  <c r="AS50" i="40"/>
  <c r="N50" i="40"/>
  <c r="AS62" i="40"/>
  <c r="N62" i="40"/>
  <c r="AS64" i="40"/>
  <c r="N64" i="40"/>
  <c r="AS48" i="40"/>
  <c r="N48" i="40"/>
  <c r="AS76" i="40"/>
  <c r="N76" i="40"/>
  <c r="AS72" i="40"/>
  <c r="N72" i="40"/>
  <c r="AS68" i="40"/>
  <c r="N68" i="40"/>
  <c r="AS58" i="40"/>
  <c r="N58" i="40"/>
  <c r="AS46" i="40"/>
  <c r="N46" i="40"/>
  <c r="AS56" i="40"/>
  <c r="N56" i="40"/>
  <c r="AS52" i="40"/>
  <c r="N52" i="40"/>
  <c r="AS78" i="40"/>
  <c r="N78" i="40"/>
  <c r="AS60" i="40"/>
  <c r="N60" i="40"/>
  <c r="AS84" i="40"/>
  <c r="N84" i="40"/>
  <c r="K108" i="40"/>
  <c r="L108" i="40" s="1"/>
  <c r="N108" i="40" s="1"/>
  <c r="CL35" i="50"/>
  <c r="BL33" i="50"/>
  <c r="BL121" i="40" s="1"/>
  <c r="BL35" i="50"/>
  <c r="BL122" i="40"/>
  <c r="K86" i="40"/>
  <c r="L86" i="40" s="1"/>
  <c r="N86" i="40" s="1"/>
  <c r="AG86" i="40"/>
  <c r="AI86" i="40" s="1"/>
  <c r="AR86" i="40"/>
  <c r="AJ86" i="40"/>
  <c r="CB136" i="40"/>
  <c r="AZ35" i="50"/>
  <c r="BR33" i="50"/>
  <c r="BR121" i="40" s="1"/>
  <c r="BR122" i="40"/>
  <c r="CR122" i="40"/>
  <c r="BR136" i="40"/>
  <c r="BB136" i="40"/>
  <c r="CR33" i="50"/>
  <c r="CR121" i="40" s="1"/>
  <c r="CR35" i="50"/>
  <c r="AJ33" i="50"/>
  <c r="AJ121" i="40" s="1"/>
  <c r="AJ35" i="50"/>
  <c r="AJ136" i="40"/>
  <c r="AP136" i="40"/>
  <c r="AP33" i="50"/>
  <c r="AP121" i="40" s="1"/>
  <c r="AX33" i="50"/>
  <c r="AX121" i="40" s="1"/>
  <c r="AX35" i="50"/>
  <c r="AP35" i="50"/>
  <c r="BD136" i="40"/>
  <c r="AX122" i="40"/>
  <c r="BD33" i="50"/>
  <c r="BD121" i="40" s="1"/>
  <c r="BF33" i="50"/>
  <c r="BF121" i="40" s="1"/>
  <c r="BD35" i="50"/>
  <c r="BB122" i="40"/>
  <c r="AZ136" i="40"/>
  <c r="CX122" i="40"/>
  <c r="CX35" i="50"/>
  <c r="CX33" i="50"/>
  <c r="CX121" i="40" s="1"/>
  <c r="AZ33" i="50"/>
  <c r="AZ121" i="40" s="1"/>
  <c r="CJ35" i="50"/>
  <c r="CJ122" i="40"/>
  <c r="BJ122" i="40"/>
  <c r="BJ33" i="50"/>
  <c r="BJ121" i="40" s="1"/>
  <c r="T89" i="40"/>
  <c r="R90" i="40"/>
  <c r="AN33" i="50"/>
  <c r="AN121" i="40" s="1"/>
  <c r="AN35" i="50"/>
  <c r="AN122" i="40"/>
  <c r="W91" i="40"/>
  <c r="Z90" i="40"/>
  <c r="F87" i="40"/>
  <c r="G87" i="40"/>
  <c r="I87" i="40"/>
  <c r="J87" i="40" s="1"/>
  <c r="AG87" i="40" s="1"/>
  <c r="AI87" i="40" s="1"/>
  <c r="H87" i="40"/>
  <c r="O88" i="40"/>
  <c r="B89" i="40"/>
  <c r="E88" i="40"/>
  <c r="AK88" i="40" s="1"/>
  <c r="AL88" i="40" s="1"/>
  <c r="CV122" i="40"/>
  <c r="BJ136" i="40"/>
  <c r="CV33" i="50"/>
  <c r="CV121" i="40" s="1"/>
  <c r="CV35" i="50"/>
  <c r="M52" i="40"/>
  <c r="M42" i="40"/>
  <c r="M84" i="40"/>
  <c r="M48" i="40"/>
  <c r="M39" i="40"/>
  <c r="M80" i="40"/>
  <c r="M82" i="40"/>
  <c r="M40" i="40"/>
  <c r="M58" i="40"/>
  <c r="M72" i="40"/>
  <c r="M50" i="40"/>
  <c r="K63" i="40"/>
  <c r="L63" i="40" s="1"/>
  <c r="K73" i="40"/>
  <c r="L73" i="40" s="1"/>
  <c r="K71" i="40"/>
  <c r="L71" i="40" s="1"/>
  <c r="CJ33" i="50"/>
  <c r="CJ121" i="40" s="1"/>
  <c r="K47" i="40"/>
  <c r="L47" i="40" s="1"/>
  <c r="K77" i="40"/>
  <c r="L77" i="40" s="1"/>
  <c r="K75" i="40"/>
  <c r="L75" i="40" s="1"/>
  <c r="K57" i="40"/>
  <c r="L57" i="40" s="1"/>
  <c r="K55" i="40"/>
  <c r="L55" i="40" s="1"/>
  <c r="M68" i="40"/>
  <c r="K61" i="40"/>
  <c r="L61" i="40" s="1"/>
  <c r="K59" i="40"/>
  <c r="L59" i="40" s="1"/>
  <c r="K41" i="40"/>
  <c r="L41" i="40" s="1"/>
  <c r="M70" i="40"/>
  <c r="K81" i="40"/>
  <c r="L81" i="40" s="1"/>
  <c r="AC21" i="40"/>
  <c r="Y22" i="40"/>
  <c r="K45" i="40"/>
  <c r="L45" i="40" s="1"/>
  <c r="K43" i="40"/>
  <c r="L43" i="40" s="1"/>
  <c r="M54" i="40"/>
  <c r="K65" i="40"/>
  <c r="L65" i="40" s="1"/>
  <c r="M64" i="40"/>
  <c r="M46" i="40"/>
  <c r="M60" i="40"/>
  <c r="M56" i="40"/>
  <c r="K83" i="40"/>
  <c r="L83" i="40" s="1"/>
  <c r="K49" i="40"/>
  <c r="L49" i="40" s="1"/>
  <c r="CH136" i="40"/>
  <c r="AB22" i="40"/>
  <c r="AD21" i="40"/>
  <c r="M74" i="40"/>
  <c r="K85" i="40"/>
  <c r="L85" i="40" s="1"/>
  <c r="K67" i="40"/>
  <c r="L67" i="40" s="1"/>
  <c r="CH33" i="50"/>
  <c r="CH121" i="40" s="1"/>
  <c r="M44" i="40"/>
  <c r="M78" i="40"/>
  <c r="M76" i="40"/>
  <c r="K69" i="40"/>
  <c r="L69" i="40" s="1"/>
  <c r="K51" i="40"/>
  <c r="L51" i="40" s="1"/>
  <c r="M66" i="40"/>
  <c r="CH122" i="40"/>
  <c r="BF136" i="40"/>
  <c r="CB33" i="50"/>
  <c r="CB121" i="40" s="1"/>
  <c r="BB33" i="50"/>
  <c r="BB121" i="40" s="1"/>
  <c r="BF35" i="50"/>
  <c r="CB122" i="40"/>
  <c r="K79" i="40"/>
  <c r="L79" i="40" s="1"/>
  <c r="M62" i="40"/>
  <c r="K53" i="40"/>
  <c r="L53" i="40" s="1"/>
  <c r="CT122" i="40"/>
  <c r="CT33" i="50"/>
  <c r="CT121" i="40" s="1"/>
  <c r="CY122" i="40"/>
  <c r="CY35" i="50"/>
  <c r="CY33" i="50"/>
  <c r="CY121" i="40" s="1"/>
  <c r="CY136" i="40"/>
  <c r="CT35" i="50"/>
  <c r="CW136" i="40"/>
  <c r="CW35" i="50"/>
  <c r="CW33" i="50"/>
  <c r="CW121" i="40" s="1"/>
  <c r="CW122" i="40"/>
  <c r="CP33" i="50"/>
  <c r="CP121" i="40" s="1"/>
  <c r="CU35" i="50"/>
  <c r="CU33" i="50"/>
  <c r="CU121" i="40" s="1"/>
  <c r="CU122" i="40"/>
  <c r="CU136" i="40"/>
  <c r="CP136" i="40"/>
  <c r="CP35" i="50"/>
  <c r="CN122" i="40"/>
  <c r="CS122" i="40"/>
  <c r="CS35" i="50"/>
  <c r="CS33" i="50"/>
  <c r="CS121" i="40" s="1"/>
  <c r="CS136" i="40"/>
  <c r="CN33" i="50"/>
  <c r="CN121" i="40" s="1"/>
  <c r="CN136" i="40"/>
  <c r="CQ33" i="50"/>
  <c r="CQ121" i="40" s="1"/>
  <c r="CQ122" i="40"/>
  <c r="CQ136" i="40"/>
  <c r="CQ35" i="50"/>
  <c r="CO136" i="40"/>
  <c r="CO33" i="50"/>
  <c r="CO121" i="40" s="1"/>
  <c r="CO35" i="50"/>
  <c r="CO122" i="40"/>
  <c r="CM122" i="40"/>
  <c r="CM35" i="50"/>
  <c r="CM33" i="50"/>
  <c r="CM121" i="40" s="1"/>
  <c r="CM136" i="40"/>
  <c r="CF122" i="40"/>
  <c r="CK136" i="40"/>
  <c r="CK122" i="40"/>
  <c r="CK35" i="50"/>
  <c r="CK33" i="50"/>
  <c r="CK121" i="40" s="1"/>
  <c r="CF136" i="40"/>
  <c r="CF35" i="50"/>
  <c r="CD33" i="50"/>
  <c r="CD121" i="40" s="1"/>
  <c r="CI33" i="50"/>
  <c r="CI121" i="40" s="1"/>
  <c r="CI136" i="40"/>
  <c r="CI35" i="50"/>
  <c r="CI122" i="40"/>
  <c r="BX136" i="40"/>
  <c r="CD136" i="40"/>
  <c r="CD35" i="50"/>
  <c r="CG122" i="40"/>
  <c r="CG35" i="50"/>
  <c r="CG136" i="40"/>
  <c r="CG33" i="50"/>
  <c r="CG121" i="40" s="1"/>
  <c r="BX35" i="50"/>
  <c r="BZ35" i="50"/>
  <c r="BZ33" i="50"/>
  <c r="BZ121" i="40" s="1"/>
  <c r="BX122" i="40"/>
  <c r="BZ122" i="40"/>
  <c r="CE136" i="40"/>
  <c r="CE122" i="40"/>
  <c r="CE35" i="50"/>
  <c r="CE33" i="50"/>
  <c r="CE121" i="40" s="1"/>
  <c r="CC122" i="40"/>
  <c r="CC35" i="50"/>
  <c r="CC136" i="40"/>
  <c r="CC33" i="50"/>
  <c r="CC121" i="40" s="1"/>
  <c r="BP35" i="50"/>
  <c r="BV35" i="50"/>
  <c r="BV33" i="50"/>
  <c r="BV121" i="40" s="1"/>
  <c r="CA35" i="50"/>
  <c r="CA136" i="40"/>
  <c r="CA33" i="50"/>
  <c r="CA121" i="40" s="1"/>
  <c r="CA122" i="40"/>
  <c r="BP122" i="40"/>
  <c r="BV122" i="40"/>
  <c r="BP136" i="40"/>
  <c r="BT136" i="40"/>
  <c r="BY35" i="50"/>
  <c r="BY136" i="40"/>
  <c r="BY33" i="50"/>
  <c r="BY121" i="40" s="1"/>
  <c r="BY122" i="40"/>
  <c r="BT122" i="40"/>
  <c r="BT33" i="50"/>
  <c r="BT121" i="40" s="1"/>
  <c r="BW33" i="50"/>
  <c r="BW121" i="40" s="1"/>
  <c r="BW35" i="50"/>
  <c r="BW122" i="40"/>
  <c r="BW136" i="40"/>
  <c r="BU33" i="50"/>
  <c r="BU121" i="40" s="1"/>
  <c r="BU122" i="40"/>
  <c r="BU35" i="50"/>
  <c r="BU136" i="40"/>
  <c r="BN122" i="40"/>
  <c r="BN136" i="40"/>
  <c r="BS136" i="40"/>
  <c r="BS122" i="40"/>
  <c r="BS35" i="50"/>
  <c r="BS33" i="50"/>
  <c r="BS121" i="40" s="1"/>
  <c r="BN35" i="50"/>
  <c r="BQ33" i="50"/>
  <c r="BQ121" i="40" s="1"/>
  <c r="BQ136" i="40"/>
  <c r="BQ122" i="40"/>
  <c r="BQ35" i="50"/>
  <c r="BO122" i="40"/>
  <c r="BO33" i="50"/>
  <c r="BO121" i="40" s="1"/>
  <c r="BO35" i="50"/>
  <c r="BO136" i="40"/>
  <c r="BH33" i="50"/>
  <c r="BH121" i="40" s="1"/>
  <c r="BH35" i="50"/>
  <c r="BM122" i="40"/>
  <c r="BM33" i="50"/>
  <c r="BM121" i="40" s="1"/>
  <c r="BM136" i="40"/>
  <c r="BM35" i="50"/>
  <c r="BH136" i="40"/>
  <c r="BK33" i="50"/>
  <c r="BK121" i="40" s="1"/>
  <c r="BK122" i="40"/>
  <c r="BK136" i="40"/>
  <c r="BK35" i="50"/>
  <c r="BI35" i="50"/>
  <c r="BI136" i="40"/>
  <c r="BI122" i="40"/>
  <c r="BI33" i="50"/>
  <c r="BI121" i="40" s="1"/>
  <c r="BG35" i="50"/>
  <c r="BG122" i="40"/>
  <c r="BG33" i="50"/>
  <c r="BG121" i="40" s="1"/>
  <c r="BG136" i="40"/>
  <c r="BE35" i="50"/>
  <c r="BE33" i="50"/>
  <c r="BE121" i="40" s="1"/>
  <c r="BE122" i="40"/>
  <c r="BE136" i="40"/>
  <c r="BC33" i="50"/>
  <c r="BC121" i="40" s="1"/>
  <c r="BC136" i="40"/>
  <c r="BC122" i="40"/>
  <c r="BC35" i="50"/>
  <c r="AV122" i="40"/>
  <c r="BA136" i="40"/>
  <c r="BA122" i="40"/>
  <c r="BA33" i="50"/>
  <c r="BA121" i="40" s="1"/>
  <c r="BA35" i="50"/>
  <c r="AV136" i="40"/>
  <c r="AV35" i="50"/>
  <c r="AT136" i="40"/>
  <c r="AY136" i="40"/>
  <c r="AY122" i="40"/>
  <c r="AY33" i="50"/>
  <c r="AY121" i="40" s="1"/>
  <c r="AY35" i="50"/>
  <c r="AT33" i="50"/>
  <c r="AT121" i="40" s="1"/>
  <c r="AT122" i="40"/>
  <c r="AR35" i="50"/>
  <c r="AW33" i="50"/>
  <c r="AW121" i="40" s="1"/>
  <c r="AW136" i="40"/>
  <c r="AW122" i="40"/>
  <c r="AW35" i="50"/>
  <c r="AR122" i="40"/>
  <c r="AR33" i="50"/>
  <c r="AR121" i="40" s="1"/>
  <c r="AU136" i="40"/>
  <c r="AU35" i="50"/>
  <c r="AU122" i="40"/>
  <c r="AU33" i="50"/>
  <c r="AU121" i="40" s="1"/>
  <c r="AS35" i="50"/>
  <c r="AS136" i="40"/>
  <c r="AS122" i="40"/>
  <c r="AS33" i="50"/>
  <c r="AS121" i="40" s="1"/>
  <c r="AL136" i="40"/>
  <c r="AQ122" i="40"/>
  <c r="AQ136" i="40"/>
  <c r="AQ33" i="50"/>
  <c r="AQ121" i="40" s="1"/>
  <c r="AQ35" i="50"/>
  <c r="AL122" i="40"/>
  <c r="AL35" i="50"/>
  <c r="AO136" i="40"/>
  <c r="AO33" i="50"/>
  <c r="AO121" i="40" s="1"/>
  <c r="AO122" i="40"/>
  <c r="AO35" i="50"/>
  <c r="AM33" i="50"/>
  <c r="AM121" i="40" s="1"/>
  <c r="AM136" i="40"/>
  <c r="AM35" i="50"/>
  <c r="AM122" i="40"/>
  <c r="AK33" i="50"/>
  <c r="AK121" i="40" s="1"/>
  <c r="AK122" i="40"/>
  <c r="AK35" i="50"/>
  <c r="AK136" i="40"/>
  <c r="AI122" i="40"/>
  <c r="AI136" i="40"/>
  <c r="AH122" i="40"/>
  <c r="AH136" i="40"/>
  <c r="AH33" i="50"/>
  <c r="AH121" i="40" s="1"/>
  <c r="AH35" i="50"/>
  <c r="AI33" i="50"/>
  <c r="AI121" i="40" s="1"/>
  <c r="AI35" i="50"/>
  <c r="DH83" i="38" l="1"/>
  <c r="DJ82" i="38"/>
  <c r="DO82" i="38"/>
  <c r="DN82" i="38"/>
  <c r="DI82" i="38"/>
  <c r="DL82" i="38"/>
  <c r="DM82" i="38"/>
  <c r="DK82" i="38"/>
  <c r="DP82" i="38"/>
  <c r="AS83" i="40"/>
  <c r="N83" i="40"/>
  <c r="AS75" i="40"/>
  <c r="N75" i="40"/>
  <c r="AS43" i="40"/>
  <c r="N43" i="40"/>
  <c r="AS71" i="40"/>
  <c r="N71" i="40"/>
  <c r="AS45" i="40"/>
  <c r="N45" i="40"/>
  <c r="AS73" i="40"/>
  <c r="N73" i="40"/>
  <c r="AS53" i="40"/>
  <c r="N53" i="40"/>
  <c r="AS67" i="40"/>
  <c r="N67" i="40"/>
  <c r="AS63" i="40"/>
  <c r="N63" i="40"/>
  <c r="AS57" i="40"/>
  <c r="N57" i="40"/>
  <c r="AS69" i="40"/>
  <c r="N69" i="40"/>
  <c r="AS65" i="40"/>
  <c r="N65" i="40"/>
  <c r="AS47" i="40"/>
  <c r="N47" i="40"/>
  <c r="AS85" i="40"/>
  <c r="N85" i="40"/>
  <c r="AS79" i="40"/>
  <c r="N79" i="40"/>
  <c r="AS81" i="40"/>
  <c r="N81" i="40"/>
  <c r="AS41" i="40"/>
  <c r="N41" i="40"/>
  <c r="AS55" i="40"/>
  <c r="N55" i="40"/>
  <c r="AS77" i="40"/>
  <c r="N77" i="40"/>
  <c r="AS59" i="40"/>
  <c r="N59" i="40"/>
  <c r="AS51" i="40"/>
  <c r="N51" i="40"/>
  <c r="AS49" i="40"/>
  <c r="N49" i="40"/>
  <c r="AS61" i="40"/>
  <c r="N61" i="40"/>
  <c r="AS108" i="40"/>
  <c r="AJ87" i="40"/>
  <c r="AR87" i="40"/>
  <c r="M86" i="40"/>
  <c r="P86" i="40" s="1"/>
  <c r="AS86" i="40"/>
  <c r="K87" i="40"/>
  <c r="L87" i="40" s="1"/>
  <c r="N87" i="40" s="1"/>
  <c r="W92" i="40"/>
  <c r="Z91" i="40"/>
  <c r="T90" i="40"/>
  <c r="R91" i="40"/>
  <c r="G88" i="40"/>
  <c r="H88" i="40"/>
  <c r="I88" i="40"/>
  <c r="J88" i="40" s="1"/>
  <c r="AG88" i="40" s="1"/>
  <c r="AI88" i="40" s="1"/>
  <c r="B90" i="40"/>
  <c r="O89" i="40"/>
  <c r="E89" i="40"/>
  <c r="C90" i="40" a="1"/>
  <c r="C90" i="40" s="1"/>
  <c r="F88" i="40"/>
  <c r="M77" i="40"/>
  <c r="M59" i="40"/>
  <c r="M71" i="40"/>
  <c r="M73" i="40"/>
  <c r="M83" i="40"/>
  <c r="M61" i="40"/>
  <c r="M85" i="40"/>
  <c r="M63" i="40"/>
  <c r="S40" i="40"/>
  <c r="P40" i="40"/>
  <c r="S56" i="40"/>
  <c r="P56" i="40"/>
  <c r="M43" i="40"/>
  <c r="P68" i="40"/>
  <c r="S68" i="40"/>
  <c r="M67" i="40"/>
  <c r="P82" i="40"/>
  <c r="S82" i="40"/>
  <c r="M45" i="40"/>
  <c r="P80" i="40"/>
  <c r="S80" i="40"/>
  <c r="M53" i="40"/>
  <c r="P66" i="40"/>
  <c r="S66" i="40"/>
  <c r="S60" i="40"/>
  <c r="P60" i="40"/>
  <c r="AC22" i="40"/>
  <c r="Y23" i="40"/>
  <c r="M55" i="40"/>
  <c r="P74" i="40"/>
  <c r="S74" i="40"/>
  <c r="P39" i="40"/>
  <c r="S39" i="40"/>
  <c r="M51" i="40"/>
  <c r="P46" i="40"/>
  <c r="S46" i="40"/>
  <c r="M81" i="40"/>
  <c r="M57" i="40"/>
  <c r="S48" i="40"/>
  <c r="P48" i="40"/>
  <c r="M69" i="40"/>
  <c r="P64" i="40"/>
  <c r="S64" i="40"/>
  <c r="P70" i="40"/>
  <c r="S70" i="40"/>
  <c r="M75" i="40"/>
  <c r="P50" i="40"/>
  <c r="S50" i="40"/>
  <c r="P84" i="40"/>
  <c r="S84" i="40"/>
  <c r="P62" i="40"/>
  <c r="S62" i="40"/>
  <c r="P76" i="40"/>
  <c r="S76" i="40"/>
  <c r="AD22" i="40"/>
  <c r="AB23" i="40"/>
  <c r="M65" i="40"/>
  <c r="M41" i="40"/>
  <c r="P72" i="40"/>
  <c r="S72" i="40"/>
  <c r="P42" i="40"/>
  <c r="S42" i="40"/>
  <c r="M79" i="40"/>
  <c r="P78" i="40"/>
  <c r="S78" i="40"/>
  <c r="M49" i="40"/>
  <c r="P54" i="40"/>
  <c r="S54" i="40"/>
  <c r="M47" i="40"/>
  <c r="P58" i="40"/>
  <c r="S58" i="40"/>
  <c r="P52" i="40"/>
  <c r="S52" i="40"/>
  <c r="P44" i="40"/>
  <c r="S44" i="40"/>
  <c r="DH84" i="38" l="1"/>
  <c r="DO83" i="38"/>
  <c r="DN83" i="38"/>
  <c r="DL83" i="38"/>
  <c r="DP83" i="38"/>
  <c r="DM83" i="38"/>
  <c r="DJ83" i="38"/>
  <c r="DK83" i="38"/>
  <c r="DI83" i="38"/>
  <c r="S86" i="40"/>
  <c r="X86" i="40" s="1"/>
  <c r="AA86" i="40" s="1"/>
  <c r="AJ88" i="40"/>
  <c r="AR88" i="40"/>
  <c r="M87" i="40"/>
  <c r="P87" i="40" s="1"/>
  <c r="AS87" i="40"/>
  <c r="F89" i="40"/>
  <c r="AK89" i="40"/>
  <c r="AL89" i="40" s="1"/>
  <c r="K88" i="40"/>
  <c r="L88" i="40" s="1"/>
  <c r="H89" i="40"/>
  <c r="I89" i="40"/>
  <c r="J89" i="40" s="1"/>
  <c r="AG89" i="40" s="1"/>
  <c r="AI89" i="40" s="1"/>
  <c r="G89" i="40"/>
  <c r="B91" i="40"/>
  <c r="O90" i="40"/>
  <c r="E90" i="40"/>
  <c r="C91" i="40" a="1"/>
  <c r="C91" i="40" s="1"/>
  <c r="Z92" i="40"/>
  <c r="W93" i="40"/>
  <c r="T91" i="40"/>
  <c r="R92" i="40"/>
  <c r="P55" i="40"/>
  <c r="S55" i="40"/>
  <c r="S61" i="40"/>
  <c r="P61" i="40"/>
  <c r="AC23" i="40"/>
  <c r="Y24" i="40"/>
  <c r="P81" i="40"/>
  <c r="S81" i="40"/>
  <c r="X44" i="40"/>
  <c r="AA44" i="40" s="1"/>
  <c r="U44" i="40"/>
  <c r="P85" i="40"/>
  <c r="S85" i="40"/>
  <c r="P69" i="40"/>
  <c r="S69" i="40"/>
  <c r="U50" i="40"/>
  <c r="X50" i="40"/>
  <c r="AA50" i="40" s="1"/>
  <c r="S75" i="40"/>
  <c r="P75" i="40"/>
  <c r="P67" i="40"/>
  <c r="S67" i="40"/>
  <c r="P65" i="40"/>
  <c r="S65" i="40"/>
  <c r="P47" i="40"/>
  <c r="S47" i="40"/>
  <c r="X42" i="40"/>
  <c r="AA42" i="40" s="1"/>
  <c r="U42" i="40"/>
  <c r="U72" i="40"/>
  <c r="X72" i="40"/>
  <c r="AA72" i="40" s="1"/>
  <c r="X70" i="40"/>
  <c r="AA70" i="40" s="1"/>
  <c r="U70" i="40"/>
  <c r="P83" i="40"/>
  <c r="S83" i="40"/>
  <c r="S53" i="40"/>
  <c r="P53" i="40"/>
  <c r="X46" i="40"/>
  <c r="AA46" i="40" s="1"/>
  <c r="U46" i="40"/>
  <c r="AB24" i="40"/>
  <c r="AD23" i="40"/>
  <c r="S59" i="40"/>
  <c r="P59" i="40"/>
  <c r="U52" i="40"/>
  <c r="X52" i="40"/>
  <c r="AA52" i="40" s="1"/>
  <c r="X60" i="40"/>
  <c r="AA60" i="40" s="1"/>
  <c r="U60" i="40"/>
  <c r="U68" i="40"/>
  <c r="X68" i="40"/>
  <c r="AA68" i="40" s="1"/>
  <c r="X54" i="40"/>
  <c r="AA54" i="40" s="1"/>
  <c r="U54" i="40"/>
  <c r="U56" i="40"/>
  <c r="X56" i="40"/>
  <c r="AA56" i="40" s="1"/>
  <c r="U62" i="40"/>
  <c r="X62" i="40"/>
  <c r="AA62" i="40" s="1"/>
  <c r="U39" i="40"/>
  <c r="X39" i="40"/>
  <c r="AA39" i="40" s="1"/>
  <c r="U48" i="40"/>
  <c r="X48" i="40"/>
  <c r="AA48" i="40" s="1"/>
  <c r="U40" i="40"/>
  <c r="X40" i="40"/>
  <c r="AA40" i="40" s="1"/>
  <c r="U82" i="40"/>
  <c r="X82" i="40"/>
  <c r="AA82" i="40" s="1"/>
  <c r="S41" i="40"/>
  <c r="P41" i="40"/>
  <c r="X64" i="40"/>
  <c r="AA64" i="40" s="1"/>
  <c r="U64" i="40"/>
  <c r="P51" i="40"/>
  <c r="S51" i="40"/>
  <c r="P73" i="40"/>
  <c r="S73" i="40"/>
  <c r="U76" i="40"/>
  <c r="X76" i="40"/>
  <c r="AA76" i="40" s="1"/>
  <c r="P71" i="40"/>
  <c r="S71" i="40"/>
  <c r="S79" i="40"/>
  <c r="P79" i="40"/>
  <c r="U84" i="40"/>
  <c r="X84" i="40"/>
  <c r="AA84" i="40" s="1"/>
  <c r="U74" i="40"/>
  <c r="X74" i="40"/>
  <c r="AA74" i="40" s="1"/>
  <c r="S45" i="40"/>
  <c r="P45" i="40"/>
  <c r="P63" i="40"/>
  <c r="S63" i="40"/>
  <c r="S77" i="40"/>
  <c r="P77" i="40"/>
  <c r="P57" i="40"/>
  <c r="S57" i="40"/>
  <c r="U58" i="40"/>
  <c r="X58" i="40"/>
  <c r="AA58" i="40" s="1"/>
  <c r="U66" i="40"/>
  <c r="X66" i="40"/>
  <c r="AA66" i="40" s="1"/>
  <c r="S43" i="40"/>
  <c r="P43" i="40"/>
  <c r="P49" i="40"/>
  <c r="S49" i="40"/>
  <c r="U80" i="40"/>
  <c r="X80" i="40"/>
  <c r="AA80" i="40" s="1"/>
  <c r="U78" i="40"/>
  <c r="X78" i="40"/>
  <c r="AA78" i="40" s="1"/>
  <c r="S87" i="40" l="1"/>
  <c r="DH85" i="38"/>
  <c r="DJ84" i="38"/>
  <c r="DL84" i="38"/>
  <c r="DM84" i="38"/>
  <c r="DK84" i="38"/>
  <c r="DI84" i="38"/>
  <c r="DO84" i="38"/>
  <c r="DP84" i="38"/>
  <c r="DN84" i="38"/>
  <c r="AS88" i="40"/>
  <c r="N88" i="40"/>
  <c r="U86" i="40"/>
  <c r="F90" i="40"/>
  <c r="AK90" i="40"/>
  <c r="AL90" i="40" s="1"/>
  <c r="AJ89" i="40"/>
  <c r="AR89" i="40"/>
  <c r="Z93" i="40"/>
  <c r="W94" i="40"/>
  <c r="M88" i="40"/>
  <c r="P88" i="40" s="1"/>
  <c r="I90" i="40"/>
  <c r="J90" i="40" s="1"/>
  <c r="AG90" i="40" s="1"/>
  <c r="AI90" i="40" s="1"/>
  <c r="H90" i="40"/>
  <c r="G90" i="40"/>
  <c r="B92" i="40"/>
  <c r="O91" i="40"/>
  <c r="E91" i="40"/>
  <c r="AK91" i="40" s="1"/>
  <c r="AL91" i="40" s="1"/>
  <c r="C92" i="40" a="1"/>
  <c r="C92" i="40" s="1"/>
  <c r="K89" i="40"/>
  <c r="L89" i="40" s="1"/>
  <c r="N89" i="40" s="1"/>
  <c r="T92" i="40"/>
  <c r="R93" i="40"/>
  <c r="U81" i="40"/>
  <c r="X81" i="40"/>
  <c r="AA81" i="40" s="1"/>
  <c r="Y25" i="40"/>
  <c r="AC24" i="40"/>
  <c r="X73" i="40"/>
  <c r="AA73" i="40" s="1"/>
  <c r="U73" i="40"/>
  <c r="X59" i="40"/>
  <c r="AA59" i="40" s="1"/>
  <c r="U59" i="40"/>
  <c r="U87" i="40"/>
  <c r="X87" i="40"/>
  <c r="AA87" i="40" s="1"/>
  <c r="X47" i="40"/>
  <c r="AA47" i="40" s="1"/>
  <c r="U47" i="40"/>
  <c r="U83" i="40"/>
  <c r="X83" i="40"/>
  <c r="AA83" i="40" s="1"/>
  <c r="U85" i="40"/>
  <c r="X85" i="40"/>
  <c r="AA85" i="40" s="1"/>
  <c r="U49" i="40"/>
  <c r="X49" i="40"/>
  <c r="AA49" i="40" s="1"/>
  <c r="AD24" i="40"/>
  <c r="AB25" i="40"/>
  <c r="U45" i="40"/>
  <c r="X45" i="40"/>
  <c r="AA45" i="40" s="1"/>
  <c r="X65" i="40"/>
  <c r="AA65" i="40" s="1"/>
  <c r="U65" i="40"/>
  <c r="X43" i="40"/>
  <c r="AA43" i="40" s="1"/>
  <c r="U43" i="40"/>
  <c r="X67" i="40"/>
  <c r="AA67" i="40" s="1"/>
  <c r="U67" i="40"/>
  <c r="U41" i="40"/>
  <c r="X41" i="40"/>
  <c r="AA41" i="40" s="1"/>
  <c r="X79" i="40"/>
  <c r="AA79" i="40" s="1"/>
  <c r="U79" i="40"/>
  <c r="X61" i="40"/>
  <c r="AA61" i="40" s="1"/>
  <c r="U61" i="40"/>
  <c r="X63" i="40"/>
  <c r="AA63" i="40" s="1"/>
  <c r="U63" i="40"/>
  <c r="X51" i="40"/>
  <c r="AA51" i="40" s="1"/>
  <c r="U51" i="40"/>
  <c r="U75" i="40"/>
  <c r="X75" i="40"/>
  <c r="AA75" i="40" s="1"/>
  <c r="U57" i="40"/>
  <c r="X57" i="40"/>
  <c r="AA57" i="40" s="1"/>
  <c r="U71" i="40"/>
  <c r="X71" i="40"/>
  <c r="AA71" i="40" s="1"/>
  <c r="U69" i="40"/>
  <c r="X69" i="40"/>
  <c r="AA69" i="40" s="1"/>
  <c r="U55" i="40"/>
  <c r="X55" i="40"/>
  <c r="AA55" i="40" s="1"/>
  <c r="U77" i="40"/>
  <c r="X77" i="40"/>
  <c r="AA77" i="40" s="1"/>
  <c r="U53" i="40"/>
  <c r="X53" i="40"/>
  <c r="AA53" i="40" s="1"/>
  <c r="DH86" i="38" l="1"/>
  <c r="DO85" i="38"/>
  <c r="DI85" i="38"/>
  <c r="DL85" i="38"/>
  <c r="DM85" i="38"/>
  <c r="DK85" i="38"/>
  <c r="DP85" i="38"/>
  <c r="DN85" i="38"/>
  <c r="DJ85" i="38"/>
  <c r="AS89" i="40"/>
  <c r="AR90" i="40"/>
  <c r="AJ90" i="40"/>
  <c r="T93" i="40"/>
  <c r="R94" i="40"/>
  <c r="Z94" i="40"/>
  <c r="W95" i="40"/>
  <c r="S88" i="40"/>
  <c r="U88" i="40" s="1"/>
  <c r="G91" i="40"/>
  <c r="H91" i="40"/>
  <c r="I91" i="40"/>
  <c r="J91" i="40" s="1"/>
  <c r="B93" i="40"/>
  <c r="O92" i="40"/>
  <c r="E92" i="40"/>
  <c r="C93" i="40" a="1"/>
  <c r="C93" i="40" s="1"/>
  <c r="F91" i="40"/>
  <c r="M89" i="40"/>
  <c r="K90" i="40"/>
  <c r="L90" i="40" s="1"/>
  <c r="AC25" i="40"/>
  <c r="Y26" i="40"/>
  <c r="AD25" i="40"/>
  <c r="AB26" i="40"/>
  <c r="DH87" i="38" l="1"/>
  <c r="DL86" i="38"/>
  <c r="DJ86" i="38"/>
  <c r="DM86" i="38"/>
  <c r="DO86" i="38"/>
  <c r="DK86" i="38"/>
  <c r="DP86" i="38"/>
  <c r="DI86" i="38"/>
  <c r="DN86" i="38"/>
  <c r="AS90" i="40"/>
  <c r="N90" i="40"/>
  <c r="K91" i="40"/>
  <c r="L91" i="40" s="1"/>
  <c r="AG91" i="40"/>
  <c r="AI91" i="40" s="1"/>
  <c r="AR91" i="40"/>
  <c r="AJ91" i="40"/>
  <c r="F92" i="40"/>
  <c r="AK92" i="40"/>
  <c r="AL92" i="40" s="1"/>
  <c r="X88" i="40"/>
  <c r="AA88" i="40" s="1"/>
  <c r="B94" i="40"/>
  <c r="C94" i="40" a="1"/>
  <c r="C94" i="40" s="1"/>
  <c r="Z95" i="40"/>
  <c r="W96" i="40"/>
  <c r="T94" i="40"/>
  <c r="R95" i="40"/>
  <c r="M90" i="40"/>
  <c r="P89" i="40"/>
  <c r="S89" i="40"/>
  <c r="O93" i="40"/>
  <c r="E93" i="40"/>
  <c r="AK93" i="40" s="1"/>
  <c r="AL93" i="40" s="1"/>
  <c r="G92" i="40"/>
  <c r="H92" i="40"/>
  <c r="I92" i="40"/>
  <c r="J92" i="40" s="1"/>
  <c r="AG92" i="40" s="1"/>
  <c r="AI92" i="40" s="1"/>
  <c r="AD26" i="40"/>
  <c r="AB27" i="40"/>
  <c r="Y27" i="40"/>
  <c r="AC26" i="40"/>
  <c r="DH88" i="38" l="1"/>
  <c r="DP87" i="38"/>
  <c r="DN87" i="38"/>
  <c r="DI87" i="38"/>
  <c r="DK87" i="38"/>
  <c r="DL87" i="38"/>
  <c r="DO87" i="38"/>
  <c r="DM87" i="38"/>
  <c r="DJ87" i="38"/>
  <c r="M91" i="40"/>
  <c r="P91" i="40" s="1"/>
  <c r="N91" i="40"/>
  <c r="AR92" i="40"/>
  <c r="AJ92" i="40"/>
  <c r="AS91" i="40"/>
  <c r="T95" i="40"/>
  <c r="R96" i="40"/>
  <c r="Z96" i="40"/>
  <c r="W97" i="40"/>
  <c r="O94" i="40"/>
  <c r="B95" i="40"/>
  <c r="E94" i="40"/>
  <c r="AK94" i="40" s="1"/>
  <c r="AL94" i="40" s="1"/>
  <c r="C95" i="40" a="1"/>
  <c r="C95" i="40" s="1"/>
  <c r="K92" i="40"/>
  <c r="L92" i="40" s="1"/>
  <c r="N92" i="40" s="1"/>
  <c r="F93" i="40"/>
  <c r="G93" i="40"/>
  <c r="H93" i="40"/>
  <c r="I93" i="40"/>
  <c r="J93" i="40" s="1"/>
  <c r="AG93" i="40" s="1"/>
  <c r="AI93" i="40" s="1"/>
  <c r="U89" i="40"/>
  <c r="X89" i="40"/>
  <c r="AA89" i="40" s="1"/>
  <c r="P90" i="40"/>
  <c r="S90" i="40"/>
  <c r="Y28" i="40"/>
  <c r="AC27" i="40"/>
  <c r="AD27" i="40"/>
  <c r="AB28" i="40"/>
  <c r="DH89" i="38" l="1"/>
  <c r="DP88" i="38"/>
  <c r="DL88" i="38"/>
  <c r="DI88" i="38"/>
  <c r="DK88" i="38"/>
  <c r="DO88" i="38"/>
  <c r="DM88" i="38"/>
  <c r="DN88" i="38"/>
  <c r="DJ88" i="38"/>
  <c r="S91" i="40"/>
  <c r="U91" i="40" s="1"/>
  <c r="AJ93" i="40"/>
  <c r="AR93" i="40"/>
  <c r="AS92" i="40"/>
  <c r="O95" i="40"/>
  <c r="B96" i="40"/>
  <c r="E95" i="40"/>
  <c r="AK95" i="40" s="1"/>
  <c r="AL95" i="40" s="1"/>
  <c r="C96" i="40" a="1"/>
  <c r="C96" i="40" s="1"/>
  <c r="W98" i="40"/>
  <c r="Z97" i="40"/>
  <c r="G94" i="40"/>
  <c r="H94" i="40"/>
  <c r="I94" i="40"/>
  <c r="J94" i="40" s="1"/>
  <c r="AG94" i="40" s="1"/>
  <c r="AI94" i="40" s="1"/>
  <c r="R97" i="40"/>
  <c r="T96" i="40"/>
  <c r="F94" i="40"/>
  <c r="K93" i="40"/>
  <c r="L93" i="40" s="1"/>
  <c r="U90" i="40"/>
  <c r="X90" i="40"/>
  <c r="AA90" i="40" s="1"/>
  <c r="M92" i="40"/>
  <c r="AB29" i="40"/>
  <c r="AD28" i="40"/>
  <c r="AC28" i="40"/>
  <c r="Y29" i="40"/>
  <c r="DH90" i="38" l="1"/>
  <c r="DN89" i="38"/>
  <c r="DJ89" i="38"/>
  <c r="DK89" i="38"/>
  <c r="DP89" i="38"/>
  <c r="DI89" i="38"/>
  <c r="DM89" i="38"/>
  <c r="DL89" i="38"/>
  <c r="DO89" i="38"/>
  <c r="X91" i="40"/>
  <c r="AA91" i="40" s="1"/>
  <c r="AS93" i="40"/>
  <c r="N93" i="40"/>
  <c r="F95" i="40"/>
  <c r="AJ95" i="40" s="1"/>
  <c r="AJ94" i="40"/>
  <c r="AR94" i="40"/>
  <c r="T97" i="40"/>
  <c r="R98" i="40"/>
  <c r="Z98" i="40"/>
  <c r="W99" i="40"/>
  <c r="G95" i="40"/>
  <c r="H95" i="40"/>
  <c r="I95" i="40"/>
  <c r="J95" i="40" s="1"/>
  <c r="AG95" i="40" s="1"/>
  <c r="AI95" i="40" s="1"/>
  <c r="K94" i="40"/>
  <c r="L94" i="40" s="1"/>
  <c r="O96" i="40"/>
  <c r="B97" i="40"/>
  <c r="E96" i="40"/>
  <c r="C97" i="40" a="1"/>
  <c r="C97" i="40" s="1"/>
  <c r="M93" i="40"/>
  <c r="S92" i="40"/>
  <c r="P92" i="40"/>
  <c r="AC29" i="40"/>
  <c r="Y30" i="40"/>
  <c r="AD29" i="40"/>
  <c r="AB30" i="40"/>
  <c r="DH91" i="38" l="1"/>
  <c r="DM90" i="38"/>
  <c r="DP90" i="38"/>
  <c r="DJ90" i="38"/>
  <c r="DL90" i="38"/>
  <c r="DN90" i="38"/>
  <c r="DO90" i="38"/>
  <c r="DK90" i="38"/>
  <c r="DI90" i="38"/>
  <c r="AS94" i="40"/>
  <c r="N94" i="40"/>
  <c r="AR95" i="40"/>
  <c r="F96" i="40"/>
  <c r="AK96" i="40"/>
  <c r="AL96" i="40" s="1"/>
  <c r="M94" i="40"/>
  <c r="G96" i="40"/>
  <c r="H96" i="40"/>
  <c r="I96" i="40"/>
  <c r="J96" i="40" s="1"/>
  <c r="W100" i="40"/>
  <c r="Z99" i="40"/>
  <c r="T98" i="40"/>
  <c r="R99" i="40"/>
  <c r="B98" i="40"/>
  <c r="O97" i="40"/>
  <c r="E97" i="40"/>
  <c r="C98" i="40" a="1"/>
  <c r="C98" i="40" s="1"/>
  <c r="K95" i="40"/>
  <c r="L95" i="40" s="1"/>
  <c r="N95" i="40" s="1"/>
  <c r="U92" i="40"/>
  <c r="X92" i="40"/>
  <c r="AA92" i="40" s="1"/>
  <c r="S93" i="40"/>
  <c r="P93" i="40"/>
  <c r="AD30" i="40"/>
  <c r="AB31" i="40"/>
  <c r="Y31" i="40"/>
  <c r="AC30" i="40"/>
  <c r="DH92" i="38" l="1"/>
  <c r="DN91" i="38"/>
  <c r="DJ91" i="38"/>
  <c r="DK91" i="38"/>
  <c r="DP91" i="38"/>
  <c r="DL91" i="38"/>
  <c r="DO91" i="38"/>
  <c r="DM91" i="38"/>
  <c r="DI91" i="38"/>
  <c r="AS95" i="40"/>
  <c r="F97" i="40"/>
  <c r="AK97" i="40"/>
  <c r="AL97" i="40" s="1"/>
  <c r="K96" i="40"/>
  <c r="L96" i="40" s="1"/>
  <c r="AG96" i="40"/>
  <c r="AI96" i="40" s="1"/>
  <c r="AR96" i="40"/>
  <c r="AJ96" i="40"/>
  <c r="M95" i="40"/>
  <c r="P95" i="40" s="1"/>
  <c r="R100" i="40"/>
  <c r="T99" i="40"/>
  <c r="G97" i="40"/>
  <c r="I97" i="40"/>
  <c r="J97" i="40" s="1"/>
  <c r="AG97" i="40" s="1"/>
  <c r="AI97" i="40" s="1"/>
  <c r="H97" i="40"/>
  <c r="O98" i="40"/>
  <c r="B99" i="40"/>
  <c r="E98" i="40"/>
  <c r="C99" i="40" a="1"/>
  <c r="C99" i="40" s="1"/>
  <c r="Z100" i="40"/>
  <c r="W101" i="40"/>
  <c r="S94" i="40"/>
  <c r="P94" i="40"/>
  <c r="U93" i="40"/>
  <c r="X93" i="40"/>
  <c r="AA93" i="40" s="1"/>
  <c r="Y32" i="40"/>
  <c r="AC31" i="40"/>
  <c r="AB32" i="40"/>
  <c r="AD31" i="40"/>
  <c r="DH93" i="38" l="1"/>
  <c r="DM92" i="38"/>
  <c r="DN92" i="38"/>
  <c r="DP92" i="38"/>
  <c r="DK92" i="38"/>
  <c r="DJ92" i="38"/>
  <c r="DO92" i="38"/>
  <c r="DL92" i="38"/>
  <c r="DI92" i="38"/>
  <c r="M96" i="40"/>
  <c r="S96" i="40" s="1"/>
  <c r="U96" i="40" s="1"/>
  <c r="N96" i="40"/>
  <c r="AS96" i="40"/>
  <c r="S95" i="40"/>
  <c r="X95" i="40" s="1"/>
  <c r="AA95" i="40" s="1"/>
  <c r="F98" i="40"/>
  <c r="AK98" i="40"/>
  <c r="AL98" i="40" s="1"/>
  <c r="AR97" i="40"/>
  <c r="AJ97" i="40"/>
  <c r="K97" i="40"/>
  <c r="L97" i="40" s="1"/>
  <c r="N97" i="40" s="1"/>
  <c r="Z101" i="40"/>
  <c r="W102" i="40"/>
  <c r="B100" i="40"/>
  <c r="O99" i="40"/>
  <c r="E99" i="40"/>
  <c r="C100" i="40" a="1"/>
  <c r="C100" i="40" s="1"/>
  <c r="G98" i="40"/>
  <c r="I98" i="40"/>
  <c r="J98" i="40" s="1"/>
  <c r="AG98" i="40" s="1"/>
  <c r="AI98" i="40" s="1"/>
  <c r="H98" i="40"/>
  <c r="T100" i="40"/>
  <c r="R101" i="40"/>
  <c r="X94" i="40"/>
  <c r="AA94" i="40" s="1"/>
  <c r="U94" i="40"/>
  <c r="AD32" i="40"/>
  <c r="AB33" i="40"/>
  <c r="AC32" i="40"/>
  <c r="Y33" i="40"/>
  <c r="DH94" i="38" l="1"/>
  <c r="DM93" i="38"/>
  <c r="DI93" i="38"/>
  <c r="DO93" i="38"/>
  <c r="DP93" i="38"/>
  <c r="DN93" i="38"/>
  <c r="DJ93" i="38"/>
  <c r="DK93" i="38"/>
  <c r="DL93" i="38"/>
  <c r="P96" i="40"/>
  <c r="X96" i="40"/>
  <c r="AA96" i="40" s="1"/>
  <c r="U95" i="40"/>
  <c r="F99" i="40"/>
  <c r="AK99" i="40"/>
  <c r="AL99" i="40" s="1"/>
  <c r="AS97" i="40"/>
  <c r="AJ98" i="40"/>
  <c r="AR98" i="40"/>
  <c r="K98" i="40"/>
  <c r="L98" i="40" s="1"/>
  <c r="N98" i="40" s="1"/>
  <c r="H99" i="40"/>
  <c r="I99" i="40"/>
  <c r="J99" i="40" s="1"/>
  <c r="AG99" i="40" s="1"/>
  <c r="AI99" i="40" s="1"/>
  <c r="G99" i="40"/>
  <c r="Z102" i="40"/>
  <c r="W103" i="40"/>
  <c r="B101" i="40"/>
  <c r="O100" i="40"/>
  <c r="E100" i="40"/>
  <c r="C101" i="40" a="1"/>
  <c r="C101" i="40" s="1"/>
  <c r="M97" i="40"/>
  <c r="R102" i="40"/>
  <c r="T101" i="40"/>
  <c r="AC33" i="40"/>
  <c r="AD33" i="40"/>
  <c r="DH95" i="38" l="1"/>
  <c r="DL94" i="38"/>
  <c r="DM94" i="38"/>
  <c r="DJ94" i="38"/>
  <c r="DP94" i="38"/>
  <c r="DK94" i="38"/>
  <c r="DN94" i="38"/>
  <c r="DI94" i="38"/>
  <c r="DO94" i="38"/>
  <c r="F100" i="40"/>
  <c r="AK100" i="40"/>
  <c r="AL100" i="40" s="1"/>
  <c r="AS98" i="40"/>
  <c r="AJ99" i="40"/>
  <c r="AR99" i="40"/>
  <c r="S97" i="40"/>
  <c r="P97" i="40"/>
  <c r="K99" i="40"/>
  <c r="L99" i="40" s="1"/>
  <c r="H100" i="40"/>
  <c r="I100" i="40"/>
  <c r="J100" i="40" s="1"/>
  <c r="AG100" i="40" s="1"/>
  <c r="AI100" i="40" s="1"/>
  <c r="G100" i="40"/>
  <c r="B102" i="40"/>
  <c r="O101" i="40"/>
  <c r="E101" i="40"/>
  <c r="C102" i="40" a="1"/>
  <c r="C102" i="40" s="1"/>
  <c r="W104" i="40"/>
  <c r="Z103" i="40"/>
  <c r="R103" i="40"/>
  <c r="T102" i="40"/>
  <c r="M98" i="40"/>
  <c r="DH96" i="38" l="1"/>
  <c r="DP95" i="38"/>
  <c r="DO95" i="38"/>
  <c r="DN95" i="38"/>
  <c r="DK95" i="38"/>
  <c r="DI95" i="38"/>
  <c r="DJ95" i="38"/>
  <c r="DM95" i="38"/>
  <c r="DL95" i="38"/>
  <c r="AS99" i="40"/>
  <c r="N99" i="40"/>
  <c r="F101" i="40"/>
  <c r="AK101" i="40"/>
  <c r="AL101" i="40" s="1"/>
  <c r="AJ100" i="40"/>
  <c r="AR100" i="40"/>
  <c r="M99" i="40"/>
  <c r="Z104" i="40"/>
  <c r="W105" i="40"/>
  <c r="K100" i="40"/>
  <c r="L100" i="40" s="1"/>
  <c r="G101" i="40"/>
  <c r="H101" i="40"/>
  <c r="I101" i="40"/>
  <c r="J101" i="40" s="1"/>
  <c r="AG101" i="40" s="1"/>
  <c r="AI101" i="40" s="1"/>
  <c r="B103" i="40"/>
  <c r="O102" i="40"/>
  <c r="E102" i="40"/>
  <c r="AK102" i="40" s="1"/>
  <c r="AL102" i="40" s="1"/>
  <c r="C103" i="40" a="1"/>
  <c r="C103" i="40" s="1"/>
  <c r="P98" i="40"/>
  <c r="S98" i="40"/>
  <c r="U97" i="40"/>
  <c r="X97" i="40"/>
  <c r="AA97" i="40" s="1"/>
  <c r="T103" i="40"/>
  <c r="R104" i="40"/>
  <c r="DH97" i="38" l="1"/>
  <c r="DP96" i="38"/>
  <c r="DO96" i="38"/>
  <c r="DI96" i="38"/>
  <c r="DJ96" i="38"/>
  <c r="DM96" i="38"/>
  <c r="DN96" i="38"/>
  <c r="DK96" i="38"/>
  <c r="DL96" i="38"/>
  <c r="AS100" i="40"/>
  <c r="N100" i="40"/>
  <c r="AR101" i="40"/>
  <c r="AJ101" i="40"/>
  <c r="M100" i="40"/>
  <c r="G102" i="40"/>
  <c r="H102" i="40"/>
  <c r="I102" i="40"/>
  <c r="J102" i="40" s="1"/>
  <c r="AG102" i="40" s="1"/>
  <c r="AI102" i="40" s="1"/>
  <c r="O103" i="40"/>
  <c r="B104" i="40"/>
  <c r="E103" i="40"/>
  <c r="AK103" i="40" s="1"/>
  <c r="AL103" i="40" s="1"/>
  <c r="C104" i="40" a="1"/>
  <c r="C104" i="40" s="1"/>
  <c r="F102" i="40"/>
  <c r="U98" i="40"/>
  <c r="X98" i="40"/>
  <c r="AA98" i="40" s="1"/>
  <c r="K101" i="40"/>
  <c r="L101" i="40" s="1"/>
  <c r="N101" i="40" s="1"/>
  <c r="R105" i="40"/>
  <c r="T104" i="40"/>
  <c r="W106" i="40"/>
  <c r="Z105" i="40"/>
  <c r="S99" i="40"/>
  <c r="P99" i="40"/>
  <c r="DH98" i="38" l="1"/>
  <c r="DI97" i="38"/>
  <c r="DJ97" i="38"/>
  <c r="DN97" i="38"/>
  <c r="DP97" i="38"/>
  <c r="DM97" i="38"/>
  <c r="DO97" i="38"/>
  <c r="DK97" i="38"/>
  <c r="DL97" i="38"/>
  <c r="AS101" i="40"/>
  <c r="AR102" i="40"/>
  <c r="AJ102" i="40"/>
  <c r="B105" i="40"/>
  <c r="O104" i="40"/>
  <c r="E104" i="40"/>
  <c r="AK104" i="40" s="1"/>
  <c r="AL104" i="40" s="1"/>
  <c r="C105" i="40" a="1"/>
  <c r="C105" i="40" s="1"/>
  <c r="K102" i="40"/>
  <c r="L102" i="40" s="1"/>
  <c r="X99" i="40"/>
  <c r="AA99" i="40" s="1"/>
  <c r="U99" i="40"/>
  <c r="G103" i="40"/>
  <c r="I103" i="40"/>
  <c r="J103" i="40" s="1"/>
  <c r="H103" i="40"/>
  <c r="F103" i="40"/>
  <c r="W107" i="40"/>
  <c r="Z107" i="40" s="1"/>
  <c r="Z106" i="40"/>
  <c r="P100" i="40"/>
  <c r="S100" i="40"/>
  <c r="T105" i="40"/>
  <c r="R106" i="40"/>
  <c r="M101" i="40"/>
  <c r="DH99" i="38" l="1"/>
  <c r="DK98" i="38"/>
  <c r="DL98" i="38"/>
  <c r="DM98" i="38"/>
  <c r="DN98" i="38"/>
  <c r="DI98" i="38"/>
  <c r="DO98" i="38"/>
  <c r="DP98" i="38"/>
  <c r="DJ98" i="38"/>
  <c r="AS102" i="40"/>
  <c r="N102" i="40"/>
  <c r="F104" i="40"/>
  <c r="AJ104" i="40" s="1"/>
  <c r="AJ103" i="40"/>
  <c r="AR103" i="40"/>
  <c r="K103" i="40"/>
  <c r="L103" i="40" s="1"/>
  <c r="N103" i="40" s="1"/>
  <c r="AG103" i="40"/>
  <c r="AI103" i="40" s="1"/>
  <c r="M102" i="40"/>
  <c r="S101" i="40"/>
  <c r="P101" i="40"/>
  <c r="R107" i="40"/>
  <c r="T107" i="40" s="1"/>
  <c r="T106" i="40"/>
  <c r="B106" i="40"/>
  <c r="O105" i="40"/>
  <c r="E105" i="40"/>
  <c r="AK105" i="40" s="1"/>
  <c r="AL105" i="40" s="1"/>
  <c r="C106" i="40" a="1"/>
  <c r="C106" i="40" s="1"/>
  <c r="G104" i="40"/>
  <c r="H104" i="40"/>
  <c r="I104" i="40"/>
  <c r="J104" i="40" s="1"/>
  <c r="AG104" i="40" s="1"/>
  <c r="AI104" i="40" s="1"/>
  <c r="U100" i="40"/>
  <c r="X100" i="40"/>
  <c r="AA100" i="40" s="1"/>
  <c r="DH100" i="38" l="1"/>
  <c r="DM99" i="38"/>
  <c r="DK99" i="38"/>
  <c r="DO99" i="38"/>
  <c r="DJ99" i="38"/>
  <c r="DN99" i="38"/>
  <c r="DL99" i="38"/>
  <c r="DP99" i="38"/>
  <c r="DI99" i="38"/>
  <c r="AR104" i="40"/>
  <c r="AS103" i="40"/>
  <c r="M103" i="40"/>
  <c r="S103" i="40" s="1"/>
  <c r="I105" i="40"/>
  <c r="J105" i="40" s="1"/>
  <c r="AG105" i="40" s="1"/>
  <c r="AI105" i="40" s="1"/>
  <c r="G105" i="40"/>
  <c r="H105" i="40"/>
  <c r="B107" i="40"/>
  <c r="O106" i="40"/>
  <c r="E106" i="40"/>
  <c r="AK106" i="40" s="1"/>
  <c r="AL106" i="40" s="1"/>
  <c r="C107" i="40" a="1"/>
  <c r="C107" i="40" s="1"/>
  <c r="U101" i="40"/>
  <c r="X101" i="40"/>
  <c r="AA101" i="40" s="1"/>
  <c r="K104" i="40"/>
  <c r="L104" i="40" s="1"/>
  <c r="N104" i="40" s="1"/>
  <c r="S102" i="40"/>
  <c r="P102" i="40"/>
  <c r="F105" i="40"/>
  <c r="DH101" i="38" l="1"/>
  <c r="DJ100" i="38"/>
  <c r="DK100" i="38"/>
  <c r="DN100" i="38"/>
  <c r="DL100" i="38"/>
  <c r="DP100" i="38"/>
  <c r="DI100" i="38"/>
  <c r="DO100" i="38"/>
  <c r="DM100" i="38"/>
  <c r="P103" i="40"/>
  <c r="AS104" i="40"/>
  <c r="AJ105" i="40"/>
  <c r="AR105" i="40"/>
  <c r="X103" i="40"/>
  <c r="AA103" i="40" s="1"/>
  <c r="U103" i="40"/>
  <c r="I106" i="40"/>
  <c r="J106" i="40" s="1"/>
  <c r="AG106" i="40" s="1"/>
  <c r="AI106" i="40" s="1"/>
  <c r="G106" i="40"/>
  <c r="H106" i="40"/>
  <c r="O107" i="40"/>
  <c r="E107" i="40"/>
  <c r="F106" i="40"/>
  <c r="K105" i="40"/>
  <c r="L105" i="40" s="1"/>
  <c r="N105" i="40" s="1"/>
  <c r="U102" i="40"/>
  <c r="X102" i="40"/>
  <c r="AA102" i="40" s="1"/>
  <c r="M104" i="40"/>
  <c r="DH102" i="38" l="1"/>
  <c r="DL101" i="38"/>
  <c r="DP101" i="38"/>
  <c r="DJ101" i="38"/>
  <c r="DM101" i="38"/>
  <c r="DO101" i="38"/>
  <c r="DN101" i="38"/>
  <c r="DK101" i="38"/>
  <c r="DI101" i="38"/>
  <c r="F108" i="40"/>
  <c r="AK107" i="40"/>
  <c r="AL107" i="40" s="1"/>
  <c r="AL110" i="40" s="1"/>
  <c r="AR106" i="40"/>
  <c r="AJ106" i="40"/>
  <c r="AS105" i="40"/>
  <c r="S104" i="40"/>
  <c r="P104" i="40"/>
  <c r="G107" i="40"/>
  <c r="H107" i="40"/>
  <c r="I107" i="40"/>
  <c r="J107" i="40" s="1"/>
  <c r="AG107" i="40" s="1"/>
  <c r="F107" i="40"/>
  <c r="K106" i="40"/>
  <c r="L106" i="40" s="1"/>
  <c r="N106" i="40" s="1"/>
  <c r="M105" i="40"/>
  <c r="DH103" i="38" l="1"/>
  <c r="DK102" i="38"/>
  <c r="DP102" i="38"/>
  <c r="DN102" i="38"/>
  <c r="DJ102" i="38"/>
  <c r="DL102" i="38"/>
  <c r="DM102" i="38"/>
  <c r="DI102" i="38"/>
  <c r="DO102" i="38"/>
  <c r="AI107" i="40"/>
  <c r="AS106" i="40"/>
  <c r="AR107" i="40"/>
  <c r="AJ107" i="40"/>
  <c r="M108" i="40"/>
  <c r="AR108" i="40"/>
  <c r="AJ108" i="40"/>
  <c r="S105" i="40"/>
  <c r="P105" i="40"/>
  <c r="K107" i="40"/>
  <c r="L107" i="40" s="1"/>
  <c r="N107" i="40" s="1"/>
  <c r="M106" i="40"/>
  <c r="U104" i="40"/>
  <c r="X104" i="40"/>
  <c r="AA104" i="40" s="1"/>
  <c r="DN103" i="38" l="1"/>
  <c r="DK103" i="38"/>
  <c r="DP103" i="38"/>
  <c r="DI103" i="38"/>
  <c r="DM103" i="38"/>
  <c r="DJ103" i="38"/>
  <c r="DO103" i="38"/>
  <c r="DL103" i="38"/>
  <c r="AR110" i="40"/>
  <c r="AS107" i="40"/>
  <c r="P108" i="40"/>
  <c r="S108" i="40"/>
  <c r="P106" i="40"/>
  <c r="S106" i="40"/>
  <c r="M107" i="40"/>
  <c r="X105" i="40"/>
  <c r="AA105" i="40" s="1"/>
  <c r="U105" i="40"/>
  <c r="X108" i="40" l="1"/>
  <c r="U108" i="40"/>
  <c r="P107" i="40"/>
  <c r="S107" i="40"/>
  <c r="X106" i="40"/>
  <c r="AA106" i="40" s="1"/>
  <c r="U106" i="40"/>
  <c r="AA108" i="40" l="1"/>
  <c r="U107" i="40"/>
  <c r="X107" i="40"/>
  <c r="AA107" i="40" s="1"/>
  <c r="AC16" i="50"/>
  <c r="AC23" i="50" s="1"/>
  <c r="AC26" i="50" s="1"/>
  <c r="AC27" i="50" s="1"/>
  <c r="AC120" i="40" l="1"/>
  <c r="D134" i="40" s="1"/>
  <c r="C49" i="50" s="1"/>
  <c r="C34" i="40" a="1"/>
  <c r="C34" i="40" s="1"/>
  <c r="AC29" i="50"/>
  <c r="J34" i="40" l="1"/>
  <c r="K34" i="40" s="1"/>
  <c r="L34" i="40" s="1"/>
  <c r="N34" i="40" s="1"/>
  <c r="C110" i="40"/>
  <c r="AC30" i="50"/>
  <c r="AC31" i="50" s="1"/>
  <c r="AG34" i="40" l="1"/>
  <c r="AI34" i="40" s="1"/>
  <c r="AI110" i="40" s="1"/>
  <c r="AI3" i="40" s="1"/>
  <c r="AI5" i="40" s="1"/>
  <c r="M34" i="40"/>
  <c r="M110" i="40" s="1"/>
  <c r="AS34" i="40"/>
  <c r="AS110" i="40" s="1"/>
  <c r="AC35" i="50"/>
  <c r="C51" i="50" s="1"/>
  <c r="AC136" i="40"/>
  <c r="D127" i="40" s="1"/>
  <c r="C42" i="50" s="1"/>
  <c r="D33" i="51" s="1"/>
  <c r="AC122" i="40"/>
  <c r="AC33" i="50"/>
  <c r="AC121" i="40" s="1"/>
  <c r="AG110" i="40" l="1"/>
  <c r="D124" i="40"/>
  <c r="AI4" i="40"/>
  <c r="D125" i="40"/>
  <c r="D30" i="51"/>
  <c r="C53" i="50"/>
  <c r="D32" i="51" s="1"/>
  <c r="S34" i="40"/>
  <c r="S110" i="40" s="1"/>
  <c r="P34" i="40"/>
  <c r="P110" i="40" s="1"/>
  <c r="Q110" i="40" s="1"/>
  <c r="X34" i="40" l="1"/>
  <c r="X110" i="40" s="1"/>
  <c r="U34" i="40"/>
  <c r="U110" i="40" s="1"/>
  <c r="T5" i="40" s="1"/>
  <c r="D131" i="40" s="1"/>
  <c r="C46" i="50" s="1"/>
  <c r="Y34" i="40" l="1"/>
  <c r="AA34" i="40"/>
  <c r="AB34" i="40" l="1"/>
  <c r="AB35" i="40" s="1"/>
  <c r="AA110" i="40"/>
  <c r="AC34" i="40"/>
  <c r="Y35" i="40"/>
  <c r="AD34" i="40" l="1"/>
  <c r="AC35" i="40"/>
  <c r="Y36" i="40"/>
  <c r="AB36" i="40"/>
  <c r="AD35" i="40"/>
  <c r="AD36" i="40" l="1"/>
  <c r="AB37" i="40"/>
  <c r="AC36" i="40"/>
  <c r="Y37" i="40"/>
  <c r="Y38" i="40" l="1"/>
  <c r="AC37" i="40"/>
  <c r="AB38" i="40"/>
  <c r="AD37" i="40"/>
  <c r="AD38" i="40" l="1"/>
  <c r="AB39" i="40"/>
  <c r="Y39" i="40"/>
  <c r="AC38" i="40"/>
  <c r="Y40" i="40" l="1"/>
  <c r="AC39" i="40"/>
  <c r="AD39" i="40"/>
  <c r="AB40" i="40"/>
  <c r="AD40" i="40" l="1"/>
  <c r="AB41" i="40"/>
  <c r="AC40" i="40"/>
  <c r="Y41" i="40"/>
  <c r="Y42" i="40" l="1"/>
  <c r="AC41" i="40"/>
  <c r="AD41" i="40"/>
  <c r="AB42" i="40"/>
  <c r="AD42" i="40" l="1"/>
  <c r="AB43" i="40"/>
  <c r="AC42" i="40"/>
  <c r="Y43" i="40"/>
  <c r="Y44" i="40" l="1"/>
  <c r="AC43" i="40"/>
  <c r="AB44" i="40"/>
  <c r="AD43" i="40"/>
  <c r="AB45" i="40" l="1"/>
  <c r="AD44" i="40"/>
  <c r="AC44" i="40"/>
  <c r="Y45" i="40"/>
  <c r="AC45" i="40" l="1"/>
  <c r="Y46" i="40"/>
  <c r="AD45" i="40"/>
  <c r="AB46" i="40"/>
  <c r="AD46" i="40" l="1"/>
  <c r="AB47" i="40"/>
  <c r="AC46" i="40"/>
  <c r="Y47" i="40"/>
  <c r="AC47" i="40" l="1"/>
  <c r="Y48" i="40"/>
  <c r="AB48" i="40"/>
  <c r="AD47" i="40"/>
  <c r="AB49" i="40" l="1"/>
  <c r="AD48" i="40"/>
  <c r="Y49" i="40"/>
  <c r="AC48" i="40"/>
  <c r="Y50" i="40" l="1"/>
  <c r="AC49" i="40"/>
  <c r="AD49" i="40"/>
  <c r="AB50" i="40"/>
  <c r="AB51" i="40" l="1"/>
  <c r="AD50" i="40"/>
  <c r="Y51" i="40"/>
  <c r="AC50" i="40"/>
  <c r="AC51" i="40" l="1"/>
  <c r="Y52" i="40"/>
  <c r="AB52" i="40"/>
  <c r="AD51" i="40"/>
  <c r="AB53" i="40" l="1"/>
  <c r="AD52" i="40"/>
  <c r="AC52" i="40"/>
  <c r="Y53" i="40"/>
  <c r="Y54" i="40" l="1"/>
  <c r="AC53" i="40"/>
  <c r="AB54" i="40"/>
  <c r="AD53" i="40"/>
  <c r="AD54" i="40" l="1"/>
  <c r="AB55" i="40"/>
  <c r="Y55" i="40"/>
  <c r="AC54" i="40"/>
  <c r="AC55" i="40" l="1"/>
  <c r="Y56" i="40"/>
  <c r="AB56" i="40"/>
  <c r="AD55" i="40"/>
  <c r="Y57" i="40" l="1"/>
  <c r="AC56" i="40"/>
  <c r="AB57" i="40"/>
  <c r="AD56" i="40"/>
  <c r="AB58" i="40" l="1"/>
  <c r="AD57" i="40"/>
  <c r="Y58" i="40"/>
  <c r="AC57" i="40"/>
  <c r="AC58" i="40" l="1"/>
  <c r="Y59" i="40"/>
  <c r="AD58" i="40"/>
  <c r="AB59" i="40"/>
  <c r="Y60" i="40" l="1"/>
  <c r="AC59" i="40"/>
  <c r="AB60" i="40"/>
  <c r="AD59" i="40"/>
  <c r="AB61" i="40" l="1"/>
  <c r="AD60" i="40"/>
  <c r="AC60" i="40"/>
  <c r="Y61" i="40"/>
  <c r="AC61" i="40" l="1"/>
  <c r="Y62" i="40"/>
  <c r="AB62" i="40"/>
  <c r="AD61" i="40"/>
  <c r="AC62" i="40" l="1"/>
  <c r="Y63" i="40"/>
  <c r="AD62" i="40"/>
  <c r="AB63" i="40"/>
  <c r="Y64" i="40" l="1"/>
  <c r="AC63" i="40"/>
  <c r="AD63" i="40"/>
  <c r="AB64" i="40"/>
  <c r="AD64" i="40" l="1"/>
  <c r="AB65" i="40"/>
  <c r="AC64" i="40"/>
  <c r="Y65" i="40"/>
  <c r="Y66" i="40" l="1"/>
  <c r="AC65" i="40"/>
  <c r="AD65" i="40"/>
  <c r="AB66" i="40"/>
  <c r="AB67" i="40" l="1"/>
  <c r="AD66" i="40"/>
  <c r="Y67" i="40"/>
  <c r="AC66" i="40"/>
  <c r="AC67" i="40" l="1"/>
  <c r="Y68" i="40"/>
  <c r="AB68" i="40"/>
  <c r="AD67" i="40"/>
  <c r="AC68" i="40" l="1"/>
  <c r="Y69" i="40"/>
  <c r="AB69" i="40"/>
  <c r="AD68" i="40"/>
  <c r="Y70" i="40" l="1"/>
  <c r="AC69" i="40"/>
  <c r="AB70" i="40"/>
  <c r="AD69" i="40"/>
  <c r="AD70" i="40" l="1"/>
  <c r="AB71" i="40"/>
  <c r="AC70" i="40"/>
  <c r="Y71" i="40"/>
  <c r="AC71" i="40" l="1"/>
  <c r="Y72" i="40"/>
  <c r="AB72" i="40"/>
  <c r="AD71" i="40"/>
  <c r="AB73" i="40" l="1"/>
  <c r="AD72" i="40"/>
  <c r="Y73" i="40"/>
  <c r="AC72" i="40"/>
  <c r="Y74" i="40" l="1"/>
  <c r="AC73" i="40"/>
  <c r="AD73" i="40"/>
  <c r="AB74" i="40"/>
  <c r="AD74" i="40" l="1"/>
  <c r="AB75" i="40"/>
  <c r="AC74" i="40"/>
  <c r="Y75" i="40"/>
  <c r="Y76" i="40" l="1"/>
  <c r="AC75" i="40"/>
  <c r="AB76" i="40"/>
  <c r="AD75" i="40"/>
  <c r="AD76" i="40" l="1"/>
  <c r="AB77" i="40"/>
  <c r="AC76" i="40"/>
  <c r="Y77" i="40"/>
  <c r="Y78" i="40" l="1"/>
  <c r="AC77" i="40"/>
  <c r="AB78" i="40"/>
  <c r="AD77" i="40"/>
  <c r="AD78" i="40" l="1"/>
  <c r="AB79" i="40"/>
  <c r="AC78" i="40"/>
  <c r="Y79" i="40"/>
  <c r="AC79" i="40" l="1"/>
  <c r="Y80" i="40"/>
  <c r="AB80" i="40"/>
  <c r="AD79" i="40"/>
  <c r="AD80" i="40" l="1"/>
  <c r="AB81" i="40"/>
  <c r="Y81" i="40"/>
  <c r="AC80" i="40"/>
  <c r="Y82" i="40" l="1"/>
  <c r="AC81" i="40"/>
  <c r="AD81" i="40"/>
  <c r="AB82" i="40"/>
  <c r="AB83" i="40" l="1"/>
  <c r="AD82" i="40"/>
  <c r="AC82" i="40"/>
  <c r="Y83" i="40"/>
  <c r="AC83" i="40" l="1"/>
  <c r="Y84" i="40"/>
  <c r="AB84" i="40"/>
  <c r="AD83" i="40"/>
  <c r="AB85" i="40" l="1"/>
  <c r="AD84" i="40"/>
  <c r="AC84" i="40"/>
  <c r="Y85" i="40"/>
  <c r="Y86" i="40" l="1"/>
  <c r="AC85" i="40"/>
  <c r="AB86" i="40"/>
  <c r="AD85" i="40"/>
  <c r="AD86" i="40" l="1"/>
  <c r="AB87" i="40"/>
  <c r="Y87" i="40"/>
  <c r="AC86" i="40"/>
  <c r="AC87" i="40" l="1"/>
  <c r="Y88" i="40"/>
  <c r="AB88" i="40"/>
  <c r="AD87" i="40"/>
  <c r="AB89" i="40" l="1"/>
  <c r="AD88" i="40"/>
  <c r="Y89" i="40"/>
  <c r="AC88" i="40"/>
  <c r="Y90" i="40" l="1"/>
  <c r="AC89" i="40"/>
  <c r="AD89" i="40"/>
  <c r="AB90" i="40"/>
  <c r="AD90" i="40" l="1"/>
  <c r="AB91" i="40"/>
  <c r="Y91" i="40"/>
  <c r="AC90" i="40"/>
  <c r="Y92" i="40" l="1"/>
  <c r="AC91" i="40"/>
  <c r="AB92" i="40"/>
  <c r="AD91" i="40"/>
  <c r="AB93" i="40" l="1"/>
  <c r="AD92" i="40"/>
  <c r="AC92" i="40"/>
  <c r="Y93" i="40"/>
  <c r="Y94" i="40" l="1"/>
  <c r="AC93" i="40"/>
  <c r="AB94" i="40"/>
  <c r="AD93" i="40"/>
  <c r="AD94" i="40" l="1"/>
  <c r="AB95" i="40"/>
  <c r="AC94" i="40"/>
  <c r="Y95" i="40"/>
  <c r="Y96" i="40" l="1"/>
  <c r="AC95" i="40"/>
  <c r="AD95" i="40"/>
  <c r="AB96" i="40"/>
  <c r="AD96" i="40" l="1"/>
  <c r="AB97" i="40"/>
  <c r="Y97" i="40"/>
  <c r="AC96" i="40"/>
  <c r="AC97" i="40" l="1"/>
  <c r="Y98" i="40"/>
  <c r="AD97" i="40"/>
  <c r="AB98" i="40"/>
  <c r="AB99" i="40" l="1"/>
  <c r="AD98" i="40"/>
  <c r="Y99" i="40"/>
  <c r="AC98" i="40"/>
  <c r="AC99" i="40" l="1"/>
  <c r="Y100" i="40"/>
  <c r="AB100" i="40"/>
  <c r="AD99" i="40"/>
  <c r="AB101" i="40" l="1"/>
  <c r="AD100" i="40"/>
  <c r="AC100" i="40"/>
  <c r="Y101" i="40"/>
  <c r="Y102" i="40" l="1"/>
  <c r="AC101" i="40"/>
  <c r="AB102" i="40"/>
  <c r="AD101" i="40"/>
  <c r="AD102" i="40" l="1"/>
  <c r="AB103" i="40"/>
  <c r="AC102" i="40"/>
  <c r="Y103" i="40"/>
  <c r="AC103" i="40" l="1"/>
  <c r="Y104" i="40"/>
  <c r="AB104" i="40"/>
  <c r="AD103" i="40"/>
  <c r="AC104" i="40" l="1"/>
  <c r="Y105" i="40"/>
  <c r="AB105" i="40"/>
  <c r="AD104" i="40"/>
  <c r="AB106" i="40" l="1"/>
  <c r="AD105" i="40"/>
  <c r="AC105" i="40"/>
  <c r="Y106" i="40"/>
  <c r="AC106" i="40" l="1"/>
  <c r="Y107" i="40"/>
  <c r="AD106" i="40"/>
  <c r="AB107" i="40"/>
  <c r="AB108" i="40" l="1"/>
  <c r="AD108" i="40" s="1"/>
  <c r="AD107" i="40"/>
  <c r="AC107" i="40"/>
  <c r="Y108" i="40"/>
  <c r="AC108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Cale Maynard</author>
  </authors>
  <commentList>
    <comment ref="E5" authorId="0" shapeId="0" xr:uid="{4F7F5DF7-D364-4A65-9FB0-D7989D8220EC}">
      <text>
        <r>
          <rPr>
            <b/>
            <sz val="9"/>
            <color indexed="81"/>
            <rFont val="Tahoma"/>
            <family val="2"/>
          </rPr>
          <t>initial recognition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tc={B6C7CAC7-359C-4D36-ADE0-7D2EDA55CCA0}</author>
  </authors>
  <commentList>
    <comment ref="D127" authorId="0" shapeId="0" xr:uid="{B6C7CAC7-359C-4D36-ADE0-7D2EDA55CCA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as the total discounted NFs over the discounted Capital Requirement. For ROC calculation, the cashflows in year 10 were assumed to be the same up to year 25.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<sst xmlns="http://schemas.openxmlformats.org/spreadsheetml/2006/main" count="584" uniqueCount="384">
  <si>
    <t>Initial expense</t>
  </si>
  <si>
    <t>Initial_Expense</t>
  </si>
  <si>
    <t>Required return on car</t>
  </si>
  <si>
    <t>Required_Return_On_CAR</t>
  </si>
  <si>
    <t>Termination Expense</t>
  </si>
  <si>
    <t>Terminal_Expense</t>
  </si>
  <si>
    <t>Corporate tax rate</t>
  </si>
  <si>
    <t>Corporate_Tax_Rate</t>
  </si>
  <si>
    <t>Renewal Expense</t>
  </si>
  <si>
    <t>Renewal_Expense</t>
  </si>
  <si>
    <t>Risk discount rate</t>
  </si>
  <si>
    <t>Risk_Discount_Rate</t>
  </si>
  <si>
    <t>Expense inflation</t>
  </si>
  <si>
    <t>Expense_Inflation</t>
  </si>
  <si>
    <t>Cost of capital</t>
  </si>
  <si>
    <t>Cost_of_Capital</t>
  </si>
  <si>
    <t>Commission Percent</t>
  </si>
  <si>
    <t>Commission_Percent</t>
  </si>
  <si>
    <t>Initial project cost</t>
  </si>
  <si>
    <t>Initial_Project_Cost</t>
  </si>
  <si>
    <t>Period at which new business occur during the year</t>
  </si>
  <si>
    <t>New_Business_Period</t>
  </si>
  <si>
    <t>Period at which deaths and lapses occur during the year</t>
  </si>
  <si>
    <t>Deaths_Lapses_Period</t>
  </si>
  <si>
    <t>Investment return</t>
  </si>
  <si>
    <t>Investment_Return</t>
  </si>
  <si>
    <t>Monthly Income Benefit</t>
  </si>
  <si>
    <t>Income_Benefit_Amt</t>
  </si>
  <si>
    <t>Premium Miss</t>
  </si>
  <si>
    <t>Prem_Miss</t>
  </si>
  <si>
    <t>CAR Calculation Inputs</t>
  </si>
  <si>
    <t>Shareholder's Fund</t>
  </si>
  <si>
    <t>Credit risk percentage</t>
  </si>
  <si>
    <t>Operational risk factor</t>
  </si>
  <si>
    <t>Asset Class</t>
  </si>
  <si>
    <t>Percentage</t>
  </si>
  <si>
    <t>Credit factor</t>
  </si>
  <si>
    <t>Equities</t>
  </si>
  <si>
    <t>Discretionary Loading</t>
  </si>
  <si>
    <t>Fixed  interest securities</t>
  </si>
  <si>
    <t>Stresses</t>
  </si>
  <si>
    <t>Cash</t>
  </si>
  <si>
    <t>Equity</t>
  </si>
  <si>
    <t>Expense risk</t>
  </si>
  <si>
    <t>Property</t>
  </si>
  <si>
    <t>Fixed interest</t>
  </si>
  <si>
    <t>Total</t>
  </si>
  <si>
    <t>IFSR17 Build Ups</t>
  </si>
  <si>
    <t>Actuals match Expected</t>
  </si>
  <si>
    <t>Year</t>
  </si>
  <si>
    <t>Inflation</t>
  </si>
  <si>
    <t>Compounded Inflation</t>
  </si>
  <si>
    <t>Investment Yield</t>
  </si>
  <si>
    <t>Discount Factor</t>
  </si>
  <si>
    <t>Expected Cashflows (Initial Recognition)</t>
  </si>
  <si>
    <t>Helper Column</t>
  </si>
  <si>
    <t>Beg</t>
  </si>
  <si>
    <t>Premiums</t>
  </si>
  <si>
    <t>No_Pols_IF x Premium</t>
  </si>
  <si>
    <t>Acquisition Commission</t>
  </si>
  <si>
    <t>Acq_Comm x Premium</t>
  </si>
  <si>
    <t>Renewal Commission</t>
  </si>
  <si>
    <t>Ren_Comm x Premium</t>
  </si>
  <si>
    <t>Acquisition Expenses Attributable</t>
  </si>
  <si>
    <t>No_Pols_If x Acq_Attr_Exp</t>
  </si>
  <si>
    <t>Maintenance Expense Attributable</t>
  </si>
  <si>
    <t>No_Pols_If x Acq_Attr_Exp x (1+ inflation)^(duration)</t>
  </si>
  <si>
    <t>Acquisition Expenses Non-Attributable</t>
  </si>
  <si>
    <t>No_Pols_If x Acq_Non_Attr_Exp</t>
  </si>
  <si>
    <t>Maintenance Expense Non-Attributable</t>
  </si>
  <si>
    <t>No_Pols_If x Acq_Non_Attr_Exp x (1+ inflation)^(duration)</t>
  </si>
  <si>
    <t>End</t>
  </si>
  <si>
    <t>Claims</t>
  </si>
  <si>
    <t>Death+Termination+Cashback+Income+Escalation</t>
  </si>
  <si>
    <t>Total Net CFs</t>
  </si>
  <si>
    <t>Sum(of the above)</t>
  </si>
  <si>
    <t>Actual Cashflows</t>
  </si>
  <si>
    <t>Same as above as actual is equal to expected</t>
  </si>
  <si>
    <t>Coverage Units Reconciliation</t>
  </si>
  <si>
    <t>Opening Prem Paying</t>
  </si>
  <si>
    <t>Opening Paid Up</t>
  </si>
  <si>
    <t>Deaths</t>
  </si>
  <si>
    <t>Lapses</t>
  </si>
  <si>
    <t>Closing</t>
  </si>
  <si>
    <t>CU</t>
  </si>
  <si>
    <t>CU  Cumulative</t>
  </si>
  <si>
    <t>Liability on Initial Recognition</t>
  </si>
  <si>
    <t>PV Premiums</t>
  </si>
  <si>
    <t>PV Renewal Commission</t>
  </si>
  <si>
    <t>PV Maintenance Expense Attributable</t>
  </si>
  <si>
    <t>PV Claims</t>
  </si>
  <si>
    <t>PV Attributable Acquistion CFs</t>
  </si>
  <si>
    <t>PV Risk Adjustment CFs</t>
  </si>
  <si>
    <t>CSM at Initial Recognition</t>
  </si>
  <si>
    <t>Reconciliation of Best Estimate Liabilities (BEL)</t>
  </si>
  <si>
    <t>Opening</t>
  </si>
  <si>
    <t>Changes Related to Future Services: New Business</t>
  </si>
  <si>
    <t>Expected Cash Inflows</t>
  </si>
  <si>
    <t>Expected Cash Outflows</t>
  </si>
  <si>
    <t>Insurance Finance Expense</t>
  </si>
  <si>
    <t>Reconciliation of Risk Adjustment (RA)</t>
  </si>
  <si>
    <t>Changes Related to Current Services: Release</t>
  </si>
  <si>
    <t>Reconciliation of Contractual Service Margin (CSM)</t>
  </si>
  <si>
    <t>Reconciliation of Total Contract Liability</t>
  </si>
  <si>
    <t>Reconciliation of Acquisition Expense Amortization</t>
  </si>
  <si>
    <t>New Acquistion Expense</t>
  </si>
  <si>
    <t>Accretion of Interest</t>
  </si>
  <si>
    <t>Amortized Expense</t>
  </si>
  <si>
    <t>Statement of Profit or Loss</t>
  </si>
  <si>
    <t>Release of CSM</t>
  </si>
  <si>
    <t>Release of Risk Adjustment</t>
  </si>
  <si>
    <t>Expected Claims</t>
  </si>
  <si>
    <t>Expected Expenses</t>
  </si>
  <si>
    <t>Recovery of Acquisition Cash Flows</t>
  </si>
  <si>
    <t>Insurance Service Revenue</t>
  </si>
  <si>
    <t>Claims Incurred</t>
  </si>
  <si>
    <t>Expenses Incurred</t>
  </si>
  <si>
    <t>Amortization of Acquisition Cash Flows</t>
  </si>
  <si>
    <t>Insurance Service Expense</t>
  </si>
  <si>
    <t>Insurance Service Result</t>
  </si>
  <si>
    <t>Other Expense</t>
  </si>
  <si>
    <t>Investment Income</t>
  </si>
  <si>
    <t>Insurance Financial Expense</t>
  </si>
  <si>
    <t>Financial Gain/Loss</t>
  </si>
  <si>
    <t>Profit or Loss</t>
  </si>
  <si>
    <t>When experience = expected, profits = CSM and RA release plus investment income variance less unallocated expenses</t>
  </si>
  <si>
    <t>Adjusted Profit or Loss</t>
  </si>
  <si>
    <t>Reserve Set up (transfer in/out Stat Reseve Acc)</t>
  </si>
  <si>
    <t>Profit after Reserve Setup</t>
  </si>
  <si>
    <t>Reserve Set up impact on profit/ loss</t>
  </si>
  <si>
    <t>Description</t>
  </si>
  <si>
    <t>Year 1 Cohort</t>
  </si>
  <si>
    <t>Year 2 Cohort</t>
  </si>
  <si>
    <t>Year 3 Cohort</t>
  </si>
  <si>
    <t>Year 4 Cohort</t>
  </si>
  <si>
    <t>Year 5 Cohort</t>
  </si>
  <si>
    <t>Year 6 Cohort</t>
  </si>
  <si>
    <t>Year 7 Cohort</t>
  </si>
  <si>
    <t>Year 8 Cohort</t>
  </si>
  <si>
    <t>Year 9 Cohort</t>
  </si>
  <si>
    <t>Year 10 Cohort</t>
  </si>
  <si>
    <t>Projection Year</t>
  </si>
  <si>
    <t>Delevolpment Cost</t>
  </si>
  <si>
    <t>Less Cost of Setting up of Regulatory Reserves</t>
  </si>
  <si>
    <t>Net CFs After Setting up Reserves</t>
  </si>
  <si>
    <t>Adjusted Net CFs</t>
  </si>
  <si>
    <t>Add Long Term Investment Return (LTIR)</t>
  </si>
  <si>
    <t>Gross Profit</t>
  </si>
  <si>
    <t>Less Corporate Tax</t>
  </si>
  <si>
    <t>Net Profit</t>
  </si>
  <si>
    <t>Less  Cost of Capital</t>
  </si>
  <si>
    <t>Net Profit After Cost of Capital</t>
  </si>
  <si>
    <t>Discounting Factors</t>
  </si>
  <si>
    <t>Discounted Net Profit</t>
  </si>
  <si>
    <t>New Business - Number of Lives</t>
  </si>
  <si>
    <t>Number of lives in force - end of year</t>
  </si>
  <si>
    <t>New Business APE</t>
  </si>
  <si>
    <t>CAR</t>
  </si>
  <si>
    <t>Return on Capital</t>
  </si>
  <si>
    <t>IRR</t>
  </si>
  <si>
    <t>Payback period</t>
  </si>
  <si>
    <t>Discounted Payback period</t>
  </si>
  <si>
    <t>NPV</t>
  </si>
  <si>
    <t>Capital Strain</t>
  </si>
  <si>
    <t>Gross flows</t>
  </si>
  <si>
    <t>NCCF</t>
  </si>
  <si>
    <t>VNB</t>
  </si>
  <si>
    <t>Present Value of Premiums</t>
  </si>
  <si>
    <t>VNB Margin</t>
  </si>
  <si>
    <t>Discounted Premiums</t>
  </si>
  <si>
    <t>Positive BEL</t>
  </si>
  <si>
    <t>Negative BEL</t>
  </si>
  <si>
    <t>Total CAR</t>
  </si>
  <si>
    <t>Mortality fluctuation SCAR</t>
  </si>
  <si>
    <t>Lapse fluctuation SCAR</t>
  </si>
  <si>
    <t>Expense fluctuation SCAR</t>
  </si>
  <si>
    <t>Investment SCAR</t>
  </si>
  <si>
    <t>Credit Risk</t>
  </si>
  <si>
    <t>Operational Risk</t>
  </si>
  <si>
    <t>IOCAR</t>
  </si>
  <si>
    <t>OCAR</t>
  </si>
  <si>
    <t>TCAR</t>
  </si>
  <si>
    <t>CAR Before Discretionary Loading</t>
  </si>
  <si>
    <t>Discretionary Loading - 25%</t>
  </si>
  <si>
    <t>Total Positive BEL</t>
  </si>
  <si>
    <t>Total Negative BEL</t>
  </si>
  <si>
    <t>Lapse CAR</t>
  </si>
  <si>
    <t>Surrender CAR</t>
  </si>
  <si>
    <t>Mortality Fluctuation Risk</t>
  </si>
  <si>
    <t>Annual Risk Premium</t>
  </si>
  <si>
    <t>Number of lives assured</t>
  </si>
  <si>
    <t>Lapse risk</t>
  </si>
  <si>
    <t>Expense Fluctuation SCAR</t>
  </si>
  <si>
    <t>g</t>
  </si>
  <si>
    <t>h</t>
  </si>
  <si>
    <t>k</t>
  </si>
  <si>
    <t>Dscretionary Loading</t>
  </si>
  <si>
    <t>Best Estimate Liabilities (BEL)</t>
  </si>
  <si>
    <t>Risk Adjustment (RA)</t>
  </si>
  <si>
    <t>Cash inflow</t>
  </si>
  <si>
    <t>Cash outflow</t>
  </si>
  <si>
    <t>Net CFs</t>
  </si>
  <si>
    <t>A = New Business Number of Lives</t>
  </si>
  <si>
    <t>B = Number of lives in force at end of year</t>
  </si>
  <si>
    <t>C = New Business APE</t>
  </si>
  <si>
    <t>D = Capital Required ("CAR")</t>
  </si>
  <si>
    <t>E = Premiums</t>
  </si>
  <si>
    <t>F = Renewal Commission</t>
  </si>
  <si>
    <t>G = Acquisition Expenses Attributable</t>
  </si>
  <si>
    <r>
      <t>H</t>
    </r>
    <r>
      <rPr>
        <vertAlign val="subscript"/>
        <sz val="8"/>
        <color rgb="FF000000"/>
        <rFont val="Century Gothic"/>
        <family val="2"/>
      </rPr>
      <t>1</t>
    </r>
    <r>
      <rPr>
        <sz val="8"/>
        <color rgb="FF000000"/>
        <rFont val="Century Gothic"/>
        <family val="2"/>
      </rPr>
      <t xml:space="preserve"> = Development Cost Non-Attributable</t>
    </r>
  </si>
  <si>
    <r>
      <t>H</t>
    </r>
    <r>
      <rPr>
        <vertAlign val="subscript"/>
        <sz val="8"/>
        <color rgb="FF000000"/>
        <rFont val="Century Gothic"/>
        <family val="2"/>
      </rPr>
      <t>2</t>
    </r>
    <r>
      <rPr>
        <sz val="8"/>
        <color rgb="FF000000"/>
        <rFont val="Century Gothic"/>
        <family val="2"/>
      </rPr>
      <t xml:space="preserve"> = Maintenance Expense Attributable</t>
    </r>
  </si>
  <si>
    <t>I = Acquisition Expenses Non-Attributable</t>
  </si>
  <si>
    <t>J = Maintenance Expense Non-Attributable</t>
  </si>
  <si>
    <t>K = Claims</t>
  </si>
  <si>
    <t>L = "Less Transfer to" / "Add Release from" 
       Regulatory Reserves</t>
  </si>
  <si>
    <t>M = Total Net CashFlows ("CFs")
     = SUM [E to L]</t>
  </si>
  <si>
    <r>
      <t xml:space="preserve">N = Profit Reduction Adj </t>
    </r>
    <r>
      <rPr>
        <sz val="8"/>
        <color rgb="FF000000"/>
        <rFont val="Calibri"/>
        <family val="2"/>
      </rPr>
      <t>(as per note1 below)</t>
    </r>
    <r>
      <rPr>
        <sz val="8"/>
        <color rgb="FF000000"/>
        <rFont val="Century Gothic"/>
        <family val="2"/>
      </rPr>
      <t xml:space="preserve">
    =  [5% * M]</t>
    </r>
  </si>
  <si>
    <r>
      <t xml:space="preserve">O = Add Return on Capital </t>
    </r>
    <r>
      <rPr>
        <sz val="8"/>
        <color rgb="FF000000"/>
        <rFont val="Calibri"/>
        <family val="2"/>
      </rPr>
      <t>(see note 2)</t>
    </r>
    <r>
      <rPr>
        <sz val="8"/>
        <color rgb="FF000000"/>
        <rFont val="Century Gothic"/>
        <family val="2"/>
      </rPr>
      <t xml:space="preserve">
    = 5% * D</t>
    </r>
  </si>
  <si>
    <t>P = Gross Profit
    = SUM [M to O]</t>
  </si>
  <si>
    <t>Q = Less Corporate Tax
    = 22% * P</t>
  </si>
  <si>
    <t>R = Net Profit
   = SUM [P to Q]</t>
  </si>
  <si>
    <r>
      <t xml:space="preserve">S = Less  Cost of Capital </t>
    </r>
    <r>
      <rPr>
        <sz val="8"/>
        <color rgb="FF000000"/>
        <rFont val="Calibri"/>
        <family val="2"/>
      </rPr>
      <t>(see note 2)</t>
    </r>
    <r>
      <rPr>
        <sz val="8"/>
        <color rgb="FF000000"/>
        <rFont val="Century Gothic"/>
        <family val="2"/>
      </rPr>
      <t xml:space="preserve">
   = 14.2% * D</t>
    </r>
  </si>
  <si>
    <t>T = Net Profit After Cost of Capital
   = SUM [ R to S]</t>
  </si>
  <si>
    <r>
      <t xml:space="preserve">U = Return on Capital 
    = R </t>
    </r>
    <r>
      <rPr>
        <sz val="8"/>
        <color rgb="FF000000"/>
        <rFont val="Calibri Light"/>
        <family val="2"/>
      </rPr>
      <t>÷</t>
    </r>
    <r>
      <rPr>
        <sz val="8"/>
        <color rgb="FF000000"/>
        <rFont val="Century Gothic"/>
        <family val="2"/>
      </rPr>
      <t xml:space="preserve"> D</t>
    </r>
  </si>
  <si>
    <t>Profit Matrics</t>
  </si>
  <si>
    <t>Value</t>
  </si>
  <si>
    <t>Note 1:</t>
  </si>
  <si>
    <t xml:space="preserve">The model used to derive project cashflows assumed an annual frequency. </t>
  </si>
  <si>
    <t>However, the actual cashflows will mostly have a monthly frequency.</t>
  </si>
  <si>
    <t>An annual frequeny would overstimate profit by approximately 3 to 4 percent.</t>
  </si>
  <si>
    <t>Thus, for prudency all profits have been reduced by 5%.</t>
  </si>
  <si>
    <t>Note 2:</t>
  </si>
  <si>
    <t>The business would need to either raise or borrow funds for CAR.</t>
  </si>
  <si>
    <t>The funds will then be tied-up in cash and hence will not earn more than 5% return p.a.</t>
  </si>
  <si>
    <t>The provider or lender of the funds will require a dividend/interest equal to the current yeilds.</t>
  </si>
  <si>
    <t>The year 1 rate on the yield curves used is 14.2% as specified in section 4.2 of this document.</t>
  </si>
  <si>
    <t>PROFIT, ROC &amp; IRR CALCULATION</t>
  </si>
  <si>
    <t>NPV CALCULATION</t>
  </si>
  <si>
    <t>DISCOUNTED PAYBACK PERIOD CALCULATION</t>
  </si>
  <si>
    <t>VNB MARGIN</t>
  </si>
  <si>
    <t>ROC</t>
  </si>
  <si>
    <t>Goal Seek IRR</t>
  </si>
  <si>
    <t>ROC Minimum Hurdle Rate</t>
  </si>
  <si>
    <t>Discounted Payback Period</t>
  </si>
  <si>
    <t>Value of New Business</t>
  </si>
  <si>
    <t>Payback Period</t>
  </si>
  <si>
    <t>Net Present Value (NPV)</t>
  </si>
  <si>
    <t>VNB/PVP</t>
  </si>
  <si>
    <t>Operating Cashflow</t>
  </si>
  <si>
    <t>Amortisation of Development Costs</t>
  </si>
  <si>
    <t>Capital Adequacy Requirement</t>
  </si>
  <si>
    <t>Increase in Capital Adequacy Requirement</t>
  </si>
  <si>
    <t>Total Capital (Intial Development Cost + CAR)</t>
  </si>
  <si>
    <t>Release of Capital Adequacy Requirement</t>
  </si>
  <si>
    <t>Long Term Investment Return (LTIR)</t>
  </si>
  <si>
    <t>Corporate Tax</t>
  </si>
  <si>
    <t>Profit After Tax</t>
  </si>
  <si>
    <t>Net Cashflow for the Year (Profit after tax + Increase in CAR + Initial Development Costs + Release of CAR)</t>
  </si>
  <si>
    <t>Discounted Net Cashflow</t>
  </si>
  <si>
    <t>Net Cashflow</t>
  </si>
  <si>
    <t>Cumulative Net Cashflow</t>
  </si>
  <si>
    <t>Cumulative Discounted Net Cashflows</t>
  </si>
  <si>
    <t>Payback Period Indicator</t>
  </si>
  <si>
    <t>Discounted Payback Period Indicator</t>
  </si>
  <si>
    <t>Discounted Net Operating Profit</t>
  </si>
  <si>
    <t>Capital required</t>
  </si>
  <si>
    <t>Discounted cost of capital</t>
  </si>
  <si>
    <t>Discounted premiums</t>
  </si>
  <si>
    <t>EPV of increases or decreases in Required Capital + Initial Project Costs</t>
  </si>
  <si>
    <t xml:space="preserve">Expected Present Value (EPV) of Adjusted Profits </t>
  </si>
  <si>
    <t>Totals</t>
  </si>
  <si>
    <t xml:space="preserve">Components 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</si>
  <si>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</si>
  <si>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</si>
  <si>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</si>
  <si>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</si>
  <si>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</si>
  <si>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</si>
  <si>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</si>
  <si>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</si>
  <si>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</si>
  <si>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</si>
  <si>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</si>
  <si>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</si>
  <si>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</si>
  <si>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</si>
  <si>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</si>
  <si>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</si>
  <si>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</si>
  <si>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</si>
  <si>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</si>
  <si>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</si>
  <si>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</si>
  <si>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</si>
  <si>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</si>
  <si>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</si>
  <si>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</si>
  <si>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</si>
  <si>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</si>
  <si>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</si>
  <si>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</si>
  <si>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</si>
  <si>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</si>
  <si>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</si>
  <si>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</si>
  <si>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</si>
  <si>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</si>
  <si>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</si>
  <si>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</si>
  <si>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</si>
  <si>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</si>
  <si>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</si>
  <si>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</si>
  <si>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Year 41</t>
  </si>
  <si>
    <t>Year 42</t>
  </si>
  <si>
    <t>Year 43</t>
  </si>
  <si>
    <t>Year 44</t>
  </si>
  <si>
    <t>Year 45</t>
  </si>
  <si>
    <t>Year 46</t>
  </si>
  <si>
    <t>Year 47</t>
  </si>
  <si>
    <t>Year 48</t>
  </si>
  <si>
    <t>Year 49</t>
  </si>
  <si>
    <t>Year 50</t>
  </si>
  <si>
    <t>Year 51</t>
  </si>
  <si>
    <t>Year 52</t>
  </si>
  <si>
    <t>Year 53</t>
  </si>
  <si>
    <t>Year 54</t>
  </si>
  <si>
    <t>Year 55</t>
  </si>
  <si>
    <t>Year 56</t>
  </si>
  <si>
    <t>Year 57</t>
  </si>
  <si>
    <t>Year 58</t>
  </si>
  <si>
    <t>Year 59</t>
  </si>
  <si>
    <t>Year 60</t>
  </si>
  <si>
    <t>Year 61</t>
  </si>
  <si>
    <t>Year 62</t>
  </si>
  <si>
    <t>Year 63</t>
  </si>
  <si>
    <t>Year 64</t>
  </si>
  <si>
    <t>Year 65</t>
  </si>
  <si>
    <t>Year 66</t>
  </si>
  <si>
    <t>Year 67</t>
  </si>
  <si>
    <t>Year 68</t>
  </si>
  <si>
    <t>Year 69</t>
  </si>
  <si>
    <t>Year 70</t>
  </si>
  <si>
    <t>Year 71</t>
  </si>
  <si>
    <t>Year 72</t>
  </si>
  <si>
    <t>Year 73</t>
  </si>
  <si>
    <t>Year 74</t>
  </si>
  <si>
    <t>Year 75</t>
  </si>
  <si>
    <t>Year 76</t>
  </si>
  <si>
    <t>Year 77</t>
  </si>
  <si>
    <t>Year 78</t>
  </si>
  <si>
    <t>Year 79</t>
  </si>
  <si>
    <t>Year 80</t>
  </si>
  <si>
    <t>Year 81</t>
  </si>
  <si>
    <t>Year 82</t>
  </si>
  <si>
    <t>Year 83</t>
  </si>
  <si>
    <t>Year 84</t>
  </si>
  <si>
    <t>Year 85</t>
  </si>
  <si>
    <t>Year 86</t>
  </si>
  <si>
    <t>Year 87</t>
  </si>
  <si>
    <t>Year 88</t>
  </si>
  <si>
    <t>Year 89</t>
  </si>
  <si>
    <t>Year 90</t>
  </si>
  <si>
    <t>Year 91</t>
  </si>
  <si>
    <t>Year 92</t>
  </si>
  <si>
    <t>Year 93</t>
  </si>
  <si>
    <t>Year 94</t>
  </si>
  <si>
    <t>Year 95</t>
  </si>
  <si>
    <t>Year 96</t>
  </si>
  <si>
    <t>Year 97</t>
  </si>
  <si>
    <t>Year 98</t>
  </si>
  <si>
    <t>Year 99</t>
  </si>
  <si>
    <t>Year 100</t>
  </si>
  <si>
    <t>Discounted CAR</t>
  </si>
  <si>
    <t>NCCF - Excluding Adjustments</t>
  </si>
  <si>
    <t>Net CFs After Setting up Reserves and Profit Adjustments</t>
  </si>
  <si>
    <t>Discounting Factor</t>
  </si>
  <si>
    <t>H1 = Development Cost Non-Attributable</t>
  </si>
  <si>
    <t>H2 = Maintenance Expense Attributable</t>
  </si>
  <si>
    <t>N = Profit Reduction Adj (as per note1 below)
    =  [5% * M]</t>
  </si>
  <si>
    <t>O = Add Return on Capital (see note 2)
    = 5% * D</t>
  </si>
  <si>
    <t>S = Less  Cost of Capital (see note 2)
   = 14.2% * D</t>
  </si>
  <si>
    <t>U = Return on Capital 
    = R ÷ D</t>
  </si>
  <si>
    <t>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</si>
</sst>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_-* #,##0_-;\-* #,##0_-;_-* &quot;-&quot;??_-;_-@_-"/>
    <numFmt numFmtId="165" formatCode="0.0%"/>
    <numFmt numFmtId="166" formatCode="_-* #,##0.0000000_-;\-* #,##0.0000000_-;_-* &quot;-&quot;??_-;_-@_-"/>
    <numFmt numFmtId="167" formatCode="_-* #,##0.00000000_-;\-* #,##0.00000000_-;_-* &quot;-&quot;??_-;_-@_-"/>
    <numFmt numFmtId="168" formatCode="_(* #,##0.0000000_);_(* \(#,##0.0000000\);_(* &quot;-&quot;??_);_(@_)"/>
    <numFmt numFmtId="169" formatCode="_ * #,##0_ ;_ * \-#,##0_ ;_ * &quot;-&quot;??_ ;_ @_ "/>
    <numFmt numFmtId="170" formatCode="_(* #,##0_);_(* \(#,##0\);_(* &quot;-&quot;??_);_(@_)"/>
    <numFmt numFmtId="171" formatCode="&quot;Z$&quot;#,##0.00;[Red]\-&quot;Z$&quot;#,##0.00"/>
    <numFmt numFmtId="172" formatCode="#,##0.00000_);\(#,##0.00000\)"/>
    <numFmt numFmtId="173" formatCode="#,##0.000000;\-#,##0.000000"/>
    <numFmt numFmtId="174" formatCode="#,##0.000;\-#,##0.000"/>
    <numFmt numFmtId="175" formatCode="#,##0.0_);\(#,##0.0\)"/>
    <numFmt numFmtId="176" formatCode="#,##0.000_);\(#,##0.000\)"/>
    <numFmt numFmtId="177" formatCode="_(* #,##0.000_);_(* \(#,##0.000\);_(* &quot;-&quot;??_);_(@_)"/>
    <numFmt numFmtId="178" formatCode="_(* #,##0.0_);_(* \(#,##0.0\);_(* &quot;-&quot;??_);_(@_)"/>
    <numFmt numFmtId="179" formatCode="_(* #,##0.000000_);_(* \(#,##0.00000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i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i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1"/>
      <color rgb="FFFF000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3366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entury Gothic"/>
      <family val="2"/>
    </font>
    <font>
      <sz val="11"/>
      <color rgb="FFFF0000"/>
      <name val="Century Gothic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i/>
      <sz val="8"/>
      <color rgb="FF000000"/>
      <name val="Century Gothic"/>
      <family val="2"/>
    </font>
    <font>
      <b/>
      <i/>
      <sz val="8"/>
      <color rgb="FF000000"/>
      <name val="Century Gothic"/>
      <family val="2"/>
    </font>
    <font>
      <sz val="8"/>
      <name val="Calibri"/>
      <family val="2"/>
      <scheme val="minor"/>
    </font>
    <font>
      <sz val="8"/>
      <color rgb="FF000000"/>
      <name val="Calibri Light"/>
      <family val="2"/>
    </font>
    <font>
      <sz val="8"/>
      <color rgb="FF000000"/>
      <name val="Calibri"/>
      <family val="2"/>
    </font>
    <font>
      <i/>
      <sz val="9"/>
      <color theme="1"/>
      <name val="Calibri"/>
      <family val="2"/>
      <scheme val="minor"/>
    </font>
    <font>
      <vertAlign val="subscript"/>
      <sz val="8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2D69B"/>
      </left>
      <right style="medium">
        <color rgb="FFC2D69B"/>
      </right>
      <top style="medium">
        <color rgb="FFC2D69B"/>
      </top>
      <bottom style="medium">
        <color rgb="FFC2D69B"/>
      </bottom>
      <diagonal/>
    </border>
    <border>
      <left/>
      <right style="medium">
        <color rgb="FFC2D69B"/>
      </right>
      <top style="medium">
        <color rgb="FFC2D69B"/>
      </top>
      <bottom style="medium">
        <color rgb="FFC2D69B"/>
      </bottom>
      <diagonal/>
    </border>
    <border>
      <left style="medium">
        <color rgb="FFC2D69B"/>
      </left>
      <right style="medium">
        <color rgb="FFC2D69B"/>
      </right>
      <top/>
      <bottom style="medium">
        <color rgb="FFC2D69B"/>
      </bottom>
      <diagonal/>
    </border>
    <border>
      <left/>
      <right style="medium">
        <color rgb="FFC2D69B"/>
      </right>
      <top/>
      <bottom style="medium">
        <color rgb="FFC2D69B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5">
    <xf numFmtId="0" fontId="0" fillId="0" borderId="0" xfId="0"/>
    <xf numFmtId="43" fontId="0" fillId="0" borderId="0" xfId="1" applyFont="1"/>
    <xf numFmtId="0" fontId="3" fillId="0" borderId="2" xfId="0" applyFont="1" applyBorder="1"/>
    <xf numFmtId="0" fontId="5" fillId="0" borderId="0" xfId="0" applyFont="1"/>
    <xf numFmtId="0" fontId="4" fillId="0" borderId="2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10" fontId="0" fillId="0" borderId="0" xfId="2" applyNumberFormat="1" applyFont="1"/>
    <xf numFmtId="2" fontId="0" fillId="0" borderId="0" xfId="2" applyNumberFormat="1" applyFont="1"/>
    <xf numFmtId="0" fontId="2" fillId="0" borderId="1" xfId="0" applyFont="1" applyBorder="1"/>
    <xf numFmtId="0" fontId="0" fillId="0" borderId="1" xfId="0" applyBorder="1"/>
    <xf numFmtId="43" fontId="0" fillId="0" borderId="1" xfId="1" applyFont="1" applyBorder="1"/>
    <xf numFmtId="9" fontId="0" fillId="0" borderId="0" xfId="2" applyFont="1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horizontal="left"/>
    </xf>
    <xf numFmtId="9" fontId="0" fillId="4" borderId="1" xfId="2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164" fontId="0" fillId="0" borderId="0" xfId="1" applyNumberFormat="1" applyFont="1"/>
    <xf numFmtId="37" fontId="0" fillId="0" borderId="0" xfId="0" applyNumberFormat="1" applyAlignment="1">
      <alignment horizontal="left"/>
    </xf>
    <xf numFmtId="165" fontId="0" fillId="4" borderId="1" xfId="2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164" fontId="4" fillId="0" borderId="1" xfId="0" applyNumberFormat="1" applyFont="1" applyBorder="1"/>
    <xf numFmtId="0" fontId="9" fillId="0" borderId="9" xfId="3" applyFont="1" applyBorder="1" applyAlignment="1">
      <alignment vertical="center"/>
    </xf>
    <xf numFmtId="0" fontId="9" fillId="0" borderId="1" xfId="3" applyFont="1" applyBorder="1" applyAlignment="1">
      <alignment horizontal="center" vertical="center" wrapText="1"/>
    </xf>
    <xf numFmtId="0" fontId="9" fillId="0" borderId="10" xfId="3" applyFont="1" applyBorder="1" applyAlignment="1">
      <alignment horizontal="center" vertical="center" wrapText="1"/>
    </xf>
    <xf numFmtId="43" fontId="10" fillId="0" borderId="1" xfId="4" applyFont="1" applyBorder="1" applyAlignment="1">
      <alignment wrapText="1"/>
    </xf>
    <xf numFmtId="165" fontId="0" fillId="0" borderId="0" xfId="2" applyNumberFormat="1" applyFont="1"/>
    <xf numFmtId="167" fontId="0" fillId="0" borderId="1" xfId="1" applyNumberFormat="1" applyFont="1" applyBorder="1"/>
    <xf numFmtId="10" fontId="0" fillId="0" borderId="1" xfId="2" applyNumberFormat="1" applyFont="1" applyBorder="1"/>
    <xf numFmtId="0" fontId="0" fillId="0" borderId="6" xfId="0" applyBorder="1"/>
    <xf numFmtId="0" fontId="2" fillId="0" borderId="0" xfId="0" applyFont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43" fontId="2" fillId="0" borderId="15" xfId="1" applyFont="1" applyBorder="1"/>
    <xf numFmtId="0" fontId="2" fillId="0" borderId="17" xfId="0" applyFont="1" applyBorder="1"/>
    <xf numFmtId="43" fontId="2" fillId="0" borderId="7" xfId="0" applyNumberFormat="1" applyFont="1" applyBorder="1"/>
    <xf numFmtId="0" fontId="2" fillId="0" borderId="7" xfId="0" applyFont="1" applyBorder="1"/>
    <xf numFmtId="0" fontId="11" fillId="0" borderId="0" xfId="0" applyFont="1"/>
    <xf numFmtId="0" fontId="9" fillId="0" borderId="1" xfId="3" applyFont="1" applyBorder="1" applyAlignment="1">
      <alignment vertical="center" wrapText="1"/>
    </xf>
    <xf numFmtId="0" fontId="9" fillId="0" borderId="10" xfId="3" applyFont="1" applyBorder="1" applyAlignment="1">
      <alignment vertical="center" wrapText="1"/>
    </xf>
    <xf numFmtId="43" fontId="10" fillId="0" borderId="10" xfId="4" applyFont="1" applyBorder="1" applyAlignment="1">
      <alignment wrapText="1"/>
    </xf>
    <xf numFmtId="43" fontId="2" fillId="0" borderId="14" xfId="1" applyFont="1" applyBorder="1"/>
    <xf numFmtId="43" fontId="2" fillId="0" borderId="16" xfId="1" applyFont="1" applyBorder="1"/>
    <xf numFmtId="0" fontId="9" fillId="0" borderId="1" xfId="3" applyFont="1" applyBorder="1" applyAlignment="1">
      <alignment wrapText="1"/>
    </xf>
    <xf numFmtId="0" fontId="10" fillId="0" borderId="1" xfId="3" applyFont="1" applyBorder="1"/>
    <xf numFmtId="0" fontId="10" fillId="0" borderId="5" xfId="3" applyFont="1" applyBorder="1"/>
    <xf numFmtId="0" fontId="10" fillId="0" borderId="10" xfId="3" applyFont="1" applyBorder="1"/>
    <xf numFmtId="0" fontId="12" fillId="0" borderId="9" xfId="3" applyFont="1" applyBorder="1"/>
    <xf numFmtId="43" fontId="12" fillId="0" borderId="1" xfId="4" applyFont="1" applyFill="1" applyBorder="1" applyAlignment="1"/>
    <xf numFmtId="168" fontId="12" fillId="0" borderId="1" xfId="4" applyNumberFormat="1" applyFont="1" applyFill="1" applyBorder="1" applyAlignment="1"/>
    <xf numFmtId="43" fontId="10" fillId="0" borderId="1" xfId="4" applyFont="1" applyBorder="1" applyAlignment="1">
      <alignment horizontal="center"/>
    </xf>
    <xf numFmtId="0" fontId="10" fillId="0" borderId="5" xfId="4" applyNumberFormat="1" applyFont="1" applyBorder="1" applyAlignment="1">
      <alignment horizontal="center"/>
    </xf>
    <xf numFmtId="0" fontId="10" fillId="0" borderId="10" xfId="3" applyFont="1" applyBorder="1" applyAlignment="1">
      <alignment horizontal="center"/>
    </xf>
    <xf numFmtId="0" fontId="10" fillId="0" borderId="9" xfId="3" applyFont="1" applyBorder="1"/>
    <xf numFmtId="166" fontId="10" fillId="0" borderId="1" xfId="4" applyNumberFormat="1" applyFont="1" applyBorder="1" applyAlignment="1"/>
    <xf numFmtId="43" fontId="10" fillId="0" borderId="1" xfId="4" applyFont="1" applyBorder="1"/>
    <xf numFmtId="0" fontId="10" fillId="0" borderId="20" xfId="3" applyFont="1" applyBorder="1"/>
    <xf numFmtId="0" fontId="10" fillId="0" borderId="21" xfId="3" applyFont="1" applyBorder="1"/>
    <xf numFmtId="0" fontId="10" fillId="0" borderId="22" xfId="3" applyFont="1" applyBorder="1"/>
    <xf numFmtId="0" fontId="10" fillId="0" borderId="23" xfId="3" applyFont="1" applyBorder="1"/>
    <xf numFmtId="0" fontId="12" fillId="0" borderId="9" xfId="3" applyFont="1" applyBorder="1" applyAlignment="1">
      <alignment horizontal="center"/>
    </xf>
    <xf numFmtId="0" fontId="10" fillId="0" borderId="9" xfId="3" applyFont="1" applyBorder="1" applyAlignment="1">
      <alignment horizontal="center"/>
    </xf>
    <xf numFmtId="0" fontId="9" fillId="0" borderId="14" xfId="3" applyFont="1" applyBorder="1" applyAlignment="1">
      <alignment wrapText="1"/>
    </xf>
    <xf numFmtId="43" fontId="13" fillId="0" borderId="15" xfId="3" applyNumberFormat="1" applyFont="1" applyBorder="1"/>
    <xf numFmtId="43" fontId="10" fillId="0" borderId="15" xfId="3" applyNumberFormat="1" applyFont="1" applyBorder="1"/>
    <xf numFmtId="0" fontId="10" fillId="0" borderId="15" xfId="3" applyFont="1" applyBorder="1"/>
    <xf numFmtId="0" fontId="10" fillId="0" borderId="24" xfId="3" applyFont="1" applyBorder="1"/>
    <xf numFmtId="0" fontId="10" fillId="0" borderId="16" xfId="3" applyFont="1" applyBorder="1"/>
    <xf numFmtId="0" fontId="14" fillId="0" borderId="0" xfId="0" applyFont="1"/>
    <xf numFmtId="10" fontId="14" fillId="0" borderId="0" xfId="2" applyNumberFormat="1" applyFont="1" applyBorder="1"/>
    <xf numFmtId="0" fontId="9" fillId="0" borderId="5" xfId="3" applyFont="1" applyBorder="1" applyAlignment="1">
      <alignment vertical="center" wrapText="1"/>
    </xf>
    <xf numFmtId="0" fontId="9" fillId="0" borderId="25" xfId="3" applyFont="1" applyBorder="1" applyAlignment="1">
      <alignment vertical="center" wrapText="1"/>
    </xf>
    <xf numFmtId="0" fontId="10" fillId="0" borderId="25" xfId="3" applyFont="1" applyBorder="1"/>
    <xf numFmtId="43" fontId="10" fillId="0" borderId="5" xfId="4" applyFont="1" applyBorder="1" applyAlignment="1">
      <alignment horizontal="center"/>
    </xf>
    <xf numFmtId="43" fontId="10" fillId="0" borderId="25" xfId="4" applyFont="1" applyBorder="1" applyAlignment="1">
      <alignment horizontal="center"/>
    </xf>
    <xf numFmtId="43" fontId="10" fillId="0" borderId="10" xfId="4" applyFont="1" applyBorder="1"/>
    <xf numFmtId="43" fontId="13" fillId="0" borderId="16" xfId="4" applyFont="1" applyBorder="1"/>
    <xf numFmtId="43" fontId="10" fillId="0" borderId="1" xfId="4" applyFont="1" applyFill="1" applyBorder="1" applyAlignment="1"/>
    <xf numFmtId="43" fontId="3" fillId="0" borderId="10" xfId="0" applyNumberFormat="1" applyFont="1" applyBorder="1"/>
    <xf numFmtId="43" fontId="10" fillId="0" borderId="14" xfId="4" applyFont="1" applyBorder="1"/>
    <xf numFmtId="43" fontId="10" fillId="0" borderId="15" xfId="4" applyFont="1" applyBorder="1"/>
    <xf numFmtId="43" fontId="4" fillId="0" borderId="15" xfId="0" applyNumberFormat="1" applyFont="1" applyBorder="1"/>
    <xf numFmtId="43" fontId="4" fillId="0" borderId="16" xfId="0" applyNumberFormat="1" applyFont="1" applyBorder="1"/>
    <xf numFmtId="43" fontId="15" fillId="0" borderId="1" xfId="0" applyNumberFormat="1" applyFont="1" applyBorder="1"/>
    <xf numFmtId="0" fontId="13" fillId="0" borderId="1" xfId="3" applyFont="1" applyBorder="1" applyAlignment="1">
      <alignment horizontal="left" vertical="center"/>
    </xf>
    <xf numFmtId="0" fontId="13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left" vertical="center"/>
    </xf>
    <xf numFmtId="170" fontId="10" fillId="0" borderId="1" xfId="4" applyNumberFormat="1" applyFont="1" applyBorder="1" applyAlignment="1">
      <alignment horizontal="center" vertical="center"/>
    </xf>
    <xf numFmtId="170" fontId="10" fillId="0" borderId="1" xfId="3" applyNumberFormat="1" applyFont="1" applyBorder="1" applyAlignment="1">
      <alignment horizontal="left" vertical="center"/>
    </xf>
    <xf numFmtId="43" fontId="10" fillId="0" borderId="1" xfId="3" applyNumberFormat="1" applyFont="1" applyBorder="1" applyAlignment="1">
      <alignment horizontal="left" vertical="center"/>
    </xf>
    <xf numFmtId="0" fontId="9" fillId="0" borderId="1" xfId="3" applyFont="1" applyBorder="1"/>
    <xf numFmtId="0" fontId="9" fillId="0" borderId="1" xfId="3" applyFont="1" applyBorder="1" applyAlignment="1">
      <alignment horizontal="center"/>
    </xf>
    <xf numFmtId="170" fontId="12" fillId="0" borderId="1" xfId="4" applyNumberFormat="1" applyFont="1" applyBorder="1" applyAlignment="1">
      <alignment horizontal="center"/>
    </xf>
    <xf numFmtId="170" fontId="12" fillId="0" borderId="1" xfId="4" applyNumberFormat="1" applyFont="1" applyBorder="1"/>
    <xf numFmtId="0" fontId="10" fillId="0" borderId="1" xfId="3" applyFont="1" applyBorder="1" applyAlignment="1">
      <alignment horizontal="center"/>
    </xf>
    <xf numFmtId="9" fontId="10" fillId="0" borderId="1" xfId="5" applyFont="1" applyBorder="1" applyAlignment="1">
      <alignment horizontal="center" vertical="center"/>
    </xf>
    <xf numFmtId="165" fontId="10" fillId="0" borderId="1" xfId="5" applyNumberFormat="1" applyFont="1" applyFill="1" applyBorder="1" applyAlignment="1">
      <alignment horizontal="center" vertical="center"/>
    </xf>
    <xf numFmtId="9" fontId="10" fillId="0" borderId="1" xfId="5" applyFont="1" applyFill="1" applyBorder="1" applyAlignment="1">
      <alignment horizontal="center" vertical="center"/>
    </xf>
    <xf numFmtId="170" fontId="10" fillId="0" borderId="1" xfId="4" applyNumberFormat="1" applyFont="1" applyFill="1" applyBorder="1" applyAlignment="1">
      <alignment horizontal="center" vertical="center"/>
    </xf>
    <xf numFmtId="165" fontId="10" fillId="0" borderId="1" xfId="5" applyNumberFormat="1" applyFont="1" applyFill="1" applyBorder="1" applyAlignment="1">
      <alignment horizontal="center" vertical="top"/>
    </xf>
    <xf numFmtId="0" fontId="16" fillId="0" borderId="1" xfId="0" applyFont="1" applyBorder="1"/>
    <xf numFmtId="165" fontId="10" fillId="0" borderId="1" xfId="2" applyNumberFormat="1" applyFont="1" applyFill="1" applyBorder="1" applyAlignment="1">
      <alignment horizontal="center" vertical="center"/>
    </xf>
    <xf numFmtId="9" fontId="16" fillId="0" borderId="1" xfId="2" applyFont="1" applyBorder="1"/>
    <xf numFmtId="169" fontId="10" fillId="0" borderId="1" xfId="1" applyNumberFormat="1" applyFont="1" applyFill="1" applyBorder="1" applyAlignment="1">
      <alignment horizontal="center" vertical="center"/>
    </xf>
    <xf numFmtId="10" fontId="0" fillId="4" borderId="1" xfId="2" applyNumberFormat="1" applyFont="1" applyFill="1" applyBorder="1"/>
    <xf numFmtId="164" fontId="3" fillId="0" borderId="1" xfId="1" applyNumberFormat="1" applyFont="1" applyBorder="1"/>
    <xf numFmtId="37" fontId="0" fillId="0" borderId="1" xfId="0" applyNumberFormat="1" applyBorder="1" applyAlignment="1">
      <alignment horizontal="left"/>
    </xf>
    <xf numFmtId="164" fontId="3" fillId="0" borderId="1" xfId="0" applyNumberFormat="1" applyFont="1" applyBorder="1"/>
    <xf numFmtId="39" fontId="0" fillId="0" borderId="0" xfId="0" applyNumberFormat="1" applyAlignment="1">
      <alignment horizontal="center"/>
    </xf>
    <xf numFmtId="39" fontId="2" fillId="0" borderId="0" xfId="0" applyNumberFormat="1" applyFont="1" applyAlignment="1">
      <alignment horizontal="center"/>
    </xf>
    <xf numFmtId="37" fontId="2" fillId="0" borderId="1" xfId="0" applyNumberFormat="1" applyFont="1" applyBorder="1" applyAlignment="1">
      <alignment horizontal="left"/>
    </xf>
    <xf numFmtId="165" fontId="10" fillId="0" borderId="1" xfId="5" applyNumberFormat="1" applyFont="1" applyBorder="1" applyAlignment="1">
      <alignment horizontal="center" vertical="center"/>
    </xf>
    <xf numFmtId="170" fontId="3" fillId="0" borderId="1" xfId="1" applyNumberFormat="1" applyFont="1" applyBorder="1"/>
    <xf numFmtId="170" fontId="4" fillId="0" borderId="1" xfId="1" applyNumberFormat="1" applyFont="1" applyBorder="1"/>
    <xf numFmtId="170" fontId="0" fillId="0" borderId="0" xfId="1" applyNumberFormat="1" applyFont="1"/>
    <xf numFmtId="37" fontId="0" fillId="0" borderId="1" xfId="0" applyNumberFormat="1" applyBorder="1"/>
    <xf numFmtId="170" fontId="0" fillId="0" borderId="1" xfId="1" applyNumberFormat="1" applyFont="1" applyBorder="1"/>
    <xf numFmtId="37" fontId="0" fillId="0" borderId="0" xfId="0" applyNumberFormat="1" applyAlignment="1">
      <alignment horizontal="center"/>
    </xf>
    <xf numFmtId="37" fontId="7" fillId="0" borderId="0" xfId="0" applyNumberFormat="1" applyFont="1" applyAlignment="1">
      <alignment horizontal="center"/>
    </xf>
    <xf numFmtId="37" fontId="17" fillId="0" borderId="0" xfId="1" applyNumberFormat="1" applyFont="1" applyFill="1" applyAlignment="1">
      <alignment horizontal="left"/>
    </xf>
    <xf numFmtId="171" fontId="0" fillId="0" borderId="0" xfId="0" applyNumberFormat="1" applyAlignment="1">
      <alignment horizontal="center"/>
    </xf>
    <xf numFmtId="37" fontId="0" fillId="0" borderId="0" xfId="1" applyNumberFormat="1" applyFont="1" applyFill="1" applyAlignment="1">
      <alignment horizontal="left"/>
    </xf>
    <xf numFmtId="172" fontId="0" fillId="0" borderId="0" xfId="0" applyNumberFormat="1" applyAlignment="1">
      <alignment horizontal="center"/>
    </xf>
    <xf numFmtId="172" fontId="0" fillId="6" borderId="0" xfId="0" applyNumberFormat="1" applyFill="1" applyAlignment="1">
      <alignment horizontal="center"/>
    </xf>
    <xf numFmtId="37" fontId="2" fillId="0" borderId="0" xfId="0" applyNumberFormat="1" applyFont="1" applyAlignment="1">
      <alignment horizontal="center"/>
    </xf>
    <xf numFmtId="37" fontId="18" fillId="0" borderId="0" xfId="0" applyNumberFormat="1" applyFont="1" applyAlignment="1">
      <alignment horizontal="center"/>
    </xf>
    <xf numFmtId="37" fontId="0" fillId="0" borderId="22" xfId="0" applyNumberFormat="1" applyBorder="1" applyAlignment="1">
      <alignment horizontal="center"/>
    </xf>
    <xf numFmtId="37" fontId="0" fillId="0" borderId="26" xfId="0" applyNumberFormat="1" applyBorder="1" applyAlignment="1">
      <alignment horizontal="center"/>
    </xf>
    <xf numFmtId="37" fontId="19" fillId="0" borderId="26" xfId="0" applyNumberFormat="1" applyFont="1" applyBorder="1" applyAlignment="1">
      <alignment horizontal="center"/>
    </xf>
    <xf numFmtId="37" fontId="0" fillId="0" borderId="27" xfId="0" applyNumberFormat="1" applyBorder="1" applyAlignment="1">
      <alignment horizontal="center"/>
    </xf>
    <xf numFmtId="37" fontId="19" fillId="0" borderId="0" xfId="0" applyNumberFormat="1" applyFont="1" applyAlignment="1">
      <alignment horizontal="center"/>
    </xf>
    <xf numFmtId="37" fontId="0" fillId="0" borderId="28" xfId="0" applyNumberForma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37" fontId="19" fillId="0" borderId="4" xfId="0" applyNumberFormat="1" applyFont="1" applyBorder="1" applyAlignment="1">
      <alignment horizontal="center"/>
    </xf>
    <xf numFmtId="37" fontId="7" fillId="0" borderId="4" xfId="0" applyNumberFormat="1" applyFont="1" applyBorder="1" applyAlignment="1">
      <alignment horizontal="center"/>
    </xf>
    <xf numFmtId="9" fontId="16" fillId="0" borderId="0" xfId="2" applyFont="1" applyFill="1" applyAlignment="1">
      <alignment horizontal="center"/>
    </xf>
    <xf numFmtId="37" fontId="7" fillId="0" borderId="26" xfId="0" applyNumberFormat="1" applyFont="1" applyBorder="1" applyAlignment="1">
      <alignment horizontal="center"/>
    </xf>
    <xf numFmtId="37" fontId="0" fillId="5" borderId="0" xfId="0" applyNumberFormat="1" applyFill="1" applyAlignment="1">
      <alignment horizontal="center"/>
    </xf>
    <xf numFmtId="173" fontId="0" fillId="0" borderId="26" xfId="0" applyNumberFormat="1" applyBorder="1" applyAlignment="1">
      <alignment horizontal="center"/>
    </xf>
    <xf numFmtId="174" fontId="0" fillId="0" borderId="26" xfId="0" applyNumberFormat="1" applyBorder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4" xfId="0" applyNumberFormat="1" applyBorder="1" applyAlignment="1">
      <alignment horizontal="center"/>
    </xf>
    <xf numFmtId="174" fontId="0" fillId="0" borderId="4" xfId="0" applyNumberForma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7" fontId="7" fillId="0" borderId="1" xfId="0" applyNumberFormat="1" applyFont="1" applyBorder="1" applyAlignment="1">
      <alignment horizontal="center"/>
    </xf>
    <xf numFmtId="37" fontId="7" fillId="0" borderId="29" xfId="0" applyNumberFormat="1" applyFont="1" applyBorder="1" applyAlignment="1">
      <alignment horizontal="center"/>
    </xf>
    <xf numFmtId="37" fontId="7" fillId="0" borderId="30" xfId="0" applyNumberFormat="1" applyFont="1" applyBorder="1" applyAlignment="1">
      <alignment horizontal="center"/>
    </xf>
    <xf numFmtId="37" fontId="0" fillId="5" borderId="27" xfId="0" applyNumberFormat="1" applyFill="1" applyBorder="1" applyAlignment="1">
      <alignment horizontal="center"/>
    </xf>
    <xf numFmtId="37" fontId="7" fillId="0" borderId="32" xfId="0" applyNumberFormat="1" applyFont="1" applyBorder="1" applyAlignment="1">
      <alignment horizontal="center"/>
    </xf>
    <xf numFmtId="43" fontId="0" fillId="0" borderId="0" xfId="1" applyFont="1" applyAlignment="1">
      <alignment horizontal="center"/>
    </xf>
    <xf numFmtId="174" fontId="7" fillId="0" borderId="0" xfId="0" applyNumberFormat="1" applyFont="1" applyAlignment="1">
      <alignment horizontal="center"/>
    </xf>
    <xf numFmtId="37" fontId="2" fillId="5" borderId="0" xfId="0" applyNumberFormat="1" applyFont="1" applyFill="1" applyAlignment="1">
      <alignment horizontal="center"/>
    </xf>
    <xf numFmtId="37" fontId="2" fillId="0" borderId="27" xfId="0" applyNumberFormat="1" applyFont="1" applyBorder="1" applyAlignment="1">
      <alignment horizontal="center"/>
    </xf>
    <xf numFmtId="37" fontId="0" fillId="6" borderId="0" xfId="0" applyNumberFormat="1" applyFill="1" applyAlignment="1">
      <alignment horizontal="center"/>
    </xf>
    <xf numFmtId="37" fontId="2" fillId="0" borderId="28" xfId="0" applyNumberFormat="1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37" fontId="0" fillId="0" borderId="0" xfId="0" applyNumberFormat="1" applyAlignment="1">
      <alignment horizontal="center" wrapText="1"/>
    </xf>
    <xf numFmtId="9" fontId="20" fillId="0" borderId="0" xfId="2" applyFont="1" applyFill="1" applyAlignment="1">
      <alignment horizontal="center"/>
    </xf>
    <xf numFmtId="9" fontId="0" fillId="0" borderId="0" xfId="2" applyFont="1" applyFill="1" applyAlignment="1">
      <alignment horizontal="center"/>
    </xf>
    <xf numFmtId="175" fontId="0" fillId="0" borderId="0" xfId="0" applyNumberFormat="1" applyAlignment="1">
      <alignment horizontal="center"/>
    </xf>
    <xf numFmtId="37" fontId="2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37" fontId="16" fillId="0" borderId="0" xfId="0" applyNumberFormat="1" applyFont="1" applyAlignment="1">
      <alignment horizontal="center"/>
    </xf>
    <xf numFmtId="37" fontId="1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70" fontId="7" fillId="2" borderId="1" xfId="1" applyNumberFormat="1" applyFont="1" applyFill="1" applyBorder="1"/>
    <xf numFmtId="170" fontId="0" fillId="2" borderId="1" xfId="1" applyNumberFormat="1" applyFont="1" applyFill="1" applyBorder="1"/>
    <xf numFmtId="170" fontId="10" fillId="2" borderId="1" xfId="4" applyNumberFormat="1" applyFont="1" applyFill="1" applyBorder="1" applyAlignment="1">
      <alignment wrapText="1"/>
    </xf>
    <xf numFmtId="170" fontId="7" fillId="0" borderId="1" xfId="0" applyNumberFormat="1" applyFont="1" applyBorder="1"/>
    <xf numFmtId="170" fontId="10" fillId="0" borderId="1" xfId="4" applyNumberFormat="1" applyFont="1" applyBorder="1" applyAlignment="1">
      <alignment wrapText="1"/>
    </xf>
    <xf numFmtId="170" fontId="0" fillId="5" borderId="1" xfId="1" applyNumberFormat="1" applyFont="1" applyFill="1" applyBorder="1"/>
    <xf numFmtId="170" fontId="0" fillId="0" borderId="10" xfId="1" applyNumberFormat="1" applyFont="1" applyBorder="1"/>
    <xf numFmtId="170" fontId="0" fillId="0" borderId="10" xfId="0" applyNumberFormat="1" applyBorder="1"/>
    <xf numFmtId="170" fontId="2" fillId="0" borderId="18" xfId="0" applyNumberFormat="1" applyFont="1" applyBorder="1"/>
    <xf numFmtId="170" fontId="2" fillId="0" borderId="7" xfId="1" applyNumberFormat="1" applyFont="1" applyBorder="1"/>
    <xf numFmtId="170" fontId="14" fillId="0" borderId="0" xfId="0" applyNumberFormat="1" applyFont="1"/>
    <xf numFmtId="170" fontId="14" fillId="0" borderId="0" xfId="1" applyNumberFormat="1" applyFont="1" applyBorder="1"/>
    <xf numFmtId="170" fontId="10" fillId="0" borderId="1" xfId="4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4" fillId="0" borderId="2" xfId="0" applyFont="1" applyBorder="1"/>
    <xf numFmtId="164" fontId="24" fillId="0" borderId="1" xfId="0" applyNumberFormat="1" applyFont="1" applyBorder="1" applyAlignment="1">
      <alignment horizontal="center"/>
    </xf>
    <xf numFmtId="0" fontId="25" fillId="0" borderId="2" xfId="0" applyFont="1" applyBorder="1"/>
    <xf numFmtId="164" fontId="25" fillId="0" borderId="1" xfId="0" applyNumberFormat="1" applyFont="1" applyBorder="1" applyAlignment="1">
      <alignment horizontal="center"/>
    </xf>
    <xf numFmtId="3" fontId="0" fillId="0" borderId="0" xfId="0" applyNumberFormat="1"/>
    <xf numFmtId="37" fontId="7" fillId="0" borderId="26" xfId="0" applyNumberFormat="1" applyFont="1" applyBorder="1" applyAlignment="1">
      <alignment vertical="center" wrapText="1"/>
    </xf>
    <xf numFmtId="37" fontId="7" fillId="0" borderId="0" xfId="0" applyNumberFormat="1" applyFont="1" applyAlignment="1">
      <alignment vertical="center" wrapText="1"/>
    </xf>
    <xf numFmtId="37" fontId="0" fillId="0" borderId="0" xfId="0" applyNumberFormat="1"/>
    <xf numFmtId="164" fontId="10" fillId="2" borderId="1" xfId="3" applyNumberFormat="1" applyFont="1" applyFill="1" applyBorder="1" applyAlignment="1">
      <alignment horizontal="left" vertical="center"/>
    </xf>
    <xf numFmtId="170" fontId="10" fillId="2" borderId="1" xfId="1" applyNumberFormat="1" applyFont="1" applyFill="1" applyBorder="1" applyAlignment="1">
      <alignment horizontal="center" vertical="center"/>
    </xf>
    <xf numFmtId="170" fontId="10" fillId="2" borderId="1" xfId="1" applyNumberFormat="1" applyFont="1" applyFill="1" applyBorder="1"/>
    <xf numFmtId="170" fontId="10" fillId="0" borderId="1" xfId="1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170" fontId="2" fillId="2" borderId="1" xfId="0" applyNumberFormat="1" applyFont="1" applyFill="1" applyBorder="1"/>
    <xf numFmtId="0" fontId="3" fillId="0" borderId="1" xfId="0" applyFont="1" applyBorder="1"/>
    <xf numFmtId="37" fontId="2" fillId="0" borderId="1" xfId="0" applyNumberFormat="1" applyFont="1" applyBorder="1"/>
    <xf numFmtId="164" fontId="2" fillId="0" borderId="1" xfId="0" applyNumberFormat="1" applyFont="1" applyBorder="1"/>
    <xf numFmtId="170" fontId="10" fillId="0" borderId="1" xfId="1" applyNumberFormat="1" applyFont="1" applyBorder="1" applyAlignment="1">
      <alignment horizontal="center"/>
    </xf>
    <xf numFmtId="0" fontId="9" fillId="0" borderId="1" xfId="3" applyFont="1" applyBorder="1" applyAlignment="1">
      <alignment horizontal="center" wrapText="1"/>
    </xf>
    <xf numFmtId="0" fontId="26" fillId="0" borderId="36" xfId="0" applyFont="1" applyBorder="1" applyAlignment="1">
      <alignment horizontal="left" vertical="center"/>
    </xf>
    <xf numFmtId="0" fontId="27" fillId="7" borderId="34" xfId="0" applyFont="1" applyFill="1" applyBorder="1" applyAlignment="1">
      <alignment horizontal="left" vertical="center"/>
    </xf>
    <xf numFmtId="0" fontId="27" fillId="7" borderId="3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left" vertical="center"/>
    </xf>
    <xf numFmtId="170" fontId="26" fillId="0" borderId="37" xfId="1" applyNumberFormat="1" applyFont="1" applyBorder="1" applyAlignment="1">
      <alignment horizontal="center" vertical="center"/>
    </xf>
    <xf numFmtId="170" fontId="27" fillId="0" borderId="37" xfId="1" applyNumberFormat="1" applyFont="1" applyBorder="1" applyAlignment="1">
      <alignment horizontal="center" vertical="center"/>
    </xf>
    <xf numFmtId="170" fontId="0" fillId="0" borderId="0" xfId="0" applyNumberFormat="1"/>
    <xf numFmtId="170" fontId="2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177" fontId="26" fillId="0" borderId="37" xfId="1" applyNumberFormat="1" applyFont="1" applyBorder="1" applyAlignment="1">
      <alignment horizontal="center" vertical="center"/>
    </xf>
    <xf numFmtId="178" fontId="0" fillId="0" borderId="0" xfId="0" applyNumberFormat="1"/>
    <xf numFmtId="0" fontId="28" fillId="0" borderId="36" xfId="0" applyFont="1" applyBorder="1" applyAlignment="1">
      <alignment horizontal="left" vertical="center"/>
    </xf>
    <xf numFmtId="0" fontId="27" fillId="7" borderId="35" xfId="0" applyFont="1" applyFill="1" applyBorder="1" applyAlignment="1">
      <alignment horizontal="left" vertical="center"/>
    </xf>
    <xf numFmtId="0" fontId="26" fillId="0" borderId="37" xfId="0" applyFont="1" applyBorder="1" applyAlignment="1">
      <alignment horizontal="left" vertical="center"/>
    </xf>
    <xf numFmtId="0" fontId="27" fillId="0" borderId="37" xfId="0" applyFont="1" applyBorder="1" applyAlignment="1">
      <alignment horizontal="left" vertical="center"/>
    </xf>
    <xf numFmtId="0" fontId="28" fillId="0" borderId="37" xfId="0" applyFont="1" applyBorder="1" applyAlignment="1">
      <alignment horizontal="left" vertical="center"/>
    </xf>
    <xf numFmtId="43" fontId="26" fillId="0" borderId="37" xfId="1" applyFont="1" applyBorder="1" applyAlignment="1">
      <alignment horizontal="left" vertical="center"/>
    </xf>
    <xf numFmtId="43" fontId="10" fillId="0" borderId="1" xfId="1" applyFont="1" applyBorder="1" applyAlignment="1">
      <alignment horizontal="left" vertical="center"/>
    </xf>
    <xf numFmtId="170" fontId="27" fillId="0" borderId="37" xfId="0" applyNumberFormat="1" applyFont="1" applyBorder="1" applyAlignment="1">
      <alignment horizontal="right" vertical="top"/>
    </xf>
    <xf numFmtId="165" fontId="27" fillId="0" borderId="37" xfId="2" applyNumberFormat="1" applyFont="1" applyBorder="1" applyAlignment="1">
      <alignment horizontal="right" vertical="top"/>
    </xf>
    <xf numFmtId="177" fontId="10" fillId="0" borderId="1" xfId="1" applyNumberFormat="1" applyFont="1" applyBorder="1" applyAlignment="1">
      <alignment horizontal="center" vertical="center"/>
    </xf>
    <xf numFmtId="0" fontId="29" fillId="0" borderId="37" xfId="0" applyFont="1" applyBorder="1" applyAlignment="1">
      <alignment horizontal="left" vertical="center"/>
    </xf>
    <xf numFmtId="165" fontId="26" fillId="0" borderId="37" xfId="2" applyNumberFormat="1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43" fontId="26" fillId="0" borderId="37" xfId="1" applyFont="1" applyBorder="1" applyAlignment="1">
      <alignment horizontal="center" vertical="center"/>
    </xf>
    <xf numFmtId="170" fontId="26" fillId="2" borderId="37" xfId="1" applyNumberFormat="1" applyFont="1" applyFill="1" applyBorder="1" applyAlignment="1">
      <alignment horizontal="center" vertical="center"/>
    </xf>
    <xf numFmtId="43" fontId="27" fillId="0" borderId="37" xfId="1" applyFont="1" applyBorder="1" applyAlignment="1">
      <alignment horizontal="right" vertical="top"/>
    </xf>
    <xf numFmtId="0" fontId="0" fillId="8" borderId="0" xfId="0" applyFill="1"/>
    <xf numFmtId="170" fontId="26" fillId="8" borderId="37" xfId="1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left" vertical="center" wrapText="1"/>
    </xf>
    <xf numFmtId="0" fontId="27" fillId="0" borderId="36" xfId="0" applyFont="1" applyBorder="1" applyAlignment="1">
      <alignment horizontal="left" vertical="center" wrapText="1"/>
    </xf>
    <xf numFmtId="0" fontId="2" fillId="8" borderId="0" xfId="0" applyFont="1" applyFill="1"/>
    <xf numFmtId="170" fontId="26" fillId="0" borderId="37" xfId="0" applyNumberFormat="1" applyFont="1" applyBorder="1" applyAlignment="1">
      <alignment horizontal="right" vertical="top"/>
    </xf>
    <xf numFmtId="9" fontId="26" fillId="0" borderId="37" xfId="2" applyFont="1" applyBorder="1" applyAlignment="1">
      <alignment horizontal="center" vertical="center"/>
    </xf>
    <xf numFmtId="165" fontId="27" fillId="0" borderId="37" xfId="2" applyNumberFormat="1" applyFont="1" applyBorder="1" applyAlignment="1">
      <alignment horizontal="center" vertical="top"/>
    </xf>
    <xf numFmtId="0" fontId="33" fillId="8" borderId="0" xfId="0" applyFont="1" applyFill="1"/>
    <xf numFmtId="0" fontId="26" fillId="5" borderId="36" xfId="0" applyFont="1" applyFill="1" applyBorder="1" applyAlignment="1">
      <alignment horizontal="left" vertical="center"/>
    </xf>
    <xf numFmtId="179" fontId="0" fillId="0" borderId="0" xfId="1" applyNumberFormat="1" applyFont="1"/>
    <xf numFmtId="39" fontId="0" fillId="0" borderId="21" xfId="0" applyNumberFormat="1" applyBorder="1" applyAlignment="1">
      <alignment horizontal="center"/>
    </xf>
    <xf numFmtId="39" fontId="0" fillId="0" borderId="31" xfId="0" applyNumberFormat="1" applyBorder="1" applyAlignment="1">
      <alignment horizontal="center"/>
    </xf>
    <xf numFmtId="37" fontId="0" fillId="0" borderId="5" xfId="0" applyNumberFormat="1" applyBorder="1" applyAlignment="1">
      <alignment horizontal="left"/>
    </xf>
    <xf numFmtId="170" fontId="0" fillId="0" borderId="2" xfId="1" applyNumberFormat="1" applyFont="1" applyBorder="1"/>
    <xf numFmtId="37" fontId="0" fillId="0" borderId="38" xfId="0" applyNumberFormat="1" applyBorder="1" applyAlignment="1">
      <alignment horizontal="left"/>
    </xf>
    <xf numFmtId="37" fontId="0" fillId="0" borderId="21" xfId="0" applyNumberFormat="1" applyBorder="1" applyAlignment="1">
      <alignment horizontal="left"/>
    </xf>
    <xf numFmtId="37" fontId="0" fillId="0" borderId="33" xfId="0" applyNumberFormat="1" applyBorder="1" applyAlignment="1">
      <alignment horizontal="left"/>
    </xf>
    <xf numFmtId="0" fontId="2" fillId="0" borderId="5" xfId="0" applyFont="1" applyBorder="1"/>
    <xf numFmtId="0" fontId="2" fillId="0" borderId="2" xfId="0" applyFont="1" applyBorder="1"/>
    <xf numFmtId="39" fontId="0" fillId="0" borderId="4" xfId="0" applyNumberFormat="1" applyBorder="1" applyAlignment="1">
      <alignment horizontal="center"/>
    </xf>
    <xf numFmtId="43" fontId="0" fillId="6" borderId="0" xfId="1" applyFont="1" applyFill="1" applyAlignment="1">
      <alignment horizontal="center"/>
    </xf>
    <xf numFmtId="39" fontId="0" fillId="0" borderId="26" xfId="0" applyNumberFormat="1" applyBorder="1" applyAlignment="1">
      <alignment horizontal="center"/>
    </xf>
    <xf numFmtId="37" fontId="0" fillId="0" borderId="33" xfId="0" applyNumberFormat="1" applyBorder="1" applyAlignment="1">
      <alignment horizontal="center"/>
    </xf>
    <xf numFmtId="0" fontId="0" fillId="9" borderId="0" xfId="0" applyFill="1"/>
    <xf numFmtId="0" fontId="2" fillId="10" borderId="0" xfId="0" applyFont="1" applyFill="1"/>
    <xf numFmtId="9" fontId="27" fillId="0" borderId="37" xfId="2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170" fontId="3" fillId="0" borderId="0" xfId="1" applyNumberFormat="1" applyFont="1" applyBorder="1"/>
    <xf numFmtId="170" fontId="4" fillId="0" borderId="0" xfId="1" applyNumberFormat="1" applyFont="1" applyBorder="1"/>
    <xf numFmtId="170" fontId="0" fillId="0" borderId="0" xfId="1" applyNumberFormat="1" applyFont="1" applyBorder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6">
    <cellStyle name="Comma" xfId="1" builtinId="3"/>
    <cellStyle name="Comma 10" xfId="4" xr:uid="{FEE67EA2-86F8-4573-BB3D-DD656D84E32B}"/>
    <cellStyle name="Normal" xfId="0" builtinId="0"/>
    <cellStyle name="Normal 11" xfId="3" xr:uid="{CF213ABA-E51A-4E86-BD79-0CC4E54AB506}"/>
    <cellStyle name="Percent" xfId="2" builtinId="5"/>
    <cellStyle name="Percent 10" xfId="5" xr:uid="{1DC0F647-AA90-46B0-9AD5-9243D2063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Sources of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CSM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'Combined IFRS17 Cashflows'!$F$102:$O$102</c:f>
              <c:numCache>
                <c:formatCode>#,##0_);\(#,##0\)</c:formatCode>
                <c:ptCount val="10"/>
                <c:pt idx="0">
                  <c:v>377311.34859676246</c:v>
                </c:pt>
                <c:pt idx="1">
                  <c:v>1326145.2492529545</c:v>
                </c:pt>
                <c:pt idx="2">
                  <c:v>2588713.5910160155</c:v>
                </c:pt>
                <c:pt idx="3">
                  <c:v>3986402.8229159215</c:v>
                </c:pt>
                <c:pt idx="4">
                  <c:v>5689577.0344079593</c:v>
                </c:pt>
                <c:pt idx="5">
                  <c:v>7576831.0277580135</c:v>
                </c:pt>
                <c:pt idx="6">
                  <c:v>9544883.1596250031</c:v>
                </c:pt>
                <c:pt idx="7">
                  <c:v>11698805.043352582</c:v>
                </c:pt>
                <c:pt idx="8">
                  <c:v>14121402.994411618</c:v>
                </c:pt>
                <c:pt idx="9">
                  <c:v>16917186.825172756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C-4817-AD7E-C38F7DA5CFCB}"/>
            </c:ext>
          </c:extLst>
        </c:ser>
        <c:ser>
          <c:idx val="1"/>
          <c:order val="1"/>
          <c:tx>
            <c:v>RA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'Combined IFRS17 Cashflows'!$F$103:$O$103</c:f>
              <c:numCache>
                <c:formatCode>#,##0_);\(#,##0\)</c:formatCode>
                <c:ptCount val="10"/>
                <c:pt idx="0">
                  <c:v>65528.979798451925</c:v>
                </c:pt>
                <c:pt idx="1">
                  <c:v>227719.29799301102</c:v>
                </c:pt>
                <c:pt idx="2">
                  <c:v>438282.08280671574</c:v>
                </c:pt>
                <c:pt idx="3">
                  <c:v>666984.03993893415</c:v>
                </c:pt>
                <c:pt idx="4">
                  <c:v>942126.01333463099</c:v>
                </c:pt>
                <c:pt idx="5">
                  <c:v>1250113.1594509983</c:v>
                </c:pt>
                <c:pt idx="6">
                  <c:v>1576269.3931360641</c:v>
                </c:pt>
                <c:pt idx="7">
                  <c:v>1937812.1917907051</c:v>
                </c:pt>
                <c:pt idx="8">
                  <c:v>2346433.7415361837</c:v>
                </c:pt>
                <c:pt idx="9">
                  <c:v>2820462.2845831672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C-4817-AD7E-C38F7DA5CFCB}"/>
            </c:ext>
          </c:extLst>
        </c:ser>
        <c:ser>
          <c:idx val="2"/>
          <c:order val="2"/>
          <c:tx>
            <c:v>Expenses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'Combined IFRS17 Cashflows'!$F$116:$O$116</c:f>
              <c:numCache>
                <c:formatCode>#,##0_);\(#,##0\)</c:formatCode>
                <c:ptCount val="10"/>
                <c:pt idx="0" formatCode="#,##0.00_);\(#,##0.00\)">
                  <c:v>-9774.6087250126166</c:v>
                </c:pt>
                <c:pt idx="1">
                  <c:v>-32879.527127720256</c:v>
                </c:pt>
                <c:pt idx="2">
                  <c:v>-63663.229051129762</c:v>
                </c:pt>
                <c:pt idx="3">
                  <c:v>-98834.963506666434</c:v>
                </c:pt>
                <c:pt idx="4">
                  <c:v>-143053.68252577828</c:v>
                </c:pt>
                <c:pt idx="5">
                  <c:v>-191898.66140847115</c:v>
                </c:pt>
                <c:pt idx="6">
                  <c:v>-244075.4462991718</c:v>
                </c:pt>
                <c:pt idx="7">
                  <c:v>-302190.38741410879</c:v>
                </c:pt>
                <c:pt idx="8">
                  <c:v>-368395.97013136355</c:v>
                </c:pt>
                <c:pt idx="9">
                  <c:v>-445127.68968764914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C-4817-AD7E-C38F7DA5CFCB}"/>
            </c:ext>
          </c:extLst>
        </c:ser>
        <c:ser>
          <c:idx val="3"/>
          <c:order val="3"/>
          <c:tx>
            <c:v>Investments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'Combined IFRS17 Cashflows'!$F$120:$O$120</c:f>
              <c:numCache>
                <c:formatCode>#,##0_);\(#,##0\)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EC-4817-AD7E-C38F7DA5CFCB}"/>
            </c:ext>
          </c:extLst>
        </c:ser>
        <c:ser>
          <c:idx val="4"/>
          <c:order val="4"/>
          <c:tx>
            <c:v>Total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'Combined IFRS17 Cashflows'!$F$122:$O$122</c:f>
              <c:numCache>
                <c:formatCode>#,##0_);\(#,##0\)</c:formatCode>
                <c:ptCount val="10"/>
                <c:pt idx="0">
                  <c:v>385687.94507618982</c:v>
                </c:pt>
                <c:pt idx="1">
                  <c:v>1425041.2763982993</c:v>
                </c:pt>
                <c:pt idx="2">
                  <c:v>2840524.4528100714</c:v>
                </c:pt>
                <c:pt idx="3">
                  <c:v>4412006.9086785549</c:v>
                </c:pt>
                <c:pt idx="4">
                  <c:v>6302792.6273821695</c:v>
                </c:pt>
                <c:pt idx="5">
                  <c:v>8431644.7891142573</c:v>
                </c:pt>
                <c:pt idx="6">
                  <c:v>10650101.621318715</c:v>
                </c:pt>
                <c:pt idx="7">
                  <c:v>13077297.614559717</c:v>
                </c:pt>
                <c:pt idx="8">
                  <c:v>15803385.785194887</c:v>
                </c:pt>
                <c:pt idx="9">
                  <c:v>18945479.192784112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EC-4817-AD7E-C38F7DA5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412880"/>
        <c:axId val="631414192"/>
      </c:lineChart>
      <c:catAx>
        <c:axId val="63141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14192"/>
        <c:crosses val="autoZero"/>
        <c:auto val="1"/>
        <c:lblAlgn val="ctr"/>
        <c:lblOffset val="100"/>
        <c:noMultiLvlLbl val="0"/>
      </c:catAx>
      <c:valAx>
        <c:axId val="6314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1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IOCAR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'CAR Calcs'!$DI$3</c:f>
              <c:strCache>
                <c:ptCount val="1"/>
                <c:pt idx="0">
                  <c:v>Mortality fluctuation 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Calcs'!$DI$4:$DI$103</c:f>
              <c:numCache>
                <c:formatCode>_(* #,##0_);_(* \(#,##0\);_(* "-"??_);_(@_)</c:formatCode>
                <c:ptCount val="100"/>
                <c:pt idx="0">
                  <c:v>1052058.0804174191</c:v>
                </c:pt>
                <c:pt idx="1">
                  <c:v>1626527.573159198</c:v>
                </c:pt>
                <c:pt idx="2">
                  <c:v>2256382.5704091932</c:v>
                </c:pt>
                <c:pt idx="3">
                  <c:v>2786194.9200893706</c:v>
                </c:pt>
                <c:pt idx="4">
                  <c:v>3290692.9821776887</c:v>
                </c:pt>
                <c:pt idx="5">
                  <c:v>3799562.8783147372</c:v>
                </c:pt>
                <c:pt idx="6">
                  <c:v>4256844.6469965074</c:v>
                </c:pt>
                <c:pt idx="7">
                  <c:v>4700751.8487585383</c:v>
                </c:pt>
                <c:pt idx="8">
                  <c:v>5149259.8456823779</c:v>
                </c:pt>
                <c:pt idx="9">
                  <c:v>5620965.9372872813</c:v>
                </c:pt>
                <c:pt idx="10">
                  <c:v>5804348.1044176631</c:v>
                </c:pt>
                <c:pt idx="11">
                  <c:v>5402790.2592340391</c:v>
                </c:pt>
                <c:pt idx="12">
                  <c:v>5156685.4514101632</c:v>
                </c:pt>
                <c:pt idx="13">
                  <c:v>4937749.7184161041</c:v>
                </c:pt>
                <c:pt idx="14">
                  <c:v>4745041.5397027042</c:v>
                </c:pt>
                <c:pt idx="15">
                  <c:v>4534661.5883688629</c:v>
                </c:pt>
                <c:pt idx="16">
                  <c:v>4337523.9056986272</c:v>
                </c:pt>
                <c:pt idx="17">
                  <c:v>4151703.2960892199</c:v>
                </c:pt>
                <c:pt idx="18">
                  <c:v>3979910.5860031475</c:v>
                </c:pt>
                <c:pt idx="19">
                  <c:v>3822904.6846524179</c:v>
                </c:pt>
                <c:pt idx="20">
                  <c:v>3605016.9657708434</c:v>
                </c:pt>
                <c:pt idx="21">
                  <c:v>3410356.7815839979</c:v>
                </c:pt>
                <c:pt idx="22">
                  <c:v>3221402.0093842573</c:v>
                </c:pt>
                <c:pt idx="23">
                  <c:v>3038687.8336528577</c:v>
                </c:pt>
                <c:pt idx="24">
                  <c:v>2866142.7893937817</c:v>
                </c:pt>
                <c:pt idx="25">
                  <c:v>2701315.5790436738</c:v>
                </c:pt>
                <c:pt idx="26">
                  <c:v>2558700.5723737567</c:v>
                </c:pt>
                <c:pt idx="27">
                  <c:v>2430915.7319334266</c:v>
                </c:pt>
                <c:pt idx="28">
                  <c:v>2322372.6914376551</c:v>
                </c:pt>
                <c:pt idx="29">
                  <c:v>2240555.9668490882</c:v>
                </c:pt>
                <c:pt idx="30">
                  <c:v>2096820.5814870656</c:v>
                </c:pt>
                <c:pt idx="31">
                  <c:v>1972428.6998339528</c:v>
                </c:pt>
                <c:pt idx="32">
                  <c:v>1856135.3723690719</c:v>
                </c:pt>
                <c:pt idx="33">
                  <c:v>1746288.6565977482</c:v>
                </c:pt>
                <c:pt idx="34">
                  <c:v>1641481.013454014</c:v>
                </c:pt>
                <c:pt idx="35">
                  <c:v>1539601.742434978</c:v>
                </c:pt>
                <c:pt idx="36">
                  <c:v>1449273.1263705343</c:v>
                </c:pt>
                <c:pt idx="37">
                  <c:v>1361596.7578886985</c:v>
                </c:pt>
                <c:pt idx="38">
                  <c:v>1276605.1129957037</c:v>
                </c:pt>
                <c:pt idx="39">
                  <c:v>1194187.0948070958</c:v>
                </c:pt>
                <c:pt idx="40">
                  <c:v>1113972.958849068</c:v>
                </c:pt>
                <c:pt idx="41">
                  <c:v>1039132.0477190553</c:v>
                </c:pt>
                <c:pt idx="42">
                  <c:v>966815.27935646637</c:v>
                </c:pt>
                <c:pt idx="43">
                  <c:v>897004.19465543109</c:v>
                </c:pt>
                <c:pt idx="44">
                  <c:v>829766.50508374453</c:v>
                </c:pt>
                <c:pt idx="45">
                  <c:v>764837.62503657478</c:v>
                </c:pt>
                <c:pt idx="46">
                  <c:v>704451.47200255073</c:v>
                </c:pt>
                <c:pt idx="47">
                  <c:v>647095.86068584339</c:v>
                </c:pt>
                <c:pt idx="48">
                  <c:v>593171.60173344123</c:v>
                </c:pt>
                <c:pt idx="49">
                  <c:v>542984.15232261328</c:v>
                </c:pt>
                <c:pt idx="50">
                  <c:v>496597.59416279872</c:v>
                </c:pt>
                <c:pt idx="51">
                  <c:v>454238.51889570983</c:v>
                </c:pt>
                <c:pt idx="52">
                  <c:v>415472.90007699194</c:v>
                </c:pt>
                <c:pt idx="53">
                  <c:v>379863.43109077064</c:v>
                </c:pt>
                <c:pt idx="54">
                  <c:v>347023.433329897</c:v>
                </c:pt>
                <c:pt idx="55">
                  <c:v>316042.5860631151</c:v>
                </c:pt>
                <c:pt idx="56">
                  <c:v>288799.06073313655</c:v>
                </c:pt>
                <c:pt idx="57">
                  <c:v>263238.94235369132</c:v>
                </c:pt>
                <c:pt idx="58">
                  <c:v>239319.02607085931</c:v>
                </c:pt>
                <c:pt idx="59">
                  <c:v>216967.33128771745</c:v>
                </c:pt>
                <c:pt idx="60">
                  <c:v>196026.5844535527</c:v>
                </c:pt>
                <c:pt idx="61">
                  <c:v>176449.42788882868</c:v>
                </c:pt>
                <c:pt idx="62">
                  <c:v>158034.12446910713</c:v>
                </c:pt>
                <c:pt idx="63">
                  <c:v>140725.69991630412</c:v>
                </c:pt>
                <c:pt idx="64">
                  <c:v>124486.93304046952</c:v>
                </c:pt>
                <c:pt idx="65">
                  <c:v>109154.10777880556</c:v>
                </c:pt>
                <c:pt idx="66">
                  <c:v>95090.030892773852</c:v>
                </c:pt>
                <c:pt idx="67">
                  <c:v>81962.265501868809</c:v>
                </c:pt>
                <c:pt idx="68">
                  <c:v>69813.898944266941</c:v>
                </c:pt>
                <c:pt idx="69">
                  <c:v>58717.023515150919</c:v>
                </c:pt>
                <c:pt idx="70">
                  <c:v>48482.604131225045</c:v>
                </c:pt>
                <c:pt idx="71">
                  <c:v>39946.190079752807</c:v>
                </c:pt>
                <c:pt idx="72">
                  <c:v>32629.872927614852</c:v>
                </c:pt>
                <c:pt idx="73">
                  <c:v>26413.752768711667</c:v>
                </c:pt>
                <c:pt idx="74">
                  <c:v>21176.394356619159</c:v>
                </c:pt>
                <c:pt idx="75">
                  <c:v>15512.13760947216</c:v>
                </c:pt>
                <c:pt idx="76">
                  <c:v>12705.948702229345</c:v>
                </c:pt>
                <c:pt idx="77">
                  <c:v>10325.818472078628</c:v>
                </c:pt>
                <c:pt idx="78">
                  <c:v>8320.8765862592336</c:v>
                </c:pt>
                <c:pt idx="79">
                  <c:v>6661.3675421753778</c:v>
                </c:pt>
                <c:pt idx="80">
                  <c:v>4772.5381326066363</c:v>
                </c:pt>
                <c:pt idx="81">
                  <c:v>3800.711752944967</c:v>
                </c:pt>
                <c:pt idx="82">
                  <c:v>3005.93132940652</c:v>
                </c:pt>
                <c:pt idx="83">
                  <c:v>2443.8457402339318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F-4BEC-8797-8B4D181DF36D}"/>
            </c:ext>
          </c:extLst>
        </c:ser>
        <c:ser>
          <c:idx val="1"/>
          <c:order val="1"/>
          <c:tx>
            <c:strRef>
              <c:f>'CAR Calcs'!$DK$3</c:f>
              <c:strCache>
                <c:ptCount val="1"/>
                <c:pt idx="0">
                  <c:v>Expense fluctuation SCAR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Calcs'!$DK$4:$DK$103</c:f>
              <c:numCache>
                <c:formatCode>_(* #,##0_);_(* \(#,##0\);_(* "-"??_);_(@_)</c:formatCode>
                <c:ptCount val="100"/>
                <c:pt idx="0">
                  <c:v>0</c:v>
                </c:pt>
                <c:pt idx="1">
                  <c:v>15821.538980407999</c:v>
                </c:pt>
                <c:pt idx="2">
                  <c:v>56901.726542668446</c:v>
                </c:pt>
                <c:pt idx="3">
                  <c:v>113831.33519714646</c:v>
                </c:pt>
                <c:pt idx="4">
                  <c:v>179511.93066266589</c:v>
                </c:pt>
                <c:pt idx="5">
                  <c:v>261013.32179897872</c:v>
                </c:pt>
                <c:pt idx="6">
                  <c:v>352800.38167609496</c:v>
                </c:pt>
                <c:pt idx="7">
                  <c:v>450567.79796842637</c:v>
                </c:pt>
                <c:pt idx="8">
                  <c:v>559235.81108680612</c:v>
                </c:pt>
                <c:pt idx="9">
                  <c:v>682766.84324959072</c:v>
                </c:pt>
                <c:pt idx="10">
                  <c:v>825597.38540653337</c:v>
                </c:pt>
                <c:pt idx="11">
                  <c:v>854312.63059022173</c:v>
                </c:pt>
                <c:pt idx="12">
                  <c:v>807680.08558622713</c:v>
                </c:pt>
                <c:pt idx="13">
                  <c:v>772591.21159404586</c:v>
                </c:pt>
                <c:pt idx="14">
                  <c:v>735570.10823393543</c:v>
                </c:pt>
                <c:pt idx="15">
                  <c:v>694939.71098487754</c:v>
                </c:pt>
                <c:pt idx="16">
                  <c:v>664819.36326142482</c:v>
                </c:pt>
                <c:pt idx="17">
                  <c:v>633703.2465746731</c:v>
                </c:pt>
                <c:pt idx="18">
                  <c:v>601031.2689917268</c:v>
                </c:pt>
                <c:pt idx="19">
                  <c:v>566290.98984317644</c:v>
                </c:pt>
                <c:pt idx="20">
                  <c:v>528606.95406774769</c:v>
                </c:pt>
                <c:pt idx="21">
                  <c:v>509568.32744554721</c:v>
                </c:pt>
                <c:pt idx="22">
                  <c:v>487903.43817402638</c:v>
                </c:pt>
                <c:pt idx="23">
                  <c:v>464795.73115761543</c:v>
                </c:pt>
                <c:pt idx="24">
                  <c:v>440762.06225327333</c:v>
                </c:pt>
                <c:pt idx="25">
                  <c:v>414566.03083397629</c:v>
                </c:pt>
                <c:pt idx="26">
                  <c:v>387756.97946786531</c:v>
                </c:pt>
                <c:pt idx="27">
                  <c:v>360331.97942016186</c:v>
                </c:pt>
                <c:pt idx="28">
                  <c:v>331670.60617676447</c:v>
                </c:pt>
                <c:pt idx="29">
                  <c:v>301333.25253028242</c:v>
                </c:pt>
                <c:pt idx="30">
                  <c:v>268659.29572359036</c:v>
                </c:pt>
                <c:pt idx="31">
                  <c:v>256194.42819940846</c:v>
                </c:pt>
                <c:pt idx="32">
                  <c:v>244222.59467257105</c:v>
                </c:pt>
                <c:pt idx="33">
                  <c:v>232541.31097550114</c:v>
                </c:pt>
                <c:pt idx="34">
                  <c:v>221093.83554319688</c:v>
                </c:pt>
                <c:pt idx="35">
                  <c:v>209838.93938947926</c:v>
                </c:pt>
                <c:pt idx="36">
                  <c:v>198746.20014858828</c:v>
                </c:pt>
                <c:pt idx="37">
                  <c:v>188083.6752623487</c:v>
                </c:pt>
                <c:pt idx="38">
                  <c:v>177521.50236339428</c:v>
                </c:pt>
                <c:pt idx="39">
                  <c:v>167081.83235762661</c:v>
                </c:pt>
                <c:pt idx="40">
                  <c:v>156776.79767761435</c:v>
                </c:pt>
                <c:pt idx="41">
                  <c:v>146610.67635299877</c:v>
                </c:pt>
                <c:pt idx="42">
                  <c:v>136658.97484545823</c:v>
                </c:pt>
                <c:pt idx="43">
                  <c:v>126901.48917492508</c:v>
                </c:pt>
                <c:pt idx="44">
                  <c:v>117384.32915773339</c:v>
                </c:pt>
                <c:pt idx="45">
                  <c:v>108158.81901862445</c:v>
                </c:pt>
                <c:pt idx="46">
                  <c:v>99276.953810078907</c:v>
                </c:pt>
                <c:pt idx="47">
                  <c:v>90857.537872690271</c:v>
                </c:pt>
                <c:pt idx="48">
                  <c:v>82853.932826698685</c:v>
                </c:pt>
                <c:pt idx="49">
                  <c:v>75312.710461317896</c:v>
                </c:pt>
                <c:pt idx="50">
                  <c:v>68258.327034563496</c:v>
                </c:pt>
                <c:pt idx="51">
                  <c:v>61692.077867444968</c:v>
                </c:pt>
                <c:pt idx="52">
                  <c:v>55610.787312501627</c:v>
                </c:pt>
                <c:pt idx="53">
                  <c:v>49975.575704901028</c:v>
                </c:pt>
                <c:pt idx="54">
                  <c:v>44751.53454979555</c:v>
                </c:pt>
                <c:pt idx="55">
                  <c:v>39909.534118805743</c:v>
                </c:pt>
                <c:pt idx="56">
                  <c:v>35424.720515495625</c:v>
                </c:pt>
                <c:pt idx="57">
                  <c:v>31353.116423653359</c:v>
                </c:pt>
                <c:pt idx="58">
                  <c:v>27577.761173560048</c:v>
                </c:pt>
                <c:pt idx="59">
                  <c:v>24094.168314068251</c:v>
                </c:pt>
                <c:pt idx="60">
                  <c:v>20891.740550417577</c:v>
                </c:pt>
                <c:pt idx="61">
                  <c:v>17955.741809847324</c:v>
                </c:pt>
                <c:pt idx="62">
                  <c:v>15277.355864945745</c:v>
                </c:pt>
                <c:pt idx="63">
                  <c:v>12846.433132166911</c:v>
                </c:pt>
                <c:pt idx="64">
                  <c:v>10661.720154810137</c:v>
                </c:pt>
                <c:pt idx="65">
                  <c:v>8721.4629727174433</c:v>
                </c:pt>
                <c:pt idx="66">
                  <c:v>7021.7243764969771</c:v>
                </c:pt>
                <c:pt idx="67">
                  <c:v>5571.5680946772636</c:v>
                </c:pt>
                <c:pt idx="68">
                  <c:v>4340.0504039533253</c:v>
                </c:pt>
                <c:pt idx="69">
                  <c:v>3319.5416696840143</c:v>
                </c:pt>
                <c:pt idx="70">
                  <c:v>2495.4462303572955</c:v>
                </c:pt>
                <c:pt idx="71">
                  <c:v>1846.3857415149516</c:v>
                </c:pt>
                <c:pt idx="72">
                  <c:v>1357.4294220398879</c:v>
                </c:pt>
                <c:pt idx="73">
                  <c:v>986.79951604640303</c:v>
                </c:pt>
                <c:pt idx="74">
                  <c:v>707.79847940602826</c:v>
                </c:pt>
                <c:pt idx="75">
                  <c:v>498.58576100000602</c:v>
                </c:pt>
                <c:pt idx="76">
                  <c:v>341.62079819321457</c:v>
                </c:pt>
                <c:pt idx="77">
                  <c:v>249.26060073630694</c:v>
                </c:pt>
                <c:pt idx="78">
                  <c:v>177.47776730299904</c:v>
                </c:pt>
                <c:pt idx="79">
                  <c:v>122.66326553881427</c:v>
                </c:pt>
                <c:pt idx="80">
                  <c:v>81.62408674669274</c:v>
                </c:pt>
                <c:pt idx="81">
                  <c:v>51.419840925957146</c:v>
                </c:pt>
                <c:pt idx="82">
                  <c:v>32.907123926480317</c:v>
                </c:pt>
                <c:pt idx="83">
                  <c:v>19.772992848575512</c:v>
                </c:pt>
                <c:pt idx="84">
                  <c:v>10.637580054031572</c:v>
                </c:pt>
                <c:pt idx="85">
                  <c:v>4.3552058446997632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F-4BEC-8797-8B4D181DF36D}"/>
            </c:ext>
          </c:extLst>
        </c:ser>
        <c:ser>
          <c:idx val="2"/>
          <c:order val="2"/>
          <c:tx>
            <c:strRef>
              <c:f>'CAR Calcs'!$DL$3</c:f>
              <c:strCache>
                <c:ptCount val="1"/>
                <c:pt idx="0">
                  <c:v>Investment SCAR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Calcs'!$DL$4:$DL$103</c:f>
              <c:numCache>
                <c:formatCode>_(* #,##0_);_(* \(#,##0\);_(* "-"??_);_(@_)</c:formatCode>
                <c:ptCount val="100"/>
                <c:pt idx="0">
                  <c:v>13648.79219936851</c:v>
                </c:pt>
                <c:pt idx="1">
                  <c:v>61820.76624155735</c:v>
                </c:pt>
                <c:pt idx="2">
                  <c:v>102354.99912717685</c:v>
                </c:pt>
                <c:pt idx="3">
                  <c:v>142909.38578564956</c:v>
                </c:pt>
                <c:pt idx="4">
                  <c:v>202005.87771479622</c:v>
                </c:pt>
                <c:pt idx="5">
                  <c:v>254804.65621459484</c:v>
                </c:pt>
                <c:pt idx="6">
                  <c:v>325978.30062428309</c:v>
                </c:pt>
                <c:pt idx="7">
                  <c:v>437521.27259353455</c:v>
                </c:pt>
                <c:pt idx="8">
                  <c:v>605672.51947918744</c:v>
                </c:pt>
                <c:pt idx="9">
                  <c:v>844277.21911500569</c:v>
                </c:pt>
                <c:pt idx="10">
                  <c:v>914609.14630417794</c:v>
                </c:pt>
                <c:pt idx="11">
                  <c:v>1154948.4990154074</c:v>
                </c:pt>
                <c:pt idx="12">
                  <c:v>1488887.7621195333</c:v>
                </c:pt>
                <c:pt idx="13">
                  <c:v>1874208.9897722472</c:v>
                </c:pt>
                <c:pt idx="14">
                  <c:v>2368247.3071550438</c:v>
                </c:pt>
                <c:pt idx="15">
                  <c:v>2897449.9778617728</c:v>
                </c:pt>
                <c:pt idx="16">
                  <c:v>3410886.6425836533</c:v>
                </c:pt>
                <c:pt idx="17">
                  <c:v>3854028.6368545895</c:v>
                </c:pt>
                <c:pt idx="18">
                  <c:v>4183982.0645027715</c:v>
                </c:pt>
                <c:pt idx="19">
                  <c:v>4517289.4170730375</c:v>
                </c:pt>
                <c:pt idx="20">
                  <c:v>4743789.7101549329</c:v>
                </c:pt>
                <c:pt idx="21">
                  <c:v>4885442.8326755259</c:v>
                </c:pt>
                <c:pt idx="22">
                  <c:v>4952434.2908712374</c:v>
                </c:pt>
                <c:pt idx="23">
                  <c:v>4947533.2943977192</c:v>
                </c:pt>
                <c:pt idx="24">
                  <c:v>4951653.538745909</c:v>
                </c:pt>
                <c:pt idx="25">
                  <c:v>4907523.9262211649</c:v>
                </c:pt>
                <c:pt idx="26">
                  <c:v>4829761.6720275106</c:v>
                </c:pt>
                <c:pt idx="27">
                  <c:v>4723170.2831584141</c:v>
                </c:pt>
                <c:pt idx="28">
                  <c:v>4589887.8191880165</c:v>
                </c:pt>
                <c:pt idx="29">
                  <c:v>4474769.8293777658</c:v>
                </c:pt>
                <c:pt idx="30">
                  <c:v>4341784.4929050496</c:v>
                </c:pt>
                <c:pt idx="31">
                  <c:v>4193605.9506781385</c:v>
                </c:pt>
                <c:pt idx="32">
                  <c:v>4029762.5693691499</c:v>
                </c:pt>
                <c:pt idx="33">
                  <c:v>3849478.312347848</c:v>
                </c:pt>
                <c:pt idx="34">
                  <c:v>3674391.4507196047</c:v>
                </c:pt>
                <c:pt idx="35">
                  <c:v>3492516.8831705661</c:v>
                </c:pt>
                <c:pt idx="36">
                  <c:v>3301452.5056081871</c:v>
                </c:pt>
                <c:pt idx="37">
                  <c:v>3103187.4689529627</c:v>
                </c:pt>
                <c:pt idx="38">
                  <c:v>2898537.1241295179</c:v>
                </c:pt>
                <c:pt idx="39">
                  <c:v>2699692.0922622606</c:v>
                </c:pt>
                <c:pt idx="40">
                  <c:v>2498570.6904228926</c:v>
                </c:pt>
                <c:pt idx="41">
                  <c:v>2297671.7075279038</c:v>
                </c:pt>
                <c:pt idx="42">
                  <c:v>2099015.9755439647</c:v>
                </c:pt>
                <c:pt idx="43">
                  <c:v>1904352.7946444852</c:v>
                </c:pt>
                <c:pt idx="44">
                  <c:v>1721211.5171113336</c:v>
                </c:pt>
                <c:pt idx="45">
                  <c:v>1547733.5996214554</c:v>
                </c:pt>
                <c:pt idx="46">
                  <c:v>1383901.7491996808</c:v>
                </c:pt>
                <c:pt idx="47">
                  <c:v>1230919.2666909129</c:v>
                </c:pt>
                <c:pt idx="48">
                  <c:v>1089209.3870763995</c:v>
                </c:pt>
                <c:pt idx="49">
                  <c:v>961310.82677494339</c:v>
                </c:pt>
                <c:pt idx="50">
                  <c:v>844846.06447277672</c:v>
                </c:pt>
                <c:pt idx="51">
                  <c:v>739004.06706342392</c:v>
                </c:pt>
                <c:pt idx="52">
                  <c:v>643014.66709032934</c:v>
                </c:pt>
                <c:pt idx="53">
                  <c:v>556135.5090709267</c:v>
                </c:pt>
                <c:pt idx="54">
                  <c:v>478769.46734178322</c:v>
                </c:pt>
                <c:pt idx="55">
                  <c:v>410270.79736739292</c:v>
                </c:pt>
                <c:pt idx="56">
                  <c:v>349066.18160930689</c:v>
                </c:pt>
                <c:pt idx="57">
                  <c:v>294759.73481192032</c:v>
                </c:pt>
                <c:pt idx="58">
                  <c:v>246824.08624185619</c:v>
                </c:pt>
                <c:pt idx="59">
                  <c:v>205113.46023942504</c:v>
                </c:pt>
                <c:pt idx="60">
                  <c:v>168805.84284752456</c:v>
                </c:pt>
                <c:pt idx="61">
                  <c:v>137341.03026690902</c:v>
                </c:pt>
                <c:pt idx="62">
                  <c:v>110338.56150016788</c:v>
                </c:pt>
                <c:pt idx="63">
                  <c:v>87407.769276980762</c:v>
                </c:pt>
                <c:pt idx="64">
                  <c:v>68306.153563218148</c:v>
                </c:pt>
                <c:pt idx="65">
                  <c:v>52673.461729064038</c:v>
                </c:pt>
                <c:pt idx="66">
                  <c:v>39916.516123252331</c:v>
                </c:pt>
                <c:pt idx="67">
                  <c:v>29720.034010831961</c:v>
                </c:pt>
                <c:pt idx="68">
                  <c:v>21743.154044299219</c:v>
                </c:pt>
                <c:pt idx="69">
                  <c:v>15672.749279561249</c:v>
                </c:pt>
                <c:pt idx="70">
                  <c:v>11229.138614785319</c:v>
                </c:pt>
                <c:pt idx="71">
                  <c:v>7942.3565242357117</c:v>
                </c:pt>
                <c:pt idx="72">
                  <c:v>5538.6636137308051</c:v>
                </c:pt>
                <c:pt idx="73">
                  <c:v>3797.2261298536237</c:v>
                </c:pt>
                <c:pt idx="74">
                  <c:v>2548.9780302118374</c:v>
                </c:pt>
                <c:pt idx="75">
                  <c:v>1774.1079075000227</c:v>
                </c:pt>
                <c:pt idx="76">
                  <c:v>1210.068297999858</c:v>
                </c:pt>
                <c:pt idx="77">
                  <c:v>804.423974788142</c:v>
                </c:pt>
                <c:pt idx="78">
                  <c:v>516.12059968354822</c:v>
                </c:pt>
                <c:pt idx="79">
                  <c:v>313.94093458574372</c:v>
                </c:pt>
                <c:pt idx="80">
                  <c:v>195.91729650999531</c:v>
                </c:pt>
                <c:pt idx="81">
                  <c:v>114.74790720881174</c:v>
                </c:pt>
                <c:pt idx="82">
                  <c:v>60.141147570382657</c:v>
                </c:pt>
                <c:pt idx="83">
                  <c:v>23.95972514100524</c:v>
                </c:pt>
                <c:pt idx="84">
                  <c:v>8.1019894799277555E-10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F-4BEC-8797-8B4D181DF36D}"/>
            </c:ext>
          </c:extLst>
        </c:ser>
        <c:ser>
          <c:idx val="3"/>
          <c:order val="3"/>
          <c:tx>
            <c:strRef>
              <c:f>'CAR Calcs'!$DM$3</c:f>
              <c:strCache>
                <c:ptCount val="1"/>
                <c:pt idx="0">
                  <c:v>Credit Risk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Calcs'!$DM$4:$DM$103</c:f>
              <c:numCache>
                <c:formatCode>_(* #,##0_);_(* \(#,##0\);_(* "-"??_);_(@_)</c:formatCode>
                <c:ptCount val="100"/>
                <c:pt idx="0">
                  <c:v>7486.9564190944166</c:v>
                </c:pt>
                <c:pt idx="1">
                  <c:v>33911.380280738529</c:v>
                </c:pt>
                <c:pt idx="2">
                  <c:v>56146.170778178879</c:v>
                </c:pt>
                <c:pt idx="3">
                  <c:v>78392.016496977143</c:v>
                </c:pt>
                <c:pt idx="4">
                  <c:v>110809.01377644025</c:v>
                </c:pt>
                <c:pt idx="5">
                  <c:v>139771.44120849541</c:v>
                </c:pt>
                <c:pt idx="6">
                  <c:v>178813.28213476532</c:v>
                </c:pt>
                <c:pt idx="7">
                  <c:v>239999.45581163431</c:v>
                </c:pt>
                <c:pt idx="8">
                  <c:v>332237.73146708141</c:v>
                </c:pt>
                <c:pt idx="9">
                  <c:v>463122.79158596409</c:v>
                </c:pt>
                <c:pt idx="10">
                  <c:v>501702.91399127239</c:v>
                </c:pt>
                <c:pt idx="11">
                  <c:v>633539.5068017036</c:v>
                </c:pt>
                <c:pt idx="12">
                  <c:v>816719.72326076671</c:v>
                </c:pt>
                <c:pt idx="13">
                  <c:v>1028085.1830500439</c:v>
                </c:pt>
                <c:pt idx="14">
                  <c:v>1299086.6971458383</c:v>
                </c:pt>
                <c:pt idx="15">
                  <c:v>1589377.3891407656</c:v>
                </c:pt>
                <c:pt idx="16">
                  <c:v>1871019.7408292738</c:v>
                </c:pt>
                <c:pt idx="17">
                  <c:v>2114102.4070545379</c:v>
                </c:pt>
                <c:pt idx="18">
                  <c:v>2295096.219330987</c:v>
                </c:pt>
                <c:pt idx="19">
                  <c:v>2477929.8053660044</c:v>
                </c:pt>
                <c:pt idx="20">
                  <c:v>2602175.0717929285</c:v>
                </c:pt>
                <c:pt idx="21">
                  <c:v>2679877.9732254371</c:v>
                </c:pt>
                <c:pt idx="22">
                  <c:v>2716625.7030345323</c:v>
                </c:pt>
                <c:pt idx="23">
                  <c:v>2713937.2932125218</c:v>
                </c:pt>
                <c:pt idx="24">
                  <c:v>2716197.4265210452</c:v>
                </c:pt>
                <c:pt idx="25">
                  <c:v>2691990.4138463582</c:v>
                </c:pt>
                <c:pt idx="26">
                  <c:v>2649334.4337644456</c:v>
                </c:pt>
                <c:pt idx="27">
                  <c:v>2590864.4188754656</c:v>
                </c:pt>
                <c:pt idx="28">
                  <c:v>2517753.1878888831</c:v>
                </c:pt>
                <c:pt idx="29">
                  <c:v>2454605.9613670395</c:v>
                </c:pt>
                <c:pt idx="30">
                  <c:v>2381657.7177417977</c:v>
                </c:pt>
                <c:pt idx="31">
                  <c:v>2300375.3396608159</c:v>
                </c:pt>
                <c:pt idx="32">
                  <c:v>2210500.1157216444</c:v>
                </c:pt>
                <c:pt idx="33">
                  <c:v>2111606.3560650381</c:v>
                </c:pt>
                <c:pt idx="34">
                  <c:v>2015563.5939349704</c:v>
                </c:pt>
                <c:pt idx="35">
                  <c:v>1915797.4797549706</c:v>
                </c:pt>
                <c:pt idx="36">
                  <c:v>1810990.3549079006</c:v>
                </c:pt>
                <c:pt idx="37">
                  <c:v>1702233.3552272618</c:v>
                </c:pt>
                <c:pt idx="38">
                  <c:v>1589973.7361734482</c:v>
                </c:pt>
                <c:pt idx="39">
                  <c:v>1480898.5838817693</c:v>
                </c:pt>
                <c:pt idx="40">
                  <c:v>1370574.7436090605</c:v>
                </c:pt>
                <c:pt idx="41">
                  <c:v>1260372.9098054245</c:v>
                </c:pt>
                <c:pt idx="42">
                  <c:v>1151401.5967367217</c:v>
                </c:pt>
                <c:pt idx="43">
                  <c:v>1044620.3716650903</c:v>
                </c:pt>
                <c:pt idx="44">
                  <c:v>944159.41194065253</c:v>
                </c:pt>
                <c:pt idx="45">
                  <c:v>848999.22568021051</c:v>
                </c:pt>
                <c:pt idx="46">
                  <c:v>759130.32693441724</c:v>
                </c:pt>
                <c:pt idx="47">
                  <c:v>675212.7785757418</c:v>
                </c:pt>
                <c:pt idx="48">
                  <c:v>597478.74340755551</c:v>
                </c:pt>
                <c:pt idx="49">
                  <c:v>527320.81785233866</c:v>
                </c:pt>
                <c:pt idx="50">
                  <c:v>463434.82801677979</c:v>
                </c:pt>
                <c:pt idx="51">
                  <c:v>405375.88695162151</c:v>
                </c:pt>
                <c:pt idx="52">
                  <c:v>352721.52429476805</c:v>
                </c:pt>
                <c:pt idx="53">
                  <c:v>305064.52576203493</c:v>
                </c:pt>
                <c:pt idx="54">
                  <c:v>262625.88545723655</c:v>
                </c:pt>
                <c:pt idx="55">
                  <c:v>225051.384404468</c:v>
                </c:pt>
                <c:pt idx="56">
                  <c:v>191477.98947437224</c:v>
                </c:pt>
                <c:pt idx="57">
                  <c:v>161688.5403781574</c:v>
                </c:pt>
                <c:pt idx="58">
                  <c:v>135393.75132116661</c:v>
                </c:pt>
                <c:pt idx="59">
                  <c:v>112513.65801094705</c:v>
                </c:pt>
                <c:pt idx="60">
                  <c:v>92597.350023864492</c:v>
                </c:pt>
                <c:pt idx="61">
                  <c:v>75337.53119997312</c:v>
                </c:pt>
                <c:pt idx="62">
                  <c:v>60525.502127253952</c:v>
                </c:pt>
                <c:pt idx="63">
                  <c:v>47946.964808892961</c:v>
                </c:pt>
                <c:pt idx="64">
                  <c:v>37468.897424304421</c:v>
                </c:pt>
                <c:pt idx="65">
                  <c:v>28893.685730418412</c:v>
                </c:pt>
                <c:pt idx="66">
                  <c:v>21895.945974669969</c:v>
                </c:pt>
                <c:pt idx="67">
                  <c:v>16302.731858090545</c:v>
                </c:pt>
                <c:pt idx="68">
                  <c:v>11927.066099728341</c:v>
                </c:pt>
                <c:pt idx="69">
                  <c:v>8597.184945705123</c:v>
                </c:pt>
                <c:pt idx="70">
                  <c:v>6159.6711419460025</c:v>
                </c:pt>
                <c:pt idx="71">
                  <c:v>4356.7281480491883</c:v>
                </c:pt>
                <c:pt idx="72">
                  <c:v>3038.1979951270059</c:v>
                </c:pt>
                <c:pt idx="73">
                  <c:v>2082.9437603259862</c:v>
                </c:pt>
                <c:pt idx="74">
                  <c:v>1398.2253628499172</c:v>
                </c:pt>
                <c:pt idx="75">
                  <c:v>973.17538374113485</c:v>
                </c:pt>
                <c:pt idx="76">
                  <c:v>663.77511496378838</c:v>
                </c:pt>
                <c:pt idx="77">
                  <c:v>441.26155294474893</c:v>
                </c:pt>
                <c:pt idx="78">
                  <c:v>283.11460680062112</c:v>
                </c:pt>
                <c:pt idx="79">
                  <c:v>172.21026308261793</c:v>
                </c:pt>
                <c:pt idx="80">
                  <c:v>107.46916205413393</c:v>
                </c:pt>
                <c:pt idx="81">
                  <c:v>62.944220111608992</c:v>
                </c:pt>
                <c:pt idx="82">
                  <c:v>32.990036354617068</c:v>
                </c:pt>
                <c:pt idx="83">
                  <c:v>13.142951795579883</c:v>
                </c:pt>
                <c:pt idx="84">
                  <c:v>4.4442937703298805E-10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F-4BEC-8797-8B4D181DF36D}"/>
            </c:ext>
          </c:extLst>
        </c:ser>
        <c:ser>
          <c:idx val="4"/>
          <c:order val="4"/>
          <c:tx>
            <c:strRef>
              <c:f>'CAR Calcs'!$DN$3</c:f>
              <c:strCache>
                <c:ptCount val="1"/>
                <c:pt idx="0">
                  <c:v>Operational Risk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Calcs'!$DN$4:$DN$103</c:f>
              <c:numCache>
                <c:formatCode>_(* #,##0_);_(* \(#,##0\);_(* "-"??_);_(@_)</c:formatCode>
                <c:ptCount val="100"/>
                <c:pt idx="0">
                  <c:v>11860.992877709234</c:v>
                </c:pt>
                <c:pt idx="1">
                  <c:v>40077.127655259232</c:v>
                </c:pt>
                <c:pt idx="2">
                  <c:v>76821.570159479117</c:v>
                </c:pt>
                <c:pt idx="3">
                  <c:v>117305.71404760118</c:v>
                </c:pt>
                <c:pt idx="4">
                  <c:v>167029.96225169441</c:v>
                </c:pt>
                <c:pt idx="5">
                  <c:v>221327.40930457399</c:v>
                </c:pt>
                <c:pt idx="6">
                  <c:v>277995.31944587809</c:v>
                </c:pt>
                <c:pt idx="7">
                  <c:v>340044.55775612296</c:v>
                </c:pt>
                <c:pt idx="8">
                  <c:v>409923.72951558017</c:v>
                </c:pt>
                <c:pt idx="9">
                  <c:v>490721.1619758223</c:v>
                </c:pt>
                <c:pt idx="10">
                  <c:v>482623.61904759175</c:v>
                </c:pt>
                <c:pt idx="11">
                  <c:v>436062.36979035963</c:v>
                </c:pt>
                <c:pt idx="12">
                  <c:v>402268.32144545717</c:v>
                </c:pt>
                <c:pt idx="13">
                  <c:v>370920.35585544264</c:v>
                </c:pt>
                <c:pt idx="14">
                  <c:v>341065.88915289793</c:v>
                </c:pt>
                <c:pt idx="15">
                  <c:v>315366.21349140326</c:v>
                </c:pt>
                <c:pt idx="16">
                  <c:v>291073.79632975615</c:v>
                </c:pt>
                <c:pt idx="17">
                  <c:v>267826.2635254052</c:v>
                </c:pt>
                <c:pt idx="18">
                  <c:v>245425.01229889173</c:v>
                </c:pt>
                <c:pt idx="19">
                  <c:v>223504.36752776694</c:v>
                </c:pt>
                <c:pt idx="20">
                  <c:v>206515.47118613482</c:v>
                </c:pt>
                <c:pt idx="21">
                  <c:v>190363.78956152714</c:v>
                </c:pt>
                <c:pt idx="22">
                  <c:v>174816.67407172453</c:v>
                </c:pt>
                <c:pt idx="23">
                  <c:v>159981.34085255853</c:v>
                </c:pt>
                <c:pt idx="24">
                  <c:v>145621.98154246365</c:v>
                </c:pt>
                <c:pt idx="25">
                  <c:v>131992.78484042705</c:v>
                </c:pt>
                <c:pt idx="26">
                  <c:v>119397.8581948918</c:v>
                </c:pt>
                <c:pt idx="27">
                  <c:v>107381.10869986513</c:v>
                </c:pt>
                <c:pt idx="28">
                  <c:v>95818.076920251755</c:v>
                </c:pt>
                <c:pt idx="29">
                  <c:v>84527.395326480153</c:v>
                </c:pt>
                <c:pt idx="30">
                  <c:v>77607.868664381691</c:v>
                </c:pt>
                <c:pt idx="31">
                  <c:v>71506.532617179968</c:v>
                </c:pt>
                <c:pt idx="32">
                  <c:v>65904.830644532791</c:v>
                </c:pt>
                <c:pt idx="33">
                  <c:v>60724.374617571753</c:v>
                </c:pt>
                <c:pt idx="34">
                  <c:v>55903.352686552498</c:v>
                </c:pt>
                <c:pt idx="35">
                  <c:v>51390.804977540902</c:v>
                </c:pt>
                <c:pt idx="36">
                  <c:v>47317.98624645549</c:v>
                </c:pt>
                <c:pt idx="37">
                  <c:v>43476.627552148806</c:v>
                </c:pt>
                <c:pt idx="38">
                  <c:v>39856.744403026431</c:v>
                </c:pt>
                <c:pt idx="39">
                  <c:v>36445.092258290104</c:v>
                </c:pt>
                <c:pt idx="40">
                  <c:v>33225.982411157391</c:v>
                </c:pt>
                <c:pt idx="41">
                  <c:v>30235.957615080399</c:v>
                </c:pt>
                <c:pt idx="42">
                  <c:v>27426.202220122283</c:v>
                </c:pt>
                <c:pt idx="43">
                  <c:v>24794.257405174485</c:v>
                </c:pt>
                <c:pt idx="44">
                  <c:v>22339.429801335697</c:v>
                </c:pt>
                <c:pt idx="45">
                  <c:v>20061.499205469852</c:v>
                </c:pt>
                <c:pt idx="46">
                  <c:v>17981.957360033924</c:v>
                </c:pt>
                <c:pt idx="47">
                  <c:v>16071.759804532296</c:v>
                </c:pt>
                <c:pt idx="48">
                  <c:v>14330.734878845184</c:v>
                </c:pt>
                <c:pt idx="49">
                  <c:v>12753.859462005601</c:v>
                </c:pt>
                <c:pt idx="50">
                  <c:v>11331.390278705298</c:v>
                </c:pt>
                <c:pt idx="51">
                  <c:v>10053.178502487515</c:v>
                </c:pt>
                <c:pt idx="52">
                  <c:v>8901.6166425472547</c:v>
                </c:pt>
                <c:pt idx="53">
                  <c:v>7861.5103058009809</c:v>
                </c:pt>
                <c:pt idx="54">
                  <c:v>6920.3022068016226</c:v>
                </c:pt>
                <c:pt idx="55">
                  <c:v>6067.5349303429739</c:v>
                </c:pt>
                <c:pt idx="56">
                  <c:v>5310.7603866307272</c:v>
                </c:pt>
                <c:pt idx="57">
                  <c:v>4621.87922537947</c:v>
                </c:pt>
                <c:pt idx="58">
                  <c:v>3997.2278107890547</c:v>
                </c:pt>
                <c:pt idx="59">
                  <c:v>3432.4362785607809</c:v>
                </c:pt>
                <c:pt idx="60">
                  <c:v>2922.7632508559445</c:v>
                </c:pt>
                <c:pt idx="61">
                  <c:v>2464.779669176864</c:v>
                </c:pt>
                <c:pt idx="62">
                  <c:v>2054.9387666625748</c:v>
                </c:pt>
                <c:pt idx="63">
                  <c:v>1691.4421710575</c:v>
                </c:pt>
                <c:pt idx="64">
                  <c:v>1372.5651979145359</c:v>
                </c:pt>
                <c:pt idx="65">
                  <c:v>1096.3920641156137</c:v>
                </c:pt>
                <c:pt idx="66">
                  <c:v>863.12570524875923</c:v>
                </c:pt>
                <c:pt idx="67">
                  <c:v>667.02895250589052</c:v>
                </c:pt>
                <c:pt idx="68">
                  <c:v>506.05260416436164</c:v>
                </c:pt>
                <c:pt idx="69">
                  <c:v>377.22408112566467</c:v>
                </c:pt>
                <c:pt idx="70">
                  <c:v>276.66718479423628</c:v>
                </c:pt>
                <c:pt idx="71">
                  <c:v>201.6420247220457</c:v>
                </c:pt>
                <c:pt idx="72">
                  <c:v>145.29899115934765</c:v>
                </c:pt>
                <c:pt idx="73">
                  <c:v>103.2894747731535</c:v>
                </c:pt>
                <c:pt idx="74">
                  <c:v>72.094388318573309</c:v>
                </c:pt>
                <c:pt idx="75">
                  <c:v>48.91733509578561</c:v>
                </c:pt>
                <c:pt idx="76">
                  <c:v>35.4685350551648</c:v>
                </c:pt>
                <c:pt idx="77">
                  <c:v>25.111387047623307</c:v>
                </c:pt>
                <c:pt idx="78">
                  <c:v>17.265342347818113</c:v>
                </c:pt>
                <c:pt idx="79">
                  <c:v>11.43128034471556</c:v>
                </c:pt>
                <c:pt idx="80">
                  <c:v>7.1628630897107195</c:v>
                </c:pt>
                <c:pt idx="81">
                  <c:v>4.5733774639935811</c:v>
                </c:pt>
                <c:pt idx="82">
                  <c:v>2.7421814098832362</c:v>
                </c:pt>
                <c:pt idx="83">
                  <c:v>1.472452402907201</c:v>
                </c:pt>
                <c:pt idx="84">
                  <c:v>0.6018582286992975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DF-4BEC-8797-8B4D181DF36D}"/>
            </c:ext>
          </c:extLst>
        </c:ser>
        <c:ser>
          <c:idx val="5"/>
          <c:order val="5"/>
          <c:tx>
            <c:strRef>
              <c:f>'CAR Calcs'!$DJ$3</c:f>
              <c:strCache>
                <c:ptCount val="1"/>
                <c:pt idx="0">
                  <c:v>Lapse fluctuation SCAR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'CAR Calcs'!$DH$4:$DH$103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Calcs'!$DJ$4:$DJ$103</c:f>
              <c:numCache>
                <c:formatCode>_(* #,##0_);_(* \(#,##0\);_(* "-"??_);_(@_)</c:formatCode>
                <c:ptCount val="100"/>
                <c:pt idx="0">
                  <c:v>556662.48162143934</c:v>
                </c:pt>
                <c:pt idx="1">
                  <c:v>2735444.8324774764</c:v>
                </c:pt>
                <c:pt idx="2">
                  <c:v>5220525.8783130879</c:v>
                </c:pt>
                <c:pt idx="3">
                  <c:v>7704373.8779534167</c:v>
                </c:pt>
                <c:pt idx="4">
                  <c:v>10699475.710261464</c:v>
                </c:pt>
                <c:pt idx="5">
                  <c:v>13565538.886914834</c:v>
                </c:pt>
                <c:pt idx="6">
                  <c:v>16338428.203771451</c:v>
                </c:pt>
                <c:pt idx="7">
                  <c:v>19171559.754082467</c:v>
                </c:pt>
                <c:pt idx="8">
                  <c:v>22326296.08517028</c:v>
                </c:pt>
                <c:pt idx="9">
                  <c:v>25999992.766573682</c:v>
                </c:pt>
                <c:pt idx="10">
                  <c:v>20766800.878702074</c:v>
                </c:pt>
                <c:pt idx="11">
                  <c:v>15970523.035517186</c:v>
                </c:pt>
                <c:pt idx="12">
                  <c:v>11963309.309202308</c:v>
                </c:pt>
                <c:pt idx="13">
                  <c:v>8934195.7688967548</c:v>
                </c:pt>
                <c:pt idx="14">
                  <c:v>6181263.4529610248</c:v>
                </c:pt>
                <c:pt idx="15">
                  <c:v>4278282.434917219</c:v>
                </c:pt>
                <c:pt idx="16">
                  <c:v>3023277.1160002528</c:v>
                </c:pt>
                <c:pt idx="17">
                  <c:v>2117989.2928635231</c:v>
                </c:pt>
                <c:pt idx="18">
                  <c:v>1463612.4023916486</c:v>
                </c:pt>
                <c:pt idx="19">
                  <c:v>933251.15297675924</c:v>
                </c:pt>
                <c:pt idx="20">
                  <c:v>549480.51141157548</c:v>
                </c:pt>
                <c:pt idx="21">
                  <c:v>293713.310597551</c:v>
                </c:pt>
                <c:pt idx="22">
                  <c:v>145327.55604673838</c:v>
                </c:pt>
                <c:pt idx="23">
                  <c:v>70387.352630868991</c:v>
                </c:pt>
                <c:pt idx="24">
                  <c:v>27787.754616323291</c:v>
                </c:pt>
                <c:pt idx="25">
                  <c:v>4654.4063374197431</c:v>
                </c:pt>
                <c:pt idx="26">
                  <c:v>1.0142061702376272E-8</c:v>
                </c:pt>
                <c:pt idx="27">
                  <c:v>1.269068037849341E-8</c:v>
                </c:pt>
                <c:pt idx="28">
                  <c:v>1.4760249745697866E-8</c:v>
                </c:pt>
                <c:pt idx="29">
                  <c:v>1.5261287307696615E-8</c:v>
                </c:pt>
                <c:pt idx="30">
                  <c:v>1.6701880799868562E-8</c:v>
                </c:pt>
                <c:pt idx="31">
                  <c:v>1.8637678304974624E-8</c:v>
                </c:pt>
                <c:pt idx="32">
                  <c:v>2.1113698369645168E-8</c:v>
                </c:pt>
                <c:pt idx="33">
                  <c:v>2.4310015180401688E-8</c:v>
                </c:pt>
                <c:pt idx="34">
                  <c:v>2.8496740017026421E-8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5.1377813159454326E-11</c:v>
                </c:pt>
                <c:pt idx="41">
                  <c:v>2.0812771534501175E-10</c:v>
                </c:pt>
                <c:pt idx="42">
                  <c:v>2.66403475641615E-10</c:v>
                </c:pt>
                <c:pt idx="43">
                  <c:v>3.0921831994116027E-10</c:v>
                </c:pt>
                <c:pt idx="44">
                  <c:v>4.0317311715405125E-10</c:v>
                </c:pt>
                <c:pt idx="45">
                  <c:v>2.8095948465582325E-9</c:v>
                </c:pt>
                <c:pt idx="46">
                  <c:v>1.0086438203766331E-8</c:v>
                </c:pt>
                <c:pt idx="47">
                  <c:v>1.2838188669856226E-8</c:v>
                </c:pt>
                <c:pt idx="48">
                  <c:v>1.4896265798913783E-8</c:v>
                </c:pt>
                <c:pt idx="49">
                  <c:v>1.9337906996505146E-8</c:v>
                </c:pt>
                <c:pt idx="50">
                  <c:v>2.0914629557144712E-8</c:v>
                </c:pt>
                <c:pt idx="51">
                  <c:v>2.5026941328197329E-8</c:v>
                </c:pt>
                <c:pt idx="52">
                  <c:v>2.869465294721219E-8</c:v>
                </c:pt>
                <c:pt idx="53">
                  <c:v>3.3066441912084679E-8</c:v>
                </c:pt>
                <c:pt idx="54">
                  <c:v>3.9216885695370586E-8</c:v>
                </c:pt>
                <c:pt idx="55">
                  <c:v>7.3261182926196326E-9</c:v>
                </c:pt>
                <c:pt idx="56">
                  <c:v>1.5177840278472184E-8</c:v>
                </c:pt>
                <c:pt idx="57">
                  <c:v>1.8616487915179837E-8</c:v>
                </c:pt>
                <c:pt idx="58">
                  <c:v>2.1550170503007259E-8</c:v>
                </c:pt>
                <c:pt idx="59">
                  <c:v>2.7151720212957504E-8</c:v>
                </c:pt>
                <c:pt idx="60">
                  <c:v>2.1400073764920786E-8</c:v>
                </c:pt>
                <c:pt idx="61">
                  <c:v>2.6549311583343592E-8</c:v>
                </c:pt>
                <c:pt idx="62">
                  <c:v>3.0618439362216952E-8</c:v>
                </c:pt>
                <c:pt idx="63">
                  <c:v>3.5297623850281774E-8</c:v>
                </c:pt>
                <c:pt idx="64">
                  <c:v>4.2097013456354085E-8</c:v>
                </c:pt>
                <c:pt idx="65">
                  <c:v>1.2258126478306601E-8</c:v>
                </c:pt>
                <c:pt idx="66">
                  <c:v>2.6733583607234984E-8</c:v>
                </c:pt>
                <c:pt idx="67">
                  <c:v>3.2936662655148384E-8</c:v>
                </c:pt>
                <c:pt idx="68">
                  <c:v>3.8137964107828481E-8</c:v>
                </c:pt>
                <c:pt idx="69">
                  <c:v>4.8229917166734669E-8</c:v>
                </c:pt>
                <c:pt idx="70">
                  <c:v>4.1532533813651622E-8</c:v>
                </c:pt>
                <c:pt idx="71">
                  <c:v>5.6125482640441641E-8</c:v>
                </c:pt>
                <c:pt idx="72">
                  <c:v>6.5567888480118311E-8</c:v>
                </c:pt>
                <c:pt idx="73">
                  <c:v>7.5655105678747017E-8</c:v>
                </c:pt>
                <c:pt idx="74">
                  <c:v>9.1324064751207513E-8</c:v>
                </c:pt>
                <c:pt idx="75">
                  <c:v>2.8624124872171775E-8</c:v>
                </c:pt>
                <c:pt idx="76">
                  <c:v>3.1970670882447821E-8</c:v>
                </c:pt>
                <c:pt idx="77">
                  <c:v>3.622386174437974E-8</c:v>
                </c:pt>
                <c:pt idx="78">
                  <c:v>4.1708121738706586E-8</c:v>
                </c:pt>
                <c:pt idx="79">
                  <c:v>4.8899000763139773E-8</c:v>
                </c:pt>
                <c:pt idx="80">
                  <c:v>8.4706677724668506E-11</c:v>
                </c:pt>
                <c:pt idx="81">
                  <c:v>9.4524432824832376E-11</c:v>
                </c:pt>
                <c:pt idx="82">
                  <c:v>1.070820265575998E-10</c:v>
                </c:pt>
                <c:pt idx="83">
                  <c:v>1.2329273846717231E-10</c:v>
                </c:pt>
                <c:pt idx="84">
                  <c:v>1.4452648786985218E-10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B-4701-A8A7-E8423D610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6443311"/>
        <c:axId val="1536723216"/>
      </c:barChart>
      <c:catAx>
        <c:axId val="95644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536723216"/>
        <c:crosses val="autoZero"/>
        <c:auto val="1"/>
        <c:lblAlgn val="ctr"/>
        <c:lblOffset val="100"/>
        <c:noMultiLvlLbl val="0"/>
      </c:catAx>
      <c:valAx>
        <c:axId val="15367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Amount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95644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Comparison</a:t>
            </a:r>
            <a:r>
              <a:rPr lang="en-US" b="1" baseline="0"/>
              <a:t> of BEL and CAR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Calcs'!$DC$3</c:f>
              <c:strCache>
                <c:ptCount val="1"/>
                <c:pt idx="0">
                  <c:v>Positive BEL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'CAR Calcs'!$DB$4:$DB$103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Calcs'!$DC$4:$DC$103</c:f>
              <c:numCache>
                <c:formatCode>_(* #,##0_);_(* \(#,##0\);_(* "-"??_);_(@_)</c:formatCode>
                <c:ptCount val="100"/>
                <c:pt idx="0">
                  <c:v>162759.92215422643</c:v>
                </c:pt>
                <c:pt idx="1">
                  <c:v>737203.9191464897</c:v>
                </c:pt>
                <c:pt idx="2">
                  <c:v>1220568.9299604103</c:v>
                </c:pt>
                <c:pt idx="3">
                  <c:v>1704174.271673416</c:v>
                </c:pt>
                <c:pt idx="4">
                  <c:v>2408891.6038356572</c:v>
                </c:pt>
                <c:pt idx="5">
                  <c:v>3038509.5914890305</c:v>
                </c:pt>
                <c:pt idx="6">
                  <c:v>3887245.2637992459</c:v>
                </c:pt>
                <c:pt idx="7">
                  <c:v>5217379.4741659621</c:v>
                </c:pt>
                <c:pt idx="8">
                  <c:v>7222559.3797191596</c:v>
                </c:pt>
                <c:pt idx="9">
                  <c:v>10067886.773607913</c:v>
                </c:pt>
                <c:pt idx="10">
                  <c:v>10906585.086766791</c:v>
                </c:pt>
                <c:pt idx="11">
                  <c:v>13772597.973950077</c:v>
                </c:pt>
                <c:pt idx="12">
                  <c:v>17754776.592625361</c:v>
                </c:pt>
                <c:pt idx="13">
                  <c:v>22349677.892392259</c:v>
                </c:pt>
                <c:pt idx="14">
                  <c:v>28241015.155344311</c:v>
                </c:pt>
                <c:pt idx="15">
                  <c:v>34551682.372625336</c:v>
                </c:pt>
                <c:pt idx="16">
                  <c:v>40674342.191940732</c:v>
                </c:pt>
                <c:pt idx="17">
                  <c:v>45958747.979446478</c:v>
                </c:pt>
                <c:pt idx="18">
                  <c:v>49893396.072412759</c:v>
                </c:pt>
                <c:pt idx="19">
                  <c:v>53868039.247087047</c:v>
                </c:pt>
                <c:pt idx="20">
                  <c:v>56569023.299846262</c:v>
                </c:pt>
                <c:pt idx="21">
                  <c:v>58258216.809248619</c:v>
                </c:pt>
                <c:pt idx="22">
                  <c:v>59057080.500750691</c:v>
                </c:pt>
                <c:pt idx="23">
                  <c:v>58998636.808967851</c:v>
                </c:pt>
                <c:pt idx="24">
                  <c:v>59047770.141761847</c:v>
                </c:pt>
                <c:pt idx="25">
                  <c:v>58521530.735790387</c:v>
                </c:pt>
                <c:pt idx="26">
                  <c:v>57594226.820966199</c:v>
                </c:pt>
                <c:pt idx="27">
                  <c:v>56323139.540770985</c:v>
                </c:pt>
                <c:pt idx="28">
                  <c:v>54733764.954106152</c:v>
                </c:pt>
                <c:pt idx="29">
                  <c:v>53360999.160153024</c:v>
                </c:pt>
                <c:pt idx="30">
                  <c:v>51775167.776995592</c:v>
                </c:pt>
                <c:pt idx="31">
                  <c:v>50008159.557843819</c:v>
                </c:pt>
                <c:pt idx="32">
                  <c:v>48054350.341774866</c:v>
                </c:pt>
                <c:pt idx="33">
                  <c:v>45904486.001413874</c:v>
                </c:pt>
                <c:pt idx="34">
                  <c:v>43816599.868151531</c:v>
                </c:pt>
                <c:pt idx="35">
                  <c:v>41647771.299021095</c:v>
                </c:pt>
                <c:pt idx="36">
                  <c:v>39369355.541476093</c:v>
                </c:pt>
                <c:pt idx="37">
                  <c:v>37005072.939723082</c:v>
                </c:pt>
                <c:pt idx="38">
                  <c:v>34564646.438553214</c:v>
                </c:pt>
                <c:pt idx="39">
                  <c:v>32193447.475690633</c:v>
                </c:pt>
                <c:pt idx="40">
                  <c:v>29795103.121936098</c:v>
                </c:pt>
                <c:pt idx="41">
                  <c:v>27399411.082726616</c:v>
                </c:pt>
                <c:pt idx="42">
                  <c:v>25030469.494276557</c:v>
                </c:pt>
                <c:pt idx="43">
                  <c:v>22709138.514458485</c:v>
                </c:pt>
                <c:pt idx="44">
                  <c:v>20525204.607405487</c:v>
                </c:pt>
                <c:pt idx="45">
                  <c:v>18456504.90609153</c:v>
                </c:pt>
                <c:pt idx="46">
                  <c:v>16502833.194226461</c:v>
                </c:pt>
                <c:pt idx="47">
                  <c:v>14678538.664690038</c:v>
                </c:pt>
                <c:pt idx="48">
                  <c:v>12988668.334946858</c:v>
                </c:pt>
                <c:pt idx="49">
                  <c:v>11463496.040268229</c:v>
                </c:pt>
                <c:pt idx="50">
                  <c:v>10074670.17427782</c:v>
                </c:pt>
                <c:pt idx="51">
                  <c:v>8812519.2815569881</c:v>
                </c:pt>
                <c:pt idx="52">
                  <c:v>7667859.223799305</c:v>
                </c:pt>
                <c:pt idx="53">
                  <c:v>6631837.5165659757</c:v>
                </c:pt>
                <c:pt idx="54">
                  <c:v>5709258.3795051426</c:v>
                </c:pt>
                <c:pt idx="55">
                  <c:v>4892421.4000971299</c:v>
                </c:pt>
                <c:pt idx="56">
                  <c:v>4162564.988573309</c:v>
                </c:pt>
                <c:pt idx="57">
                  <c:v>3514968.2690903777</c:v>
                </c:pt>
                <c:pt idx="58">
                  <c:v>2943342.4200253612</c:v>
                </c:pt>
                <c:pt idx="59">
                  <c:v>2445949.087194501</c:v>
                </c:pt>
                <c:pt idx="60">
                  <c:v>2012985.8700840105</c:v>
                </c:pt>
                <c:pt idx="61">
                  <c:v>1637772.4173907198</c:v>
                </c:pt>
                <c:pt idx="62">
                  <c:v>1315771.7853750859</c:v>
                </c:pt>
                <c:pt idx="63">
                  <c:v>1042325.3219324556</c:v>
                </c:pt>
                <c:pt idx="64">
                  <c:v>814541.24835444393</c:v>
                </c:pt>
                <c:pt idx="65">
                  <c:v>628123.6028351828</c:v>
                </c:pt>
                <c:pt idx="66">
                  <c:v>475998.82553630357</c:v>
                </c:pt>
                <c:pt idx="67">
                  <c:v>354407.21430631616</c:v>
                </c:pt>
                <c:pt idx="68">
                  <c:v>259284.04564626823</c:v>
                </c:pt>
                <c:pt idx="69">
                  <c:v>186895.32490663309</c:v>
                </c:pt>
                <c:pt idx="70">
                  <c:v>133905.89439013047</c:v>
                </c:pt>
                <c:pt idx="71">
                  <c:v>94711.481479330178</c:v>
                </c:pt>
                <c:pt idx="72">
                  <c:v>66047.782502760994</c:v>
                </c:pt>
                <c:pt idx="73">
                  <c:v>45281.386094043177</c:v>
                </c:pt>
                <c:pt idx="74">
                  <c:v>30396.203540215589</c:v>
                </c:pt>
                <c:pt idx="75">
                  <c:v>21155.986603068148</c:v>
                </c:pt>
                <c:pt idx="76">
                  <c:v>14429.893803560617</c:v>
                </c:pt>
                <c:pt idx="77">
                  <c:v>9592.6424553206289</c:v>
                </c:pt>
                <c:pt idx="78">
                  <c:v>6154.6653652308933</c:v>
                </c:pt>
                <c:pt idx="79">
                  <c:v>3743.7013713612587</c:v>
                </c:pt>
                <c:pt idx="80">
                  <c:v>2336.2861316116068</c:v>
                </c:pt>
                <c:pt idx="81">
                  <c:v>1368.3526111219346</c:v>
                </c:pt>
                <c:pt idx="82">
                  <c:v>717.17470336124052</c:v>
                </c:pt>
                <c:pt idx="83">
                  <c:v>285.71634338217132</c:v>
                </c:pt>
                <c:pt idx="84">
                  <c:v>9.6615081963693053E-9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2-49DA-BF2B-C5F124CFD2A2}"/>
            </c:ext>
          </c:extLst>
        </c:ser>
        <c:ser>
          <c:idx val="1"/>
          <c:order val="1"/>
          <c:tx>
            <c:strRef>
              <c:f>'CAR Calcs'!$DD$3</c:f>
              <c:strCache>
                <c:ptCount val="1"/>
                <c:pt idx="0">
                  <c:v>Negative BEL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'CAR Calcs'!$DB$4:$DB$103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Calcs'!$DD$4:$DD$103</c:f>
              <c:numCache>
                <c:formatCode>_(* #,##0_);_(* \(#,##0\);_(* "-"??_);_(@_)</c:formatCode>
                <c:ptCount val="100"/>
                <c:pt idx="0">
                  <c:v>-1391656.2040535982</c:v>
                </c:pt>
                <c:pt idx="1">
                  <c:v>-6838612.0811936911</c:v>
                </c:pt>
                <c:pt idx="2">
                  <c:v>-13051314.695782719</c:v>
                </c:pt>
                <c:pt idx="3">
                  <c:v>-19260934.69488354</c:v>
                </c:pt>
                <c:pt idx="4">
                  <c:v>-26748689.275653657</c:v>
                </c:pt>
                <c:pt idx="5">
                  <c:v>-33913847.217287086</c:v>
                </c:pt>
                <c:pt idx="6">
                  <c:v>-40846070.509428628</c:v>
                </c:pt>
                <c:pt idx="7">
                  <c:v>-47928899.385206163</c:v>
                </c:pt>
                <c:pt idx="8">
                  <c:v>-55815740.212925695</c:v>
                </c:pt>
                <c:pt idx="9">
                  <c:v>-64999981.916434199</c:v>
                </c:pt>
                <c:pt idx="10">
                  <c:v>-51917002.196755178</c:v>
                </c:pt>
                <c:pt idx="11">
                  <c:v>-39926307.588792965</c:v>
                </c:pt>
                <c:pt idx="12">
                  <c:v>-29908273.273005769</c:v>
                </c:pt>
                <c:pt idx="13">
                  <c:v>-22335489.422241885</c:v>
                </c:pt>
                <c:pt idx="14">
                  <c:v>-15453158.632402562</c:v>
                </c:pt>
                <c:pt idx="15">
                  <c:v>-10695706.087293047</c:v>
                </c:pt>
                <c:pt idx="16">
                  <c:v>-7558192.7900006315</c:v>
                </c:pt>
                <c:pt idx="17">
                  <c:v>-5294973.2321588071</c:v>
                </c:pt>
                <c:pt idx="18">
                  <c:v>-3659031.0059791212</c:v>
                </c:pt>
                <c:pt idx="19">
                  <c:v>-2333127.8824418979</c:v>
                </c:pt>
                <c:pt idx="20">
                  <c:v>-1373701.2785289385</c:v>
                </c:pt>
                <c:pt idx="21">
                  <c:v>-734283.27649387752</c:v>
                </c:pt>
                <c:pt idx="22">
                  <c:v>-363318.8901168459</c:v>
                </c:pt>
                <c:pt idx="23">
                  <c:v>-175968.38157717246</c:v>
                </c:pt>
                <c:pt idx="24">
                  <c:v>-69469.38654080822</c:v>
                </c:pt>
                <c:pt idx="25">
                  <c:v>-11636.015843549358</c:v>
                </c:pt>
                <c:pt idx="26">
                  <c:v>-2.5355154255940677E-8</c:v>
                </c:pt>
                <c:pt idx="27">
                  <c:v>-3.1726700946233522E-8</c:v>
                </c:pt>
                <c:pt idx="28">
                  <c:v>-3.6900624364244661E-8</c:v>
                </c:pt>
                <c:pt idx="29">
                  <c:v>-3.8153218269241533E-8</c:v>
                </c:pt>
                <c:pt idx="30">
                  <c:v>-4.1754701999671407E-8</c:v>
                </c:pt>
                <c:pt idx="31">
                  <c:v>-4.6594195762436557E-8</c:v>
                </c:pt>
                <c:pt idx="32">
                  <c:v>-5.2784245924112919E-8</c:v>
                </c:pt>
                <c:pt idx="33">
                  <c:v>-6.0775037951004218E-8</c:v>
                </c:pt>
                <c:pt idx="34">
                  <c:v>-7.1241850042566048E-8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-1.2844453289863581E-10</c:v>
                </c:pt>
                <c:pt idx="41">
                  <c:v>-5.2031928836252935E-10</c:v>
                </c:pt>
                <c:pt idx="42">
                  <c:v>-6.6600868910403747E-10</c:v>
                </c:pt>
                <c:pt idx="43">
                  <c:v>-7.7304579985290065E-10</c:v>
                </c:pt>
                <c:pt idx="44">
                  <c:v>-1.0079327928851281E-9</c:v>
                </c:pt>
                <c:pt idx="45">
                  <c:v>-7.0239871163955806E-9</c:v>
                </c:pt>
                <c:pt idx="46">
                  <c:v>-2.5216095509415825E-8</c:v>
                </c:pt>
                <c:pt idx="47">
                  <c:v>-3.2095471674640565E-8</c:v>
                </c:pt>
                <c:pt idx="48">
                  <c:v>-3.7240664497284455E-8</c:v>
                </c:pt>
                <c:pt idx="49">
                  <c:v>-4.8344767491262866E-8</c:v>
                </c:pt>
                <c:pt idx="50">
                  <c:v>-5.228657389286178E-8</c:v>
                </c:pt>
                <c:pt idx="51">
                  <c:v>-6.2567353320493316E-8</c:v>
                </c:pt>
                <c:pt idx="52">
                  <c:v>-7.1736632368030473E-8</c:v>
                </c:pt>
                <c:pt idx="53">
                  <c:v>-8.2666104780211697E-8</c:v>
                </c:pt>
                <c:pt idx="54">
                  <c:v>-9.8042214238426454E-8</c:v>
                </c:pt>
                <c:pt idx="55">
                  <c:v>-1.8315295731549081E-8</c:v>
                </c:pt>
                <c:pt idx="56">
                  <c:v>-3.7944600696180461E-8</c:v>
                </c:pt>
                <c:pt idx="57">
                  <c:v>-4.6541219787949587E-8</c:v>
                </c:pt>
                <c:pt idx="58">
                  <c:v>-5.3875426257518141E-8</c:v>
                </c:pt>
                <c:pt idx="59">
                  <c:v>-6.7879300532393756E-8</c:v>
                </c:pt>
                <c:pt idx="60">
                  <c:v>-5.3500184412301964E-8</c:v>
                </c:pt>
                <c:pt idx="61">
                  <c:v>-6.6373278958358975E-8</c:v>
                </c:pt>
                <c:pt idx="62">
                  <c:v>-7.6546098405542369E-8</c:v>
                </c:pt>
                <c:pt idx="63">
                  <c:v>-8.8244059625704437E-8</c:v>
                </c:pt>
                <c:pt idx="64">
                  <c:v>-1.052425336408852E-7</c:v>
                </c:pt>
                <c:pt idx="65">
                  <c:v>-3.0645316195766502E-8</c:v>
                </c:pt>
                <c:pt idx="66">
                  <c:v>-6.683395901808746E-8</c:v>
                </c:pt>
                <c:pt idx="67">
                  <c:v>-8.2341656637870952E-8</c:v>
                </c:pt>
                <c:pt idx="68">
                  <c:v>-9.5344910269571189E-8</c:v>
                </c:pt>
                <c:pt idx="69">
                  <c:v>-1.2057479291683666E-7</c:v>
                </c:pt>
                <c:pt idx="70">
                  <c:v>-1.0383133453412904E-7</c:v>
                </c:pt>
                <c:pt idx="71">
                  <c:v>-1.4031370660110409E-7</c:v>
                </c:pt>
                <c:pt idx="72">
                  <c:v>-1.6391972120029579E-7</c:v>
                </c:pt>
                <c:pt idx="73">
                  <c:v>-1.8913776419686753E-7</c:v>
                </c:pt>
                <c:pt idx="74">
                  <c:v>-2.2831016187801877E-7</c:v>
                </c:pt>
                <c:pt idx="75">
                  <c:v>-7.1560312180429433E-8</c:v>
                </c:pt>
                <c:pt idx="76">
                  <c:v>-7.9926677206119543E-8</c:v>
                </c:pt>
                <c:pt idx="77">
                  <c:v>-9.055965436094934E-8</c:v>
                </c:pt>
                <c:pt idx="78">
                  <c:v>-1.0427030434676646E-7</c:v>
                </c:pt>
                <c:pt idx="79">
                  <c:v>-1.2224750190784942E-7</c:v>
                </c:pt>
                <c:pt idx="80">
                  <c:v>-2.1176669431167124E-10</c:v>
                </c:pt>
                <c:pt idx="81">
                  <c:v>-2.3631108206208091E-10</c:v>
                </c:pt>
                <c:pt idx="82">
                  <c:v>-2.677050663939995E-10</c:v>
                </c:pt>
                <c:pt idx="83">
                  <c:v>-3.0823184616793077E-10</c:v>
                </c:pt>
                <c:pt idx="84">
                  <c:v>-3.6131621967463043E-10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2-49DA-BF2B-C5F124CFD2A2}"/>
            </c:ext>
          </c:extLst>
        </c:ser>
        <c:ser>
          <c:idx val="2"/>
          <c:order val="2"/>
          <c:tx>
            <c:strRef>
              <c:f>'CAR Calcs'!$DE$3</c:f>
              <c:strCache>
                <c:ptCount val="1"/>
                <c:pt idx="0">
                  <c:v>Total CAR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'CAR Calcs'!$DB$4:$DB$103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'CAR Calcs'!$DE$4:$DE$103</c:f>
              <c:numCache>
                <c:formatCode>_(* #,##0_);_(* \(#,##0\);_(* "-"??_);_(@_)</c:formatCode>
                <c:ptCount val="100"/>
                <c:pt idx="0">
                  <c:v>1696268.8695680301</c:v>
                </c:pt>
                <c:pt idx="1">
                  <c:v>4548353.7346025687</c:v>
                </c:pt>
                <c:pt idx="2">
                  <c:v>8135393.2896067305</c:v>
                </c:pt>
                <c:pt idx="3">
                  <c:v>11728973.938224673</c:v>
                </c:pt>
                <c:pt idx="4">
                  <c:v>16036211.808470229</c:v>
                </c:pt>
                <c:pt idx="5">
                  <c:v>20197935.146215413</c:v>
                </c:pt>
                <c:pt idx="6">
                  <c:v>24227133.229596034</c:v>
                </c:pt>
                <c:pt idx="7">
                  <c:v>28350118.005923755</c:v>
                </c:pt>
                <c:pt idx="8">
                  <c:v>32936052.174923565</c:v>
                </c:pt>
                <c:pt idx="9">
                  <c:v>38270602.476094604</c:v>
                </c:pt>
                <c:pt idx="10">
                  <c:v>31176657.740517166</c:v>
                </c:pt>
                <c:pt idx="11">
                  <c:v>24535962.401297234</c:v>
                </c:pt>
                <c:pt idx="12">
                  <c:v>19203468.673064049</c:v>
                </c:pt>
                <c:pt idx="13">
                  <c:v>15407831.619076014</c:v>
                </c:pt>
                <c:pt idx="14">
                  <c:v>12422926.994764684</c:v>
                </c:pt>
                <c:pt idx="15">
                  <c:v>10896713.146635314</c:v>
                </c:pt>
                <c:pt idx="16">
                  <c:v>10378585.357793372</c:v>
                </c:pt>
                <c:pt idx="17">
                  <c:v>10313968.774553899</c:v>
                </c:pt>
                <c:pt idx="18">
                  <c:v>10394328.545760809</c:v>
                </c:pt>
                <c:pt idx="19">
                  <c:v>10639626.918927073</c:v>
                </c:pt>
                <c:pt idx="20">
                  <c:v>10773588.685127802</c:v>
                </c:pt>
                <c:pt idx="21">
                  <c:v>10837949.092822319</c:v>
                </c:pt>
                <c:pt idx="22">
                  <c:v>10804614.957433376</c:v>
                </c:pt>
                <c:pt idx="23">
                  <c:v>10663107.045442265</c:v>
                </c:pt>
                <c:pt idx="24">
                  <c:v>10549994.667445106</c:v>
                </c:pt>
                <c:pt idx="25">
                  <c:v>10361433.410238234</c:v>
                </c:pt>
                <c:pt idx="26">
                  <c:v>10128928.125910461</c:v>
                </c:pt>
                <c:pt idx="27">
                  <c:v>9854702.7510545161</c:v>
                </c:pt>
                <c:pt idx="28">
                  <c:v>9543467.8723188452</c:v>
                </c:pt>
                <c:pt idx="29">
                  <c:v>9278547.5773074701</c:v>
                </c:pt>
                <c:pt idx="30">
                  <c:v>8958105.7939073704</c:v>
                </c:pt>
                <c:pt idx="31">
                  <c:v>8622677.7706642784</c:v>
                </c:pt>
                <c:pt idx="32">
                  <c:v>8263804.2789453594</c:v>
                </c:pt>
                <c:pt idx="33">
                  <c:v>7878862.8171369992</c:v>
                </c:pt>
                <c:pt idx="34">
                  <c:v>7506305.8294549212</c:v>
                </c:pt>
                <c:pt idx="35">
                  <c:v>7123257.0851409063</c:v>
                </c:pt>
                <c:pt idx="36">
                  <c:v>6729162.4762392128</c:v>
                </c:pt>
                <c:pt idx="37">
                  <c:v>6323437.5857862998</c:v>
                </c:pt>
                <c:pt idx="38">
                  <c:v>5907548.198251701</c:v>
                </c:pt>
                <c:pt idx="39">
                  <c:v>5503674.3675032221</c:v>
                </c:pt>
                <c:pt idx="40">
                  <c:v>5096911.3323026579</c:v>
                </c:pt>
                <c:pt idx="41">
                  <c:v>4693303.2811544901</c:v>
                </c:pt>
                <c:pt idx="42">
                  <c:v>4295278.7896909118</c:v>
                </c:pt>
                <c:pt idx="43">
                  <c:v>3906063.785235771</c:v>
                </c:pt>
                <c:pt idx="44">
                  <c:v>3539364.3520546914</c:v>
                </c:pt>
                <c:pt idx="45">
                  <c:v>3191680.0676290635</c:v>
                </c:pt>
                <c:pt idx="46">
                  <c:v>2864103.8477810444</c:v>
                </c:pt>
                <c:pt idx="47">
                  <c:v>2558063.1543652802</c:v>
                </c:pt>
                <c:pt idx="48">
                  <c:v>2274511.6694447659</c:v>
                </c:pt>
                <c:pt idx="49">
                  <c:v>2018100.182533178</c:v>
                </c:pt>
                <c:pt idx="50">
                  <c:v>1784596.1626570397</c:v>
                </c:pt>
                <c:pt idx="51">
                  <c:v>1572685.8118190987</c:v>
                </c:pt>
                <c:pt idx="52">
                  <c:v>1380768.5670894023</c:v>
                </c:pt>
                <c:pt idx="53">
                  <c:v>1207286.4761942332</c:v>
                </c:pt>
                <c:pt idx="54">
                  <c:v>1052647.2884973104</c:v>
                </c:pt>
                <c:pt idx="55">
                  <c:v>915034.88904561498</c:v>
                </c:pt>
                <c:pt idx="56">
                  <c:v>793062.38878141448</c:v>
                </c:pt>
                <c:pt idx="57">
                  <c:v>684582.2110587589</c:v>
                </c:pt>
                <c:pt idx="58">
                  <c:v>588576.93908365571</c:v>
                </c:pt>
                <c:pt idx="59">
                  <c:v>504597.93101714447</c:v>
                </c:pt>
                <c:pt idx="60">
                  <c:v>431055.5194551553</c:v>
                </c:pt>
                <c:pt idx="61">
                  <c:v>366883.17297279573</c:v>
                </c:pt>
                <c:pt idx="62">
                  <c:v>311124.05971628305</c:v>
                </c:pt>
                <c:pt idx="63">
                  <c:v>262921.55764883669</c:v>
                </c:pt>
                <c:pt idx="64">
                  <c:v>221601.41345230845</c:v>
                </c:pt>
                <c:pt idx="65">
                  <c:v>186164.81550758847</c:v>
                </c:pt>
                <c:pt idx="66">
                  <c:v>156020.21799205948</c:v>
                </c:pt>
                <c:pt idx="67">
                  <c:v>130117.23138672349</c:v>
                </c:pt>
                <c:pt idx="68">
                  <c:v>107860.61837226467</c:v>
                </c:pt>
                <c:pt idx="69">
                  <c:v>88789.787091525301</c:v>
                </c:pt>
                <c:pt idx="70">
                  <c:v>72193.996294866447</c:v>
                </c:pt>
                <c:pt idx="71">
                  <c:v>58726.755487874318</c:v>
                </c:pt>
                <c:pt idx="72">
                  <c:v>47492.073427021736</c:v>
                </c:pt>
                <c:pt idx="73">
                  <c:v>38144.029645574134</c:v>
                </c:pt>
                <c:pt idx="74">
                  <c:v>30393.680974190393</c:v>
                </c:pt>
                <c:pt idx="75">
                  <c:v>22229.453155407558</c:v>
                </c:pt>
                <c:pt idx="76">
                  <c:v>18133.060945453442</c:v>
                </c:pt>
                <c:pt idx="77">
                  <c:v>14689.914053263836</c:v>
                </c:pt>
                <c:pt idx="78">
                  <c:v>11808.664969048088</c:v>
                </c:pt>
                <c:pt idx="79">
                  <c:v>9435.5466659265076</c:v>
                </c:pt>
                <c:pt idx="80">
                  <c:v>6755.1632322091446</c:v>
                </c:pt>
                <c:pt idx="81">
                  <c:v>5373.8970372096992</c:v>
                </c:pt>
                <c:pt idx="82">
                  <c:v>4246.770504221764</c:v>
                </c:pt>
                <c:pt idx="83">
                  <c:v>3450.526389520327</c:v>
                </c:pt>
                <c:pt idx="84">
                  <c:v>15.85775859036813</c:v>
                </c:pt>
                <c:pt idx="85">
                  <c:v>6.1447735339873741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52-49DA-BF2B-C5F124CFD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127840"/>
        <c:axId val="394116560"/>
      </c:barChart>
      <c:catAx>
        <c:axId val="72812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394116560"/>
        <c:crosses val="autoZero"/>
        <c:auto val="1"/>
        <c:lblAlgn val="ctr"/>
        <c:lblOffset val="100"/>
        <c:noMultiLvlLbl val="0"/>
      </c:catAx>
      <c:valAx>
        <c:axId val="3941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Amount</a:t>
                </a:r>
                <a:r>
                  <a:rPr lang="en-US" b="1" baseline="0"/>
                  <a:t> (P)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2812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/>
              <a:t>Profit, CSM and Risk Adjustment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'IFRS 17 Income Statement'!$B$3</c:f>
              <c:strCache>
                <c:ptCount val="1"/>
                <c:pt idx="0">
                  <c:v>Release of CSM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'IFRS 17 Income Statement'!$C$2:$L$2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'IFRS 17 Income Statement'!$C$3:$L$3</c:f>
              <c:numCache>
                <c:formatCode>_(* #,##0_);_(* \(#,##0\);_(* "-"??_);_(@_)</c:formatCode>
                <c:ptCount val="10"/>
                <c:pt idx="0">
                  <c:v>377311.34859676246</c:v>
                </c:pt>
                <c:pt idx="1">
                  <c:v>1326145.2492529545</c:v>
                </c:pt>
                <c:pt idx="2">
                  <c:v>2588713.5910160155</c:v>
                </c:pt>
                <c:pt idx="3">
                  <c:v>3986402.8229159215</c:v>
                </c:pt>
                <c:pt idx="4">
                  <c:v>5689577.0344079593</c:v>
                </c:pt>
                <c:pt idx="5">
                  <c:v>7576831.0277580135</c:v>
                </c:pt>
                <c:pt idx="6">
                  <c:v>9544883.1596250031</c:v>
                </c:pt>
                <c:pt idx="7">
                  <c:v>11698805.043352582</c:v>
                </c:pt>
                <c:pt idx="8">
                  <c:v>14121402.994411618</c:v>
                </c:pt>
                <c:pt idx="9">
                  <c:v>16917186.825172756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7-4BFC-93B8-3650053D419D}"/>
            </c:ext>
          </c:extLst>
        </c:ser>
        <c:ser>
          <c:idx val="1"/>
          <c:order val="1"/>
          <c:tx>
            <c:strRef>
              <c:f>'IFRS 17 Income Statement'!$B$4</c:f>
              <c:strCache>
                <c:ptCount val="1"/>
                <c:pt idx="0">
                  <c:v>Release of Risk Adjustment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'IFRS 17 Income Statement'!$C$2:$L$2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'IFRS 17 Income Statement'!$C$4:$L$4</c:f>
              <c:numCache>
                <c:formatCode>_(* #,##0_);_(* \(#,##0\);_(* "-"??_);_(@_)</c:formatCode>
                <c:ptCount val="10"/>
                <c:pt idx="0">
                  <c:v>65528.979798451925</c:v>
                </c:pt>
                <c:pt idx="1">
                  <c:v>227719.29799301102</c:v>
                </c:pt>
                <c:pt idx="2">
                  <c:v>438282.08280671574</c:v>
                </c:pt>
                <c:pt idx="3">
                  <c:v>666984.03993893415</c:v>
                </c:pt>
                <c:pt idx="4">
                  <c:v>942126.01333463099</c:v>
                </c:pt>
                <c:pt idx="5">
                  <c:v>1250113.1594509983</c:v>
                </c:pt>
                <c:pt idx="6">
                  <c:v>1576269.3931360641</c:v>
                </c:pt>
                <c:pt idx="7">
                  <c:v>1937812.1917907051</c:v>
                </c:pt>
                <c:pt idx="8">
                  <c:v>2346433.7415361837</c:v>
                </c:pt>
                <c:pt idx="9">
                  <c:v>2820462.2845831672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7-4BFC-93B8-3650053D419D}"/>
            </c:ext>
          </c:extLst>
        </c:ser>
        <c:ser>
          <c:idx val="2"/>
          <c:order val="2"/>
          <c:tx>
            <c:strRef>
              <c:f>'IFRS 17 Income Statement'!$B$23</c:f>
              <c:strCache>
                <c:ptCount val="1"/>
                <c:pt idx="0">
                  <c:v>Profit or 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'IFRS 17 Income Statement'!$C$2:$L$2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'IFRS 17 Income Statement'!$C$23:$L$23</c:f>
              <c:numCache>
                <c:formatCode>_(* #,##0_);_(* \(#,##0\);_(* "-"??_);_(@_)</c:formatCode>
                <c:ptCount val="10"/>
                <c:pt idx="0">
                  <c:v>385687.94507618959</c:v>
                </c:pt>
                <c:pt idx="1">
                  <c:v>1425041.2763983014</c:v>
                </c:pt>
                <c:pt idx="2">
                  <c:v>2840524.4528100714</c:v>
                </c:pt>
                <c:pt idx="3">
                  <c:v>4412006.9086785531</c:v>
                </c:pt>
                <c:pt idx="4">
                  <c:v>6302792.6273821797</c:v>
                </c:pt>
                <c:pt idx="5">
                  <c:v>8431644.7891142499</c:v>
                </c:pt>
                <c:pt idx="6">
                  <c:v>10650101.621318707</c:v>
                </c:pt>
                <c:pt idx="7">
                  <c:v>13077297.614559729</c:v>
                </c:pt>
                <c:pt idx="8">
                  <c:v>15803385.785194892</c:v>
                </c:pt>
                <c:pt idx="9">
                  <c:v>18945479.192784119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37-4BFC-93B8-3650053D4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710864"/>
        <c:axId val="1164638783"/>
      </c:lineChart>
      <c:catAx>
        <c:axId val="76871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64638783"/>
        <c:crosses val="autoZero"/>
        <c:auto val="1"/>
        <c:lblAlgn val="ctr"/>
        <c:lblOffset val="100"/>
        <c:noMultiLvlLbl val="0"/>
      </c:catAx>
      <c:valAx>
        <c:axId val="116463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US" b="1"/>
                  <a:t>Amount 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76871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44</xdr:row>
      <xdr:rowOff>0</xdr:rowOff>
    </xdr:from>
    <xdr:to>
      <xdr:col>29</xdr:col>
      <xdr:colOff>277091</xdr:colOff>
      <xdr:row>63</xdr:row>
      <xdr:rowOff>135028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A5E7F-759C-4CD3-A9ED-14DA79F2C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152400</xdr:colOff>
      <xdr:row>14</xdr:row>
      <xdr:rowOff>78104</xdr:rowOff>
    </xdr:from>
    <xdr:to>
      <xdr:col>115</xdr:col>
      <xdr:colOff>415290</xdr:colOff>
      <xdr:row>32</xdr:row>
      <xdr:rowOff>45719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86D8C-BD97-F782-1D6C-FBA21EAA9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104</xdr:col>
      <xdr:colOff>38100</xdr:colOff>
      <xdr:row>14</xdr:row>
      <xdr:rowOff>83819</xdr:rowOff>
    </xdr:from>
    <xdr:to>
      <xdr:col>111</xdr:col>
      <xdr:colOff>160533</xdr:colOff>
      <xdr:row>34</xdr:row>
      <xdr:rowOff>53511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F191CE-5577-18FE-AF91-4792F2CF6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108</xdr:col>
      <xdr:colOff>236220</xdr:colOff>
      <xdr:row>2</xdr:row>
      <xdr:rowOff>20954</xdr:rowOff>
    </xdr:from>
    <xdr:to>
      <xdr:col>118</xdr:col>
      <xdr:colOff>11430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B41D8-86DF-CD74-211F-6E3D0F273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vidence Madhume" id="{5097B76B-0A10-4A46-BB8C-99AF11ADE2FA}" userId="S::EvidenceM@oldmutual.co.zw::81f801c4-d0fd-4efd-a429-a1d0a1cb1ba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7" dT="2024-02-20T14:26:54.79" personId="{5097B76B-0A10-4A46-BB8C-99AF11ADE2FA}" id="{B6C7CAC7-359C-4D36-ADE0-7D2EDA55CCA0}">
    <text>Calculated as the total discounted NFs over the discounted Capital Requirement. For ROC calculation, the cashflows in year 10 were assumed to be the same up to year 25.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3D3F-385D-4209-979C-CC2F3651BFFC}">
  <sheetPr codeName="Sheet1">
    <pageSetUpPr fitToPage="1"/>
  </sheetPr>
  <dimension ref="B2:O22"/>
  <sheetViews>
    <sheetView tabSelected="1" workbookViewId="0">
      <selection activeCell="G10" sqref="G10"/>
    </sheetView>
  </sheetViews>
  <sheetFormatPr defaultRowHeight="14.4" x14ac:dyDescent="0.3"/>
  <cols>
    <col min="2" max="2" width="19.5546875" bestFit="1" customWidth="1"/>
    <col min="3" max="3" width="11.44140625" bestFit="1" customWidth="1"/>
    <col min="4" max="5" width="18" bestFit="1" customWidth="1"/>
    <col min="6" max="6" width="18.5546875" bestFit="1" customWidth="1"/>
    <col min="7" max="7" width="12.109375" bestFit="1" customWidth="1"/>
    <col min="9" max="9" width="18.44140625" bestFit="1" customWidth="1"/>
    <col min="10" max="10" width="12" bestFit="1" customWidth="1"/>
  </cols>
  <sheetData>
    <row r="2" spans="2:15" x14ac:dyDescent="0.3">
      <c r="B2" t="s">
        <v>0</v>
      </c>
      <c r="C2" s="1">
        <v>54</v>
      </c>
      <c r="D2" s="3" t="s">
        <v>1</v>
      </c>
      <c r="F2" t="s">
        <v>2</v>
      </c>
      <c r="G2" s="30">
        <v>0.05</v>
      </c>
      <c r="H2" s="3" t="s">
        <v>3</v>
      </c>
    </row>
    <row r="3" spans="2:15" x14ac:dyDescent="0.3">
      <c r="B3" t="s">
        <v>4</v>
      </c>
      <c r="C3" s="1">
        <v>69</v>
      </c>
      <c r="D3" s="3" t="s">
        <v>5</v>
      </c>
      <c r="F3" t="s">
        <v>6</v>
      </c>
      <c r="G3" s="30">
        <v>0.22</v>
      </c>
      <c r="H3" s="3" t="s">
        <v>7</v>
      </c>
    </row>
    <row r="4" spans="2:15" x14ac:dyDescent="0.3">
      <c r="B4" t="s">
        <v>8</v>
      </c>
      <c r="C4" s="1">
        <v>60</v>
      </c>
      <c r="D4" s="3" t="s">
        <v>9</v>
      </c>
      <c r="F4" t="s">
        <v>10</v>
      </c>
      <c r="G4" s="30">
        <v>0.14199999999999999</v>
      </c>
      <c r="H4" s="3" t="s">
        <v>11</v>
      </c>
    </row>
    <row r="5" spans="2:15" x14ac:dyDescent="0.3">
      <c r="B5" t="s">
        <v>12</v>
      </c>
      <c r="C5" s="12">
        <v>0.04</v>
      </c>
      <c r="D5" s="3" t="s">
        <v>13</v>
      </c>
      <c r="F5" t="s">
        <v>14</v>
      </c>
      <c r="G5" s="30">
        <v>0.14199999999999999</v>
      </c>
      <c r="H5" s="3" t="s">
        <v>15</v>
      </c>
    </row>
    <row r="6" spans="2:15" x14ac:dyDescent="0.3">
      <c r="B6" t="s">
        <v>16</v>
      </c>
      <c r="C6" s="7">
        <v>0.1</v>
      </c>
      <c r="D6" s="3" t="s">
        <v>17</v>
      </c>
      <c r="F6" t="s">
        <v>18</v>
      </c>
      <c r="G6" s="1">
        <v>100000</v>
      </c>
      <c r="H6" s="3" t="s">
        <v>19</v>
      </c>
    </row>
    <row r="7" spans="2:15" ht="43.2" x14ac:dyDescent="0.3">
      <c r="B7" s="6" t="s">
        <v>20</v>
      </c>
      <c r="C7" s="8">
        <v>1</v>
      </c>
      <c r="D7" s="3" t="s">
        <v>21</v>
      </c>
    </row>
    <row r="8" spans="2:15" ht="43.2" x14ac:dyDescent="0.3">
      <c r="B8" s="6" t="s">
        <v>22</v>
      </c>
      <c r="C8" s="8">
        <v>0</v>
      </c>
      <c r="D8" s="3" t="s">
        <v>23</v>
      </c>
    </row>
    <row r="9" spans="2:15" x14ac:dyDescent="0.3">
      <c r="B9" s="6" t="s">
        <v>24</v>
      </c>
      <c r="C9" s="7">
        <v>0.06</v>
      </c>
      <c r="D9" s="3" t="s">
        <v>25</v>
      </c>
    </row>
    <row r="10" spans="2:15" ht="28.8" x14ac:dyDescent="0.3">
      <c r="B10" s="6" t="s">
        <v>26</v>
      </c>
      <c r="C10" s="1">
        <v>1000</v>
      </c>
      <c r="D10" s="3" t="s">
        <v>27</v>
      </c>
      <c r="I10" s="260">
        <f>(1-(1.1)^(-10))/(0.1)</f>
        <v>6.1445671057046853</v>
      </c>
      <c r="J10">
        <f>(I11-I10)/I10</f>
        <v>-9.8971380164372347E-2</v>
      </c>
      <c r="L10" s="260">
        <v>10000</v>
      </c>
      <c r="M10" s="260">
        <f>+L10/I10</f>
        <v>1627.4539488251153</v>
      </c>
    </row>
    <row r="11" spans="2:15" x14ac:dyDescent="0.3">
      <c r="B11" s="6" t="s">
        <v>28</v>
      </c>
      <c r="C11" s="20">
        <v>3</v>
      </c>
      <c r="D11" s="3" t="s">
        <v>29</v>
      </c>
      <c r="I11">
        <f>(1-(1+0.125)^(-10))/(0.125)</f>
        <v>5.5364308187404898</v>
      </c>
      <c r="L11">
        <v>10000</v>
      </c>
      <c r="M11">
        <f>+L11/I11</f>
        <v>1806.2178192763818</v>
      </c>
    </row>
    <row r="12" spans="2:15" x14ac:dyDescent="0.3">
      <c r="I12">
        <f>(1-(1+0.075)^(-10))/(0.075)</f>
        <v>6.8640809559804756</v>
      </c>
      <c r="L12">
        <v>10000</v>
      </c>
      <c r="M12">
        <f t="shared" ref="M12" si="0">+L12/I12</f>
        <v>1456.8592742612234</v>
      </c>
      <c r="N12" s="261">
        <f>+M12/M10-1</f>
        <v>-0.10482304257336861</v>
      </c>
    </row>
    <row r="13" spans="2:15" x14ac:dyDescent="0.3"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2:15" x14ac:dyDescent="0.3">
      <c r="B14" s="15" t="s">
        <v>30</v>
      </c>
    </row>
    <row r="15" spans="2:15" x14ac:dyDescent="0.3"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2:15" x14ac:dyDescent="0.3">
      <c r="B16" s="269" t="s">
        <v>31</v>
      </c>
      <c r="C16" s="269"/>
      <c r="E16" s="10" t="s">
        <v>32</v>
      </c>
      <c r="F16" s="22">
        <v>0.10100000000000001</v>
      </c>
      <c r="I16" s="10" t="s">
        <v>33</v>
      </c>
      <c r="J16" s="111">
        <v>1.3299999999999999E-2</v>
      </c>
      <c r="L16" s="13"/>
      <c r="M16" s="13"/>
      <c r="N16" s="13"/>
      <c r="O16" s="13"/>
    </row>
    <row r="17" spans="2:15" x14ac:dyDescent="0.3">
      <c r="B17" s="16" t="s">
        <v>34</v>
      </c>
      <c r="C17" s="14" t="s">
        <v>35</v>
      </c>
      <c r="E17" s="10" t="s">
        <v>36</v>
      </c>
      <c r="F17" s="111">
        <v>5.7500000000000002E-2</v>
      </c>
      <c r="I17" s="10"/>
      <c r="J17" s="23"/>
      <c r="L17" s="13"/>
      <c r="M17" s="13"/>
      <c r="N17" s="13"/>
      <c r="O17" s="13"/>
    </row>
    <row r="18" spans="2:15" x14ac:dyDescent="0.3">
      <c r="B18" s="10" t="s">
        <v>37</v>
      </c>
      <c r="C18" s="17">
        <v>0</v>
      </c>
      <c r="E18" s="10"/>
      <c r="F18" s="23"/>
      <c r="I18" s="10" t="s">
        <v>38</v>
      </c>
      <c r="J18" s="22">
        <v>0.25</v>
      </c>
    </row>
    <row r="19" spans="2:15" x14ac:dyDescent="0.3">
      <c r="B19" s="10" t="s">
        <v>39</v>
      </c>
      <c r="C19" s="17">
        <v>0.8</v>
      </c>
      <c r="E19" s="19" t="s">
        <v>40</v>
      </c>
      <c r="F19" s="23"/>
      <c r="J19" s="24"/>
    </row>
    <row r="20" spans="2:15" x14ac:dyDescent="0.3">
      <c r="B20" s="10" t="s">
        <v>41</v>
      </c>
      <c r="C20" s="17">
        <v>0.2</v>
      </c>
      <c r="E20" s="10" t="s">
        <v>42</v>
      </c>
      <c r="F20" s="22">
        <v>0.3</v>
      </c>
      <c r="I20" s="10" t="s">
        <v>43</v>
      </c>
      <c r="J20" s="22">
        <v>0.1</v>
      </c>
    </row>
    <row r="21" spans="2:15" x14ac:dyDescent="0.3">
      <c r="B21" s="10" t="s">
        <v>44</v>
      </c>
      <c r="C21" s="17">
        <v>0</v>
      </c>
      <c r="E21" s="10" t="s">
        <v>45</v>
      </c>
      <c r="F21" s="22">
        <f>-N12</f>
        <v>0.10482304257336861</v>
      </c>
    </row>
    <row r="22" spans="2:15" x14ac:dyDescent="0.3">
      <c r="B22" s="9" t="s">
        <v>46</v>
      </c>
      <c r="C22" s="18">
        <f>SUM(C18:C21)</f>
        <v>1</v>
      </c>
      <c r="E22" s="10" t="s">
        <v>44</v>
      </c>
      <c r="F22" s="22">
        <v>0.15</v>
      </c>
    </row>
  </sheetData>
  <mergeCells count="1">
    <mergeCell ref="B16:C16"/>
  </mergeCells>
  <pageMargins left="0.7" right="0.7" top="0.75" bottom="0.75" header="0.3" footer="0.3"/>
  <pageSetup scale="83" fitToHeight="0" orientation="landscape" r:id="rId1"/>
  <headerFooter>
    <oddHeader>&amp;R&amp;"Calibri"&amp;12&amp;K000000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6DC6-1A24-476F-88A8-A1DBE19720FF}">
  <sheetPr codeName="Sheet2">
    <tabColor rgb="FFC00000"/>
  </sheetPr>
  <dimension ref="A1:DA164"/>
  <sheetViews>
    <sheetView zoomScale="73" zoomScaleNormal="73" workbookViewId="0">
      <selection activeCell="F20" sqref="F20"/>
    </sheetView>
  </sheetViews>
  <sheetFormatPr defaultColWidth="9.109375" defaultRowHeight="14.4" x14ac:dyDescent="0.3"/>
  <cols>
    <col min="1" max="1" width="8.33203125" style="124" bestFit="1" customWidth="1"/>
    <col min="2" max="2" width="10.109375" style="124" customWidth="1"/>
    <col min="3" max="3" width="46.6640625" style="124" customWidth="1"/>
    <col min="4" max="4" width="1.33203125" style="124" customWidth="1"/>
    <col min="5" max="5" width="23.33203125" style="125" customWidth="1"/>
    <col min="6" max="6" width="15" style="124" bestFit="1" customWidth="1"/>
    <col min="7" max="8" width="14" style="124" bestFit="1" customWidth="1"/>
    <col min="9" max="9" width="21.109375" style="124" customWidth="1"/>
    <col min="10" max="10" width="14" style="124" bestFit="1" customWidth="1"/>
    <col min="11" max="11" width="16.5546875" style="124" customWidth="1"/>
    <col min="12" max="12" width="18.6640625" style="124" customWidth="1"/>
    <col min="13" max="13" width="17.109375" style="124" customWidth="1"/>
    <col min="14" max="14" width="18.6640625" style="124" customWidth="1"/>
    <col min="15" max="15" width="17.109375" style="124" customWidth="1"/>
    <col min="16" max="105" width="17.88671875" style="124" customWidth="1"/>
    <col min="106" max="16384" width="9.109375" style="124"/>
  </cols>
  <sheetData>
    <row r="1" spans="2:105" x14ac:dyDescent="0.3">
      <c r="F1" s="124">
        <v>-34950179.522071503</v>
      </c>
      <c r="G1" s="124">
        <v>-29434568.414247073</v>
      </c>
      <c r="H1" s="124">
        <v>-23445954.157359853</v>
      </c>
      <c r="I1" s="124">
        <v>-17626466.225543357</v>
      </c>
      <c r="J1" s="124">
        <v>-14239133.617453169</v>
      </c>
      <c r="K1" s="124">
        <v>-8976110.7735364717</v>
      </c>
      <c r="L1" s="124">
        <v>-4229774.6148795672</v>
      </c>
      <c r="M1" s="124">
        <v>26830.993710180192</v>
      </c>
      <c r="N1" s="124">
        <v>3822852.620218155</v>
      </c>
      <c r="O1" s="124">
        <v>5724144.507384507</v>
      </c>
    </row>
    <row r="2" spans="2:105" ht="15.6" x14ac:dyDescent="0.3">
      <c r="B2" s="126" t="s">
        <v>47</v>
      </c>
      <c r="F2" s="127"/>
    </row>
    <row r="3" spans="2:105" x14ac:dyDescent="0.3">
      <c r="B3" s="128" t="s">
        <v>48</v>
      </c>
    </row>
    <row r="4" spans="2:105" x14ac:dyDescent="0.3">
      <c r="C4" s="124" t="s">
        <v>49</v>
      </c>
      <c r="F4" s="124">
        <v>1</v>
      </c>
      <c r="G4" s="124">
        <v>1</v>
      </c>
      <c r="H4" s="124">
        <v>1</v>
      </c>
      <c r="I4" s="124">
        <v>1</v>
      </c>
      <c r="J4" s="124">
        <v>1</v>
      </c>
      <c r="K4" s="124">
        <v>1</v>
      </c>
      <c r="L4" s="124">
        <v>1</v>
      </c>
      <c r="M4" s="124">
        <v>1</v>
      </c>
      <c r="N4" s="124">
        <v>1</v>
      </c>
      <c r="O4" s="124">
        <v>1</v>
      </c>
    </row>
    <row r="5" spans="2:105" x14ac:dyDescent="0.3">
      <c r="C5" s="124" t="s">
        <v>49</v>
      </c>
      <c r="E5" s="125">
        <v>0</v>
      </c>
      <c r="F5" s="124">
        <v>1</v>
      </c>
      <c r="G5" s="124">
        <v>2</v>
      </c>
      <c r="H5" s="124">
        <v>3</v>
      </c>
      <c r="I5" s="124">
        <v>4</v>
      </c>
      <c r="J5" s="124">
        <v>5</v>
      </c>
      <c r="K5" s="124">
        <v>6</v>
      </c>
      <c r="L5" s="124">
        <v>7</v>
      </c>
      <c r="M5" s="124">
        <v>8</v>
      </c>
      <c r="N5" s="124">
        <v>9</v>
      </c>
      <c r="O5" s="124">
        <v>10</v>
      </c>
    </row>
    <row r="7" spans="2:105" x14ac:dyDescent="0.3">
      <c r="C7" s="124" t="s">
        <v>50</v>
      </c>
      <c r="F7" s="129">
        <v>8.7040058172809465E-2</v>
      </c>
      <c r="G7" s="129">
        <v>6.2732209015648799E-2</v>
      </c>
      <c r="H7" s="129">
        <v>5.1656338402397139E-2</v>
      </c>
      <c r="I7" s="129">
        <v>4.7785982650645709E-2</v>
      </c>
      <c r="J7" s="129">
        <v>4.6563376836531001E-2</v>
      </c>
      <c r="K7" s="129">
        <v>4.618970504974218E-2</v>
      </c>
      <c r="L7" s="129">
        <v>4.6076656894507906E-2</v>
      </c>
      <c r="M7" s="129">
        <v>4.6042561835456741E-2</v>
      </c>
      <c r="N7" s="129">
        <v>4.6032288457528825E-2</v>
      </c>
      <c r="O7" s="129">
        <v>4.6029193799509205E-2</v>
      </c>
    </row>
    <row r="8" spans="2:105" x14ac:dyDescent="0.3">
      <c r="C8" s="124" t="s">
        <v>51</v>
      </c>
      <c r="F8" s="130">
        <v>1</v>
      </c>
      <c r="G8" s="129">
        <v>1.0627322090156488</v>
      </c>
      <c r="H8" s="129">
        <v>1.1176290636356883</v>
      </c>
      <c r="I8" s="129">
        <v>1.1710360666804407</v>
      </c>
      <c r="J8" s="129">
        <v>1.225563460342451</v>
      </c>
      <c r="K8" s="129">
        <v>1.2821718750954103</v>
      </c>
      <c r="L8" s="129">
        <v>1.3412500686639695</v>
      </c>
      <c r="M8" s="129">
        <v>1.4030046578872408</v>
      </c>
      <c r="N8" s="129">
        <v>1.4675881730063629</v>
      </c>
      <c r="O8" s="129">
        <v>1.5351400734395404</v>
      </c>
    </row>
    <row r="10" spans="2:105" x14ac:dyDescent="0.3">
      <c r="C10" s="124" t="s">
        <v>52</v>
      </c>
      <c r="F10" s="129">
        <v>8.5590280651669959E-2</v>
      </c>
      <c r="G10" s="129">
        <v>9.9876267766255467E-2</v>
      </c>
      <c r="H10" s="129">
        <v>7.6873117910885691E-2</v>
      </c>
      <c r="I10" s="129">
        <v>6.6835870408153975E-2</v>
      </c>
      <c r="J10" s="129">
        <v>6.3390940745995383E-2</v>
      </c>
      <c r="K10" s="129">
        <v>6.2309319590553303E-2</v>
      </c>
      <c r="L10" s="129">
        <v>6.1979365564908795E-2</v>
      </c>
      <c r="M10" s="129">
        <v>6.1879601285193431E-2</v>
      </c>
      <c r="N10" s="129">
        <v>6.1849517878484361E-2</v>
      </c>
      <c r="O10" s="129">
        <v>6.1840453752960212E-2</v>
      </c>
    </row>
    <row r="11" spans="2:105" x14ac:dyDescent="0.3">
      <c r="C11" s="124" t="s">
        <v>53</v>
      </c>
      <c r="F11" s="130">
        <v>1</v>
      </c>
      <c r="G11" s="129">
        <v>0.9091931786389984</v>
      </c>
      <c r="H11" s="129">
        <v>0.84428997577989195</v>
      </c>
      <c r="I11" s="129">
        <v>0.79139631427735968</v>
      </c>
      <c r="J11" s="129">
        <v>0.74421953766333138</v>
      </c>
      <c r="K11" s="129">
        <v>0.70056764441281238</v>
      </c>
      <c r="L11" s="129">
        <v>0.65968103254073374</v>
      </c>
      <c r="M11" s="129">
        <v>0.62123901028169437</v>
      </c>
      <c r="N11" s="129">
        <v>0.58505371978027076</v>
      </c>
      <c r="O11" s="129">
        <v>0.55098081610326832</v>
      </c>
    </row>
    <row r="12" spans="2:105" x14ac:dyDescent="0.3">
      <c r="F12" s="115"/>
      <c r="G12" s="115"/>
      <c r="H12" s="115"/>
      <c r="I12" s="115"/>
      <c r="J12" s="115"/>
      <c r="K12" s="115"/>
      <c r="L12" s="115"/>
      <c r="M12" s="115"/>
      <c r="N12" s="115"/>
      <c r="O12" s="115"/>
    </row>
    <row r="13" spans="2:105" x14ac:dyDescent="0.3">
      <c r="C13" s="131" t="s">
        <v>54</v>
      </c>
      <c r="E13" s="132" t="s">
        <v>55</v>
      </c>
    </row>
    <row r="14" spans="2:105" x14ac:dyDescent="0.3">
      <c r="B14" s="124" t="s">
        <v>56</v>
      </c>
      <c r="C14" s="133" t="s">
        <v>57</v>
      </c>
      <c r="D14" s="134"/>
      <c r="E14" s="135" t="s">
        <v>58</v>
      </c>
      <c r="F14" s="134">
        <v>2659731.8270136411</v>
      </c>
      <c r="G14" s="134">
        <v>9102158.3708133772</v>
      </c>
      <c r="H14" s="134">
        <v>17499754.119359531</v>
      </c>
      <c r="I14" s="134">
        <v>26675636.443888925</v>
      </c>
      <c r="J14" s="134">
        <v>37839743.498056099</v>
      </c>
      <c r="K14" s="134">
        <v>50037806.36000634</v>
      </c>
      <c r="L14" s="134">
        <v>62671512.608169541</v>
      </c>
      <c r="M14" s="134">
        <v>76425475.339635208</v>
      </c>
      <c r="N14" s="134">
        <v>91851200.128553405</v>
      </c>
      <c r="O14" s="134">
        <v>109663999.56107542</v>
      </c>
      <c r="P14" s="134">
        <v>107536293.98469803</v>
      </c>
      <c r="Q14" s="134">
        <v>95774587.167742401</v>
      </c>
      <c r="R14" s="134">
        <v>87286148.599244907</v>
      </c>
      <c r="S14" s="134">
        <v>79585455.341938883</v>
      </c>
      <c r="T14" s="134">
        <v>72459901.961855128</v>
      </c>
      <c r="U14" s="134">
        <v>66137797.452245072</v>
      </c>
      <c r="V14" s="134">
        <v>60264400.692231938</v>
      </c>
      <c r="W14" s="134">
        <v>54755815.33761894</v>
      </c>
      <c r="X14" s="134">
        <v>49574025.368581116</v>
      </c>
      <c r="Y14" s="134">
        <v>44646395.825831003</v>
      </c>
      <c r="Z14" s="134">
        <v>40433316.907348871</v>
      </c>
      <c r="AA14" s="134">
        <v>36566017.451880127</v>
      </c>
      <c r="AB14" s="134">
        <v>32930827.600326903</v>
      </c>
      <c r="AC14" s="134">
        <v>29538959.775273435</v>
      </c>
      <c r="AD14" s="134">
        <v>26369615.737467114</v>
      </c>
      <c r="AE14" s="134">
        <v>23436820.706184331</v>
      </c>
      <c r="AF14" s="134">
        <v>20829313.088538289</v>
      </c>
      <c r="AG14" s="134">
        <v>18438222.90562319</v>
      </c>
      <c r="AH14" s="134">
        <v>16244318.451280611</v>
      </c>
      <c r="AI14" s="134">
        <v>14220350.001527866</v>
      </c>
      <c r="AJ14" s="134">
        <v>12686952.763845788</v>
      </c>
      <c r="AK14" s="134">
        <v>11372887.895823285</v>
      </c>
      <c r="AL14" s="134">
        <v>10193167.886224598</v>
      </c>
      <c r="AM14" s="134">
        <v>9127147.6628567204</v>
      </c>
      <c r="AN14" s="134">
        <v>8158411.6534801377</v>
      </c>
      <c r="AO14" s="134">
        <v>7273287.9751059851</v>
      </c>
      <c r="AP14" s="134">
        <v>6499637.8844095981</v>
      </c>
      <c r="AQ14" s="134">
        <v>5789551.7100359593</v>
      </c>
      <c r="AR14" s="134">
        <v>5139261.1468969258</v>
      </c>
      <c r="AS14" s="134">
        <v>4544436.138942522</v>
      </c>
      <c r="AT14" s="134">
        <v>4000338.7702420466</v>
      </c>
      <c r="AU14" s="134">
        <v>3514691.9509921498</v>
      </c>
      <c r="AV14" s="134">
        <v>3074052.6198802935</v>
      </c>
      <c r="AW14" s="134">
        <v>2675917.0097324555</v>
      </c>
      <c r="AX14" s="134">
        <v>2318093.7436202862</v>
      </c>
      <c r="AY14" s="134">
        <v>1998503.3364601496</v>
      </c>
      <c r="AZ14" s="134">
        <v>1718804.2265448878</v>
      </c>
      <c r="BA14" s="134">
        <v>1472339.7850968633</v>
      </c>
      <c r="BB14" s="134">
        <v>1257254.8777437508</v>
      </c>
      <c r="BC14" s="134">
        <v>1071137.7182516342</v>
      </c>
      <c r="BD14" s="134">
        <v>911098.65429128835</v>
      </c>
      <c r="BE14" s="134">
        <v>774303.13863869128</v>
      </c>
      <c r="BF14" s="134">
        <v>657126.85020557872</v>
      </c>
      <c r="BG14" s="134">
        <v>556494.78658220358</v>
      </c>
      <c r="BH14" s="134">
        <v>469876.48452540074</v>
      </c>
      <c r="BI14" s="134">
        <v>395187.70816053532</v>
      </c>
      <c r="BJ14" s="134">
        <v>332457.86043155188</v>
      </c>
      <c r="BK14" s="134">
        <v>278031.41262924252</v>
      </c>
      <c r="BL14" s="134">
        <v>231014.57860289628</v>
      </c>
      <c r="BM14" s="134">
        <v>190544.61308948032</v>
      </c>
      <c r="BN14" s="134">
        <v>155810.91978383437</v>
      </c>
      <c r="BO14" s="134">
        <v>126155.89530194065</v>
      </c>
      <c r="BP14" s="134">
        <v>100939.31342436792</v>
      </c>
      <c r="BQ14" s="134">
        <v>79685.664879568707</v>
      </c>
      <c r="BR14" s="134">
        <v>61960.314315764939</v>
      </c>
      <c r="BS14" s="134">
        <v>47357.557277355088</v>
      </c>
      <c r="BT14" s="134">
        <v>35585.227212415572</v>
      </c>
      <c r="BU14" s="134">
        <v>26170.731707203606</v>
      </c>
      <c r="BV14" s="134">
        <v>18812.601881560815</v>
      </c>
      <c r="BW14" s="134">
        <v>13210.27350007126</v>
      </c>
      <c r="BX14" s="134">
        <v>9062.7385827206781</v>
      </c>
      <c r="BY14" s="134">
        <v>6150.2336045755601</v>
      </c>
      <c r="BZ14" s="134">
        <v>4095.8954144594013</v>
      </c>
      <c r="CA14" s="134">
        <v>2667.2136772605218</v>
      </c>
      <c r="CB14" s="134">
        <v>1685.167018002136</v>
      </c>
      <c r="CC14" s="134">
        <v>1014.6788296578926</v>
      </c>
      <c r="CD14" s="134">
        <v>675.19821566590417</v>
      </c>
      <c r="CE14" s="134">
        <v>439.13388014350852</v>
      </c>
      <c r="CF14" s="134">
        <v>277.18366589608019</v>
      </c>
      <c r="CG14" s="134">
        <v>167.65075695209697</v>
      </c>
      <c r="CH14" s="134">
        <v>94.429167849396293</v>
      </c>
      <c r="CI14" s="134">
        <v>57.332278886664334</v>
      </c>
      <c r="CJ14" s="134">
        <v>32.748546081101921</v>
      </c>
      <c r="CK14" s="134">
        <v>16.801962965845522</v>
      </c>
      <c r="CL14" s="134">
        <v>6.5908525249837124</v>
      </c>
      <c r="CM14" s="134">
        <v>0</v>
      </c>
      <c r="CN14" s="134">
        <v>0</v>
      </c>
      <c r="CO14" s="134">
        <v>0</v>
      </c>
      <c r="CP14" s="134">
        <v>0</v>
      </c>
      <c r="CQ14" s="134">
        <v>0</v>
      </c>
      <c r="CR14" s="134">
        <v>0</v>
      </c>
      <c r="CS14" s="134">
        <v>0</v>
      </c>
      <c r="CT14" s="134">
        <v>0</v>
      </c>
      <c r="CU14" s="134">
        <v>0</v>
      </c>
      <c r="CV14" s="134">
        <v>0</v>
      </c>
      <c r="CW14" s="134">
        <v>0</v>
      </c>
      <c r="CX14" s="134">
        <v>0</v>
      </c>
      <c r="CY14" s="134">
        <v>0</v>
      </c>
      <c r="CZ14" s="134">
        <v>0</v>
      </c>
      <c r="DA14" s="134">
        <v>0</v>
      </c>
    </row>
    <row r="15" spans="2:105" x14ac:dyDescent="0.3">
      <c r="B15" s="124" t="s">
        <v>56</v>
      </c>
      <c r="C15" s="136" t="s">
        <v>59</v>
      </c>
      <c r="E15" s="137" t="s">
        <v>60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  <c r="T15" s="124">
        <v>0</v>
      </c>
      <c r="U15" s="124">
        <v>0</v>
      </c>
      <c r="V15" s="124">
        <v>0</v>
      </c>
      <c r="W15" s="124">
        <v>0</v>
      </c>
      <c r="X15" s="124">
        <v>0</v>
      </c>
      <c r="Y15" s="124">
        <v>0</v>
      </c>
      <c r="Z15" s="124">
        <v>0</v>
      </c>
      <c r="AA15" s="124">
        <v>0</v>
      </c>
      <c r="AB15" s="124">
        <v>0</v>
      </c>
      <c r="AC15" s="124">
        <v>0</v>
      </c>
      <c r="AD15" s="124">
        <v>0</v>
      </c>
      <c r="AE15" s="124">
        <v>0</v>
      </c>
      <c r="AF15" s="124">
        <v>0</v>
      </c>
      <c r="AG15" s="124">
        <v>0</v>
      </c>
      <c r="AH15" s="124">
        <v>0</v>
      </c>
      <c r="AI15" s="124">
        <v>0</v>
      </c>
      <c r="AJ15" s="124">
        <v>0</v>
      </c>
      <c r="AK15" s="124">
        <v>0</v>
      </c>
      <c r="AL15" s="124">
        <v>0</v>
      </c>
      <c r="AM15" s="124">
        <v>0</v>
      </c>
      <c r="AN15" s="124">
        <v>0</v>
      </c>
      <c r="AO15" s="124">
        <v>0</v>
      </c>
      <c r="AP15" s="124">
        <v>0</v>
      </c>
      <c r="AQ15" s="124">
        <v>0</v>
      </c>
      <c r="AR15" s="124">
        <v>0</v>
      </c>
      <c r="AS15" s="124">
        <v>0</v>
      </c>
      <c r="AT15" s="124">
        <v>0</v>
      </c>
      <c r="AU15" s="124">
        <v>0</v>
      </c>
      <c r="AV15" s="124">
        <v>0</v>
      </c>
      <c r="AW15" s="124">
        <v>0</v>
      </c>
      <c r="AX15" s="124">
        <v>0</v>
      </c>
      <c r="AY15" s="124">
        <v>0</v>
      </c>
      <c r="AZ15" s="124">
        <v>0</v>
      </c>
      <c r="BA15" s="124">
        <v>0</v>
      </c>
      <c r="BB15" s="124">
        <v>0</v>
      </c>
      <c r="BC15" s="124">
        <v>0</v>
      </c>
      <c r="BD15" s="124">
        <v>0</v>
      </c>
      <c r="BE15" s="124">
        <v>0</v>
      </c>
      <c r="BF15" s="124">
        <v>0</v>
      </c>
      <c r="BG15" s="124">
        <v>0</v>
      </c>
      <c r="BH15" s="124">
        <v>0</v>
      </c>
      <c r="BI15" s="124">
        <v>0</v>
      </c>
      <c r="BJ15" s="124">
        <v>0</v>
      </c>
      <c r="BK15" s="124">
        <v>0</v>
      </c>
      <c r="BL15" s="124">
        <v>0</v>
      </c>
      <c r="BM15" s="124">
        <v>0</v>
      </c>
      <c r="BN15" s="124">
        <v>0</v>
      </c>
      <c r="BO15" s="124">
        <v>0</v>
      </c>
      <c r="BP15" s="124">
        <v>0</v>
      </c>
      <c r="BQ15" s="124">
        <v>0</v>
      </c>
      <c r="BR15" s="124">
        <v>0</v>
      </c>
      <c r="BS15" s="124">
        <v>0</v>
      </c>
      <c r="BT15" s="124">
        <v>0</v>
      </c>
      <c r="BU15" s="124">
        <v>0</v>
      </c>
      <c r="BV15" s="124">
        <v>0</v>
      </c>
      <c r="BW15" s="124">
        <v>0</v>
      </c>
      <c r="BX15" s="124">
        <v>0</v>
      </c>
      <c r="BY15" s="124">
        <v>0</v>
      </c>
      <c r="BZ15" s="124">
        <v>0</v>
      </c>
      <c r="CA15" s="124">
        <v>0</v>
      </c>
      <c r="CB15" s="124">
        <v>0</v>
      </c>
      <c r="CC15" s="124">
        <v>0</v>
      </c>
      <c r="CD15" s="124">
        <v>0</v>
      </c>
      <c r="CE15" s="124">
        <v>0</v>
      </c>
      <c r="CF15" s="124">
        <v>0</v>
      </c>
      <c r="CG15" s="124">
        <v>0</v>
      </c>
      <c r="CH15" s="124">
        <v>0</v>
      </c>
      <c r="CI15" s="124">
        <v>0</v>
      </c>
      <c r="CJ15" s="124">
        <v>0</v>
      </c>
      <c r="CK15" s="124">
        <v>0</v>
      </c>
      <c r="CL15" s="124">
        <v>0</v>
      </c>
      <c r="CM15" s="124">
        <v>0</v>
      </c>
      <c r="CN15" s="124">
        <v>0</v>
      </c>
      <c r="CO15" s="124">
        <v>0</v>
      </c>
      <c r="CP15" s="124">
        <v>0</v>
      </c>
      <c r="CQ15" s="124">
        <v>0</v>
      </c>
      <c r="CR15" s="124">
        <v>0</v>
      </c>
      <c r="CS15" s="124">
        <v>0</v>
      </c>
      <c r="CT15" s="124">
        <v>0</v>
      </c>
      <c r="CU15" s="124">
        <v>0</v>
      </c>
      <c r="CV15" s="124">
        <v>0</v>
      </c>
      <c r="CW15" s="124">
        <v>0</v>
      </c>
      <c r="CX15" s="124">
        <v>0</v>
      </c>
      <c r="CY15" s="124">
        <v>0</v>
      </c>
      <c r="CZ15" s="124">
        <v>0</v>
      </c>
      <c r="DA15" s="124">
        <v>0</v>
      </c>
    </row>
    <row r="16" spans="2:105" x14ac:dyDescent="0.3">
      <c r="B16" s="124" t="s">
        <v>56</v>
      </c>
      <c r="C16" s="136" t="s">
        <v>61</v>
      </c>
      <c r="E16" s="137" t="s">
        <v>62</v>
      </c>
      <c r="F16" s="124">
        <v>-686210.81136951933</v>
      </c>
      <c r="G16" s="124">
        <v>-2348356.859669853</v>
      </c>
      <c r="H16" s="124">
        <v>-4514936.562794758</v>
      </c>
      <c r="I16" s="124">
        <v>-6882314.202523347</v>
      </c>
      <c r="J16" s="124">
        <v>-9762653.8224984761</v>
      </c>
      <c r="K16" s="124">
        <v>-12909754.040881632</v>
      </c>
      <c r="L16" s="124">
        <v>-16169250.252907751</v>
      </c>
      <c r="M16" s="124">
        <v>-19717772.637625858</v>
      </c>
      <c r="N16" s="124">
        <v>-23697609.633166794</v>
      </c>
      <c r="O16" s="124">
        <v>-28293311.886757445</v>
      </c>
      <c r="P16" s="124">
        <v>-27744363.848052081</v>
      </c>
      <c r="Q16" s="124">
        <v>-24709843.489277519</v>
      </c>
      <c r="R16" s="124">
        <v>-22519826.338605203</v>
      </c>
      <c r="S16" s="124">
        <v>-20533047.478220236</v>
      </c>
      <c r="T16" s="124">
        <v>-18694654.706158604</v>
      </c>
      <c r="U16" s="124">
        <v>-17063551.742679231</v>
      </c>
      <c r="V16" s="124">
        <v>-15548215.378595827</v>
      </c>
      <c r="W16" s="124">
        <v>-14127000.357105674</v>
      </c>
      <c r="X16" s="124">
        <v>-12790098.545093916</v>
      </c>
      <c r="Y16" s="124">
        <v>-11518770.123064404</v>
      </c>
      <c r="Z16" s="124">
        <v>-10431795.762096014</v>
      </c>
      <c r="AA16" s="124">
        <v>-9434032.5025850702</v>
      </c>
      <c r="AB16" s="124">
        <v>-8496153.520884335</v>
      </c>
      <c r="AC16" s="124">
        <v>-7621051.6220205538</v>
      </c>
      <c r="AD16" s="124">
        <v>-6803360.8602665216</v>
      </c>
      <c r="AE16" s="124">
        <v>-6046699.7421955578</v>
      </c>
      <c r="AF16" s="124">
        <v>-5373962.7768428801</v>
      </c>
      <c r="AG16" s="124">
        <v>-4757061.5096507855</v>
      </c>
      <c r="AH16" s="124">
        <v>-4191034.1604303927</v>
      </c>
      <c r="AI16" s="124">
        <v>-3668850.3003941891</v>
      </c>
      <c r="AJ16" s="124">
        <v>-3273233.8130722153</v>
      </c>
      <c r="AK16" s="124">
        <v>-2934205.0771224066</v>
      </c>
      <c r="AL16" s="124">
        <v>-2629837.314645947</v>
      </c>
      <c r="AM16" s="124">
        <v>-2354804.0970170344</v>
      </c>
      <c r="AN16" s="124">
        <v>-2104870.2065978758</v>
      </c>
      <c r="AO16" s="124">
        <v>-1876508.2975773446</v>
      </c>
      <c r="AP16" s="124">
        <v>-1676906.5741776754</v>
      </c>
      <c r="AQ16" s="124">
        <v>-1493704.3411892781</v>
      </c>
      <c r="AR16" s="124">
        <v>-1325929.3758994075</v>
      </c>
      <c r="AS16" s="124">
        <v>-1172464.5238471709</v>
      </c>
      <c r="AT16" s="124">
        <v>-1032087.402722448</v>
      </c>
      <c r="AU16" s="124">
        <v>-906790.52335597435</v>
      </c>
      <c r="AV16" s="124">
        <v>-793105.57592911588</v>
      </c>
      <c r="AW16" s="124">
        <v>-690386.58851097384</v>
      </c>
      <c r="AX16" s="124">
        <v>-598068.18585403368</v>
      </c>
      <c r="AY16" s="124">
        <v>-515613.86080671859</v>
      </c>
      <c r="AZ16" s="124">
        <v>-443451.49044858123</v>
      </c>
      <c r="BA16" s="124">
        <v>-379863.66455499094</v>
      </c>
      <c r="BB16" s="124">
        <v>-324371.75845788786</v>
      </c>
      <c r="BC16" s="124">
        <v>-276353.53130892169</v>
      </c>
      <c r="BD16" s="124">
        <v>-235063.45280715232</v>
      </c>
      <c r="BE16" s="124">
        <v>-199770.2097687824</v>
      </c>
      <c r="BF16" s="124">
        <v>-169538.72735303934</v>
      </c>
      <c r="BG16" s="124">
        <v>-143575.65493820864</v>
      </c>
      <c r="BH16" s="124">
        <v>-121228.13300755333</v>
      </c>
      <c r="BI16" s="124">
        <v>-101958.42870541816</v>
      </c>
      <c r="BJ16" s="124">
        <v>-85774.1279913404</v>
      </c>
      <c r="BK16" s="124">
        <v>-71732.104458344547</v>
      </c>
      <c r="BL16" s="124">
        <v>-59601.761279547245</v>
      </c>
      <c r="BM16" s="124">
        <v>-49160.510177085918</v>
      </c>
      <c r="BN16" s="124">
        <v>-40199.217304229249</v>
      </c>
      <c r="BO16" s="124">
        <v>-32548.220987900677</v>
      </c>
      <c r="BP16" s="124">
        <v>-26042.342863486909</v>
      </c>
      <c r="BQ16" s="124">
        <v>-20558.90153892872</v>
      </c>
      <c r="BR16" s="124">
        <v>-15985.761093467352</v>
      </c>
      <c r="BS16" s="124">
        <v>-12218.249777557618</v>
      </c>
      <c r="BT16" s="124">
        <v>-9180.9886208032221</v>
      </c>
      <c r="BU16" s="124">
        <v>-6752.0487804585309</v>
      </c>
      <c r="BV16" s="124">
        <v>-4853.6512854426919</v>
      </c>
      <c r="BW16" s="124">
        <v>-3408.2505630183859</v>
      </c>
      <c r="BX16" s="124">
        <v>-2338.1865543419344</v>
      </c>
      <c r="BY16" s="124">
        <v>-1586.7602699804945</v>
      </c>
      <c r="BZ16" s="124">
        <v>-1056.7410169305256</v>
      </c>
      <c r="CA16" s="124">
        <v>-688.14112873321471</v>
      </c>
      <c r="CB16" s="124">
        <v>-434.77309064455108</v>
      </c>
      <c r="CC16" s="124">
        <v>-261.78713805173629</v>
      </c>
      <c r="CD16" s="124">
        <v>-174.20113964180328</v>
      </c>
      <c r="CE16" s="124">
        <v>-113.2965410770252</v>
      </c>
      <c r="CF16" s="124">
        <v>-71.51338580118869</v>
      </c>
      <c r="CG16" s="124">
        <v>-43.253895293641023</v>
      </c>
      <c r="CH16" s="124">
        <v>-24.362725305144242</v>
      </c>
      <c r="CI16" s="124">
        <v>-14.791727952759397</v>
      </c>
      <c r="CJ16" s="124">
        <v>-8.4491248889242971</v>
      </c>
      <c r="CK16" s="124">
        <v>-4.3349064451881443</v>
      </c>
      <c r="CL16" s="124">
        <v>-1.700439951445798</v>
      </c>
      <c r="CM16" s="124">
        <v>0</v>
      </c>
      <c r="CN16" s="124">
        <v>0</v>
      </c>
      <c r="CO16" s="124">
        <v>0</v>
      </c>
      <c r="CP16" s="124">
        <v>0</v>
      </c>
      <c r="CQ16" s="124">
        <v>0</v>
      </c>
      <c r="CR16" s="124">
        <v>0</v>
      </c>
      <c r="CS16" s="124">
        <v>0</v>
      </c>
      <c r="CT16" s="124">
        <v>0</v>
      </c>
      <c r="CU16" s="124">
        <v>0</v>
      </c>
      <c r="CV16" s="124">
        <v>0</v>
      </c>
      <c r="CW16" s="124">
        <v>0</v>
      </c>
      <c r="CX16" s="124">
        <v>0</v>
      </c>
      <c r="CY16" s="124">
        <v>0</v>
      </c>
      <c r="CZ16" s="124">
        <v>0</v>
      </c>
      <c r="DA16" s="124">
        <v>0</v>
      </c>
    </row>
    <row r="17" spans="2:105" x14ac:dyDescent="0.3">
      <c r="B17" s="124" t="s">
        <v>56</v>
      </c>
      <c r="C17" s="136" t="s">
        <v>63</v>
      </c>
      <c r="E17" s="137" t="s">
        <v>64</v>
      </c>
      <c r="F17" s="257">
        <v>-43642.408594125962</v>
      </c>
      <c r="G17" s="124">
        <v>-88379.331898911114</v>
      </c>
      <c r="H17" s="124">
        <v>-113125.54483060626</v>
      </c>
      <c r="I17" s="124">
        <v>-131306.43596409654</v>
      </c>
      <c r="J17" s="124">
        <v>-171203.39150703355</v>
      </c>
      <c r="K17" s="124">
        <v>-187364.1836256916</v>
      </c>
      <c r="L17" s="124">
        <v>-209080.24803513833</v>
      </c>
      <c r="M17" s="124">
        <v>-236856.60948908186</v>
      </c>
      <c r="N17" s="124">
        <v>-272713.36700235435</v>
      </c>
      <c r="O17" s="124">
        <v>-319680.66909720429</v>
      </c>
      <c r="P17" s="124">
        <v>0</v>
      </c>
      <c r="Q17" s="124">
        <v>0</v>
      </c>
      <c r="R17" s="124">
        <v>0</v>
      </c>
      <c r="S17" s="124">
        <v>0</v>
      </c>
      <c r="T17" s="124">
        <v>0</v>
      </c>
      <c r="U17" s="124">
        <v>0</v>
      </c>
      <c r="V17" s="124">
        <v>0</v>
      </c>
      <c r="W17" s="124">
        <v>0</v>
      </c>
      <c r="X17" s="124">
        <v>0</v>
      </c>
      <c r="Y17" s="124">
        <v>0</v>
      </c>
      <c r="Z17" s="124">
        <v>0</v>
      </c>
      <c r="AA17" s="124">
        <v>0</v>
      </c>
      <c r="AB17" s="124">
        <v>0</v>
      </c>
      <c r="AC17" s="124">
        <v>0</v>
      </c>
      <c r="AD17" s="124">
        <v>0</v>
      </c>
      <c r="AE17" s="124">
        <v>0</v>
      </c>
      <c r="AF17" s="124">
        <v>0</v>
      </c>
      <c r="AG17" s="124">
        <v>0</v>
      </c>
      <c r="AH17" s="124">
        <v>0</v>
      </c>
      <c r="AI17" s="124">
        <v>0</v>
      </c>
      <c r="AJ17" s="124">
        <v>0</v>
      </c>
      <c r="AK17" s="124">
        <v>0</v>
      </c>
      <c r="AL17" s="124">
        <v>0</v>
      </c>
      <c r="AM17" s="124">
        <v>0</v>
      </c>
      <c r="AN17" s="124">
        <v>0</v>
      </c>
      <c r="AO17" s="124">
        <v>0</v>
      </c>
      <c r="AP17" s="124">
        <v>0</v>
      </c>
      <c r="AQ17" s="124">
        <v>0</v>
      </c>
      <c r="AR17" s="124">
        <v>0</v>
      </c>
      <c r="AS17" s="124">
        <v>0</v>
      </c>
      <c r="AT17" s="124">
        <v>0</v>
      </c>
      <c r="AU17" s="124">
        <v>0</v>
      </c>
      <c r="AV17" s="124">
        <v>0</v>
      </c>
      <c r="AW17" s="124">
        <v>0</v>
      </c>
      <c r="AX17" s="124">
        <v>0</v>
      </c>
      <c r="AY17" s="124">
        <v>0</v>
      </c>
      <c r="AZ17" s="124">
        <v>0</v>
      </c>
      <c r="BA17" s="124">
        <v>0</v>
      </c>
      <c r="BB17" s="124">
        <v>0</v>
      </c>
      <c r="BC17" s="124">
        <v>0</v>
      </c>
      <c r="BD17" s="124">
        <v>0</v>
      </c>
      <c r="BE17" s="124">
        <v>0</v>
      </c>
      <c r="BF17" s="124">
        <v>0</v>
      </c>
      <c r="BG17" s="124">
        <v>0</v>
      </c>
      <c r="BH17" s="124">
        <v>0</v>
      </c>
      <c r="BI17" s="124">
        <v>0</v>
      </c>
      <c r="BJ17" s="124">
        <v>0</v>
      </c>
      <c r="BK17" s="124">
        <v>0</v>
      </c>
      <c r="BL17" s="124">
        <v>0</v>
      </c>
      <c r="BM17" s="124">
        <v>0</v>
      </c>
      <c r="BN17" s="124">
        <v>0</v>
      </c>
      <c r="BO17" s="124">
        <v>0</v>
      </c>
      <c r="BP17" s="124">
        <v>0</v>
      </c>
      <c r="BQ17" s="124">
        <v>0</v>
      </c>
      <c r="BR17" s="124">
        <v>0</v>
      </c>
      <c r="BS17" s="124">
        <v>0</v>
      </c>
      <c r="BT17" s="124">
        <v>0</v>
      </c>
      <c r="BU17" s="124">
        <v>0</v>
      </c>
      <c r="BV17" s="124">
        <v>0</v>
      </c>
      <c r="BW17" s="124">
        <v>0</v>
      </c>
      <c r="BX17" s="124">
        <v>0</v>
      </c>
      <c r="BY17" s="124">
        <v>0</v>
      </c>
      <c r="BZ17" s="124">
        <v>0</v>
      </c>
      <c r="CA17" s="124">
        <v>0</v>
      </c>
      <c r="CB17" s="124">
        <v>0</v>
      </c>
      <c r="CC17" s="124">
        <v>0</v>
      </c>
      <c r="CD17" s="124">
        <v>0</v>
      </c>
      <c r="CE17" s="124">
        <v>0</v>
      </c>
      <c r="CF17" s="124">
        <v>0</v>
      </c>
      <c r="CG17" s="124">
        <v>0</v>
      </c>
      <c r="CH17" s="124">
        <v>0</v>
      </c>
      <c r="CI17" s="124">
        <v>0</v>
      </c>
      <c r="CJ17" s="124">
        <v>0</v>
      </c>
      <c r="CK17" s="124">
        <v>0</v>
      </c>
      <c r="CL17" s="124">
        <v>0</v>
      </c>
      <c r="CM17" s="124">
        <v>0</v>
      </c>
      <c r="CN17" s="124">
        <v>0</v>
      </c>
      <c r="CO17" s="124">
        <v>0</v>
      </c>
      <c r="CP17" s="124">
        <v>0</v>
      </c>
      <c r="CQ17" s="124">
        <v>0</v>
      </c>
      <c r="CR17" s="124">
        <v>0</v>
      </c>
      <c r="CS17" s="124">
        <v>0</v>
      </c>
      <c r="CT17" s="124">
        <v>0</v>
      </c>
      <c r="CU17" s="124">
        <v>0</v>
      </c>
      <c r="CV17" s="124">
        <v>0</v>
      </c>
      <c r="CW17" s="124">
        <v>0</v>
      </c>
      <c r="CX17" s="124">
        <v>0</v>
      </c>
      <c r="CY17" s="124">
        <v>0</v>
      </c>
      <c r="CZ17" s="124">
        <v>0</v>
      </c>
      <c r="DA17" s="124">
        <v>0</v>
      </c>
    </row>
    <row r="18" spans="2:105" x14ac:dyDescent="0.3">
      <c r="B18" s="124" t="s">
        <v>56</v>
      </c>
      <c r="C18" s="136" t="s">
        <v>65</v>
      </c>
      <c r="E18" s="137" t="s">
        <v>66</v>
      </c>
      <c r="F18" s="148">
        <v>-158215.38980407998</v>
      </c>
      <c r="G18" s="148">
        <v>-569017.2654266844</v>
      </c>
      <c r="H18" s="148">
        <v>-1138313.3519714645</v>
      </c>
      <c r="I18" s="148">
        <v>-1795119.3066266589</v>
      </c>
      <c r="J18" s="148">
        <v>-2610133.217989787</v>
      </c>
      <c r="K18" s="148">
        <v>-3528003.8167609493</v>
      </c>
      <c r="L18" s="148">
        <v>-4505677.9796842635</v>
      </c>
      <c r="M18" s="148">
        <v>-5592358.110868061</v>
      </c>
      <c r="N18" s="148">
        <v>-6827668.4324959069</v>
      </c>
      <c r="O18" s="148">
        <v>-8255973.8540653335</v>
      </c>
      <c r="P18" s="148">
        <v>-8543126.3059022166</v>
      </c>
      <c r="Q18" s="148">
        <v>-8076800.855862271</v>
      </c>
      <c r="R18" s="148">
        <v>-7725912.1159404581</v>
      </c>
      <c r="S18" s="148">
        <v>-7355701.0823393539</v>
      </c>
      <c r="T18" s="148">
        <v>-6949397.109848775</v>
      </c>
      <c r="U18" s="148">
        <v>-6648193.6326142475</v>
      </c>
      <c r="V18" s="148">
        <v>-6337032.4657467306</v>
      </c>
      <c r="W18" s="148">
        <v>-6010312.6899172673</v>
      </c>
      <c r="X18" s="148">
        <v>-5662909.898431764</v>
      </c>
      <c r="Y18" s="148">
        <v>-5286069.5406774767</v>
      </c>
      <c r="Z18" s="148">
        <v>-5095683.2744554719</v>
      </c>
      <c r="AA18" s="148">
        <v>-4879034.3817402637</v>
      </c>
      <c r="AB18" s="148">
        <v>-4647957.3115761541</v>
      </c>
      <c r="AC18" s="148">
        <v>-4407620.6225327328</v>
      </c>
      <c r="AD18" s="148">
        <v>-4145660.3083397625</v>
      </c>
      <c r="AE18" s="148">
        <v>-3877569.7946786527</v>
      </c>
      <c r="AF18" s="148">
        <v>-3603319.7942016185</v>
      </c>
      <c r="AG18" s="148">
        <v>-3316706.0617676442</v>
      </c>
      <c r="AH18" s="148">
        <v>-3013332.5253028241</v>
      </c>
      <c r="AI18" s="148">
        <v>-2686592.9572359035</v>
      </c>
      <c r="AJ18" s="148">
        <v>-2561944.2819940844</v>
      </c>
      <c r="AK18" s="148">
        <v>-2442225.9467257103</v>
      </c>
      <c r="AL18" s="148">
        <v>-2325413.1097550113</v>
      </c>
      <c r="AM18" s="148">
        <v>-2210938.3554319688</v>
      </c>
      <c r="AN18" s="148">
        <v>-2098389.3938947925</v>
      </c>
      <c r="AO18" s="148">
        <v>-1987462.0014858828</v>
      </c>
      <c r="AP18" s="148">
        <v>-1880836.7526234868</v>
      </c>
      <c r="AQ18" s="148">
        <v>-1775215.0236339427</v>
      </c>
      <c r="AR18" s="148">
        <v>-1670818.3235762659</v>
      </c>
      <c r="AS18" s="148">
        <v>-1567767.9767761435</v>
      </c>
      <c r="AT18" s="148">
        <v>-1466106.7635299875</v>
      </c>
      <c r="AU18" s="148">
        <v>-1366589.7484545822</v>
      </c>
      <c r="AV18" s="148">
        <v>-1269014.8917492507</v>
      </c>
      <c r="AW18" s="148">
        <v>-1173843.2915773338</v>
      </c>
      <c r="AX18" s="148">
        <v>-1081588.1901862444</v>
      </c>
      <c r="AY18" s="148">
        <v>-992769.53810078895</v>
      </c>
      <c r="AZ18" s="148">
        <v>-908575.37872690265</v>
      </c>
      <c r="BA18" s="148">
        <v>-828539.32826698676</v>
      </c>
      <c r="BB18" s="148">
        <v>-753127.10461317899</v>
      </c>
      <c r="BC18" s="148">
        <v>-682583.2703456349</v>
      </c>
      <c r="BD18" s="148">
        <v>-616920.77867444966</v>
      </c>
      <c r="BE18" s="148">
        <v>-556107.87312501622</v>
      </c>
      <c r="BF18" s="148">
        <v>-499755.75704901025</v>
      </c>
      <c r="BG18" s="148">
        <v>-447515.34549795545</v>
      </c>
      <c r="BH18" s="148">
        <v>-399095.34118805738</v>
      </c>
      <c r="BI18" s="148">
        <v>-354247.2051549562</v>
      </c>
      <c r="BJ18" s="148">
        <v>-313531.16423653357</v>
      </c>
      <c r="BK18" s="148">
        <v>-275777.61173560045</v>
      </c>
      <c r="BL18" s="148">
        <v>-240941.68314068249</v>
      </c>
      <c r="BM18" s="148">
        <v>-208917.40550417575</v>
      </c>
      <c r="BN18" s="148">
        <v>-179557.41809847322</v>
      </c>
      <c r="BO18" s="148">
        <v>-152773.55864945744</v>
      </c>
      <c r="BP18" s="148">
        <v>-128464.3313216691</v>
      </c>
      <c r="BQ18" s="148">
        <v>-106617.20154810137</v>
      </c>
      <c r="BR18" s="148">
        <v>-87214.629727174426</v>
      </c>
      <c r="BS18" s="148">
        <v>-70217.243764969768</v>
      </c>
      <c r="BT18" s="148">
        <v>-55715.680946772634</v>
      </c>
      <c r="BU18" s="148">
        <v>-43400.504039533247</v>
      </c>
      <c r="BV18" s="148">
        <v>-33195.416696840141</v>
      </c>
      <c r="BW18" s="148">
        <v>-24954.462303572953</v>
      </c>
      <c r="BX18" s="148">
        <v>-18463.857415149516</v>
      </c>
      <c r="BY18" s="148">
        <v>-13574.294220398879</v>
      </c>
      <c r="BZ18" s="148">
        <v>-9867.9951604640301</v>
      </c>
      <c r="CA18" s="148">
        <v>-7077.9847940602822</v>
      </c>
      <c r="CB18" s="148">
        <v>-4985.85761000006</v>
      </c>
      <c r="CC18" s="148">
        <v>-3416.2079819321452</v>
      </c>
      <c r="CD18" s="148">
        <v>-2492.6060073630692</v>
      </c>
      <c r="CE18" s="148">
        <v>-1774.7776730299904</v>
      </c>
      <c r="CF18" s="148">
        <v>-1226.6326553881427</v>
      </c>
      <c r="CG18" s="148">
        <v>-816.2408674669274</v>
      </c>
      <c r="CH18" s="148">
        <v>-514.19840925957146</v>
      </c>
      <c r="CI18" s="148">
        <v>-329.07123926480313</v>
      </c>
      <c r="CJ18" s="148">
        <v>-197.72992848575512</v>
      </c>
      <c r="CK18" s="148">
        <v>-106.37580054031571</v>
      </c>
      <c r="CL18" s="148">
        <v>-43.552058446997627</v>
      </c>
      <c r="CM18" s="148">
        <v>0</v>
      </c>
      <c r="CN18" s="148">
        <v>0</v>
      </c>
      <c r="CO18" s="148">
        <v>0</v>
      </c>
      <c r="CP18" s="148">
        <v>0</v>
      </c>
      <c r="CQ18" s="148">
        <v>0</v>
      </c>
      <c r="CR18" s="148">
        <v>0</v>
      </c>
      <c r="CS18" s="148">
        <v>0</v>
      </c>
      <c r="CT18" s="148">
        <v>0</v>
      </c>
      <c r="CU18" s="148">
        <v>0</v>
      </c>
      <c r="CV18" s="148">
        <v>0</v>
      </c>
      <c r="CW18" s="148">
        <v>0</v>
      </c>
      <c r="CX18" s="148">
        <v>0</v>
      </c>
      <c r="CY18" s="148">
        <v>0</v>
      </c>
      <c r="CZ18" s="148">
        <v>0</v>
      </c>
      <c r="DA18" s="148">
        <v>0</v>
      </c>
    </row>
    <row r="19" spans="2:105" x14ac:dyDescent="0.3">
      <c r="B19" s="124" t="s">
        <v>56</v>
      </c>
      <c r="C19" s="136" t="s">
        <v>67</v>
      </c>
      <c r="E19" s="137" t="s">
        <v>68</v>
      </c>
      <c r="F19" s="161">
        <v>-1447.4829458505019</v>
      </c>
      <c r="G19" s="124">
        <v>-2931.2500000000032</v>
      </c>
      <c r="H19" s="124">
        <v>-3752.0000000000041</v>
      </c>
      <c r="I19" s="124">
        <v>-4355.0000000000045</v>
      </c>
      <c r="J19" s="124">
        <v>-5678.2500000000064</v>
      </c>
      <c r="K19" s="124">
        <v>-6214.2500000000064</v>
      </c>
      <c r="L19" s="124">
        <v>-6934.5000000000064</v>
      </c>
      <c r="M19" s="124">
        <v>-7855.7500000000082</v>
      </c>
      <c r="N19" s="124">
        <v>-9045.0000000000091</v>
      </c>
      <c r="O19" s="124">
        <v>-10602.750000000009</v>
      </c>
      <c r="P19" s="124">
        <v>0</v>
      </c>
      <c r="Q19" s="124">
        <v>0</v>
      </c>
      <c r="R19" s="124">
        <v>0</v>
      </c>
      <c r="S19" s="124">
        <v>0</v>
      </c>
      <c r="T19" s="124">
        <v>0</v>
      </c>
      <c r="U19" s="124">
        <v>0</v>
      </c>
      <c r="V19" s="124">
        <v>0</v>
      </c>
      <c r="W19" s="124">
        <v>0</v>
      </c>
      <c r="X19" s="124">
        <v>0</v>
      </c>
      <c r="Y19" s="124">
        <v>0</v>
      </c>
      <c r="Z19" s="124">
        <v>0</v>
      </c>
      <c r="AA19" s="124">
        <v>0</v>
      </c>
      <c r="AB19" s="124">
        <v>0</v>
      </c>
      <c r="AC19" s="124">
        <v>0</v>
      </c>
      <c r="AD19" s="124">
        <v>0</v>
      </c>
      <c r="AE19" s="124">
        <v>0</v>
      </c>
      <c r="AF19" s="124">
        <v>0</v>
      </c>
      <c r="AG19" s="124">
        <v>0</v>
      </c>
      <c r="AH19" s="124">
        <v>0</v>
      </c>
      <c r="AI19" s="124">
        <v>0</v>
      </c>
      <c r="AJ19" s="124">
        <v>0</v>
      </c>
      <c r="AK19" s="124">
        <v>0</v>
      </c>
      <c r="AL19" s="124">
        <v>0</v>
      </c>
      <c r="AM19" s="124">
        <v>0</v>
      </c>
      <c r="AN19" s="124">
        <v>0</v>
      </c>
      <c r="AO19" s="124">
        <v>0</v>
      </c>
      <c r="AP19" s="124">
        <v>0</v>
      </c>
      <c r="AQ19" s="124">
        <v>0</v>
      </c>
      <c r="AR19" s="124">
        <v>0</v>
      </c>
      <c r="AS19" s="124">
        <v>0</v>
      </c>
      <c r="AT19" s="124">
        <v>0</v>
      </c>
      <c r="AU19" s="124">
        <v>0</v>
      </c>
      <c r="AV19" s="124">
        <v>0</v>
      </c>
      <c r="AW19" s="124">
        <v>0</v>
      </c>
      <c r="AX19" s="124">
        <v>0</v>
      </c>
      <c r="AY19" s="124">
        <v>0</v>
      </c>
      <c r="AZ19" s="124">
        <v>0</v>
      </c>
      <c r="BA19" s="124">
        <v>0</v>
      </c>
      <c r="BB19" s="124">
        <v>0</v>
      </c>
      <c r="BC19" s="124">
        <v>0</v>
      </c>
      <c r="BD19" s="124">
        <v>0</v>
      </c>
      <c r="BE19" s="124">
        <v>0</v>
      </c>
      <c r="BF19" s="124">
        <v>0</v>
      </c>
      <c r="BG19" s="124">
        <v>0</v>
      </c>
      <c r="BH19" s="124">
        <v>0</v>
      </c>
      <c r="BI19" s="124">
        <v>0</v>
      </c>
      <c r="BJ19" s="124">
        <v>0</v>
      </c>
      <c r="BK19" s="124">
        <v>0</v>
      </c>
      <c r="BL19" s="124">
        <v>0</v>
      </c>
      <c r="BM19" s="124">
        <v>0</v>
      </c>
      <c r="BN19" s="124">
        <v>0</v>
      </c>
      <c r="BO19" s="124">
        <v>0</v>
      </c>
      <c r="BP19" s="124">
        <v>0</v>
      </c>
      <c r="BQ19" s="124">
        <v>0</v>
      </c>
      <c r="BR19" s="124">
        <v>0</v>
      </c>
      <c r="BS19" s="124">
        <v>0</v>
      </c>
      <c r="BT19" s="124">
        <v>0</v>
      </c>
      <c r="BU19" s="124">
        <v>0</v>
      </c>
      <c r="BV19" s="124">
        <v>0</v>
      </c>
      <c r="BW19" s="124">
        <v>0</v>
      </c>
      <c r="BX19" s="124">
        <v>0</v>
      </c>
      <c r="BY19" s="124">
        <v>0</v>
      </c>
      <c r="BZ19" s="124">
        <v>0</v>
      </c>
      <c r="CA19" s="124">
        <v>0</v>
      </c>
      <c r="CB19" s="124">
        <v>0</v>
      </c>
      <c r="CC19" s="124">
        <v>0</v>
      </c>
      <c r="CD19" s="124">
        <v>0</v>
      </c>
      <c r="CE19" s="124">
        <v>0</v>
      </c>
      <c r="CF19" s="124">
        <v>0</v>
      </c>
      <c r="CG19" s="124">
        <v>0</v>
      </c>
      <c r="CH19" s="124">
        <v>0</v>
      </c>
      <c r="CI19" s="124">
        <v>0</v>
      </c>
      <c r="CJ19" s="124">
        <v>0</v>
      </c>
      <c r="CK19" s="124">
        <v>0</v>
      </c>
      <c r="CL19" s="124">
        <v>0</v>
      </c>
      <c r="CM19" s="124">
        <v>0</v>
      </c>
      <c r="CN19" s="124">
        <v>0</v>
      </c>
      <c r="CO19" s="124">
        <v>0</v>
      </c>
      <c r="CP19" s="124">
        <v>0</v>
      </c>
      <c r="CQ19" s="124">
        <v>0</v>
      </c>
      <c r="CR19" s="124">
        <v>0</v>
      </c>
      <c r="CS19" s="124">
        <v>0</v>
      </c>
      <c r="CT19" s="124">
        <v>0</v>
      </c>
      <c r="CU19" s="124">
        <v>0</v>
      </c>
      <c r="CV19" s="124">
        <v>0</v>
      </c>
      <c r="CW19" s="124">
        <v>0</v>
      </c>
      <c r="CX19" s="124">
        <v>0</v>
      </c>
      <c r="CY19" s="124">
        <v>0</v>
      </c>
      <c r="CZ19" s="124">
        <v>0</v>
      </c>
      <c r="DA19" s="124">
        <v>0</v>
      </c>
    </row>
    <row r="20" spans="2:105" x14ac:dyDescent="0.3">
      <c r="B20" s="124" t="s">
        <v>56</v>
      </c>
      <c r="C20" s="136" t="s">
        <v>69</v>
      </c>
      <c r="E20" s="137" t="s">
        <v>70</v>
      </c>
      <c r="F20" s="124">
        <v>-8327.1257791621138</v>
      </c>
      <c r="G20" s="124">
        <v>-29948.277127720256</v>
      </c>
      <c r="H20" s="124">
        <v>-59911.229051129762</v>
      </c>
      <c r="I20" s="124">
        <v>-94479.963506666405</v>
      </c>
      <c r="J20" s="124">
        <v>-137375.43252577831</v>
      </c>
      <c r="K20" s="124">
        <v>-185684.41140847118</v>
      </c>
      <c r="L20" s="124">
        <v>-237140.9462991718</v>
      </c>
      <c r="M20" s="124">
        <v>-294334.63741410885</v>
      </c>
      <c r="N20" s="124">
        <v>-359350.97013136331</v>
      </c>
      <c r="O20" s="124">
        <v>-434524.9396876492</v>
      </c>
      <c r="P20" s="124">
        <v>-449638.22662643285</v>
      </c>
      <c r="Q20" s="124">
        <v>-425094.78188748786</v>
      </c>
      <c r="R20" s="124">
        <v>-406626.95347055083</v>
      </c>
      <c r="S20" s="124">
        <v>-387142.16222838691</v>
      </c>
      <c r="T20" s="124">
        <v>-365757.74262361991</v>
      </c>
      <c r="U20" s="124">
        <v>-349904.92803232896</v>
      </c>
      <c r="V20" s="124">
        <v>-333528.02451298578</v>
      </c>
      <c r="W20" s="124">
        <v>-316332.24683775072</v>
      </c>
      <c r="X20" s="124">
        <v>-298047.88939114584</v>
      </c>
      <c r="Y20" s="124">
        <v>-278214.18635144626</v>
      </c>
      <c r="Z20" s="124">
        <v>-268193.85655028839</v>
      </c>
      <c r="AA20" s="124">
        <v>-256791.28324948775</v>
      </c>
      <c r="AB20" s="124">
        <v>-244629.33218821869</v>
      </c>
      <c r="AC20" s="124">
        <v>-231980.03276488083</v>
      </c>
      <c r="AD20" s="124">
        <v>-218192.64780735609</v>
      </c>
      <c r="AE20" s="124">
        <v>-204082.620772561</v>
      </c>
      <c r="AF20" s="124">
        <v>-189648.4102211378</v>
      </c>
      <c r="AG20" s="124">
        <v>-174563.47693513942</v>
      </c>
      <c r="AH20" s="124">
        <v>-158596.44870014873</v>
      </c>
      <c r="AI20" s="124">
        <v>-141399.62932820548</v>
      </c>
      <c r="AJ20" s="124">
        <v>-134839.17273653077</v>
      </c>
      <c r="AK20" s="124">
        <v>-128538.20772240583</v>
      </c>
      <c r="AL20" s="124">
        <v>-122390.1636713164</v>
      </c>
      <c r="AM20" s="124">
        <v>-116365.1766016827</v>
      </c>
      <c r="AN20" s="124">
        <v>-110441.5470470944</v>
      </c>
      <c r="AO20" s="124">
        <v>-104603.2632360992</v>
      </c>
      <c r="AP20" s="124">
        <v>-98991.408032815336</v>
      </c>
      <c r="AQ20" s="124">
        <v>-93432.369664944476</v>
      </c>
      <c r="AR20" s="124">
        <v>-87937.806504014065</v>
      </c>
      <c r="AS20" s="124">
        <v>-82514.10404084975</v>
      </c>
      <c r="AT20" s="124">
        <v>-77163.513869999457</v>
      </c>
      <c r="AU20" s="124">
        <v>-71925.776234451769</v>
      </c>
      <c r="AV20" s="124">
        <v>-66790.257460486901</v>
      </c>
      <c r="AW20" s="124">
        <v>-61781.225872491268</v>
      </c>
      <c r="AX20" s="124">
        <v>-56925.694220328696</v>
      </c>
      <c r="AY20" s="124">
        <v>-52251.028321094156</v>
      </c>
      <c r="AZ20" s="124">
        <v>-47819.75677510017</v>
      </c>
      <c r="BA20" s="124">
        <v>-43607.333066683539</v>
      </c>
      <c r="BB20" s="124">
        <v>-39638.268663851573</v>
      </c>
      <c r="BC20" s="124">
        <v>-35925.435281349222</v>
      </c>
      <c r="BD20" s="124">
        <v>-32469.514667076299</v>
      </c>
      <c r="BE20" s="124">
        <v>-29268.835427632468</v>
      </c>
      <c r="BF20" s="124">
        <v>-26302.934581526864</v>
      </c>
      <c r="BG20" s="124">
        <v>-23553.439236734517</v>
      </c>
      <c r="BH20" s="124">
        <v>-21005.017957266191</v>
      </c>
      <c r="BI20" s="124">
        <v>-18644.589744997687</v>
      </c>
      <c r="BJ20" s="124">
        <v>-16501.640222975475</v>
      </c>
      <c r="BK20" s="124">
        <v>-14514.61114397898</v>
      </c>
      <c r="BL20" s="124">
        <v>-12681.141217930675</v>
      </c>
      <c r="BM20" s="124">
        <v>-10995.652921272418</v>
      </c>
      <c r="BN20" s="124">
        <v>-9450.3904262354426</v>
      </c>
      <c r="BO20" s="124">
        <v>-8040.7136131293482</v>
      </c>
      <c r="BP20" s="124">
        <v>-6761.280595877327</v>
      </c>
      <c r="BQ20" s="124">
        <v>-5611.4316604263913</v>
      </c>
      <c r="BR20" s="124">
        <v>-4590.2436698512911</v>
      </c>
      <c r="BS20" s="124">
        <v>-3695.6444086826223</v>
      </c>
      <c r="BT20" s="124">
        <v>-2932.4042603564594</v>
      </c>
      <c r="BU20" s="124">
        <v>-2284.2370547122782</v>
      </c>
      <c r="BV20" s="124">
        <v>-1747.127194570535</v>
      </c>
      <c r="BW20" s="124">
        <v>-1313.3927528196295</v>
      </c>
      <c r="BX20" s="124">
        <v>-971.78196921839617</v>
      </c>
      <c r="BY20" s="124">
        <v>-714.43653791573115</v>
      </c>
      <c r="BZ20" s="124">
        <v>-519.36816634021272</v>
      </c>
      <c r="CA20" s="124">
        <v>-372.52551547685727</v>
      </c>
      <c r="CB20" s="124">
        <v>-262.413558421056</v>
      </c>
      <c r="CC20" s="124">
        <v>-179.80042010169205</v>
      </c>
      <c r="CD20" s="124">
        <v>-131.18978986121431</v>
      </c>
      <c r="CE20" s="124">
        <v>-93.409351212104866</v>
      </c>
      <c r="CF20" s="124">
        <v>-64.559613441481261</v>
      </c>
      <c r="CG20" s="124">
        <v>-42.960045656154108</v>
      </c>
      <c r="CH20" s="124">
        <v>-27.063074171556416</v>
      </c>
      <c r="CI20" s="124">
        <v>-17.319538908673859</v>
      </c>
      <c r="CJ20" s="124">
        <v>-10.406838341355542</v>
      </c>
      <c r="CK20" s="124">
        <v>-5.5987263442271473</v>
      </c>
      <c r="CL20" s="124">
        <v>-2.2922136024735615</v>
      </c>
      <c r="CM20" s="124">
        <v>0</v>
      </c>
      <c r="CN20" s="124">
        <v>0</v>
      </c>
      <c r="CO20" s="124">
        <v>0</v>
      </c>
      <c r="CP20" s="124">
        <v>0</v>
      </c>
      <c r="CQ20" s="124">
        <v>0</v>
      </c>
      <c r="CR20" s="124">
        <v>0</v>
      </c>
      <c r="CS20" s="124">
        <v>0</v>
      </c>
      <c r="CT20" s="124">
        <v>0</v>
      </c>
      <c r="CU20" s="124">
        <v>0</v>
      </c>
      <c r="CV20" s="124">
        <v>0</v>
      </c>
      <c r="CW20" s="124">
        <v>0</v>
      </c>
      <c r="CX20" s="124">
        <v>0</v>
      </c>
      <c r="CY20" s="124">
        <v>0</v>
      </c>
      <c r="CZ20" s="124">
        <v>0</v>
      </c>
      <c r="DA20" s="124">
        <v>0</v>
      </c>
    </row>
    <row r="21" spans="2:105" x14ac:dyDescent="0.3">
      <c r="B21" s="124" t="s">
        <v>71</v>
      </c>
      <c r="C21" s="136" t="s">
        <v>72</v>
      </c>
      <c r="E21" s="137" t="s">
        <v>73</v>
      </c>
      <c r="F21" s="115">
        <v>-1860168.1917347617</v>
      </c>
      <c r="G21" s="115">
        <v>-5843916.917150856</v>
      </c>
      <c r="H21" s="115">
        <v>-10429292.308507152</v>
      </c>
      <c r="I21" s="115">
        <v>-14968324.354879815</v>
      </c>
      <c r="J21" s="115">
        <v>-20888814.822152406</v>
      </c>
      <c r="K21" s="115">
        <v>-27039221.678781562</v>
      </c>
      <c r="L21" s="115">
        <v>-33024318.447121594</v>
      </c>
      <c r="M21" s="115">
        <v>-39507318.839896642</v>
      </c>
      <c r="N21" s="115">
        <v>-47065996.904050723</v>
      </c>
      <c r="O21" s="115">
        <v>-55973978.007754698</v>
      </c>
      <c r="P21" s="115">
        <v>-50486000.383804061</v>
      </c>
      <c r="Q21" s="115">
        <v>-42101357.536889412</v>
      </c>
      <c r="R21" s="115">
        <v>-38053881.658243909</v>
      </c>
      <c r="S21" s="115">
        <v>-35653414.513269417</v>
      </c>
      <c r="T21" s="115">
        <v>-30829326.262735762</v>
      </c>
      <c r="U21" s="115">
        <v>-29211918.484078348</v>
      </c>
      <c r="V21" s="115">
        <v>-28065630.832630862</v>
      </c>
      <c r="W21" s="115">
        <v>-27034949.779752389</v>
      </c>
      <c r="X21" s="115">
        <v>-26540353.387359135</v>
      </c>
      <c r="Y21" s="115">
        <v>-24055422.804054439</v>
      </c>
      <c r="Z21" s="115">
        <v>-23601168.127810918</v>
      </c>
      <c r="AA21" s="115">
        <v>-23010803.598301675</v>
      </c>
      <c r="AB21" s="115">
        <v>-22322755.378806151</v>
      </c>
      <c r="AC21" s="115">
        <v>-21619991.356593274</v>
      </c>
      <c r="AD21" s="115">
        <v>-19606075.32394753</v>
      </c>
      <c r="AE21" s="115">
        <v>-18667881.902288035</v>
      </c>
      <c r="AF21" s="115">
        <v>-17704034.169271041</v>
      </c>
      <c r="AG21" s="115">
        <v>-16755412.787585223</v>
      </c>
      <c r="AH21" s="115">
        <v>-15893292.410063637</v>
      </c>
      <c r="AI21" s="115">
        <v>-14380556.886869702</v>
      </c>
      <c r="AJ21" s="115">
        <v>-13615328.688290017</v>
      </c>
      <c r="AK21" s="115">
        <v>-12962615.387022085</v>
      </c>
      <c r="AL21" s="115">
        <v>-12407627.786387272</v>
      </c>
      <c r="AM21" s="115">
        <v>-11943450.022506163</v>
      </c>
      <c r="AN21" s="115">
        <v>-11135911.190637385</v>
      </c>
      <c r="AO21" s="115">
        <v>-10577677.970757609</v>
      </c>
      <c r="AP21" s="115">
        <v>-10191657.496041223</v>
      </c>
      <c r="AQ21" s="115">
        <v>-9802250.3328988776</v>
      </c>
      <c r="AR21" s="115">
        <v>-9429673.0369061977</v>
      </c>
      <c r="AS21" s="115">
        <v>-8840852.3466530666</v>
      </c>
      <c r="AT21" s="115">
        <v>-8450701.5965841208</v>
      </c>
      <c r="AU21" s="115">
        <v>-8047770.281715001</v>
      </c>
      <c r="AV21" s="115">
        <v>-7630888.5866414998</v>
      </c>
      <c r="AW21" s="115">
        <v>-7204527.5808235845</v>
      </c>
      <c r="AX21" s="115">
        <v>-6639219.675156597</v>
      </c>
      <c r="AY21" s="115">
        <v>-6134356.0582223199</v>
      </c>
      <c r="AZ21" s="115">
        <v>-5670669.8133630501</v>
      </c>
      <c r="BA21" s="115">
        <v>-5201822.5837462554</v>
      </c>
      <c r="BB21" s="115">
        <v>-4743605.1370342178</v>
      </c>
      <c r="BC21" s="115">
        <v>-4244551.0871360525</v>
      </c>
      <c r="BD21" s="115">
        <v>-3821604.1311072353</v>
      </c>
      <c r="BE21" s="115">
        <v>-3437489.9245000663</v>
      </c>
      <c r="BF21" s="115">
        <v>-3088827.8462360026</v>
      </c>
      <c r="BG21" s="115">
        <v>-2772728.2611124236</v>
      </c>
      <c r="BH21" s="115">
        <v>-2457487.4442682271</v>
      </c>
      <c r="BI21" s="115">
        <v>-2158705.639309526</v>
      </c>
      <c r="BJ21" s="115">
        <v>-1923003.3274582534</v>
      </c>
      <c r="BK21" s="115">
        <v>-1703087.3999035188</v>
      </c>
      <c r="BL21" s="115">
        <v>-1501365.2609077175</v>
      </c>
      <c r="BM21" s="115">
        <v>-1306395.9978907467</v>
      </c>
      <c r="BN21" s="115">
        <v>-1136768.876465179</v>
      </c>
      <c r="BO21" s="115">
        <v>-985499.17889078904</v>
      </c>
      <c r="BP21" s="115">
        <v>-846908.87285804213</v>
      </c>
      <c r="BQ21" s="115">
        <v>-720837.06780175969</v>
      </c>
      <c r="BR21" s="115">
        <v>-602415.57479274797</v>
      </c>
      <c r="BS21" s="115">
        <v>-494775.42511355365</v>
      </c>
      <c r="BT21" s="115">
        <v>-405674.30153083638</v>
      </c>
      <c r="BU21" s="115">
        <v>-326221.04450166668</v>
      </c>
      <c r="BV21" s="115">
        <v>-256832.53547474876</v>
      </c>
      <c r="BW21" s="115">
        <v>-196589.09860757133</v>
      </c>
      <c r="BX21" s="115">
        <v>-143840.53671588365</v>
      </c>
      <c r="BY21" s="115">
        <v>-106619.02826800702</v>
      </c>
      <c r="BZ21" s="115">
        <v>-77937.671221033583</v>
      </c>
      <c r="CA21" s="115">
        <v>-56258.259640492688</v>
      </c>
      <c r="CB21" s="115">
        <v>-40034.203928154348</v>
      </c>
      <c r="CC21" s="115">
        <v>-23368.59296981752</v>
      </c>
      <c r="CD21" s="115">
        <v>-16680.270325309793</v>
      </c>
      <c r="CE21" s="115">
        <v>-11757.907853683617</v>
      </c>
      <c r="CF21" s="115">
        <v>-8186.6581493239073</v>
      </c>
      <c r="CG21" s="115">
        <v>-5633.0428071984306</v>
      </c>
      <c r="CH21" s="115">
        <v>-2852.7139550370985</v>
      </c>
      <c r="CI21" s="115">
        <v>-1956.2766430776105</v>
      </c>
      <c r="CJ21" s="115">
        <v>-1316.82650663094</v>
      </c>
      <c r="CK21" s="115">
        <v>-878.89410145171223</v>
      </c>
      <c r="CL21" s="115">
        <v>-593.0357067787229</v>
      </c>
      <c r="CM21" s="115">
        <v>0</v>
      </c>
      <c r="CN21" s="115">
        <v>0</v>
      </c>
      <c r="CO21" s="115">
        <v>0</v>
      </c>
      <c r="CP21" s="115">
        <v>0</v>
      </c>
      <c r="CQ21" s="115">
        <v>0</v>
      </c>
      <c r="CR21" s="115">
        <v>0</v>
      </c>
      <c r="CS21" s="115">
        <v>0</v>
      </c>
      <c r="CT21" s="115">
        <v>0</v>
      </c>
      <c r="CU21" s="115">
        <v>0</v>
      </c>
      <c r="CV21" s="115">
        <v>0</v>
      </c>
      <c r="CW21" s="115">
        <v>0</v>
      </c>
      <c r="CX21" s="115">
        <v>0</v>
      </c>
      <c r="CY21" s="115">
        <v>0</v>
      </c>
      <c r="CZ21" s="115">
        <v>0</v>
      </c>
      <c r="DA21" s="115">
        <v>0</v>
      </c>
    </row>
    <row r="22" spans="2:105" x14ac:dyDescent="0.3">
      <c r="C22" s="138" t="s">
        <v>74</v>
      </c>
      <c r="D22" s="139"/>
      <c r="E22" s="140" t="s">
        <v>75</v>
      </c>
      <c r="F22" s="256">
        <v>-98279.583213859107</v>
      </c>
      <c r="G22" s="256">
        <v>219608.46953935613</v>
      </c>
      <c r="H22" s="139">
        <v>1240423.1222044199</v>
      </c>
      <c r="I22" s="139">
        <v>2799737.1803883538</v>
      </c>
      <c r="J22" s="139">
        <v>4263884.5613826197</v>
      </c>
      <c r="K22" s="139">
        <v>6181563.978548036</v>
      </c>
      <c r="L22" s="139">
        <v>8519110.2341216505</v>
      </c>
      <c r="M22" s="139">
        <v>11068978.754341416</v>
      </c>
      <c r="N22" s="139">
        <v>13618815.821706273</v>
      </c>
      <c r="O22" s="139">
        <v>16375927.453713089</v>
      </c>
      <c r="P22" s="139">
        <v>20313165.220313251</v>
      </c>
      <c r="Q22" s="139">
        <v>20461490.503825732</v>
      </c>
      <c r="R22" s="139">
        <v>18579901.532984786</v>
      </c>
      <c r="S22" s="139">
        <v>15656150.105881546</v>
      </c>
      <c r="T22" s="139">
        <v>15620766.140488287</v>
      </c>
      <c r="U22" s="139">
        <v>12864228.664840924</v>
      </c>
      <c r="V22" s="139">
        <v>9979993.9907454867</v>
      </c>
      <c r="W22" s="139">
        <v>7267220.2640058557</v>
      </c>
      <c r="X22" s="139">
        <v>4282615.6483051376</v>
      </c>
      <c r="Y22" s="139">
        <v>3507919.1716832644</v>
      </c>
      <c r="Z22" s="139">
        <v>1036475.8864361774</v>
      </c>
      <c r="AA22" s="139">
        <v>-1014644.313996401</v>
      </c>
      <c r="AB22" s="139">
        <v>-2780667.9431279642</v>
      </c>
      <c r="AC22" s="139">
        <v>-4341683.8586379914</v>
      </c>
      <c r="AD22" s="139">
        <v>-4403673.402894048</v>
      </c>
      <c r="AE22" s="139">
        <v>-5359413.3537504598</v>
      </c>
      <c r="AF22" s="139">
        <v>-6041652.061998398</v>
      </c>
      <c r="AG22" s="139">
        <v>-6565520.9303156007</v>
      </c>
      <c r="AH22" s="139">
        <v>-7011937.0932163987</v>
      </c>
      <c r="AI22" s="139">
        <v>-6657049.7723001409</v>
      </c>
      <c r="AJ22" s="139">
        <v>-6898393.1922470611</v>
      </c>
      <c r="AK22" s="139">
        <v>-7094696.7227693172</v>
      </c>
      <c r="AL22" s="139">
        <v>-7292100.4882349428</v>
      </c>
      <c r="AM22" s="139">
        <v>-7498409.9887001263</v>
      </c>
      <c r="AN22" s="139">
        <v>-7291200.6846970031</v>
      </c>
      <c r="AO22" s="139">
        <v>-7272963.5579509595</v>
      </c>
      <c r="AP22" s="139">
        <v>-7348754.3464655969</v>
      </c>
      <c r="AQ22" s="139">
        <v>-7375050.3573510852</v>
      </c>
      <c r="AR22" s="139">
        <v>-7375097.3959889635</v>
      </c>
      <c r="AS22" s="139">
        <v>-7119162.8123747082</v>
      </c>
      <c r="AT22" s="139">
        <v>-7025720.5064645093</v>
      </c>
      <c r="AU22" s="139">
        <v>-6878384.3787678517</v>
      </c>
      <c r="AV22" s="139">
        <v>-6685746.6919000605</v>
      </c>
      <c r="AW22" s="139">
        <v>-6454621.677051927</v>
      </c>
      <c r="AX22" s="139">
        <v>-6057708.0017969217</v>
      </c>
      <c r="AY22" s="139">
        <v>-5696487.1489907708</v>
      </c>
      <c r="AZ22" s="139">
        <v>-5351712.2127687484</v>
      </c>
      <c r="BA22" s="139">
        <v>-4981493.1245380519</v>
      </c>
      <c r="BB22" s="139">
        <v>-4603487.3910253849</v>
      </c>
      <c r="BC22" s="139">
        <v>-4168275.6058203233</v>
      </c>
      <c r="BD22" s="139">
        <v>-3794959.2229646272</v>
      </c>
      <c r="BE22" s="139">
        <v>-3448333.704182806</v>
      </c>
      <c r="BF22" s="139">
        <v>-3127298.4150139978</v>
      </c>
      <c r="BG22" s="139">
        <v>-2830877.9142031176</v>
      </c>
      <c r="BH22" s="139">
        <v>-2528939.451895705</v>
      </c>
      <c r="BI22" s="139">
        <v>-2238368.1547543625</v>
      </c>
      <c r="BJ22" s="139">
        <v>-2006352.3994775512</v>
      </c>
      <c r="BK22" s="139">
        <v>-1787080.3146122005</v>
      </c>
      <c r="BL22" s="139">
        <v>-1583575.2679429809</v>
      </c>
      <c r="BM22" s="139">
        <v>-1384924.9534038005</v>
      </c>
      <c r="BN22" s="139">
        <v>-1210164.9825102827</v>
      </c>
      <c r="BO22" s="139">
        <v>-1052705.7768393357</v>
      </c>
      <c r="BP22" s="139">
        <v>-907237.51421470754</v>
      </c>
      <c r="BQ22" s="139">
        <v>-773938.93766964704</v>
      </c>
      <c r="BR22" s="139">
        <v>-648245.89496747579</v>
      </c>
      <c r="BS22" s="139">
        <v>-533549.00578740868</v>
      </c>
      <c r="BT22" s="139">
        <v>-437918.14814635337</v>
      </c>
      <c r="BU22" s="139">
        <v>-352487.10266916722</v>
      </c>
      <c r="BV22" s="139">
        <v>-277816.1287700414</v>
      </c>
      <c r="BW22" s="139">
        <v>-213054.930726911</v>
      </c>
      <c r="BX22" s="139">
        <v>-156551.62407187285</v>
      </c>
      <c r="BY22" s="139">
        <v>-116344.28569172656</v>
      </c>
      <c r="BZ22" s="139">
        <v>-85285.880150308963</v>
      </c>
      <c r="CA22" s="139">
        <v>-61729.697401502548</v>
      </c>
      <c r="CB22" s="139">
        <v>-44032.081169217883</v>
      </c>
      <c r="CC22" s="139">
        <v>-26211.7096802452</v>
      </c>
      <c r="CD22" s="139">
        <v>-18803.069046509972</v>
      </c>
      <c r="CE22" s="139">
        <v>-13300.257538859232</v>
      </c>
      <c r="CF22" s="139">
        <v>-9272.1801380586385</v>
      </c>
      <c r="CG22" s="139">
        <v>-6367.8468586630579</v>
      </c>
      <c r="CH22" s="139">
        <v>-3323.9089959239736</v>
      </c>
      <c r="CI22" s="139">
        <v>-2260.1268703171827</v>
      </c>
      <c r="CJ22" s="139">
        <v>-1500.6638522658734</v>
      </c>
      <c r="CK22" s="139">
        <v>-978.40157181559778</v>
      </c>
      <c r="CL22" s="139">
        <v>-633.98956625465621</v>
      </c>
      <c r="CM22" s="139">
        <v>0</v>
      </c>
      <c r="CN22" s="139">
        <v>0</v>
      </c>
      <c r="CO22" s="139">
        <v>0</v>
      </c>
      <c r="CP22" s="139">
        <v>0</v>
      </c>
      <c r="CQ22" s="139">
        <v>0</v>
      </c>
      <c r="CR22" s="139">
        <v>0</v>
      </c>
      <c r="CS22" s="139">
        <v>0</v>
      </c>
      <c r="CT22" s="139">
        <v>0</v>
      </c>
      <c r="CU22" s="139">
        <v>0</v>
      </c>
      <c r="CV22" s="139">
        <v>0</v>
      </c>
      <c r="CW22" s="139">
        <v>0</v>
      </c>
      <c r="CX22" s="139">
        <v>0</v>
      </c>
      <c r="CY22" s="139">
        <v>0</v>
      </c>
      <c r="CZ22" s="139">
        <v>0</v>
      </c>
      <c r="DA22" s="139">
        <v>0</v>
      </c>
    </row>
    <row r="23" spans="2:105" x14ac:dyDescent="0.3">
      <c r="E23" s="137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</row>
    <row r="24" spans="2:105" x14ac:dyDescent="0.3">
      <c r="C24" s="131" t="s">
        <v>76</v>
      </c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</row>
    <row r="25" spans="2:105" ht="14.4" customHeight="1" x14ac:dyDescent="0.3">
      <c r="B25" s="124" t="s">
        <v>56</v>
      </c>
      <c r="C25" s="133" t="s">
        <v>57</v>
      </c>
      <c r="D25" s="134"/>
      <c r="E25" s="192" t="s">
        <v>77</v>
      </c>
      <c r="F25" s="258">
        <v>2659731.8270136411</v>
      </c>
      <c r="G25" s="258">
        <v>9102158.3708133772</v>
      </c>
      <c r="H25" s="134">
        <v>17499754.119359531</v>
      </c>
      <c r="I25" s="134">
        <v>26675636.443888925</v>
      </c>
      <c r="J25" s="134">
        <v>37839743.498056099</v>
      </c>
      <c r="K25" s="134">
        <v>50037806.36000634</v>
      </c>
      <c r="L25" s="134">
        <v>62671512.608169541</v>
      </c>
      <c r="M25" s="134">
        <v>76425475.339635208</v>
      </c>
      <c r="N25" s="134">
        <v>91851200.128553405</v>
      </c>
      <c r="O25" s="134">
        <v>109663999.56107542</v>
      </c>
      <c r="P25" s="134">
        <v>107536293.98469803</v>
      </c>
      <c r="Q25" s="134">
        <v>95774587.167742401</v>
      </c>
      <c r="R25" s="134">
        <v>87286148.599244907</v>
      </c>
      <c r="S25" s="134">
        <v>79585455.341938883</v>
      </c>
      <c r="T25" s="134">
        <v>72459901.961855128</v>
      </c>
      <c r="U25" s="134">
        <v>66137797.452245072</v>
      </c>
      <c r="V25" s="134">
        <v>60264400.692231938</v>
      </c>
      <c r="W25" s="134">
        <v>54755815.33761894</v>
      </c>
      <c r="X25" s="134">
        <v>49574025.368581116</v>
      </c>
      <c r="Y25" s="134">
        <v>44646395.825831003</v>
      </c>
      <c r="Z25" s="134">
        <v>40433316.907348871</v>
      </c>
      <c r="AA25" s="134">
        <v>36566017.451880127</v>
      </c>
      <c r="AB25" s="134">
        <v>32930827.600326903</v>
      </c>
      <c r="AC25" s="134">
        <v>29538959.775273435</v>
      </c>
      <c r="AD25" s="134">
        <v>26369615.737467114</v>
      </c>
      <c r="AE25" s="134">
        <v>23436820.706184331</v>
      </c>
      <c r="AF25" s="134">
        <v>20829313.088538289</v>
      </c>
      <c r="AG25" s="134">
        <v>18438222.90562319</v>
      </c>
      <c r="AH25" s="134">
        <v>16244318.451280611</v>
      </c>
      <c r="AI25" s="134">
        <v>14220350.001527866</v>
      </c>
      <c r="AJ25" s="134">
        <v>12686952.763845788</v>
      </c>
      <c r="AK25" s="134">
        <v>11372887.895823285</v>
      </c>
      <c r="AL25" s="134">
        <v>10193167.886224598</v>
      </c>
      <c r="AM25" s="134">
        <v>9127147.6628567204</v>
      </c>
      <c r="AN25" s="134">
        <v>8158411.6534801377</v>
      </c>
      <c r="AO25" s="134">
        <v>7273287.9751059851</v>
      </c>
      <c r="AP25" s="134">
        <v>6499637.8844095981</v>
      </c>
      <c r="AQ25" s="134">
        <v>5789551.7100359593</v>
      </c>
      <c r="AR25" s="134">
        <v>5139261.1468969258</v>
      </c>
      <c r="AS25" s="134">
        <v>4544436.138942522</v>
      </c>
      <c r="AT25" s="134">
        <v>4000338.7702420466</v>
      </c>
      <c r="AU25" s="134">
        <v>3514691.9509921498</v>
      </c>
      <c r="AV25" s="134">
        <v>3074052.6198802935</v>
      </c>
      <c r="AW25" s="134">
        <v>2675917.0097324555</v>
      </c>
      <c r="AX25" s="134">
        <v>2318093.7436202862</v>
      </c>
      <c r="AY25" s="134">
        <v>1998503.3364601496</v>
      </c>
      <c r="AZ25" s="134">
        <v>1718804.2265448878</v>
      </c>
      <c r="BA25" s="134">
        <v>1472339.7850968633</v>
      </c>
      <c r="BB25" s="134">
        <v>1257254.8777437508</v>
      </c>
      <c r="BC25" s="134">
        <v>1071137.7182516342</v>
      </c>
      <c r="BD25" s="134">
        <v>911098.65429128835</v>
      </c>
      <c r="BE25" s="134">
        <v>774303.13863869128</v>
      </c>
      <c r="BF25" s="134">
        <v>657126.85020557872</v>
      </c>
      <c r="BG25" s="134">
        <v>556494.78658220358</v>
      </c>
      <c r="BH25" s="134">
        <v>469876.48452540074</v>
      </c>
      <c r="BI25" s="134">
        <v>395187.70816053532</v>
      </c>
      <c r="BJ25" s="134">
        <v>332457.86043155188</v>
      </c>
      <c r="BK25" s="134">
        <v>278031.41262924252</v>
      </c>
      <c r="BL25" s="134">
        <v>231014.57860289628</v>
      </c>
      <c r="BM25" s="134">
        <v>190544.61308948032</v>
      </c>
      <c r="BN25" s="134">
        <v>155810.91978383437</v>
      </c>
      <c r="BO25" s="134">
        <v>126155.89530194065</v>
      </c>
      <c r="BP25" s="134">
        <v>100939.31342436792</v>
      </c>
      <c r="BQ25" s="134">
        <v>79685.664879568707</v>
      </c>
      <c r="BR25" s="134">
        <v>61960.314315764939</v>
      </c>
      <c r="BS25" s="134">
        <v>47357.557277355088</v>
      </c>
      <c r="BT25" s="134">
        <v>35585.227212415572</v>
      </c>
      <c r="BU25" s="134">
        <v>26170.731707203606</v>
      </c>
      <c r="BV25" s="134">
        <v>18812.601881560815</v>
      </c>
      <c r="BW25" s="134">
        <v>13210.27350007126</v>
      </c>
      <c r="BX25" s="134">
        <v>9062.7385827206781</v>
      </c>
      <c r="BY25" s="134">
        <v>6150.2336045755601</v>
      </c>
      <c r="BZ25" s="134">
        <v>4095.8954144594013</v>
      </c>
      <c r="CA25" s="134">
        <v>2667.2136772605218</v>
      </c>
      <c r="CB25" s="134">
        <v>1685.167018002136</v>
      </c>
      <c r="CC25" s="134">
        <v>1014.6788296578926</v>
      </c>
      <c r="CD25" s="134">
        <v>675.19821566590417</v>
      </c>
      <c r="CE25" s="134">
        <v>439.13388014350852</v>
      </c>
      <c r="CF25" s="134">
        <v>277.18366589608019</v>
      </c>
      <c r="CG25" s="134">
        <v>167.65075695209697</v>
      </c>
      <c r="CH25" s="134">
        <v>94.429167849396293</v>
      </c>
      <c r="CI25" s="134">
        <v>57.332278886664334</v>
      </c>
      <c r="CJ25" s="134">
        <v>32.748546081101921</v>
      </c>
      <c r="CK25" s="134">
        <v>16.801962965845522</v>
      </c>
      <c r="CL25" s="134">
        <v>6.5908525249837124</v>
      </c>
      <c r="CM25" s="134">
        <v>0</v>
      </c>
      <c r="CN25" s="134">
        <v>0</v>
      </c>
      <c r="CO25" s="134">
        <v>0</v>
      </c>
      <c r="CP25" s="134">
        <v>0</v>
      </c>
      <c r="CQ25" s="134">
        <v>0</v>
      </c>
      <c r="CR25" s="134">
        <v>0</v>
      </c>
      <c r="CS25" s="134">
        <v>0</v>
      </c>
      <c r="CT25" s="134">
        <v>0</v>
      </c>
      <c r="CU25" s="134">
        <v>0</v>
      </c>
      <c r="CV25" s="134">
        <v>0</v>
      </c>
      <c r="CW25" s="134">
        <v>0</v>
      </c>
      <c r="CX25" s="134">
        <v>0</v>
      </c>
      <c r="CY25" s="134">
        <v>0</v>
      </c>
      <c r="CZ25" s="134">
        <v>0</v>
      </c>
      <c r="DA25" s="134">
        <v>0</v>
      </c>
    </row>
    <row r="26" spans="2:105" x14ac:dyDescent="0.3">
      <c r="B26" s="124" t="s">
        <v>56</v>
      </c>
      <c r="C26" s="136" t="s">
        <v>59</v>
      </c>
      <c r="E26" s="193"/>
      <c r="F26" s="115">
        <v>0</v>
      </c>
      <c r="G26" s="115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4">
        <v>0</v>
      </c>
      <c r="P26" s="124">
        <v>0</v>
      </c>
      <c r="Q26" s="124">
        <v>0</v>
      </c>
      <c r="R26" s="124">
        <v>0</v>
      </c>
      <c r="S26" s="124">
        <v>0</v>
      </c>
      <c r="T26" s="124">
        <v>0</v>
      </c>
      <c r="U26" s="124">
        <v>0</v>
      </c>
      <c r="V26" s="124">
        <v>0</v>
      </c>
      <c r="W26" s="124">
        <v>0</v>
      </c>
      <c r="X26" s="124">
        <v>0</v>
      </c>
      <c r="Y26" s="124">
        <v>0</v>
      </c>
      <c r="Z26" s="124">
        <v>0</v>
      </c>
      <c r="AA26" s="124">
        <v>0</v>
      </c>
      <c r="AB26" s="124">
        <v>0</v>
      </c>
      <c r="AC26" s="124">
        <v>0</v>
      </c>
      <c r="AD26" s="124">
        <v>0</v>
      </c>
      <c r="AE26" s="124">
        <v>0</v>
      </c>
      <c r="AF26" s="124">
        <v>0</v>
      </c>
      <c r="AG26" s="124">
        <v>0</v>
      </c>
      <c r="AH26" s="124">
        <v>0</v>
      </c>
      <c r="AI26" s="124">
        <v>0</v>
      </c>
      <c r="AJ26" s="124">
        <v>0</v>
      </c>
      <c r="AK26" s="124">
        <v>0</v>
      </c>
      <c r="AL26" s="124">
        <v>0</v>
      </c>
      <c r="AM26" s="124">
        <v>0</v>
      </c>
      <c r="AN26" s="124">
        <v>0</v>
      </c>
      <c r="AO26" s="124">
        <v>0</v>
      </c>
      <c r="AP26" s="124">
        <v>0</v>
      </c>
      <c r="AQ26" s="124">
        <v>0</v>
      </c>
      <c r="AR26" s="124">
        <v>0</v>
      </c>
      <c r="AS26" s="124">
        <v>0</v>
      </c>
      <c r="AT26" s="124">
        <v>0</v>
      </c>
      <c r="AU26" s="124">
        <v>0</v>
      </c>
      <c r="AV26" s="124">
        <v>0</v>
      </c>
      <c r="AW26" s="124">
        <v>0</v>
      </c>
      <c r="AX26" s="124">
        <v>0</v>
      </c>
      <c r="AY26" s="124">
        <v>0</v>
      </c>
      <c r="AZ26" s="124">
        <v>0</v>
      </c>
      <c r="BA26" s="124">
        <v>0</v>
      </c>
      <c r="BB26" s="124">
        <v>0</v>
      </c>
      <c r="BC26" s="124">
        <v>0</v>
      </c>
      <c r="BD26" s="124">
        <v>0</v>
      </c>
      <c r="BE26" s="124">
        <v>0</v>
      </c>
      <c r="BF26" s="124">
        <v>0</v>
      </c>
      <c r="BG26" s="124">
        <v>0</v>
      </c>
      <c r="BH26" s="124">
        <v>0</v>
      </c>
      <c r="BI26" s="124">
        <v>0</v>
      </c>
      <c r="BJ26" s="124">
        <v>0</v>
      </c>
      <c r="BK26" s="124">
        <v>0</v>
      </c>
      <c r="BL26" s="124">
        <v>0</v>
      </c>
      <c r="BM26" s="124">
        <v>0</v>
      </c>
      <c r="BN26" s="124">
        <v>0</v>
      </c>
      <c r="BO26" s="124">
        <v>0</v>
      </c>
      <c r="BP26" s="124">
        <v>0</v>
      </c>
      <c r="BQ26" s="124">
        <v>0</v>
      </c>
      <c r="BR26" s="124">
        <v>0</v>
      </c>
      <c r="BS26" s="124">
        <v>0</v>
      </c>
      <c r="BT26" s="124">
        <v>0</v>
      </c>
      <c r="BU26" s="124">
        <v>0</v>
      </c>
      <c r="BV26" s="124">
        <v>0</v>
      </c>
      <c r="BW26" s="124">
        <v>0</v>
      </c>
      <c r="BX26" s="124">
        <v>0</v>
      </c>
      <c r="BY26" s="124">
        <v>0</v>
      </c>
      <c r="BZ26" s="124">
        <v>0</v>
      </c>
      <c r="CA26" s="124">
        <v>0</v>
      </c>
      <c r="CB26" s="124">
        <v>0</v>
      </c>
      <c r="CC26" s="124">
        <v>0</v>
      </c>
      <c r="CD26" s="124">
        <v>0</v>
      </c>
      <c r="CE26" s="124">
        <v>0</v>
      </c>
      <c r="CF26" s="124">
        <v>0</v>
      </c>
      <c r="CG26" s="124">
        <v>0</v>
      </c>
      <c r="CH26" s="124">
        <v>0</v>
      </c>
      <c r="CI26" s="124">
        <v>0</v>
      </c>
      <c r="CJ26" s="124">
        <v>0</v>
      </c>
      <c r="CK26" s="124">
        <v>0</v>
      </c>
      <c r="CL26" s="124">
        <v>0</v>
      </c>
      <c r="CM26" s="124">
        <v>0</v>
      </c>
      <c r="CN26" s="124">
        <v>0</v>
      </c>
      <c r="CO26" s="124">
        <v>0</v>
      </c>
      <c r="CP26" s="124">
        <v>0</v>
      </c>
      <c r="CQ26" s="124">
        <v>0</v>
      </c>
      <c r="CR26" s="124">
        <v>0</v>
      </c>
      <c r="CS26" s="124">
        <v>0</v>
      </c>
      <c r="CT26" s="124">
        <v>0</v>
      </c>
      <c r="CU26" s="124">
        <v>0</v>
      </c>
      <c r="CV26" s="124">
        <v>0</v>
      </c>
      <c r="CW26" s="124">
        <v>0</v>
      </c>
      <c r="CX26" s="124">
        <v>0</v>
      </c>
      <c r="CY26" s="124">
        <v>0</v>
      </c>
      <c r="CZ26" s="124">
        <v>0</v>
      </c>
      <c r="DA26" s="124">
        <v>0</v>
      </c>
    </row>
    <row r="27" spans="2:105" x14ac:dyDescent="0.3">
      <c r="B27" s="124" t="s">
        <v>56</v>
      </c>
      <c r="C27" s="136" t="s">
        <v>61</v>
      </c>
      <c r="E27" s="193"/>
      <c r="F27" s="115">
        <v>-686210.81136951933</v>
      </c>
      <c r="G27" s="124">
        <v>-2348356.859669853</v>
      </c>
      <c r="H27" s="124">
        <v>-4514936.562794758</v>
      </c>
      <c r="I27" s="124">
        <v>-6882314.202523347</v>
      </c>
      <c r="J27" s="124">
        <v>-9762653.8224984761</v>
      </c>
      <c r="K27" s="124">
        <v>-12909754.040881632</v>
      </c>
      <c r="L27" s="124">
        <v>-16169250.252907751</v>
      </c>
      <c r="M27" s="124">
        <v>-19717772.637625858</v>
      </c>
      <c r="N27" s="124">
        <v>-23697609.633166794</v>
      </c>
      <c r="O27" s="124">
        <v>-28293311.886757445</v>
      </c>
      <c r="P27" s="124">
        <v>-27744363.848052081</v>
      </c>
      <c r="Q27" s="124">
        <v>-24709843.489277519</v>
      </c>
      <c r="R27" s="124">
        <v>-22519826.338605203</v>
      </c>
      <c r="S27" s="124">
        <v>-20533047.478220236</v>
      </c>
      <c r="T27" s="124">
        <v>-18694654.706158604</v>
      </c>
      <c r="U27" s="124">
        <v>-17063551.742679231</v>
      </c>
      <c r="V27" s="124">
        <v>-15548215.378595827</v>
      </c>
      <c r="W27" s="124">
        <v>-14127000.357105674</v>
      </c>
      <c r="X27" s="124">
        <v>-12790098.545093916</v>
      </c>
      <c r="Y27" s="124">
        <v>-11518770.123064404</v>
      </c>
      <c r="Z27" s="124">
        <v>-10431795.762096014</v>
      </c>
      <c r="AA27" s="124">
        <v>-9434032.5025850702</v>
      </c>
      <c r="AB27" s="124">
        <v>-8496153.520884335</v>
      </c>
      <c r="AC27" s="124">
        <v>-7621051.6220205538</v>
      </c>
      <c r="AD27" s="124">
        <v>-6803360.8602665216</v>
      </c>
      <c r="AE27" s="124">
        <v>-6046699.7421955578</v>
      </c>
      <c r="AF27" s="124">
        <v>-5373962.7768428801</v>
      </c>
      <c r="AG27" s="124">
        <v>-4757061.5096507855</v>
      </c>
      <c r="AH27" s="124">
        <v>-4191034.1604303927</v>
      </c>
      <c r="AI27" s="124">
        <v>-3668850.3003941891</v>
      </c>
      <c r="AJ27" s="124">
        <v>-3273233.8130722153</v>
      </c>
      <c r="AK27" s="124">
        <v>-2934205.0771224066</v>
      </c>
      <c r="AL27" s="124">
        <v>-2629837.314645947</v>
      </c>
      <c r="AM27" s="124">
        <v>-2354804.0970170344</v>
      </c>
      <c r="AN27" s="124">
        <v>-2104870.2065978758</v>
      </c>
      <c r="AO27" s="124">
        <v>-1876508.2975773446</v>
      </c>
      <c r="AP27" s="124">
        <v>-1676906.5741776754</v>
      </c>
      <c r="AQ27" s="124">
        <v>-1493704.3411892781</v>
      </c>
      <c r="AR27" s="124">
        <v>-1325929.3758994075</v>
      </c>
      <c r="AS27" s="124">
        <v>-1172464.5238471709</v>
      </c>
      <c r="AT27" s="124">
        <v>-1032087.402722448</v>
      </c>
      <c r="AU27" s="124">
        <v>-906790.52335597435</v>
      </c>
      <c r="AV27" s="124">
        <v>-793105.57592911588</v>
      </c>
      <c r="AW27" s="124">
        <v>-690386.58851097384</v>
      </c>
      <c r="AX27" s="124">
        <v>-598068.18585403368</v>
      </c>
      <c r="AY27" s="124">
        <v>-515613.86080671859</v>
      </c>
      <c r="AZ27" s="124">
        <v>-443451.49044858123</v>
      </c>
      <c r="BA27" s="124">
        <v>-379863.66455499094</v>
      </c>
      <c r="BB27" s="124">
        <v>-324371.75845788786</v>
      </c>
      <c r="BC27" s="124">
        <v>-276353.53130892169</v>
      </c>
      <c r="BD27" s="124">
        <v>-235063.45280715232</v>
      </c>
      <c r="BE27" s="124">
        <v>-199770.2097687824</v>
      </c>
      <c r="BF27" s="124">
        <v>-169538.72735303934</v>
      </c>
      <c r="BG27" s="124">
        <v>-143575.65493820864</v>
      </c>
      <c r="BH27" s="124">
        <v>-121228.13300755333</v>
      </c>
      <c r="BI27" s="124">
        <v>-101958.42870541816</v>
      </c>
      <c r="BJ27" s="124">
        <v>-85774.1279913404</v>
      </c>
      <c r="BK27" s="124">
        <v>-71732.104458344547</v>
      </c>
      <c r="BL27" s="124">
        <v>-59601.761279547245</v>
      </c>
      <c r="BM27" s="124">
        <v>-49160.510177085918</v>
      </c>
      <c r="BN27" s="124">
        <v>-40199.217304229249</v>
      </c>
      <c r="BO27" s="124">
        <v>-32548.220987900677</v>
      </c>
      <c r="BP27" s="124">
        <v>-26042.342863486909</v>
      </c>
      <c r="BQ27" s="124">
        <v>-20558.90153892872</v>
      </c>
      <c r="BR27" s="124">
        <v>-15985.761093467352</v>
      </c>
      <c r="BS27" s="124">
        <v>-12218.249777557618</v>
      </c>
      <c r="BT27" s="124">
        <v>-9180.9886208032221</v>
      </c>
      <c r="BU27" s="124">
        <v>-6752.0487804585309</v>
      </c>
      <c r="BV27" s="124">
        <v>-4853.6512854426919</v>
      </c>
      <c r="BW27" s="124">
        <v>-3408.2505630183859</v>
      </c>
      <c r="BX27" s="124">
        <v>-2338.1865543419344</v>
      </c>
      <c r="BY27" s="124">
        <v>-1586.7602699804945</v>
      </c>
      <c r="BZ27" s="124">
        <v>-1056.7410169305256</v>
      </c>
      <c r="CA27" s="124">
        <v>-688.14112873321471</v>
      </c>
      <c r="CB27" s="124">
        <v>-434.77309064455108</v>
      </c>
      <c r="CC27" s="124">
        <v>-261.78713805173629</v>
      </c>
      <c r="CD27" s="124">
        <v>-174.20113964180328</v>
      </c>
      <c r="CE27" s="124">
        <v>-113.2965410770252</v>
      </c>
      <c r="CF27" s="124">
        <v>-71.51338580118869</v>
      </c>
      <c r="CG27" s="124">
        <v>-43.253895293641023</v>
      </c>
      <c r="CH27" s="124">
        <v>-24.362725305144242</v>
      </c>
      <c r="CI27" s="124">
        <v>-14.791727952759397</v>
      </c>
      <c r="CJ27" s="124">
        <v>-8.4491248889242971</v>
      </c>
      <c r="CK27" s="124">
        <v>-4.3349064451881443</v>
      </c>
      <c r="CL27" s="124">
        <v>-1.700439951445798</v>
      </c>
      <c r="CM27" s="124">
        <v>0</v>
      </c>
      <c r="CN27" s="124">
        <v>0</v>
      </c>
      <c r="CO27" s="124">
        <v>0</v>
      </c>
      <c r="CP27" s="124">
        <v>0</v>
      </c>
      <c r="CQ27" s="124">
        <v>0</v>
      </c>
      <c r="CR27" s="124">
        <v>0</v>
      </c>
      <c r="CS27" s="124">
        <v>0</v>
      </c>
      <c r="CT27" s="124">
        <v>0</v>
      </c>
      <c r="CU27" s="124">
        <v>0</v>
      </c>
      <c r="CV27" s="124">
        <v>0</v>
      </c>
      <c r="CW27" s="124">
        <v>0</v>
      </c>
      <c r="CX27" s="124">
        <v>0</v>
      </c>
      <c r="CY27" s="124">
        <v>0</v>
      </c>
      <c r="CZ27" s="124">
        <v>0</v>
      </c>
      <c r="DA27" s="124">
        <v>0</v>
      </c>
    </row>
    <row r="28" spans="2:105" x14ac:dyDescent="0.3">
      <c r="B28" s="124" t="s">
        <v>56</v>
      </c>
      <c r="C28" s="136" t="s">
        <v>63</v>
      </c>
      <c r="E28" s="193"/>
      <c r="F28" s="115">
        <v>-43642.408594125962</v>
      </c>
      <c r="G28" s="115">
        <v>-88379.331898911114</v>
      </c>
      <c r="H28" s="115">
        <v>-113125.54483060626</v>
      </c>
      <c r="I28" s="115">
        <v>-131306.43596409654</v>
      </c>
      <c r="J28" s="115">
        <v>-171203.39150703355</v>
      </c>
      <c r="K28" s="115">
        <v>-187364.1836256916</v>
      </c>
      <c r="L28" s="115">
        <v>-209080.24803513833</v>
      </c>
      <c r="M28" s="115">
        <v>-236856.60948908186</v>
      </c>
      <c r="N28" s="115">
        <v>-272713.36700235435</v>
      </c>
      <c r="O28" s="115">
        <v>-319680.66909720429</v>
      </c>
      <c r="P28" s="115">
        <v>0</v>
      </c>
      <c r="Q28" s="115">
        <v>0</v>
      </c>
      <c r="R28" s="115">
        <v>0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0</v>
      </c>
      <c r="Y28" s="115">
        <v>0</v>
      </c>
      <c r="Z28" s="115">
        <v>0</v>
      </c>
      <c r="AA28" s="115">
        <v>0</v>
      </c>
      <c r="AB28" s="115">
        <v>0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0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5">
        <v>0</v>
      </c>
      <c r="AU28" s="115">
        <v>0</v>
      </c>
      <c r="AV28" s="115">
        <v>0</v>
      </c>
      <c r="AW28" s="115">
        <v>0</v>
      </c>
      <c r="AX28" s="115">
        <v>0</v>
      </c>
      <c r="AY28" s="115">
        <v>0</v>
      </c>
      <c r="AZ28" s="115">
        <v>0</v>
      </c>
      <c r="BA28" s="115">
        <v>0</v>
      </c>
      <c r="BB28" s="115">
        <v>0</v>
      </c>
      <c r="BC28" s="115">
        <v>0</v>
      </c>
      <c r="BD28" s="115">
        <v>0</v>
      </c>
      <c r="BE28" s="115">
        <v>0</v>
      </c>
      <c r="BF28" s="115">
        <v>0</v>
      </c>
      <c r="BG28" s="115">
        <v>0</v>
      </c>
      <c r="BH28" s="115">
        <v>0</v>
      </c>
      <c r="BI28" s="115">
        <v>0</v>
      </c>
      <c r="BJ28" s="115">
        <v>0</v>
      </c>
      <c r="BK28" s="115">
        <v>0</v>
      </c>
      <c r="BL28" s="115">
        <v>0</v>
      </c>
      <c r="BM28" s="115">
        <v>0</v>
      </c>
      <c r="BN28" s="115">
        <v>0</v>
      </c>
      <c r="BO28" s="115">
        <v>0</v>
      </c>
      <c r="BP28" s="115">
        <v>0</v>
      </c>
      <c r="BQ28" s="115">
        <v>0</v>
      </c>
      <c r="BR28" s="115">
        <v>0</v>
      </c>
      <c r="BS28" s="115">
        <v>0</v>
      </c>
      <c r="BT28" s="115">
        <v>0</v>
      </c>
      <c r="BU28" s="115">
        <v>0</v>
      </c>
      <c r="BV28" s="115">
        <v>0</v>
      </c>
      <c r="BW28" s="115">
        <v>0</v>
      </c>
      <c r="BX28" s="115">
        <v>0</v>
      </c>
      <c r="BY28" s="115">
        <v>0</v>
      </c>
      <c r="BZ28" s="115">
        <v>0</v>
      </c>
      <c r="CA28" s="115">
        <v>0</v>
      </c>
      <c r="CB28" s="115">
        <v>0</v>
      </c>
      <c r="CC28" s="115">
        <v>0</v>
      </c>
      <c r="CD28" s="115">
        <v>0</v>
      </c>
      <c r="CE28" s="115">
        <v>0</v>
      </c>
      <c r="CF28" s="115">
        <v>0</v>
      </c>
      <c r="CG28" s="115">
        <v>0</v>
      </c>
      <c r="CH28" s="115">
        <v>0</v>
      </c>
      <c r="CI28" s="115">
        <v>0</v>
      </c>
      <c r="CJ28" s="115">
        <v>0</v>
      </c>
      <c r="CK28" s="115">
        <v>0</v>
      </c>
      <c r="CL28" s="115">
        <v>0</v>
      </c>
      <c r="CM28" s="115">
        <v>0</v>
      </c>
      <c r="CN28" s="115">
        <v>0</v>
      </c>
      <c r="CO28" s="115">
        <v>0</v>
      </c>
      <c r="CP28" s="115">
        <v>0</v>
      </c>
      <c r="CQ28" s="115">
        <v>0</v>
      </c>
      <c r="CR28" s="115">
        <v>0</v>
      </c>
      <c r="CS28" s="115">
        <v>0</v>
      </c>
      <c r="CT28" s="115">
        <v>0</v>
      </c>
      <c r="CU28" s="115">
        <v>0</v>
      </c>
      <c r="CV28" s="115">
        <v>0</v>
      </c>
      <c r="CW28" s="115">
        <v>0</v>
      </c>
      <c r="CX28" s="115">
        <v>0</v>
      </c>
      <c r="CY28" s="115">
        <v>0</v>
      </c>
      <c r="CZ28" s="115">
        <v>0</v>
      </c>
      <c r="DA28" s="115">
        <v>0</v>
      </c>
    </row>
    <row r="29" spans="2:105" x14ac:dyDescent="0.3">
      <c r="B29" s="124" t="s">
        <v>71</v>
      </c>
      <c r="C29" s="136" t="s">
        <v>65</v>
      </c>
      <c r="E29" s="193"/>
      <c r="F29" s="115">
        <v>-158215.38980407998</v>
      </c>
      <c r="G29" s="115">
        <v>-569017.2654266844</v>
      </c>
      <c r="H29" s="115">
        <v>-1138313.3519714645</v>
      </c>
      <c r="I29" s="115">
        <v>-1795119.3066266589</v>
      </c>
      <c r="J29" s="115">
        <v>-2610133.217989787</v>
      </c>
      <c r="K29" s="115">
        <v>-3528003.8167609493</v>
      </c>
      <c r="L29" s="115">
        <v>-4505677.9796842635</v>
      </c>
      <c r="M29" s="115">
        <v>-5592358.110868061</v>
      </c>
      <c r="N29" s="115">
        <v>-6827668.4324959069</v>
      </c>
      <c r="O29" s="115">
        <v>-8255973.8540653335</v>
      </c>
      <c r="P29" s="115">
        <v>-8543126.3059022166</v>
      </c>
      <c r="Q29" s="115">
        <v>-8076800.855862271</v>
      </c>
      <c r="R29" s="115">
        <v>-7725912.1159404581</v>
      </c>
      <c r="S29" s="115">
        <v>-7355701.0823393539</v>
      </c>
      <c r="T29" s="115">
        <v>-6949397.109848775</v>
      </c>
      <c r="U29" s="115">
        <v>-6648193.6326142475</v>
      </c>
      <c r="V29" s="115">
        <v>-6337032.4657467306</v>
      </c>
      <c r="W29" s="115">
        <v>-6010312.6899172673</v>
      </c>
      <c r="X29" s="115">
        <v>-5662909.898431764</v>
      </c>
      <c r="Y29" s="115">
        <v>-5286069.5406774767</v>
      </c>
      <c r="Z29" s="115">
        <v>-5095683.2744554719</v>
      </c>
      <c r="AA29" s="115">
        <v>-4879034.3817402637</v>
      </c>
      <c r="AB29" s="115">
        <v>-4647957.3115761541</v>
      </c>
      <c r="AC29" s="115">
        <v>-4407620.6225327328</v>
      </c>
      <c r="AD29" s="115">
        <v>-4145660.3083397625</v>
      </c>
      <c r="AE29" s="115">
        <v>-3877569.7946786527</v>
      </c>
      <c r="AF29" s="115">
        <v>-3603319.7942016185</v>
      </c>
      <c r="AG29" s="115">
        <v>-3316706.0617676442</v>
      </c>
      <c r="AH29" s="115">
        <v>-3013332.5253028241</v>
      </c>
      <c r="AI29" s="115">
        <v>-2686592.9572359035</v>
      </c>
      <c r="AJ29" s="115">
        <v>-2561944.2819940844</v>
      </c>
      <c r="AK29" s="115">
        <v>-2442225.9467257103</v>
      </c>
      <c r="AL29" s="115">
        <v>-2325413.1097550113</v>
      </c>
      <c r="AM29" s="115">
        <v>-2210938.3554319688</v>
      </c>
      <c r="AN29" s="115">
        <v>-2098389.3938947925</v>
      </c>
      <c r="AO29" s="115">
        <v>-1987462.0014858828</v>
      </c>
      <c r="AP29" s="115">
        <v>-1880836.7526234868</v>
      </c>
      <c r="AQ29" s="115">
        <v>-1775215.0236339427</v>
      </c>
      <c r="AR29" s="115">
        <v>-1670818.3235762659</v>
      </c>
      <c r="AS29" s="115">
        <v>-1567767.9767761435</v>
      </c>
      <c r="AT29" s="115">
        <v>-1466106.7635299875</v>
      </c>
      <c r="AU29" s="115">
        <v>-1366589.7484545822</v>
      </c>
      <c r="AV29" s="115">
        <v>-1269014.8917492507</v>
      </c>
      <c r="AW29" s="115">
        <v>-1173843.2915773338</v>
      </c>
      <c r="AX29" s="115">
        <v>-1081588.1901862444</v>
      </c>
      <c r="AY29" s="115">
        <v>-992769.53810078895</v>
      </c>
      <c r="AZ29" s="115">
        <v>-908575.37872690265</v>
      </c>
      <c r="BA29" s="115">
        <v>-828539.32826698676</v>
      </c>
      <c r="BB29" s="115">
        <v>-753127.10461317899</v>
      </c>
      <c r="BC29" s="115">
        <v>-682583.2703456349</v>
      </c>
      <c r="BD29" s="115">
        <v>-616920.77867444966</v>
      </c>
      <c r="BE29" s="115">
        <v>-556107.87312501622</v>
      </c>
      <c r="BF29" s="115">
        <v>-499755.75704901025</v>
      </c>
      <c r="BG29" s="115">
        <v>-447515.34549795545</v>
      </c>
      <c r="BH29" s="115">
        <v>-399095.34118805738</v>
      </c>
      <c r="BI29" s="115">
        <v>-354247.2051549562</v>
      </c>
      <c r="BJ29" s="115">
        <v>-313531.16423653357</v>
      </c>
      <c r="BK29" s="115">
        <v>-275777.61173560045</v>
      </c>
      <c r="BL29" s="115">
        <v>-240941.68314068249</v>
      </c>
      <c r="BM29" s="115">
        <v>-208917.40550417575</v>
      </c>
      <c r="BN29" s="115">
        <v>-179557.41809847322</v>
      </c>
      <c r="BO29" s="115">
        <v>-152773.55864945744</v>
      </c>
      <c r="BP29" s="115">
        <v>-128464.3313216691</v>
      </c>
      <c r="BQ29" s="115">
        <v>-106617.20154810137</v>
      </c>
      <c r="BR29" s="115">
        <v>-87214.629727174426</v>
      </c>
      <c r="BS29" s="115">
        <v>-70217.243764969768</v>
      </c>
      <c r="BT29" s="115">
        <v>-55715.680946772634</v>
      </c>
      <c r="BU29" s="115">
        <v>-43400.504039533247</v>
      </c>
      <c r="BV29" s="115">
        <v>-33195.416696840141</v>
      </c>
      <c r="BW29" s="115">
        <v>-24954.462303572953</v>
      </c>
      <c r="BX29" s="115">
        <v>-18463.857415149516</v>
      </c>
      <c r="BY29" s="115">
        <v>-13574.294220398879</v>
      </c>
      <c r="BZ29" s="115">
        <v>-9867.9951604640301</v>
      </c>
      <c r="CA29" s="115">
        <v>-7077.9847940602822</v>
      </c>
      <c r="CB29" s="115">
        <v>-4985.85761000006</v>
      </c>
      <c r="CC29" s="115">
        <v>-3416.2079819321452</v>
      </c>
      <c r="CD29" s="115">
        <v>-2492.6060073630692</v>
      </c>
      <c r="CE29" s="115">
        <v>-1774.7776730299904</v>
      </c>
      <c r="CF29" s="115">
        <v>-1226.6326553881427</v>
      </c>
      <c r="CG29" s="115">
        <v>-816.2408674669274</v>
      </c>
      <c r="CH29" s="115">
        <v>-514.19840925957146</v>
      </c>
      <c r="CI29" s="115">
        <v>-329.07123926480313</v>
      </c>
      <c r="CJ29" s="115">
        <v>-197.72992848575512</v>
      </c>
      <c r="CK29" s="115">
        <v>-106.37580054031571</v>
      </c>
      <c r="CL29" s="115">
        <v>-43.552058446997627</v>
      </c>
      <c r="CM29" s="115">
        <v>0</v>
      </c>
      <c r="CN29" s="115">
        <v>0</v>
      </c>
      <c r="CO29" s="115">
        <v>0</v>
      </c>
      <c r="CP29" s="115">
        <v>0</v>
      </c>
      <c r="CQ29" s="115">
        <v>0</v>
      </c>
      <c r="CR29" s="115">
        <v>0</v>
      </c>
      <c r="CS29" s="115">
        <v>0</v>
      </c>
      <c r="CT29" s="115">
        <v>0</v>
      </c>
      <c r="CU29" s="115">
        <v>0</v>
      </c>
      <c r="CV29" s="115">
        <v>0</v>
      </c>
      <c r="CW29" s="115">
        <v>0</v>
      </c>
      <c r="CX29" s="115">
        <v>0</v>
      </c>
      <c r="CY29" s="115">
        <v>0</v>
      </c>
      <c r="CZ29" s="115">
        <v>0</v>
      </c>
      <c r="DA29" s="115">
        <v>0</v>
      </c>
    </row>
    <row r="30" spans="2:105" x14ac:dyDescent="0.3">
      <c r="B30" s="124" t="s">
        <v>56</v>
      </c>
      <c r="C30" s="136" t="s">
        <v>67</v>
      </c>
      <c r="E30" s="193"/>
      <c r="F30" s="115">
        <v>-1447.4829458505019</v>
      </c>
      <c r="G30" s="115">
        <v>-2931.2500000000032</v>
      </c>
      <c r="H30" s="124">
        <v>-3752.0000000000041</v>
      </c>
      <c r="I30" s="124">
        <v>-4355.0000000000045</v>
      </c>
      <c r="J30" s="124">
        <v>-5678.2500000000064</v>
      </c>
      <c r="K30" s="124">
        <v>-6214.2500000000064</v>
      </c>
      <c r="L30" s="124">
        <v>-6934.5000000000064</v>
      </c>
      <c r="M30" s="124">
        <v>-7855.7500000000082</v>
      </c>
      <c r="N30" s="124">
        <v>-9045.0000000000091</v>
      </c>
      <c r="O30" s="124">
        <v>-10602.750000000009</v>
      </c>
      <c r="P30" s="124">
        <v>0</v>
      </c>
      <c r="Q30" s="124">
        <v>0</v>
      </c>
      <c r="R30" s="124">
        <v>0</v>
      </c>
      <c r="S30" s="124">
        <v>0</v>
      </c>
      <c r="T30" s="124">
        <v>0</v>
      </c>
      <c r="U30" s="124">
        <v>0</v>
      </c>
      <c r="V30" s="124">
        <v>0</v>
      </c>
      <c r="W30" s="124">
        <v>0</v>
      </c>
      <c r="X30" s="124">
        <v>0</v>
      </c>
      <c r="Y30" s="124">
        <v>0</v>
      </c>
      <c r="Z30" s="124">
        <v>0</v>
      </c>
      <c r="AA30" s="124">
        <v>0</v>
      </c>
      <c r="AB30" s="124">
        <v>0</v>
      </c>
      <c r="AC30" s="124">
        <v>0</v>
      </c>
      <c r="AD30" s="124">
        <v>0</v>
      </c>
      <c r="AE30" s="124">
        <v>0</v>
      </c>
      <c r="AF30" s="124">
        <v>0</v>
      </c>
      <c r="AG30" s="124">
        <v>0</v>
      </c>
      <c r="AH30" s="124">
        <v>0</v>
      </c>
      <c r="AI30" s="124">
        <v>0</v>
      </c>
      <c r="AJ30" s="124">
        <v>0</v>
      </c>
      <c r="AK30" s="124">
        <v>0</v>
      </c>
      <c r="AL30" s="124">
        <v>0</v>
      </c>
      <c r="AM30" s="124">
        <v>0</v>
      </c>
      <c r="AN30" s="124">
        <v>0</v>
      </c>
      <c r="AO30" s="124">
        <v>0</v>
      </c>
      <c r="AP30" s="124">
        <v>0</v>
      </c>
      <c r="AQ30" s="124">
        <v>0</v>
      </c>
      <c r="AR30" s="124">
        <v>0</v>
      </c>
      <c r="AS30" s="124">
        <v>0</v>
      </c>
      <c r="AT30" s="124">
        <v>0</v>
      </c>
      <c r="AU30" s="124">
        <v>0</v>
      </c>
      <c r="AV30" s="124">
        <v>0</v>
      </c>
      <c r="AW30" s="124">
        <v>0</v>
      </c>
      <c r="AX30" s="124">
        <v>0</v>
      </c>
      <c r="AY30" s="124">
        <v>0</v>
      </c>
      <c r="AZ30" s="124">
        <v>0</v>
      </c>
      <c r="BA30" s="124">
        <v>0</v>
      </c>
      <c r="BB30" s="124">
        <v>0</v>
      </c>
      <c r="BC30" s="124">
        <v>0</v>
      </c>
      <c r="BD30" s="124">
        <v>0</v>
      </c>
      <c r="BE30" s="124">
        <v>0</v>
      </c>
      <c r="BF30" s="124">
        <v>0</v>
      </c>
      <c r="BG30" s="124">
        <v>0</v>
      </c>
      <c r="BH30" s="124">
        <v>0</v>
      </c>
      <c r="BI30" s="124">
        <v>0</v>
      </c>
      <c r="BJ30" s="124">
        <v>0</v>
      </c>
      <c r="BK30" s="124">
        <v>0</v>
      </c>
      <c r="BL30" s="124">
        <v>0</v>
      </c>
      <c r="BM30" s="124">
        <v>0</v>
      </c>
      <c r="BN30" s="124">
        <v>0</v>
      </c>
      <c r="BO30" s="124">
        <v>0</v>
      </c>
      <c r="BP30" s="124">
        <v>0</v>
      </c>
      <c r="BQ30" s="124">
        <v>0</v>
      </c>
      <c r="BR30" s="124">
        <v>0</v>
      </c>
      <c r="BS30" s="124">
        <v>0</v>
      </c>
      <c r="BT30" s="124">
        <v>0</v>
      </c>
      <c r="BU30" s="124">
        <v>0</v>
      </c>
      <c r="BV30" s="124">
        <v>0</v>
      </c>
      <c r="BW30" s="124">
        <v>0</v>
      </c>
      <c r="BX30" s="124">
        <v>0</v>
      </c>
      <c r="BY30" s="124">
        <v>0</v>
      </c>
      <c r="BZ30" s="124">
        <v>0</v>
      </c>
      <c r="CA30" s="124">
        <v>0</v>
      </c>
      <c r="CB30" s="124">
        <v>0</v>
      </c>
      <c r="CC30" s="124">
        <v>0</v>
      </c>
      <c r="CD30" s="124">
        <v>0</v>
      </c>
      <c r="CE30" s="124">
        <v>0</v>
      </c>
      <c r="CF30" s="124">
        <v>0</v>
      </c>
      <c r="CG30" s="124">
        <v>0</v>
      </c>
      <c r="CH30" s="124">
        <v>0</v>
      </c>
      <c r="CI30" s="124">
        <v>0</v>
      </c>
      <c r="CJ30" s="124">
        <v>0</v>
      </c>
      <c r="CK30" s="124">
        <v>0</v>
      </c>
      <c r="CL30" s="124">
        <v>0</v>
      </c>
      <c r="CM30" s="124">
        <v>0</v>
      </c>
      <c r="CN30" s="124">
        <v>0</v>
      </c>
      <c r="CO30" s="124">
        <v>0</v>
      </c>
      <c r="CP30" s="124">
        <v>0</v>
      </c>
      <c r="CQ30" s="124">
        <v>0</v>
      </c>
      <c r="CR30" s="124">
        <v>0</v>
      </c>
      <c r="CS30" s="124">
        <v>0</v>
      </c>
      <c r="CT30" s="124">
        <v>0</v>
      </c>
      <c r="CU30" s="124">
        <v>0</v>
      </c>
      <c r="CV30" s="124">
        <v>0</v>
      </c>
      <c r="CW30" s="124">
        <v>0</v>
      </c>
      <c r="CX30" s="124">
        <v>0</v>
      </c>
      <c r="CY30" s="124">
        <v>0</v>
      </c>
      <c r="CZ30" s="124">
        <v>0</v>
      </c>
      <c r="DA30" s="124">
        <v>0</v>
      </c>
    </row>
    <row r="31" spans="2:105" x14ac:dyDescent="0.3">
      <c r="B31" s="124" t="s">
        <v>71</v>
      </c>
      <c r="C31" s="136" t="s">
        <v>69</v>
      </c>
      <c r="E31" s="193"/>
      <c r="F31" s="115">
        <v>-8327.1257791621138</v>
      </c>
      <c r="G31" s="115">
        <v>-29948.277127720256</v>
      </c>
      <c r="H31" s="115">
        <v>-59911.229051129762</v>
      </c>
      <c r="I31" s="115">
        <v>-94479.963506666405</v>
      </c>
      <c r="J31" s="115">
        <v>-137375.43252577831</v>
      </c>
      <c r="K31" s="115">
        <v>-185684.41140847118</v>
      </c>
      <c r="L31" s="115">
        <v>-237140.9462991718</v>
      </c>
      <c r="M31" s="115">
        <v>-294334.63741410885</v>
      </c>
      <c r="N31" s="115">
        <v>-359350.97013136331</v>
      </c>
      <c r="O31" s="115">
        <v>-434524.9396876492</v>
      </c>
      <c r="P31" s="115">
        <v>-449638.22662643285</v>
      </c>
      <c r="Q31" s="115">
        <v>-425094.78188748786</v>
      </c>
      <c r="R31" s="115">
        <v>-406626.95347055083</v>
      </c>
      <c r="S31" s="115">
        <v>-387142.16222838691</v>
      </c>
      <c r="T31" s="115">
        <v>-365757.74262361991</v>
      </c>
      <c r="U31" s="115">
        <v>-349904.92803232896</v>
      </c>
      <c r="V31" s="115">
        <v>-333528.02451298578</v>
      </c>
      <c r="W31" s="115">
        <v>-316332.24683775072</v>
      </c>
      <c r="X31" s="115">
        <v>-298047.88939114584</v>
      </c>
      <c r="Y31" s="115">
        <v>-278214.18635144626</v>
      </c>
      <c r="Z31" s="115">
        <v>-268193.85655028839</v>
      </c>
      <c r="AA31" s="115">
        <v>-256791.28324948775</v>
      </c>
      <c r="AB31" s="115">
        <v>-244629.33218821869</v>
      </c>
      <c r="AC31" s="115">
        <v>-231980.03276488083</v>
      </c>
      <c r="AD31" s="115">
        <v>-218192.64780735609</v>
      </c>
      <c r="AE31" s="115">
        <v>-204082.620772561</v>
      </c>
      <c r="AF31" s="115">
        <v>-189648.4102211378</v>
      </c>
      <c r="AG31" s="115">
        <v>-174563.47693513942</v>
      </c>
      <c r="AH31" s="115">
        <v>-158596.44870014873</v>
      </c>
      <c r="AI31" s="115">
        <v>-141399.62932820548</v>
      </c>
      <c r="AJ31" s="115">
        <v>-134839.17273653077</v>
      </c>
      <c r="AK31" s="115">
        <v>-128538.20772240583</v>
      </c>
      <c r="AL31" s="115">
        <v>-122390.1636713164</v>
      </c>
      <c r="AM31" s="115">
        <v>-116365.1766016827</v>
      </c>
      <c r="AN31" s="115">
        <v>-110441.5470470944</v>
      </c>
      <c r="AO31" s="115">
        <v>-104603.2632360992</v>
      </c>
      <c r="AP31" s="115">
        <v>-98991.408032815336</v>
      </c>
      <c r="AQ31" s="115">
        <v>-93432.369664944476</v>
      </c>
      <c r="AR31" s="115">
        <v>-87937.806504014065</v>
      </c>
      <c r="AS31" s="115">
        <v>-82514.10404084975</v>
      </c>
      <c r="AT31" s="115">
        <v>-77163.513869999457</v>
      </c>
      <c r="AU31" s="115">
        <v>-71925.776234451769</v>
      </c>
      <c r="AV31" s="115">
        <v>-66790.257460486901</v>
      </c>
      <c r="AW31" s="115">
        <v>-61781.225872491268</v>
      </c>
      <c r="AX31" s="115">
        <v>-56925.694220328696</v>
      </c>
      <c r="AY31" s="115">
        <v>-52251.028321094156</v>
      </c>
      <c r="AZ31" s="115">
        <v>-47819.75677510017</v>
      </c>
      <c r="BA31" s="115">
        <v>-43607.333066683539</v>
      </c>
      <c r="BB31" s="115">
        <v>-39638.268663851573</v>
      </c>
      <c r="BC31" s="115">
        <v>-35925.435281349222</v>
      </c>
      <c r="BD31" s="115">
        <v>-32469.514667076299</v>
      </c>
      <c r="BE31" s="115">
        <v>-29268.835427632468</v>
      </c>
      <c r="BF31" s="115">
        <v>-26302.934581526864</v>
      </c>
      <c r="BG31" s="115">
        <v>-23553.439236734517</v>
      </c>
      <c r="BH31" s="115">
        <v>-21005.017957266191</v>
      </c>
      <c r="BI31" s="115">
        <v>-18644.589744997687</v>
      </c>
      <c r="BJ31" s="115">
        <v>-16501.640222975475</v>
      </c>
      <c r="BK31" s="115">
        <v>-14514.61114397898</v>
      </c>
      <c r="BL31" s="115">
        <v>-12681.141217930675</v>
      </c>
      <c r="BM31" s="115">
        <v>-10995.652921272418</v>
      </c>
      <c r="BN31" s="115">
        <v>-9450.3904262354426</v>
      </c>
      <c r="BO31" s="115">
        <v>-8040.7136131293482</v>
      </c>
      <c r="BP31" s="115">
        <v>-6761.280595877327</v>
      </c>
      <c r="BQ31" s="115">
        <v>-5611.4316604263913</v>
      </c>
      <c r="BR31" s="115">
        <v>-4590.2436698512911</v>
      </c>
      <c r="BS31" s="115">
        <v>-3695.6444086826223</v>
      </c>
      <c r="BT31" s="115">
        <v>-2932.4042603564594</v>
      </c>
      <c r="BU31" s="115">
        <v>-2284.2370547122782</v>
      </c>
      <c r="BV31" s="115">
        <v>-1747.127194570535</v>
      </c>
      <c r="BW31" s="115">
        <v>-1313.3927528196295</v>
      </c>
      <c r="BX31" s="115">
        <v>-971.78196921839617</v>
      </c>
      <c r="BY31" s="115">
        <v>-714.43653791573115</v>
      </c>
      <c r="BZ31" s="115">
        <v>-519.36816634021272</v>
      </c>
      <c r="CA31" s="115">
        <v>-372.52551547685727</v>
      </c>
      <c r="CB31" s="115">
        <v>-262.413558421056</v>
      </c>
      <c r="CC31" s="115">
        <v>-179.80042010169205</v>
      </c>
      <c r="CD31" s="115">
        <v>-131.18978986121431</v>
      </c>
      <c r="CE31" s="115">
        <v>-93.409351212104866</v>
      </c>
      <c r="CF31" s="115">
        <v>-64.559613441481261</v>
      </c>
      <c r="CG31" s="115">
        <v>-42.960045656154108</v>
      </c>
      <c r="CH31" s="115">
        <v>-27.063074171556416</v>
      </c>
      <c r="CI31" s="115">
        <v>-17.319538908673859</v>
      </c>
      <c r="CJ31" s="115">
        <v>-10.406838341355542</v>
      </c>
      <c r="CK31" s="115">
        <v>-5.5987263442271473</v>
      </c>
      <c r="CL31" s="115">
        <v>-2.2922136024735615</v>
      </c>
      <c r="CM31" s="115">
        <v>0</v>
      </c>
      <c r="CN31" s="115">
        <v>0</v>
      </c>
      <c r="CO31" s="115">
        <v>0</v>
      </c>
      <c r="CP31" s="115">
        <v>0</v>
      </c>
      <c r="CQ31" s="115">
        <v>0</v>
      </c>
      <c r="CR31" s="115">
        <v>0</v>
      </c>
      <c r="CS31" s="115">
        <v>0</v>
      </c>
      <c r="CT31" s="115">
        <v>0</v>
      </c>
      <c r="CU31" s="115">
        <v>0</v>
      </c>
      <c r="CV31" s="115">
        <v>0</v>
      </c>
      <c r="CW31" s="115">
        <v>0</v>
      </c>
      <c r="CX31" s="115">
        <v>0</v>
      </c>
      <c r="CY31" s="115">
        <v>0</v>
      </c>
      <c r="CZ31" s="115">
        <v>0</v>
      </c>
      <c r="DA31" s="115">
        <v>0</v>
      </c>
    </row>
    <row r="32" spans="2:105" x14ac:dyDescent="0.3">
      <c r="B32" s="124" t="s">
        <v>71</v>
      </c>
      <c r="C32" s="136" t="s">
        <v>72</v>
      </c>
      <c r="F32" s="115">
        <v>-1860168.1917347617</v>
      </c>
      <c r="G32" s="115">
        <v>-5843916.917150856</v>
      </c>
      <c r="H32" s="115">
        <v>-10429292.308507152</v>
      </c>
      <c r="I32" s="115">
        <v>-14968324.354879815</v>
      </c>
      <c r="J32" s="115">
        <v>-20888814.822152406</v>
      </c>
      <c r="K32" s="124">
        <v>-27039221.678781562</v>
      </c>
      <c r="L32" s="124">
        <v>-33024318.447121594</v>
      </c>
      <c r="M32" s="124">
        <v>-39507318.839896642</v>
      </c>
      <c r="N32" s="124">
        <v>-47065996.904050723</v>
      </c>
      <c r="O32" s="124">
        <v>-55973978.007754698</v>
      </c>
      <c r="P32" s="124">
        <v>-50486000.383804061</v>
      </c>
      <c r="Q32" s="124">
        <v>-42101357.536889412</v>
      </c>
      <c r="R32" s="124">
        <v>-38053881.658243909</v>
      </c>
      <c r="S32" s="124">
        <v>-35653414.513269417</v>
      </c>
      <c r="T32" s="124">
        <v>-30829326.262735762</v>
      </c>
      <c r="U32" s="124">
        <v>-29211918.484078348</v>
      </c>
      <c r="V32" s="124">
        <v>-28065630.832630862</v>
      </c>
      <c r="W32" s="124">
        <v>-27034949.779752389</v>
      </c>
      <c r="X32" s="124">
        <v>-26540353.387359135</v>
      </c>
      <c r="Y32" s="124">
        <v>-24055422.804054439</v>
      </c>
      <c r="Z32" s="124">
        <v>-23601168.127810918</v>
      </c>
      <c r="AA32" s="124">
        <v>-23010803.598301675</v>
      </c>
      <c r="AB32" s="124">
        <v>-22322755.378806151</v>
      </c>
      <c r="AC32" s="124">
        <v>-21619991.356593274</v>
      </c>
      <c r="AD32" s="124">
        <v>-19606075.32394753</v>
      </c>
      <c r="AE32" s="124">
        <v>-18667881.902288035</v>
      </c>
      <c r="AF32" s="124">
        <v>-17704034.169271041</v>
      </c>
      <c r="AG32" s="124">
        <v>-16755412.787585223</v>
      </c>
      <c r="AH32" s="124">
        <v>-15893292.410063637</v>
      </c>
      <c r="AI32" s="124">
        <v>-14380556.886869702</v>
      </c>
      <c r="AJ32" s="124">
        <v>-13615328.688290017</v>
      </c>
      <c r="AK32" s="124">
        <v>-12962615.387022085</v>
      </c>
      <c r="AL32" s="124">
        <v>-12407627.786387272</v>
      </c>
      <c r="AM32" s="124">
        <v>-11943450.022506163</v>
      </c>
      <c r="AN32" s="124">
        <v>-11135911.190637385</v>
      </c>
      <c r="AO32" s="124">
        <v>-10577677.970757609</v>
      </c>
      <c r="AP32" s="124">
        <v>-10191657.496041223</v>
      </c>
      <c r="AQ32" s="124">
        <v>-9802250.3328988776</v>
      </c>
      <c r="AR32" s="124">
        <v>-9429673.0369061977</v>
      </c>
      <c r="AS32" s="124">
        <v>-8840852.3466530666</v>
      </c>
      <c r="AT32" s="124">
        <v>-8450701.5965841208</v>
      </c>
      <c r="AU32" s="124">
        <v>-8047770.281715001</v>
      </c>
      <c r="AV32" s="124">
        <v>-7630888.5866414998</v>
      </c>
      <c r="AW32" s="124">
        <v>-7204527.5808235845</v>
      </c>
      <c r="AX32" s="124">
        <v>-6639219.675156597</v>
      </c>
      <c r="AY32" s="124">
        <v>-6134356.0582223199</v>
      </c>
      <c r="AZ32" s="124">
        <v>-5670669.8133630501</v>
      </c>
      <c r="BA32" s="124">
        <v>-5201822.5837462554</v>
      </c>
      <c r="BB32" s="124">
        <v>-4743605.1370342178</v>
      </c>
      <c r="BC32" s="124">
        <v>-4244551.0871360525</v>
      </c>
      <c r="BD32" s="124">
        <v>-3821604.1311072353</v>
      </c>
      <c r="BE32" s="124">
        <v>-3437489.9245000663</v>
      </c>
      <c r="BF32" s="124">
        <v>-3088827.8462360026</v>
      </c>
      <c r="BG32" s="124">
        <v>-2772728.2611124236</v>
      </c>
      <c r="BH32" s="124">
        <v>-2457487.4442682271</v>
      </c>
      <c r="BI32" s="124">
        <v>-2158705.639309526</v>
      </c>
      <c r="BJ32" s="124">
        <v>-1923003.3274582534</v>
      </c>
      <c r="BK32" s="124">
        <v>-1703087.3999035188</v>
      </c>
      <c r="BL32" s="124">
        <v>-1501365.2609077175</v>
      </c>
      <c r="BM32" s="124">
        <v>-1306395.9978907467</v>
      </c>
      <c r="BN32" s="124">
        <v>-1136768.876465179</v>
      </c>
      <c r="BO32" s="124">
        <v>-985499.17889078904</v>
      </c>
      <c r="BP32" s="124">
        <v>-846908.87285804213</v>
      </c>
      <c r="BQ32" s="124">
        <v>-720837.06780175969</v>
      </c>
      <c r="BR32" s="124">
        <v>-602415.57479274797</v>
      </c>
      <c r="BS32" s="124">
        <v>-494775.42511355365</v>
      </c>
      <c r="BT32" s="124">
        <v>-405674.30153083638</v>
      </c>
      <c r="BU32" s="124">
        <v>-326221.04450166668</v>
      </c>
      <c r="BV32" s="124">
        <v>-256832.53547474876</v>
      </c>
      <c r="BW32" s="124">
        <v>-196589.09860757133</v>
      </c>
      <c r="BX32" s="124">
        <v>-143840.53671588365</v>
      </c>
      <c r="BY32" s="124">
        <v>-106619.02826800702</v>
      </c>
      <c r="BZ32" s="124">
        <v>-77937.671221033583</v>
      </c>
      <c r="CA32" s="124">
        <v>-56258.259640492688</v>
      </c>
      <c r="CB32" s="124">
        <v>-40034.203928154348</v>
      </c>
      <c r="CC32" s="124">
        <v>-23368.59296981752</v>
      </c>
      <c r="CD32" s="124">
        <v>-16680.270325309793</v>
      </c>
      <c r="CE32" s="124">
        <v>-11757.907853683617</v>
      </c>
      <c r="CF32" s="124">
        <v>-8186.6581493239073</v>
      </c>
      <c r="CG32" s="124">
        <v>-5633.0428071984306</v>
      </c>
      <c r="CH32" s="124">
        <v>-2852.7139550370985</v>
      </c>
      <c r="CI32" s="124">
        <v>-1956.2766430776105</v>
      </c>
      <c r="CJ32" s="124">
        <v>-1316.82650663094</v>
      </c>
      <c r="CK32" s="124">
        <v>-878.89410145171223</v>
      </c>
      <c r="CL32" s="124">
        <v>-593.0357067787229</v>
      </c>
      <c r="CM32" s="124">
        <v>0</v>
      </c>
      <c r="CN32" s="124">
        <v>0</v>
      </c>
      <c r="CO32" s="124">
        <v>0</v>
      </c>
      <c r="CP32" s="124">
        <v>0</v>
      </c>
      <c r="CQ32" s="124">
        <v>0</v>
      </c>
      <c r="CR32" s="124">
        <v>0</v>
      </c>
      <c r="CS32" s="124">
        <v>0</v>
      </c>
      <c r="CT32" s="124">
        <v>0</v>
      </c>
      <c r="CU32" s="124">
        <v>0</v>
      </c>
      <c r="CV32" s="124">
        <v>0</v>
      </c>
      <c r="CW32" s="124">
        <v>0</v>
      </c>
      <c r="CX32" s="124">
        <v>0</v>
      </c>
      <c r="CY32" s="124">
        <v>0</v>
      </c>
      <c r="CZ32" s="124">
        <v>0</v>
      </c>
      <c r="DA32" s="124">
        <v>0</v>
      </c>
    </row>
    <row r="33" spans="2:105" x14ac:dyDescent="0.3">
      <c r="C33" s="138" t="s">
        <v>74</v>
      </c>
      <c r="D33" s="139"/>
      <c r="E33" s="141"/>
      <c r="F33" s="139">
        <v>-98279.583213859121</v>
      </c>
      <c r="G33" s="139">
        <v>219608.46953935581</v>
      </c>
      <c r="H33" s="139">
        <v>1240423.1222044197</v>
      </c>
      <c r="I33" s="139">
        <v>2799737.1803883538</v>
      </c>
      <c r="J33" s="139">
        <v>4263884.5613826178</v>
      </c>
      <c r="K33" s="139">
        <v>6181563.9785480369</v>
      </c>
      <c r="L33" s="139">
        <v>8519110.2341216505</v>
      </c>
      <c r="M33" s="139">
        <v>11068978.75434142</v>
      </c>
      <c r="N33" s="139">
        <v>13618815.821706276</v>
      </c>
      <c r="O33" s="139">
        <v>16375927.453713087</v>
      </c>
      <c r="P33" s="139">
        <v>20313165.220313251</v>
      </c>
      <c r="Q33" s="139">
        <v>20461490.50382572</v>
      </c>
      <c r="R33" s="139">
        <v>18579901.532984793</v>
      </c>
      <c r="S33" s="139">
        <v>15656150.10588154</v>
      </c>
      <c r="T33" s="139">
        <v>15620766.140488284</v>
      </c>
      <c r="U33" s="139">
        <v>12864228.664840924</v>
      </c>
      <c r="V33" s="139">
        <v>9979993.9907454848</v>
      </c>
      <c r="W33" s="139">
        <v>7267220.2640058575</v>
      </c>
      <c r="X33" s="139">
        <v>4282615.6483051367</v>
      </c>
      <c r="Y33" s="139">
        <v>3507919.171683264</v>
      </c>
      <c r="Z33" s="139">
        <v>1036475.8864361765</v>
      </c>
      <c r="AA33" s="139">
        <v>-1014644.3139964018</v>
      </c>
      <c r="AB33" s="139">
        <v>-2780667.9431279651</v>
      </c>
      <c r="AC33" s="139">
        <v>-4341683.8586379923</v>
      </c>
      <c r="AD33" s="139">
        <v>-4403673.402894048</v>
      </c>
      <c r="AE33" s="139">
        <v>-5359413.3537504626</v>
      </c>
      <c r="AF33" s="139">
        <v>-6041652.0619984008</v>
      </c>
      <c r="AG33" s="139">
        <v>-6565520.9303155998</v>
      </c>
      <c r="AH33" s="139">
        <v>-7011937.0932164006</v>
      </c>
      <c r="AI33" s="139">
        <v>-6657049.7723001409</v>
      </c>
      <c r="AJ33" s="139">
        <v>-6898393.192247062</v>
      </c>
      <c r="AK33" s="139">
        <v>-7094696.7227693163</v>
      </c>
      <c r="AL33" s="139">
        <v>-7292100.4882349418</v>
      </c>
      <c r="AM33" s="139">
        <v>-7498409.9887001263</v>
      </c>
      <c r="AN33" s="139">
        <v>-7291200.684697004</v>
      </c>
      <c r="AO33" s="139">
        <v>-7272963.5579509605</v>
      </c>
      <c r="AP33" s="139">
        <v>-7348754.346465596</v>
      </c>
      <c r="AQ33" s="139">
        <v>-7375050.3573510842</v>
      </c>
      <c r="AR33" s="139">
        <v>-7375097.3959889645</v>
      </c>
      <c r="AS33" s="139">
        <v>-7119162.8123747073</v>
      </c>
      <c r="AT33" s="139">
        <v>-7025720.5064645093</v>
      </c>
      <c r="AU33" s="139">
        <v>-6878384.3787678536</v>
      </c>
      <c r="AV33" s="139">
        <v>-6685746.6919000605</v>
      </c>
      <c r="AW33" s="139">
        <v>-6454621.677051927</v>
      </c>
      <c r="AX33" s="139">
        <v>-6057708.0017969217</v>
      </c>
      <c r="AY33" s="139">
        <v>-5696487.1489907708</v>
      </c>
      <c r="AZ33" s="139">
        <v>-5351712.2127687484</v>
      </c>
      <c r="BA33" s="139">
        <v>-4981493.1245380519</v>
      </c>
      <c r="BB33" s="139">
        <v>-4603487.3910253849</v>
      </c>
      <c r="BC33" s="139">
        <v>-4168275.6058203233</v>
      </c>
      <c r="BD33" s="139">
        <v>-3794959.2229646272</v>
      </c>
      <c r="BE33" s="139">
        <v>-3448333.7041828055</v>
      </c>
      <c r="BF33" s="139">
        <v>-3127298.4150139978</v>
      </c>
      <c r="BG33" s="139">
        <v>-2830877.9142031181</v>
      </c>
      <c r="BH33" s="139">
        <v>-2528939.451895705</v>
      </c>
      <c r="BI33" s="139">
        <v>-2238368.1547543625</v>
      </c>
      <c r="BJ33" s="139">
        <v>-2006352.3994775512</v>
      </c>
      <c r="BK33" s="139">
        <v>-1787080.3146122005</v>
      </c>
      <c r="BL33" s="139">
        <v>-1583575.2679429809</v>
      </c>
      <c r="BM33" s="139">
        <v>-1384924.9534038005</v>
      </c>
      <c r="BN33" s="139">
        <v>-1210164.9825102827</v>
      </c>
      <c r="BO33" s="139">
        <v>-1052705.7768393357</v>
      </c>
      <c r="BP33" s="139">
        <v>-907237.51421470754</v>
      </c>
      <c r="BQ33" s="139">
        <v>-773938.93766964704</v>
      </c>
      <c r="BR33" s="139">
        <v>-648245.89496747579</v>
      </c>
      <c r="BS33" s="139">
        <v>-533549.00578740868</v>
      </c>
      <c r="BT33" s="139">
        <v>-437918.14814635337</v>
      </c>
      <c r="BU33" s="139">
        <v>-352487.10266916722</v>
      </c>
      <c r="BV33" s="139">
        <v>-277816.1287700414</v>
      </c>
      <c r="BW33" s="139">
        <v>-213054.930726911</v>
      </c>
      <c r="BX33" s="139">
        <v>-156551.62407187279</v>
      </c>
      <c r="BY33" s="139">
        <v>-116344.28569172656</v>
      </c>
      <c r="BZ33" s="139">
        <v>-85285.880150308963</v>
      </c>
      <c r="CA33" s="139">
        <v>-61729.697401502541</v>
      </c>
      <c r="CB33" s="139">
        <v>-44032.081169217883</v>
      </c>
      <c r="CC33" s="139">
        <v>-26211.709680245196</v>
      </c>
      <c r="CD33" s="139">
        <v>-18803.069046509972</v>
      </c>
      <c r="CE33" s="139">
        <v>-13300.257538859229</v>
      </c>
      <c r="CF33" s="139">
        <v>-9272.1801380586385</v>
      </c>
      <c r="CG33" s="139">
        <v>-6367.8468586630579</v>
      </c>
      <c r="CH33" s="139">
        <v>-3323.9089959239736</v>
      </c>
      <c r="CI33" s="139">
        <v>-2260.1268703171827</v>
      </c>
      <c r="CJ33" s="139">
        <v>-1500.6638522658732</v>
      </c>
      <c r="CK33" s="139">
        <v>-978.40157181559778</v>
      </c>
      <c r="CL33" s="139">
        <v>-633.98956625465621</v>
      </c>
      <c r="CM33" s="139">
        <v>0</v>
      </c>
      <c r="CN33" s="139">
        <v>0</v>
      </c>
      <c r="CO33" s="139">
        <v>0</v>
      </c>
      <c r="CP33" s="139">
        <v>0</v>
      </c>
      <c r="CQ33" s="139">
        <v>0</v>
      </c>
      <c r="CR33" s="139">
        <v>0</v>
      </c>
      <c r="CS33" s="139">
        <v>0</v>
      </c>
      <c r="CT33" s="139">
        <v>0</v>
      </c>
      <c r="CU33" s="139">
        <v>0</v>
      </c>
      <c r="CV33" s="139">
        <v>0</v>
      </c>
      <c r="CW33" s="139">
        <v>0</v>
      </c>
      <c r="CX33" s="139">
        <v>0</v>
      </c>
      <c r="CY33" s="139">
        <v>0</v>
      </c>
      <c r="CZ33" s="139">
        <v>0</v>
      </c>
      <c r="DA33" s="139">
        <v>0</v>
      </c>
    </row>
    <row r="35" spans="2:105" ht="14.4" hidden="1" customHeight="1" x14ac:dyDescent="0.3">
      <c r="C35" s="131"/>
    </row>
    <row r="36" spans="2:105" ht="14.4" hidden="1" customHeight="1" x14ac:dyDescent="0.3">
      <c r="B36" s="142"/>
      <c r="C36" s="133"/>
      <c r="D36" s="134"/>
      <c r="E36" s="143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</row>
    <row r="37" spans="2:105" ht="14.4" hidden="1" customHeight="1" x14ac:dyDescent="0.3">
      <c r="B37" s="142"/>
      <c r="C37" s="138"/>
      <c r="D37" s="139"/>
      <c r="E37" s="141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39"/>
      <c r="CX37" s="139"/>
      <c r="CY37" s="139"/>
      <c r="CZ37" s="139"/>
      <c r="DA37" s="139"/>
    </row>
    <row r="38" spans="2:105" ht="14.4" hidden="1" customHeight="1" x14ac:dyDescent="0.3">
      <c r="B38" s="142"/>
      <c r="C38" s="144"/>
    </row>
    <row r="39" spans="2:105" ht="14.4" hidden="1" customHeight="1" x14ac:dyDescent="0.3">
      <c r="B39" s="142"/>
      <c r="C39" s="131"/>
    </row>
    <row r="40" spans="2:105" ht="14.4" hidden="1" customHeight="1" x14ac:dyDescent="0.3">
      <c r="B40" s="142"/>
      <c r="C40" s="133"/>
      <c r="D40" s="134"/>
      <c r="E40" s="143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</row>
    <row r="41" spans="2:105" ht="14.4" hidden="1" customHeight="1" x14ac:dyDescent="0.3">
      <c r="B41" s="142"/>
      <c r="C41" s="138"/>
      <c r="D41" s="139"/>
      <c r="E41" s="141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</row>
    <row r="42" spans="2:105" x14ac:dyDescent="0.3">
      <c r="C42" s="144"/>
    </row>
    <row r="43" spans="2:105" x14ac:dyDescent="0.3">
      <c r="C43" s="131" t="s">
        <v>78</v>
      </c>
    </row>
    <row r="44" spans="2:105" x14ac:dyDescent="0.3">
      <c r="C44" s="133" t="s">
        <v>79</v>
      </c>
      <c r="D44" s="134"/>
      <c r="E44" s="143"/>
      <c r="F44" s="145">
        <v>4527.0579752795766</v>
      </c>
      <c r="G44" s="145">
        <v>21600.574081840696</v>
      </c>
      <c r="H44" s="146">
        <v>39456.819569694315</v>
      </c>
      <c r="I44" s="146">
        <v>57946.336486188746</v>
      </c>
      <c r="J44" s="146">
        <v>82310.167017405067</v>
      </c>
      <c r="K44" s="146">
        <v>106190.07717288355</v>
      </c>
      <c r="L44" s="146">
        <v>131189.5986209526</v>
      </c>
      <c r="M44" s="146">
        <v>158864.24959857648</v>
      </c>
      <c r="N44" s="146">
        <v>190439.49885122041</v>
      </c>
      <c r="O44" s="146">
        <v>227352.18620303893</v>
      </c>
      <c r="P44" s="146">
        <v>192491.00340485957</v>
      </c>
      <c r="Q44" s="146">
        <v>172399.59573810414</v>
      </c>
      <c r="R44" s="146">
        <v>157041.9931111745</v>
      </c>
      <c r="S44" s="146">
        <v>142346.16293972638</v>
      </c>
      <c r="T44" s="146">
        <v>127792.6818913204</v>
      </c>
      <c r="U44" s="146">
        <v>116557.74853317952</v>
      </c>
      <c r="V44" s="146">
        <v>105786.21854004846</v>
      </c>
      <c r="W44" s="146">
        <v>95318.017943987405</v>
      </c>
      <c r="X44" s="146">
        <v>85039.208203801754</v>
      </c>
      <c r="Y44" s="146">
        <v>74764.342111697042</v>
      </c>
      <c r="Z44" s="146">
        <v>68878.475577118326</v>
      </c>
      <c r="AA44" s="146">
        <v>62936.744576487952</v>
      </c>
      <c r="AB44" s="146">
        <v>57165.282028322028</v>
      </c>
      <c r="AC44" s="146">
        <v>51620.859165157068</v>
      </c>
      <c r="AD44" s="146">
        <v>46140.020123693408</v>
      </c>
      <c r="AE44" s="146">
        <v>40894.110729805507</v>
      </c>
      <c r="AF44" s="146">
        <v>35939.37226346953</v>
      </c>
      <c r="AG44" s="146">
        <v>31119.108976868334</v>
      </c>
      <c r="AH44" s="146">
        <v>26370.005023262478</v>
      </c>
      <c r="AI44" s="146">
        <v>21601.263743460255</v>
      </c>
      <c r="AJ44" s="146">
        <v>19504.290686477081</v>
      </c>
      <c r="AK44" s="146">
        <v>17649.52255016044</v>
      </c>
      <c r="AL44" s="146">
        <v>15948.712070119287</v>
      </c>
      <c r="AM44" s="146">
        <v>14386.241497167035</v>
      </c>
      <c r="AN44" s="146">
        <v>12947.663242325605</v>
      </c>
      <c r="AO44" s="146">
        <v>11619.379330040934</v>
      </c>
      <c r="AP44" s="146">
        <v>10439.918595655505</v>
      </c>
      <c r="AQ44" s="146">
        <v>9352.2377948309058</v>
      </c>
      <c r="AR44" s="146">
        <v>8351.2723569607824</v>
      </c>
      <c r="AS44" s="146">
        <v>7430.7410310081095</v>
      </c>
      <c r="AT44" s="146">
        <v>6583.8285517499216</v>
      </c>
      <c r="AU44" s="146">
        <v>5825.1889877566873</v>
      </c>
      <c r="AV44" s="146">
        <v>5132.8116153931678</v>
      </c>
      <c r="AW44" s="146">
        <v>4503.5989042513647</v>
      </c>
      <c r="AX44" s="146">
        <v>3934.8069180923312</v>
      </c>
      <c r="AY44" s="146">
        <v>3423.7425571207027</v>
      </c>
      <c r="AZ44" s="146">
        <v>2973.2554062745708</v>
      </c>
      <c r="BA44" s="146">
        <v>2573.486919568667</v>
      </c>
      <c r="BB44" s="146">
        <v>2222.0122027680513</v>
      </c>
      <c r="BC44" s="146">
        <v>1915.2492875039118</v>
      </c>
      <c r="BD44" s="146">
        <v>1648.8770059434553</v>
      </c>
      <c r="BE44" s="146">
        <v>1418.6773324614567</v>
      </c>
      <c r="BF44" s="146">
        <v>1219.1756128653633</v>
      </c>
      <c r="BG44" s="146">
        <v>1045.7048438398569</v>
      </c>
      <c r="BH44" s="146">
        <v>894.42112614879318</v>
      </c>
      <c r="BI44" s="146">
        <v>762.16373573165333</v>
      </c>
      <c r="BJ44" s="146">
        <v>649.17079324167332</v>
      </c>
      <c r="BK44" s="146">
        <v>549.66024949295183</v>
      </c>
      <c r="BL44" s="146">
        <v>462.30890191296982</v>
      </c>
      <c r="BM44" s="146">
        <v>385.81560170394386</v>
      </c>
      <c r="BN44" s="146">
        <v>318.96338054166017</v>
      </c>
      <c r="BO44" s="146">
        <v>260.76818530748545</v>
      </c>
      <c r="BP44" s="146">
        <v>210.40895944293726</v>
      </c>
      <c r="BQ44" s="146">
        <v>167.27714102695495</v>
      </c>
      <c r="BR44" s="146">
        <v>130.78405953487731</v>
      </c>
      <c r="BS44" s="146">
        <v>100.34585908631715</v>
      </c>
      <c r="BT44" s="146">
        <v>75.500598776108831</v>
      </c>
      <c r="BU44" s="146">
        <v>55.476642188936864</v>
      </c>
      <c r="BV44" s="146">
        <v>39.767187366266178</v>
      </c>
      <c r="BW44" s="146">
        <v>27.796777532634618</v>
      </c>
      <c r="BX44" s="146">
        <v>18.956423076094488</v>
      </c>
      <c r="BY44" s="146">
        <v>12.755685726270823</v>
      </c>
      <c r="BZ44" s="146">
        <v>8.419215549395787</v>
      </c>
      <c r="CA44" s="146">
        <v>5.4293798134164239</v>
      </c>
      <c r="CB44" s="146">
        <v>3.3897852099326835</v>
      </c>
      <c r="CC44" s="146">
        <v>2.00509419891605</v>
      </c>
      <c r="CD44" s="146">
        <v>1.3385078798597088</v>
      </c>
      <c r="CE44" s="146">
        <v>0.87292629642094532</v>
      </c>
      <c r="CF44" s="146">
        <v>0.55256905998102468</v>
      </c>
      <c r="CG44" s="146">
        <v>0.33532063141866625</v>
      </c>
      <c r="CH44" s="146">
        <v>0.18977939837892499</v>
      </c>
      <c r="CI44" s="146">
        <v>0.11522377717186946</v>
      </c>
      <c r="CJ44" s="146">
        <v>6.5816521680761145E-2</v>
      </c>
      <c r="CK44" s="146">
        <v>3.3767812381114051E-2</v>
      </c>
      <c r="CL44" s="146">
        <v>1.3245992265763935E-2</v>
      </c>
      <c r="CM44" s="146">
        <v>0</v>
      </c>
      <c r="CN44" s="146">
        <v>0</v>
      </c>
      <c r="CO44" s="146">
        <v>0</v>
      </c>
      <c r="CP44" s="146">
        <v>0</v>
      </c>
      <c r="CQ44" s="146">
        <v>0</v>
      </c>
      <c r="CR44" s="146">
        <v>0</v>
      </c>
      <c r="CS44" s="146">
        <v>0</v>
      </c>
      <c r="CT44" s="146">
        <v>0</v>
      </c>
      <c r="CU44" s="146">
        <v>0</v>
      </c>
      <c r="CV44" s="146">
        <v>0</v>
      </c>
      <c r="CW44" s="146">
        <v>0</v>
      </c>
      <c r="CX44" s="146">
        <v>0</v>
      </c>
      <c r="CY44" s="146">
        <v>0</v>
      </c>
      <c r="CZ44" s="146">
        <v>0</v>
      </c>
      <c r="DA44" s="146">
        <v>0</v>
      </c>
    </row>
    <row r="45" spans="2:105" x14ac:dyDescent="0.3">
      <c r="C45" s="136" t="s">
        <v>80</v>
      </c>
      <c r="F45" s="147">
        <v>0</v>
      </c>
      <c r="G45" s="147">
        <v>0</v>
      </c>
      <c r="H45" s="148">
        <v>0</v>
      </c>
      <c r="I45" s="148">
        <v>0</v>
      </c>
      <c r="J45" s="148">
        <v>0</v>
      </c>
      <c r="K45" s="148">
        <v>0</v>
      </c>
      <c r="L45" s="148">
        <v>0</v>
      </c>
      <c r="M45" s="148">
        <v>0</v>
      </c>
      <c r="N45" s="148">
        <v>0</v>
      </c>
      <c r="O45" s="148">
        <v>0</v>
      </c>
      <c r="P45" s="148">
        <v>0</v>
      </c>
      <c r="Q45" s="148">
        <v>5.7591355929162678</v>
      </c>
      <c r="R45" s="148">
        <v>28.974155748985826</v>
      </c>
      <c r="S45" s="148">
        <v>58.248586738677858</v>
      </c>
      <c r="T45" s="148">
        <v>91.687098710211217</v>
      </c>
      <c r="U45" s="148">
        <v>134.88463578358173</v>
      </c>
      <c r="V45" s="148">
        <v>187.48448702183424</v>
      </c>
      <c r="W45" s="148">
        <v>263.34901496223523</v>
      </c>
      <c r="X45" s="148">
        <v>351.74684590292173</v>
      </c>
      <c r="Y45" s="148">
        <v>452.58010185302976</v>
      </c>
      <c r="Z45" s="148">
        <v>574.51485855184933</v>
      </c>
      <c r="AA45" s="148">
        <v>617.59939237560502</v>
      </c>
      <c r="AB45" s="148">
        <v>677.62020817171083</v>
      </c>
      <c r="AC45" s="148">
        <v>747.97474767424148</v>
      </c>
      <c r="AD45" s="148">
        <v>829.39381108071836</v>
      </c>
      <c r="AE45" s="148">
        <v>928.79371313114405</v>
      </c>
      <c r="AF45" s="148">
        <v>939.64225025208668</v>
      </c>
      <c r="AG45" s="148">
        <v>958.94986742697847</v>
      </c>
      <c r="AH45" s="148">
        <v>983.64997458344328</v>
      </c>
      <c r="AI45" s="148">
        <v>1014.4871138831728</v>
      </c>
      <c r="AJ45" s="148">
        <v>1055.4818573660002</v>
      </c>
      <c r="AK45" s="148">
        <v>1035.8358219752492</v>
      </c>
      <c r="AL45" s="148">
        <v>1019.9741091843799</v>
      </c>
      <c r="AM45" s="148">
        <v>1006.231054368733</v>
      </c>
      <c r="AN45" s="148">
        <v>995.05384635080486</v>
      </c>
      <c r="AO45" s="148">
        <v>988.69701795573314</v>
      </c>
      <c r="AP45" s="148">
        <v>950.87824192353901</v>
      </c>
      <c r="AQ45" s="148">
        <v>913.42919184544314</v>
      </c>
      <c r="AR45" s="148">
        <v>876.61287945815934</v>
      </c>
      <c r="AS45" s="148">
        <v>841.01166323520499</v>
      </c>
      <c r="AT45" s="148">
        <v>807.53544293617165</v>
      </c>
      <c r="AU45" s="148">
        <v>756.74576447189054</v>
      </c>
      <c r="AV45" s="148">
        <v>706.24092480621709</v>
      </c>
      <c r="AW45" s="148">
        <v>656.34418199198501</v>
      </c>
      <c r="AX45" s="148">
        <v>607.38688095535747</v>
      </c>
      <c r="AY45" s="148">
        <v>559.708793648751</v>
      </c>
      <c r="AZ45" s="148">
        <v>511.56654948873893</v>
      </c>
      <c r="BA45" s="148">
        <v>465.01833360138727</v>
      </c>
      <c r="BB45" s="148">
        <v>420.32463374407394</v>
      </c>
      <c r="BC45" s="148">
        <v>377.70440621601858</v>
      </c>
      <c r="BD45" s="148">
        <v>337.33518819815612</v>
      </c>
      <c r="BE45" s="148">
        <v>299.35334914721528</v>
      </c>
      <c r="BF45" s="148">
        <v>263.90052964090444</v>
      </c>
      <c r="BG45" s="148">
        <v>231.09361647602276</v>
      </c>
      <c r="BH45" s="148">
        <v>200.98850334128522</v>
      </c>
      <c r="BI45" s="148">
        <v>173.58477531189939</v>
      </c>
      <c r="BJ45" s="148">
        <v>148.86977602208606</v>
      </c>
      <c r="BK45" s="148">
        <v>126.72010636751074</v>
      </c>
      <c r="BL45" s="148">
        <v>107.0639891040484</v>
      </c>
      <c r="BM45" s="148">
        <v>89.775422287819367</v>
      </c>
      <c r="BN45" s="148">
        <v>74.689998582207309</v>
      </c>
      <c r="BO45" s="148">
        <v>61.691305898115097</v>
      </c>
      <c r="BP45" s="148">
        <v>50.496951582258504</v>
      </c>
      <c r="BQ45" s="148">
        <v>40.945653543925417</v>
      </c>
      <c r="BR45" s="148">
        <v>32.868534684178947</v>
      </c>
      <c r="BS45" s="148">
        <v>26.09545974909814</v>
      </c>
      <c r="BT45" s="148">
        <v>20.573815573394043</v>
      </c>
      <c r="BU45" s="148">
        <v>16.002418513581016</v>
      </c>
      <c r="BV45" s="148">
        <v>12.269920325176592</v>
      </c>
      <c r="BW45" s="148">
        <v>9.2647462475955642</v>
      </c>
      <c r="BX45" s="148">
        <v>6.8783636977385356</v>
      </c>
      <c r="BY45" s="148">
        <v>5.0786260803868473</v>
      </c>
      <c r="BZ45" s="148">
        <v>3.6795712255334529</v>
      </c>
      <c r="CA45" s="148">
        <v>2.6128463103418702</v>
      </c>
      <c r="CB45" s="148">
        <v>1.8145436234424528</v>
      </c>
      <c r="CC45" s="148">
        <v>1.2270534866039038</v>
      </c>
      <c r="CD45" s="148">
        <v>0.84534425010069325</v>
      </c>
      <c r="CE45" s="148">
        <v>0.56838471344559149</v>
      </c>
      <c r="CF45" s="148">
        <v>0.37054262013580425</v>
      </c>
      <c r="CG45" s="148">
        <v>0.23105744563294367</v>
      </c>
      <c r="CH45" s="148">
        <v>0.13351156963190702</v>
      </c>
      <c r="CI45" s="148">
        <v>8.4588807834171997E-2</v>
      </c>
      <c r="CJ45" s="148">
        <v>5.0322421401417301E-2</v>
      </c>
      <c r="CK45" s="148">
        <v>2.6813024011877289E-2</v>
      </c>
      <c r="CL45" s="148">
        <v>1.0879811761535508E-2</v>
      </c>
      <c r="CM45" s="148">
        <v>0</v>
      </c>
      <c r="CN45" s="148">
        <v>0</v>
      </c>
      <c r="CO45" s="148">
        <v>0</v>
      </c>
      <c r="CP45" s="148">
        <v>0</v>
      </c>
      <c r="CQ45" s="148">
        <v>0</v>
      </c>
      <c r="CR45" s="148">
        <v>0</v>
      </c>
      <c r="CS45" s="148">
        <v>0</v>
      </c>
      <c r="CT45" s="148">
        <v>0</v>
      </c>
      <c r="CU45" s="148">
        <v>0</v>
      </c>
      <c r="CV45" s="148">
        <v>0</v>
      </c>
      <c r="CW45" s="148">
        <v>0</v>
      </c>
      <c r="CX45" s="148">
        <v>0</v>
      </c>
      <c r="CY45" s="148">
        <v>0</v>
      </c>
      <c r="CZ45" s="148">
        <v>0</v>
      </c>
      <c r="DA45" s="148">
        <v>0</v>
      </c>
    </row>
    <row r="46" spans="2:105" x14ac:dyDescent="0.3">
      <c r="C46" s="136" t="s">
        <v>81</v>
      </c>
      <c r="F46" s="147">
        <v>177.53836370623662</v>
      </c>
      <c r="G46" s="147">
        <v>816.54077397320816</v>
      </c>
      <c r="H46" s="148">
        <v>1380.2986708065732</v>
      </c>
      <c r="I46" s="148">
        <v>1891.4314258529498</v>
      </c>
      <c r="J46" s="148">
        <v>2580.2656136543173</v>
      </c>
      <c r="K46" s="148">
        <v>3187.3848818084803</v>
      </c>
      <c r="L46" s="148">
        <v>3815.7996991824812</v>
      </c>
      <c r="M46" s="148">
        <v>4516.1601905247444</v>
      </c>
      <c r="N46" s="148">
        <v>5332.4657623501716</v>
      </c>
      <c r="O46" s="148">
        <v>6312.6077515620227</v>
      </c>
      <c r="P46" s="148">
        <v>4418.1484119240849</v>
      </c>
      <c r="Q46" s="148">
        <v>3575.4720739151521</v>
      </c>
      <c r="R46" s="148">
        <v>3138.267120044743</v>
      </c>
      <c r="S46" s="148">
        <v>2836.4780826186648</v>
      </c>
      <c r="T46" s="148">
        <v>2603.4861923584363</v>
      </c>
      <c r="U46" s="148">
        <v>2412.9465058830251</v>
      </c>
      <c r="V46" s="148">
        <v>2272.6249769196379</v>
      </c>
      <c r="W46" s="148">
        <v>2141.8290189109057</v>
      </c>
      <c r="X46" s="148">
        <v>2050.9987107794032</v>
      </c>
      <c r="Y46" s="148">
        <v>1962.510848220953</v>
      </c>
      <c r="Z46" s="148">
        <v>1897.565252064961</v>
      </c>
      <c r="AA46" s="148">
        <v>1821.1626044668844</v>
      </c>
      <c r="AB46" s="148">
        <v>1733.8999931597068</v>
      </c>
      <c r="AC46" s="148">
        <v>1637.4956248085405</v>
      </c>
      <c r="AD46" s="148">
        <v>1534.2193009803575</v>
      </c>
      <c r="AE46" s="148">
        <v>1428.3954818279958</v>
      </c>
      <c r="AF46" s="148">
        <v>1323.1277523675328</v>
      </c>
      <c r="AG46" s="148">
        <v>1217.9629566413651</v>
      </c>
      <c r="AH46" s="148">
        <v>1117.6447266166394</v>
      </c>
      <c r="AI46" s="148">
        <v>1025.3855387865044</v>
      </c>
      <c r="AJ46" s="148">
        <v>944.48534095639866</v>
      </c>
      <c r="AK46" s="148">
        <v>875.96371037462291</v>
      </c>
      <c r="AL46" s="148">
        <v>817.53096957583637</v>
      </c>
      <c r="AM46" s="148">
        <v>766.55559080602359</v>
      </c>
      <c r="AN46" s="148">
        <v>721.00180666313963</v>
      </c>
      <c r="AO46" s="148">
        <v>667.27911089040924</v>
      </c>
      <c r="AP46" s="148">
        <v>632.29586822702277</v>
      </c>
      <c r="AQ46" s="148">
        <v>597.54525597955819</v>
      </c>
      <c r="AR46" s="148">
        <v>564.23942064543576</v>
      </c>
      <c r="AS46" s="148">
        <v>532.92691540250598</v>
      </c>
      <c r="AT46" s="148">
        <v>502.78647404797772</v>
      </c>
      <c r="AU46" s="148">
        <v>472.67411376149857</v>
      </c>
      <c r="AV46" s="148">
        <v>442.00982741088899</v>
      </c>
      <c r="AW46" s="148">
        <v>410.57577079539675</v>
      </c>
      <c r="AX46" s="148">
        <v>378.45355125691611</v>
      </c>
      <c r="AY46" s="148">
        <v>342.14226836011278</v>
      </c>
      <c r="AZ46" s="148">
        <v>310.87002261595774</v>
      </c>
      <c r="BA46" s="148">
        <v>279.2204059859244</v>
      </c>
      <c r="BB46" s="148">
        <v>248.58054871304225</v>
      </c>
      <c r="BC46" s="148">
        <v>219.95849926550537</v>
      </c>
      <c r="BD46" s="148">
        <v>193.51428450865274</v>
      </c>
      <c r="BE46" s="148">
        <v>170.7874015831737</v>
      </c>
      <c r="BF46" s="148">
        <v>151.24058514618559</v>
      </c>
      <c r="BG46" s="148">
        <v>134.31403471270713</v>
      </c>
      <c r="BH46" s="148">
        <v>119.54723761854363</v>
      </c>
      <c r="BI46" s="148">
        <v>103.54105792496834</v>
      </c>
      <c r="BJ46" s="148">
        <v>92.73072658787838</v>
      </c>
      <c r="BK46" s="148">
        <v>82.675417374340398</v>
      </c>
      <c r="BL46" s="148">
        <v>73.475782725047651</v>
      </c>
      <c r="BM46" s="148">
        <v>65.15009852359789</v>
      </c>
      <c r="BN46" s="148">
        <v>57.469246586293899</v>
      </c>
      <c r="BO46" s="148">
        <v>50.479424420250147</v>
      </c>
      <c r="BP46" s="148">
        <v>43.879056400265128</v>
      </c>
      <c r="BQ46" s="148">
        <v>37.68682879735686</v>
      </c>
      <c r="BR46" s="148">
        <v>31.929914379098026</v>
      </c>
      <c r="BS46" s="148">
        <v>26.393188760854052</v>
      </c>
      <c r="BT46" s="148">
        <v>21.67553037388307</v>
      </c>
      <c r="BU46" s="148">
        <v>17.34894314969269</v>
      </c>
      <c r="BV46" s="148">
        <v>13.512595620021294</v>
      </c>
      <c r="BW46" s="148">
        <v>10.229030528707964</v>
      </c>
      <c r="BX46" s="148">
        <v>7.3291230868453141</v>
      </c>
      <c r="BY46" s="148">
        <v>5.2924084238654938</v>
      </c>
      <c r="BZ46" s="148">
        <v>3.7708038188858688</v>
      </c>
      <c r="CA46" s="148">
        <v>2.6594875424919673</v>
      </c>
      <c r="CB46" s="148">
        <v>1.8666498742280218</v>
      </c>
      <c r="CC46" s="148">
        <v>0.97784777240904119</v>
      </c>
      <c r="CD46" s="148">
        <v>0.69659763080855219</v>
      </c>
      <c r="CE46" s="148">
        <v>0.48911674764544355</v>
      </c>
      <c r="CF46" s="148">
        <v>0.3390851487800261</v>
      </c>
      <c r="CG46" s="148">
        <v>0.23309871965241341</v>
      </c>
      <c r="CH46" s="148">
        <v>0.11741397367995528</v>
      </c>
      <c r="CI46" s="148">
        <v>8.0209614466980869E-2</v>
      </c>
      <c r="CJ46" s="148">
        <v>5.3780853405970587E-2</v>
      </c>
      <c r="CK46" s="148">
        <v>3.5757874878020117E-2</v>
      </c>
      <c r="CL46" s="148">
        <v>2.4125804027299441E-2</v>
      </c>
      <c r="CM46" s="148">
        <v>0</v>
      </c>
      <c r="CN46" s="148">
        <v>0</v>
      </c>
      <c r="CO46" s="148">
        <v>0</v>
      </c>
      <c r="CP46" s="148">
        <v>0</v>
      </c>
      <c r="CQ46" s="148">
        <v>0</v>
      </c>
      <c r="CR46" s="148">
        <v>0</v>
      </c>
      <c r="CS46" s="148">
        <v>0</v>
      </c>
      <c r="CT46" s="148">
        <v>0</v>
      </c>
      <c r="CU46" s="148">
        <v>0</v>
      </c>
      <c r="CV46" s="148">
        <v>0</v>
      </c>
      <c r="CW46" s="148">
        <v>0</v>
      </c>
      <c r="CX46" s="148">
        <v>0</v>
      </c>
      <c r="CY46" s="148">
        <v>0</v>
      </c>
      <c r="CZ46" s="148">
        <v>0</v>
      </c>
      <c r="DA46" s="148">
        <v>0</v>
      </c>
    </row>
    <row r="47" spans="2:105" x14ac:dyDescent="0.3">
      <c r="C47" s="136" t="s">
        <v>82</v>
      </c>
      <c r="F47" s="147">
        <v>1087.3799028933349</v>
      </c>
      <c r="G47" s="147">
        <v>4800.4097358188501</v>
      </c>
      <c r="H47" s="148">
        <v>7375.8583385376887</v>
      </c>
      <c r="I47" s="148">
        <v>9268.9052000820229</v>
      </c>
      <c r="J47" s="148">
        <v>12241.216553683686</v>
      </c>
      <c r="K47" s="148">
        <v>14483.268178839349</v>
      </c>
      <c r="L47" s="148">
        <v>16743.501711420326</v>
      </c>
      <c r="M47" s="148">
        <v>19435.967290979443</v>
      </c>
      <c r="N47" s="148">
        <v>22705.777820717936</v>
      </c>
      <c r="O47" s="148">
        <v>26765.175674828184</v>
      </c>
      <c r="P47" s="148">
        <v>12881.546157407274</v>
      </c>
      <c r="Q47" s="148">
        <v>8441.2119237858606</v>
      </c>
      <c r="R47" s="148">
        <v>7695.2156872348041</v>
      </c>
      <c r="S47" s="148">
        <v>6975.5453904676388</v>
      </c>
      <c r="T47" s="148">
        <v>6259.5595689347119</v>
      </c>
      <c r="U47" s="148">
        <v>5707.3914938357002</v>
      </c>
      <c r="V47" s="148">
        <v>5175.8953552597404</v>
      </c>
      <c r="W47" s="148">
        <v>4659.1148788025712</v>
      </c>
      <c r="X47" s="148">
        <v>4149.8244007466101</v>
      </c>
      <c r="Y47" s="148">
        <v>3640.6342988905285</v>
      </c>
      <c r="Z47" s="148">
        <v>3349.7464836194049</v>
      </c>
      <c r="AA47" s="148">
        <v>3056.5706720664994</v>
      </c>
      <c r="AB47" s="148">
        <v>2772.4710156925498</v>
      </c>
      <c r="AC47" s="148">
        <v>2500.1959312461736</v>
      </c>
      <c r="AD47" s="148">
        <v>2231.4605608779461</v>
      </c>
      <c r="AE47" s="148">
        <v>1974.6225691893296</v>
      </c>
      <c r="AF47" s="148">
        <v>1732.2508376511719</v>
      </c>
      <c r="AG47" s="148">
        <v>1496.6080052022824</v>
      </c>
      <c r="AH47" s="148">
        <v>1264.2886435980026</v>
      </c>
      <c r="AI47" s="148">
        <v>1030.5927747138392</v>
      </c>
      <c r="AJ47" s="148">
        <v>929.92883075099485</v>
      </c>
      <c r="AK47" s="148">
        <v>840.7084824573891</v>
      </c>
      <c r="AL47" s="148">
        <v>758.6826581920667</v>
      </c>
      <c r="AM47" s="148">
        <v>683.19987205332973</v>
      </c>
      <c r="AN47" s="148">
        <v>613.63893401659993</v>
      </c>
      <c r="AO47" s="148">
        <v>550.0003995272225</v>
      </c>
      <c r="AP47" s="148">
        <v>492.83398267566929</v>
      </c>
      <c r="AQ47" s="148">
        <v>440.2364942778521</v>
      </c>
      <c r="AR47" s="148">
        <v>391.89312153019461</v>
      </c>
      <c r="AS47" s="148">
        <v>347.46178415471292</v>
      </c>
      <c r="AT47" s="148">
        <v>306.64276840953499</v>
      </c>
      <c r="AU47" s="148">
        <v>270.20809826769732</v>
      </c>
      <c r="AV47" s="148">
        <v>237.09962654514632</v>
      </c>
      <c r="AW47" s="148">
        <v>207.17351640026558</v>
      </c>
      <c r="AX47" s="148">
        <v>180.28889702131869</v>
      </c>
      <c r="AY47" s="148">
        <v>156.48712664602999</v>
      </c>
      <c r="AZ47" s="148">
        <v>135.44667997729823</v>
      </c>
      <c r="BA47" s="148">
        <v>116.94801067200277</v>
      </c>
      <c r="BB47" s="148">
        <v>100.80259407915324</v>
      </c>
      <c r="BC47" s="148">
        <v>86.783000312813485</v>
      </c>
      <c r="BD47" s="148">
        <v>74.667228024287155</v>
      </c>
      <c r="BE47" s="148">
        <v>64.167137519229641</v>
      </c>
      <c r="BF47" s="148">
        <v>55.037097044203001</v>
      </c>
      <c r="BG47" s="148">
        <v>47.074796113094365</v>
      </c>
      <c r="BH47" s="148">
        <v>40.113880827981752</v>
      </c>
      <c r="BI47" s="148">
        <v>34.166883854824917</v>
      </c>
      <c r="BJ47" s="148">
        <v>28.929486815418521</v>
      </c>
      <c r="BK47" s="148">
        <v>24.332047469103678</v>
      </c>
      <c r="BL47" s="148">
        <v>20.306084300207576</v>
      </c>
      <c r="BM47" s="148">
        <v>16.787546344297908</v>
      </c>
      <c r="BN47" s="148">
        <v>13.72464133197292</v>
      </c>
      <c r="BO47" s="148">
        <v>11.074155760154596</v>
      </c>
      <c r="BP47" s="148">
        <v>8.8040600540502645</v>
      </c>
      <c r="BQ47" s="148">
        <v>6.8833715544672307</v>
      </c>
      <c r="BR47" s="148">
        <v>5.2813610045430082</v>
      </c>
      <c r="BS47" s="148">
        <v>3.9737157250583608</v>
      </c>
      <c r="BT47" s="148">
        <v>2.9198232731019393</v>
      </c>
      <c r="BU47" s="148">
        <v>2.0930098613824302</v>
      </c>
      <c r="BV47" s="148">
        <v>1.4629882911912957</v>
      </c>
      <c r="BW47" s="148">
        <v>0.99770647768918375</v>
      </c>
      <c r="BX47" s="148">
        <v>0.67135188033004345</v>
      </c>
      <c r="BY47" s="148">
        <v>0.44311660786293622</v>
      </c>
      <c r="BZ47" s="148">
        <v>0.28575683228507498</v>
      </c>
      <c r="CA47" s="148">
        <v>0.17840974789119385</v>
      </c>
      <c r="CB47" s="148">
        <v>0.10553127362716054</v>
      </c>
      <c r="CC47" s="148">
        <v>7.0447783150510979E-2</v>
      </c>
      <c r="CD47" s="148">
        <v>4.5943489285312909E-2</v>
      </c>
      <c r="CE47" s="148">
        <v>2.9082582104264454E-2</v>
      </c>
      <c r="CF47" s="148">
        <v>1.764845428519296E-2</v>
      </c>
      <c r="CG47" s="148">
        <v>9.9883893883644728E-3</v>
      </c>
      <c r="CH47" s="148">
        <v>6.0644093248352357E-3</v>
      </c>
      <c r="CI47" s="148">
        <v>3.4640274568821651E-3</v>
      </c>
      <c r="CJ47" s="148">
        <v>1.7772532832165287E-3</v>
      </c>
      <c r="CK47" s="148">
        <v>6.9715748767178599E-4</v>
      </c>
      <c r="CL47" s="148">
        <v>0</v>
      </c>
      <c r="CM47" s="148">
        <v>0</v>
      </c>
      <c r="CN47" s="148">
        <v>0</v>
      </c>
      <c r="CO47" s="148">
        <v>0</v>
      </c>
      <c r="CP47" s="148">
        <v>0</v>
      </c>
      <c r="CQ47" s="148">
        <v>0</v>
      </c>
      <c r="CR47" s="148">
        <v>0</v>
      </c>
      <c r="CS47" s="148">
        <v>0</v>
      </c>
      <c r="CT47" s="148">
        <v>0</v>
      </c>
      <c r="CU47" s="148">
        <v>0</v>
      </c>
      <c r="CV47" s="148">
        <v>0</v>
      </c>
      <c r="CW47" s="148">
        <v>0</v>
      </c>
      <c r="CX47" s="148">
        <v>0</v>
      </c>
      <c r="CY47" s="148">
        <v>0</v>
      </c>
      <c r="CZ47" s="148">
        <v>0</v>
      </c>
      <c r="DA47" s="148">
        <v>0</v>
      </c>
    </row>
    <row r="48" spans="2:105" x14ac:dyDescent="0.3">
      <c r="C48" s="138" t="s">
        <v>83</v>
      </c>
      <c r="D48" s="139"/>
      <c r="E48" s="141"/>
      <c r="F48" s="149">
        <v>3262.1397086800048</v>
      </c>
      <c r="G48" s="149">
        <v>15983.623572048631</v>
      </c>
      <c r="H48" s="150">
        <v>30700.66256035004</v>
      </c>
      <c r="I48" s="150">
        <v>46785.999860253789</v>
      </c>
      <c r="J48" s="150">
        <v>67488.684850067075</v>
      </c>
      <c r="K48" s="150">
        <v>88519.424112235632</v>
      </c>
      <c r="L48" s="150">
        <v>110630.29721034988</v>
      </c>
      <c r="M48" s="150">
        <v>134912.12211707223</v>
      </c>
      <c r="N48" s="150">
        <v>162401.25526815248</v>
      </c>
      <c r="O48" s="150">
        <v>194274.40277664879</v>
      </c>
      <c r="P48" s="150">
        <v>175191.30883552812</v>
      </c>
      <c r="Q48" s="150">
        <v>160388.67087599612</v>
      </c>
      <c r="R48" s="150">
        <v>146237.48445964383</v>
      </c>
      <c r="S48" s="150">
        <v>132592.3880533787</v>
      </c>
      <c r="T48" s="150">
        <v>119021.32322873751</v>
      </c>
      <c r="U48" s="150">
        <v>108572.29516924442</v>
      </c>
      <c r="V48" s="150">
        <v>98525.182694890871</v>
      </c>
      <c r="W48" s="150">
        <v>88780.423061236143</v>
      </c>
      <c r="X48" s="150">
        <v>79190.131938178631</v>
      </c>
      <c r="Y48" s="150">
        <v>69613.777066438619</v>
      </c>
      <c r="Z48" s="150">
        <v>64205.67869998578</v>
      </c>
      <c r="AA48" s="150">
        <v>58676.6106923302</v>
      </c>
      <c r="AB48" s="150">
        <v>53336.531227641477</v>
      </c>
      <c r="AC48" s="150">
        <v>48231.142356776625</v>
      </c>
      <c r="AD48" s="150">
        <v>43203.734072915795</v>
      </c>
      <c r="AE48" s="150">
        <v>38419.886391919354</v>
      </c>
      <c r="AF48" s="150">
        <v>33823.635923702896</v>
      </c>
      <c r="AG48" s="150">
        <v>29363.487882451664</v>
      </c>
      <c r="AH48" s="150">
        <v>24971.721627631279</v>
      </c>
      <c r="AI48" s="150">
        <v>20559.772543843079</v>
      </c>
      <c r="AJ48" s="150">
        <v>18685.358372135692</v>
      </c>
      <c r="AK48" s="150">
        <v>16968.686179303666</v>
      </c>
      <c r="AL48" s="150">
        <v>15392.472551535771</v>
      </c>
      <c r="AM48" s="150">
        <v>13942.717088676418</v>
      </c>
      <c r="AN48" s="150">
        <v>12608.076347996672</v>
      </c>
      <c r="AO48" s="150">
        <v>11390.796837579044</v>
      </c>
      <c r="AP48" s="150">
        <v>10265.666986676353</v>
      </c>
      <c r="AQ48" s="150">
        <v>9227.8852364189406</v>
      </c>
      <c r="AR48" s="150">
        <v>8271.7526942433142</v>
      </c>
      <c r="AS48" s="150">
        <v>7391.3639946860958</v>
      </c>
      <c r="AT48" s="150">
        <v>6581.934752228578</v>
      </c>
      <c r="AU48" s="150">
        <v>5839.0525401993864</v>
      </c>
      <c r="AV48" s="150">
        <v>5159.9430862433483</v>
      </c>
      <c r="AW48" s="150">
        <v>4542.1937990476899</v>
      </c>
      <c r="AX48" s="150">
        <v>3983.4513507694501</v>
      </c>
      <c r="AY48" s="150">
        <v>3484.8219557633097</v>
      </c>
      <c r="AZ48" s="150">
        <v>3038.5052531700544</v>
      </c>
      <c r="BA48" s="150">
        <v>2642.3368365121255</v>
      </c>
      <c r="BB48" s="150">
        <v>2292.9536937199296</v>
      </c>
      <c r="BC48" s="150">
        <v>1986.2121941416099</v>
      </c>
      <c r="BD48" s="150">
        <v>1718.0306816086718</v>
      </c>
      <c r="BE48" s="150">
        <v>1483.0761425062669</v>
      </c>
      <c r="BF48" s="150">
        <v>1276.7984603158795</v>
      </c>
      <c r="BG48" s="150">
        <v>1095.4096294900783</v>
      </c>
      <c r="BH48" s="150">
        <v>935.74851104355218</v>
      </c>
      <c r="BI48" s="150">
        <v>798.04056926375927</v>
      </c>
      <c r="BJ48" s="150">
        <v>676.38035586046237</v>
      </c>
      <c r="BK48" s="150">
        <v>569.37289101701822</v>
      </c>
      <c r="BL48" s="150">
        <v>475.59102399176328</v>
      </c>
      <c r="BM48" s="150">
        <v>393.65337912386752</v>
      </c>
      <c r="BN48" s="150">
        <v>322.45949120560067</v>
      </c>
      <c r="BO48" s="150">
        <v>260.90591102519585</v>
      </c>
      <c r="BP48" s="150">
        <v>208.22279457088035</v>
      </c>
      <c r="BQ48" s="150">
        <v>163.65259421905637</v>
      </c>
      <c r="BR48" s="150">
        <v>126.44131883541525</v>
      </c>
      <c r="BS48" s="150">
        <v>96.074414349502902</v>
      </c>
      <c r="BT48" s="150">
        <v>71.479060702517884</v>
      </c>
      <c r="BU48" s="150">
        <v>52.037107691442763</v>
      </c>
      <c r="BV48" s="150">
        <v>37.061523780230182</v>
      </c>
      <c r="BW48" s="150">
        <v>25.83478677383302</v>
      </c>
      <c r="BX48" s="150">
        <v>17.834311806657674</v>
      </c>
      <c r="BY48" s="150">
        <v>12.098786774929245</v>
      </c>
      <c r="BZ48" s="150">
        <v>8.0422261237582973</v>
      </c>
      <c r="CA48" s="150">
        <v>5.2043288333751354</v>
      </c>
      <c r="CB48" s="150">
        <v>3.232147685519954</v>
      </c>
      <c r="CC48" s="150">
        <v>2.1838521299604019</v>
      </c>
      <c r="CD48" s="150">
        <v>1.4413110098665372</v>
      </c>
      <c r="CE48" s="150">
        <v>0.92311168011682898</v>
      </c>
      <c r="CF48" s="150">
        <v>0.56637807705160992</v>
      </c>
      <c r="CG48" s="150">
        <v>0.32329096801083196</v>
      </c>
      <c r="CH48" s="150">
        <v>0.19981258500604146</v>
      </c>
      <c r="CI48" s="150">
        <v>0.11613894308217844</v>
      </c>
      <c r="CJ48" s="150">
        <v>6.0580836392991333E-2</v>
      </c>
      <c r="CK48" s="150">
        <v>2.4125804027299441E-2</v>
      </c>
      <c r="CL48" s="150">
        <v>0</v>
      </c>
      <c r="CM48" s="150">
        <v>0</v>
      </c>
      <c r="CN48" s="150">
        <v>0</v>
      </c>
      <c r="CO48" s="150">
        <v>0</v>
      </c>
      <c r="CP48" s="150">
        <v>0</v>
      </c>
      <c r="CQ48" s="150">
        <v>0</v>
      </c>
      <c r="CR48" s="150">
        <v>0</v>
      </c>
      <c r="CS48" s="150">
        <v>0</v>
      </c>
      <c r="CT48" s="150">
        <v>0</v>
      </c>
      <c r="CU48" s="150">
        <v>0</v>
      </c>
      <c r="CV48" s="150">
        <v>0</v>
      </c>
      <c r="CW48" s="150">
        <v>0</v>
      </c>
      <c r="CX48" s="150">
        <v>0</v>
      </c>
      <c r="CY48" s="150">
        <v>0</v>
      </c>
      <c r="CZ48" s="150">
        <v>0</v>
      </c>
      <c r="DA48" s="150">
        <v>0</v>
      </c>
    </row>
    <row r="49" spans="1:105" x14ac:dyDescent="0.3">
      <c r="C49" s="151" t="s">
        <v>84</v>
      </c>
      <c r="D49" s="151"/>
      <c r="E49" s="152"/>
      <c r="F49" s="151">
        <v>53528752.207180686</v>
      </c>
      <c r="G49" s="151">
        <v>234989045.73079932</v>
      </c>
      <c r="H49" s="151">
        <v>415088799.26767212</v>
      </c>
      <c r="I49" s="151">
        <v>593501296.0865947</v>
      </c>
      <c r="J49" s="151">
        <v>827613484.70954323</v>
      </c>
      <c r="K49" s="151">
        <v>1046091280.3614763</v>
      </c>
      <c r="L49" s="151">
        <v>1270359871.9258492</v>
      </c>
      <c r="M49" s="151">
        <v>1515663296.4645748</v>
      </c>
      <c r="N49" s="151">
        <v>1794493745.7855673</v>
      </c>
      <c r="O49" s="151">
        <v>2121962910.228137</v>
      </c>
      <c r="P49" s="151">
        <v>1656743223.4412217</v>
      </c>
      <c r="Q49" s="151">
        <v>1395646871.2801239</v>
      </c>
      <c r="R49" s="151">
        <v>1204511280.4080255</v>
      </c>
      <c r="S49" s="151">
        <v>1036045570.0267681</v>
      </c>
      <c r="T49" s="151">
        <v>883703295.91569471</v>
      </c>
      <c r="U49" s="151">
        <v>765369562.3438195</v>
      </c>
      <c r="V49" s="151">
        <v>660002159.52087736</v>
      </c>
      <c r="W49" s="151">
        <v>565460135.47981751</v>
      </c>
      <c r="X49" s="151">
        <v>479975671.67064148</v>
      </c>
      <c r="Y49" s="151">
        <v>401654040.89468127</v>
      </c>
      <c r="Z49" s="151">
        <v>350976689.38045466</v>
      </c>
      <c r="AA49" s="151">
        <v>305084670.4263916</v>
      </c>
      <c r="AB49" s="151">
        <v>264197444.08199981</v>
      </c>
      <c r="AC49" s="151">
        <v>227903465.26676336</v>
      </c>
      <c r="AD49" s="151">
        <v>195280716.65045506</v>
      </c>
      <c r="AE49" s="151">
        <v>166376845.40336657</v>
      </c>
      <c r="AF49" s="151">
        <v>140657782.9792704</v>
      </c>
      <c r="AG49" s="151">
        <v>117599988.63398784</v>
      </c>
      <c r="AH49" s="151">
        <v>96728439.6285429</v>
      </c>
      <c r="AI49" s="151">
        <v>77552976.071678862</v>
      </c>
      <c r="AJ49" s="151">
        <v>66935659.252581723</v>
      </c>
      <c r="AK49" s="151">
        <v>57744087.217249148</v>
      </c>
      <c r="AL49" s="151">
        <v>49765393.535713241</v>
      </c>
      <c r="AM49" s="151">
        <v>42834491.076735131</v>
      </c>
      <c r="AN49" s="151">
        <v>36812599.047399633</v>
      </c>
      <c r="AO49" s="151">
        <v>31582248.426843107</v>
      </c>
      <c r="AP49" s="151">
        <v>27064535.434285279</v>
      </c>
      <c r="AQ49" s="151">
        <v>23138119.183162052</v>
      </c>
      <c r="AR49" s="151">
        <v>19732128.53243655</v>
      </c>
      <c r="AS49" s="151">
        <v>16782378.987938661</v>
      </c>
      <c r="AT49" s="151">
        <v>14231504.711316688</v>
      </c>
      <c r="AU49" s="151">
        <v>12029729.279184408</v>
      </c>
      <c r="AV49" s="151">
        <v>10132188.583252106</v>
      </c>
      <c r="AW49" s="151">
        <v>8501948.4008427784</v>
      </c>
      <c r="AX49" s="151">
        <v>7106487.7173380759</v>
      </c>
      <c r="AY49" s="151">
        <v>5916905.0346119162</v>
      </c>
      <c r="AZ49" s="151">
        <v>4911000.0301124966</v>
      </c>
      <c r="BA49" s="151">
        <v>4060499.4893962732</v>
      </c>
      <c r="BB49" s="151">
        <v>3345382.2720444025</v>
      </c>
      <c r="BC49" s="151">
        <v>2747053.9218035578</v>
      </c>
      <c r="BD49" s="151">
        <v>2248507.4614658128</v>
      </c>
      <c r="BE49" s="151">
        <v>1834722.3986348021</v>
      </c>
      <c r="BF49" s="151">
        <v>1491799.3136861462</v>
      </c>
      <c r="BG49" s="151">
        <v>1208108.5015174611</v>
      </c>
      <c r="BH49" s="151">
        <v>973933.02996795566</v>
      </c>
      <c r="BI49" s="151">
        <v>781122.26334829431</v>
      </c>
      <c r="BJ49" s="151">
        <v>624454.70314771659</v>
      </c>
      <c r="BK49" s="151">
        <v>496064.93744973216</v>
      </c>
      <c r="BL49" s="151">
        <v>391449.27368865593</v>
      </c>
      <c r="BM49" s="151">
        <v>306656.04564020527</v>
      </c>
      <c r="BN49" s="151">
        <v>238265.16667763548</v>
      </c>
      <c r="BO49" s="151">
        <v>183484.45184803021</v>
      </c>
      <c r="BP49" s="151">
        <v>139802.20954663778</v>
      </c>
      <c r="BQ49" s="151">
        <v>105271.5303254756</v>
      </c>
      <c r="BR49" s="151">
        <v>78240.002087361005</v>
      </c>
      <c r="BS49" s="151">
        <v>57306.13434446021</v>
      </c>
      <c r="BT49" s="151">
        <v>41429.389842017779</v>
      </c>
      <c r="BU49" s="151">
        <v>29424.272180653166</v>
      </c>
      <c r="BV49" s="151">
        <v>20512.708843922112</v>
      </c>
      <c r="BW49" s="151">
        <v>14029.851035426585</v>
      </c>
      <c r="BX49" s="151">
        <v>9413.2133719960329</v>
      </c>
      <c r="BY49" s="151">
        <v>6267.5315019414566</v>
      </c>
      <c r="BZ49" s="151">
        <v>4102.5405411080073</v>
      </c>
      <c r="CA49" s="151">
        <v>2633.3197664800255</v>
      </c>
      <c r="CB49" s="151">
        <v>1649.2908370584644</v>
      </c>
      <c r="CC49" s="151">
        <v>997.26869947357773</v>
      </c>
      <c r="CD49" s="151">
        <v>636.92955045253802</v>
      </c>
      <c r="CE49" s="151">
        <v>397.68751904200826</v>
      </c>
      <c r="CF49" s="151">
        <v>241.02278677338143</v>
      </c>
      <c r="CG49" s="151">
        <v>139.82108968996695</v>
      </c>
      <c r="CH49" s="151">
        <v>75.185201049240035</v>
      </c>
      <c r="CI49" s="151">
        <v>44.173492856481133</v>
      </c>
      <c r="CJ49" s="151">
        <v>24.464291345255624</v>
      </c>
      <c r="CK49" s="151">
        <v>12.201359087590006</v>
      </c>
      <c r="CL49" s="151">
        <v>4.6684798197161381</v>
      </c>
      <c r="CM49" s="151">
        <v>0</v>
      </c>
      <c r="CN49" s="151">
        <v>0</v>
      </c>
      <c r="CO49" s="151">
        <v>0</v>
      </c>
      <c r="CP49" s="151">
        <v>0</v>
      </c>
      <c r="CQ49" s="151">
        <v>0</v>
      </c>
      <c r="CR49" s="151">
        <v>0</v>
      </c>
      <c r="CS49" s="151">
        <v>0</v>
      </c>
      <c r="CT49" s="151">
        <v>0</v>
      </c>
      <c r="CU49" s="151">
        <v>0</v>
      </c>
      <c r="CV49" s="151">
        <v>0</v>
      </c>
      <c r="CW49" s="151">
        <v>0</v>
      </c>
      <c r="CX49" s="151">
        <v>0</v>
      </c>
      <c r="CY49" s="151">
        <v>0</v>
      </c>
      <c r="CZ49" s="151">
        <v>0</v>
      </c>
      <c r="DA49" s="151">
        <v>0</v>
      </c>
    </row>
    <row r="50" spans="1:105" x14ac:dyDescent="0.3">
      <c r="C50" s="151" t="s">
        <v>85</v>
      </c>
      <c r="D50" s="151"/>
      <c r="E50" s="152"/>
      <c r="F50" s="151">
        <v>19728236112.114037</v>
      </c>
      <c r="G50" s="151">
        <v>19990543087.952854</v>
      </c>
      <c r="H50" s="151">
        <v>20046020745.754135</v>
      </c>
      <c r="I50" s="151">
        <v>19900587347.917366</v>
      </c>
      <c r="J50" s="151">
        <v>19558182126.910988</v>
      </c>
      <c r="K50" s="151" t="e">
        <v>#REF!</v>
      </c>
      <c r="L50" s="151" t="e">
        <v>#REF!</v>
      </c>
      <c r="M50" s="151" t="e">
        <v>#REF!</v>
      </c>
      <c r="N50" s="151" t="e">
        <v>#REF!</v>
      </c>
      <c r="O50" s="151" t="e">
        <v>#REF!</v>
      </c>
      <c r="P50" s="151" t="e">
        <v>#REF!</v>
      </c>
      <c r="Q50" s="151" t="e">
        <v>#REF!</v>
      </c>
      <c r="R50" s="151" t="e">
        <v>#REF!</v>
      </c>
      <c r="S50" s="151" t="e">
        <v>#REF!</v>
      </c>
      <c r="T50" s="151" t="e">
        <v>#REF!</v>
      </c>
      <c r="U50" s="151" t="e">
        <v>#REF!</v>
      </c>
      <c r="V50" s="151" t="e">
        <v>#REF!</v>
      </c>
      <c r="W50" s="151" t="e">
        <v>#REF!</v>
      </c>
      <c r="X50" s="151" t="e">
        <v>#REF!</v>
      </c>
      <c r="Y50" s="151" t="e">
        <v>#REF!</v>
      </c>
      <c r="Z50" s="151" t="e">
        <v>#REF!</v>
      </c>
      <c r="AA50" s="151" t="e">
        <v>#REF!</v>
      </c>
      <c r="AB50" s="151" t="e">
        <v>#REF!</v>
      </c>
      <c r="AC50" s="151" t="e">
        <v>#REF!</v>
      </c>
      <c r="AD50" s="151" t="e">
        <v>#REF!</v>
      </c>
      <c r="AE50" s="151" t="e">
        <v>#REF!</v>
      </c>
      <c r="AF50" s="151" t="e">
        <v>#REF!</v>
      </c>
      <c r="AG50" s="151" t="e">
        <v>#REF!</v>
      </c>
      <c r="AH50" s="151" t="e">
        <v>#REF!</v>
      </c>
      <c r="AI50" s="151" t="e">
        <v>#REF!</v>
      </c>
      <c r="AJ50" s="151" t="e">
        <v>#REF!</v>
      </c>
      <c r="AK50" s="151" t="e">
        <v>#REF!</v>
      </c>
      <c r="AL50" s="151" t="e">
        <v>#REF!</v>
      </c>
      <c r="AM50" s="151" t="e">
        <v>#REF!</v>
      </c>
      <c r="AN50" s="151" t="e">
        <v>#REF!</v>
      </c>
      <c r="AO50" s="151" t="e">
        <v>#REF!</v>
      </c>
      <c r="AP50" s="151" t="e">
        <v>#REF!</v>
      </c>
      <c r="AQ50" s="151" t="e">
        <v>#REF!</v>
      </c>
      <c r="AR50" s="151" t="e">
        <v>#REF!</v>
      </c>
      <c r="AS50" s="151" t="e">
        <v>#REF!</v>
      </c>
      <c r="AT50" s="151" t="e">
        <v>#REF!</v>
      </c>
      <c r="AU50" s="151" t="e">
        <v>#REF!</v>
      </c>
      <c r="AV50" s="151" t="e">
        <v>#REF!</v>
      </c>
      <c r="AW50" s="151" t="e">
        <v>#REF!</v>
      </c>
      <c r="AX50" s="151" t="e">
        <v>#REF!</v>
      </c>
      <c r="AY50" s="151" t="e">
        <v>#REF!</v>
      </c>
      <c r="AZ50" s="151" t="e">
        <v>#REF!</v>
      </c>
      <c r="BA50" s="151" t="e">
        <v>#REF!</v>
      </c>
      <c r="BB50" s="151" t="e">
        <v>#REF!</v>
      </c>
      <c r="BC50" s="151" t="e">
        <v>#REF!</v>
      </c>
      <c r="BD50" s="151" t="e">
        <v>#REF!</v>
      </c>
      <c r="BE50" s="151" t="e">
        <v>#REF!</v>
      </c>
      <c r="BF50" s="151" t="e">
        <v>#REF!</v>
      </c>
      <c r="BG50" s="151" t="e">
        <v>#REF!</v>
      </c>
      <c r="BH50" s="151" t="e">
        <v>#REF!</v>
      </c>
      <c r="BI50" s="151" t="e">
        <v>#REF!</v>
      </c>
      <c r="BJ50" s="151" t="e">
        <v>#REF!</v>
      </c>
      <c r="BK50" s="151" t="e">
        <v>#REF!</v>
      </c>
      <c r="BL50" s="151" t="e">
        <v>#REF!</v>
      </c>
      <c r="BM50" s="151" t="e">
        <v>#REF!</v>
      </c>
      <c r="BN50" s="151" t="e">
        <v>#REF!</v>
      </c>
      <c r="BO50" s="151" t="e">
        <v>#REF!</v>
      </c>
      <c r="BP50" s="151" t="e">
        <v>#REF!</v>
      </c>
      <c r="BQ50" s="151" t="e">
        <v>#REF!</v>
      </c>
      <c r="BR50" s="151" t="e">
        <v>#REF!</v>
      </c>
      <c r="BS50" s="151" t="e">
        <v>#REF!</v>
      </c>
      <c r="BT50" s="151" t="e">
        <v>#REF!</v>
      </c>
      <c r="BU50" s="151" t="e">
        <v>#REF!</v>
      </c>
      <c r="BV50" s="151" t="e">
        <v>#REF!</v>
      </c>
      <c r="BW50" s="151" t="e">
        <v>#REF!</v>
      </c>
      <c r="BX50" s="151" t="e">
        <v>#REF!</v>
      </c>
      <c r="BY50" s="151" t="e">
        <v>#REF!</v>
      </c>
      <c r="BZ50" s="151" t="e">
        <v>#REF!</v>
      </c>
      <c r="CA50" s="151" t="e">
        <v>#REF!</v>
      </c>
      <c r="CB50" s="151" t="e">
        <v>#REF!</v>
      </c>
      <c r="CC50" s="151" t="e">
        <v>#REF!</v>
      </c>
      <c r="CD50" s="151" t="e">
        <v>#REF!</v>
      </c>
      <c r="CE50" s="151" t="e">
        <v>#REF!</v>
      </c>
      <c r="CF50" s="151" t="e">
        <v>#REF!</v>
      </c>
      <c r="CG50" s="151" t="e">
        <v>#REF!</v>
      </c>
      <c r="CH50" s="151" t="e">
        <v>#REF!</v>
      </c>
      <c r="CI50" s="151" t="e">
        <v>#REF!</v>
      </c>
      <c r="CJ50" s="151" t="e">
        <v>#REF!</v>
      </c>
      <c r="CK50" s="151" t="e">
        <v>#REF!</v>
      </c>
      <c r="CL50" s="151" t="e">
        <v>#REF!</v>
      </c>
      <c r="CM50" s="151" t="e">
        <v>#REF!</v>
      </c>
      <c r="CN50" s="151">
        <v>0</v>
      </c>
      <c r="CO50" s="151">
        <v>0</v>
      </c>
      <c r="CP50" s="151">
        <v>0</v>
      </c>
      <c r="CQ50" s="151">
        <v>0</v>
      </c>
      <c r="CR50" s="151">
        <v>0</v>
      </c>
      <c r="CS50" s="151">
        <v>0</v>
      </c>
      <c r="CT50" s="151">
        <v>0</v>
      </c>
      <c r="CU50" s="151">
        <v>0</v>
      </c>
      <c r="CV50" s="151">
        <v>0</v>
      </c>
      <c r="CW50" s="151">
        <v>0</v>
      </c>
      <c r="CX50" s="151">
        <v>0</v>
      </c>
      <c r="CY50" s="151">
        <v>0</v>
      </c>
      <c r="CZ50" s="151">
        <v>0</v>
      </c>
      <c r="DA50" s="151">
        <v>0</v>
      </c>
    </row>
    <row r="52" spans="1:105" x14ac:dyDescent="0.3">
      <c r="C52" s="131" t="s">
        <v>86</v>
      </c>
      <c r="K52" s="131"/>
    </row>
    <row r="53" spans="1:105" x14ac:dyDescent="0.3">
      <c r="C53" s="133" t="s">
        <v>87</v>
      </c>
      <c r="D53" s="134"/>
      <c r="E53" s="153"/>
      <c r="F53" s="247">
        <v>23907515.074293591</v>
      </c>
      <c r="G53" s="247">
        <v>44604731.122383676</v>
      </c>
      <c r="H53" s="247">
        <v>57094055.836651072</v>
      </c>
      <c r="I53" s="247">
        <v>66269886.238969967</v>
      </c>
      <c r="J53" s="247">
        <v>86405736.28850314</v>
      </c>
      <c r="K53" s="247">
        <v>94562029.979453325</v>
      </c>
      <c r="L53" s="247">
        <v>105522049.62666768</v>
      </c>
      <c r="M53" s="247">
        <v>119540679.40798831</v>
      </c>
      <c r="N53" s="247">
        <v>137637456.03478408</v>
      </c>
      <c r="O53" s="247">
        <v>161341684.57410812</v>
      </c>
    </row>
    <row r="54" spans="1:105" x14ac:dyDescent="0.3">
      <c r="A54" s="115"/>
      <c r="C54" s="136" t="s">
        <v>88</v>
      </c>
      <c r="E54" s="154"/>
      <c r="F54" s="248">
        <v>-6168138.8891677484</v>
      </c>
      <c r="G54" s="248">
        <v>-11508020.629574988</v>
      </c>
      <c r="H54" s="248">
        <v>-14730266.405855995</v>
      </c>
      <c r="I54" s="248">
        <v>-17097630.649654284</v>
      </c>
      <c r="J54" s="248">
        <v>-22292679.962433837</v>
      </c>
      <c r="K54" s="248">
        <v>-24397003.734698951</v>
      </c>
      <c r="L54" s="248">
        <v>-27224688.803680241</v>
      </c>
      <c r="M54" s="248">
        <v>-30841495.287261024</v>
      </c>
      <c r="N54" s="248">
        <v>-35510463.656974256</v>
      </c>
      <c r="O54" s="248">
        <v>-41626154.62011984</v>
      </c>
    </row>
    <row r="55" spans="1:105" x14ac:dyDescent="0.3">
      <c r="A55" s="115"/>
      <c r="C55" s="136" t="s">
        <v>89</v>
      </c>
      <c r="E55" s="154"/>
      <c r="F55" s="248">
        <v>-2191829.7056285478</v>
      </c>
      <c r="G55" s="248">
        <v>-4089267.6342011821</v>
      </c>
      <c r="H55" s="248">
        <v>-5234262.5717775114</v>
      </c>
      <c r="I55" s="248">
        <v>-6075483.342241751</v>
      </c>
      <c r="J55" s="248">
        <v>-7921495.588538304</v>
      </c>
      <c r="K55" s="248">
        <v>-8669247.3845065311</v>
      </c>
      <c r="L55" s="248">
        <v>-9674038.8603387922</v>
      </c>
      <c r="M55" s="248">
        <v>-10959237.259659171</v>
      </c>
      <c r="N55" s="248">
        <v>-12618311.556963637</v>
      </c>
      <c r="O55" s="248">
        <v>-14791465.213996306</v>
      </c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</row>
    <row r="56" spans="1:105" x14ac:dyDescent="0.3">
      <c r="A56" s="115"/>
      <c r="C56" s="136" t="s">
        <v>90</v>
      </c>
      <c r="E56" s="154"/>
      <c r="F56" s="248">
        <v>-12002592.705199173</v>
      </c>
      <c r="G56" s="248">
        <v>-22393556.651511729</v>
      </c>
      <c r="H56" s="248">
        <v>-28663752.513935</v>
      </c>
      <c r="I56" s="248">
        <v>-33270427.0251031</v>
      </c>
      <c r="J56" s="248">
        <v>-43379518.313499838</v>
      </c>
      <c r="K56" s="248">
        <v>-47474340.101204813</v>
      </c>
      <c r="L56" s="248">
        <v>-52976756.878433466</v>
      </c>
      <c r="M56" s="248">
        <v>-60014731.826051295</v>
      </c>
      <c r="N56" s="248">
        <v>-69100117.667521954</v>
      </c>
      <c r="O56" s="248">
        <v>-81000693.488039613</v>
      </c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</row>
    <row r="57" spans="1:105" x14ac:dyDescent="0.3">
      <c r="A57" s="115"/>
      <c r="C57" s="136" t="s">
        <v>91</v>
      </c>
      <c r="E57" s="154"/>
      <c r="F57" s="248">
        <v>-43642.408594125962</v>
      </c>
      <c r="G57" s="248">
        <v>-81411.314631389134</v>
      </c>
      <c r="H57" s="248">
        <v>-104206.48272817809</v>
      </c>
      <c r="I57" s="248">
        <v>-120953.95316663536</v>
      </c>
      <c r="J57" s="248">
        <v>-157705.34662880533</v>
      </c>
      <c r="K57" s="248">
        <v>-172591.98701854458</v>
      </c>
      <c r="L57" s="248">
        <v>-192595.91004225763</v>
      </c>
      <c r="M57" s="248">
        <v>-218182.32321212278</v>
      </c>
      <c r="N57" s="248">
        <v>-251212.05657685758</v>
      </c>
      <c r="O57" s="248">
        <v>-294476.35520953918</v>
      </c>
    </row>
    <row r="58" spans="1:105" x14ac:dyDescent="0.3">
      <c r="A58" s="115"/>
      <c r="C58" s="155" t="s">
        <v>92</v>
      </c>
      <c r="E58" s="154"/>
      <c r="F58" s="248">
        <v>-739227.18492530822</v>
      </c>
      <c r="G58" s="248">
        <v>-1497236.2768361985</v>
      </c>
      <c r="H58" s="248">
        <v>-1916462.434350335</v>
      </c>
      <c r="I58" s="248">
        <v>-2224465.3255852065</v>
      </c>
      <c r="J58" s="248">
        <v>-2900360.5591284065</v>
      </c>
      <c r="K58" s="248">
        <v>-3174140.9068927392</v>
      </c>
      <c r="L58" s="248">
        <v>-3542033.2492010612</v>
      </c>
      <c r="M58" s="248">
        <v>-4012593.2219210099</v>
      </c>
      <c r="N58" s="248">
        <v>-4620043.3685231395</v>
      </c>
      <c r="O58" s="248">
        <v>-5415717.5042132065</v>
      </c>
    </row>
    <row r="59" spans="1:105" x14ac:dyDescent="0.3">
      <c r="A59" s="115"/>
      <c r="C59" s="136" t="s">
        <v>46</v>
      </c>
      <c r="E59" s="154"/>
      <c r="F59" s="248">
        <v>2762084.1807786906</v>
      </c>
      <c r="G59" s="248">
        <v>5035238.6156281894</v>
      </c>
      <c r="H59" s="248">
        <v>6445105.4280040897</v>
      </c>
      <c r="I59" s="248">
        <v>7480925.9432190247</v>
      </c>
      <c r="J59" s="248">
        <v>9753976.5182740465</v>
      </c>
      <c r="K59" s="248">
        <v>10674705.865131788</v>
      </c>
      <c r="L59" s="248">
        <v>11911935.924971856</v>
      </c>
      <c r="M59" s="248">
        <v>13494439.489883572</v>
      </c>
      <c r="N59" s="248">
        <v>15537307.728224173</v>
      </c>
      <c r="O59" s="248">
        <v>18213177.392529383</v>
      </c>
    </row>
    <row r="60" spans="1:105" x14ac:dyDescent="0.3">
      <c r="A60" s="115"/>
      <c r="C60" s="136" t="s">
        <v>93</v>
      </c>
      <c r="E60" s="154"/>
      <c r="F60" s="248">
        <v>3457246.8439934878</v>
      </c>
      <c r="G60" s="248">
        <v>6380576.3295707228</v>
      </c>
      <c r="H60" s="248">
        <v>8167137.7018505186</v>
      </c>
      <c r="I60" s="248">
        <v>9479713.4039336294</v>
      </c>
      <c r="J60" s="248">
        <v>12360087.861282736</v>
      </c>
      <c r="K60" s="248">
        <v>13526821.818689935</v>
      </c>
      <c r="L60" s="248">
        <v>15094620.573955886</v>
      </c>
      <c r="M60" s="248">
        <v>17099944.563249558</v>
      </c>
      <c r="N60" s="248">
        <v>19688635.531246841</v>
      </c>
      <c r="O60" s="248">
        <v>23079456.094961509</v>
      </c>
    </row>
    <row r="61" spans="1:105" x14ac:dyDescent="0.3">
      <c r="C61" s="138" t="s">
        <v>86</v>
      </c>
      <c r="D61" s="139"/>
      <c r="E61" s="156"/>
      <c r="F61" s="259">
        <v>695162.66321479692</v>
      </c>
      <c r="G61" s="259">
        <v>1345337.713942531</v>
      </c>
      <c r="H61" s="259">
        <v>1722032.273846437</v>
      </c>
      <c r="I61" s="259">
        <v>1998787.4607146131</v>
      </c>
      <c r="J61" s="259">
        <v>2606111.3430086728</v>
      </c>
      <c r="K61" s="259">
        <v>2852115.9535581609</v>
      </c>
      <c r="L61" s="259">
        <v>3182684.6489840373</v>
      </c>
      <c r="M61" s="259">
        <v>3605505.0733659677</v>
      </c>
      <c r="N61" s="259">
        <v>4151327.803022664</v>
      </c>
      <c r="O61" s="259">
        <v>4866278.7024321146</v>
      </c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</row>
    <row r="62" spans="1:105" x14ac:dyDescent="0.3">
      <c r="F62" s="157"/>
      <c r="G62" s="217"/>
    </row>
    <row r="63" spans="1:105" x14ac:dyDescent="0.3">
      <c r="C63" s="131" t="s">
        <v>94</v>
      </c>
      <c r="F63" s="148"/>
    </row>
    <row r="64" spans="1:105" x14ac:dyDescent="0.3">
      <c r="C64" s="133" t="s">
        <v>95</v>
      </c>
      <c r="D64" s="134"/>
      <c r="E64" s="143"/>
      <c r="F64" s="134">
        <v>0</v>
      </c>
      <c r="G64" s="134">
        <v>-1860761.5722492847</v>
      </c>
      <c r="H64" s="134">
        <v>-9243099.9117318913</v>
      </c>
      <c r="I64" s="134">
        <v>-17984619.949160423</v>
      </c>
      <c r="J64" s="134">
        <v>-26931552.874478135</v>
      </c>
      <c r="K64" s="134">
        <v>-37717445.342129491</v>
      </c>
      <c r="L64" s="134">
        <v>-48290358.68514137</v>
      </c>
      <c r="M64" s="134">
        <v>-58486861.261336148</v>
      </c>
      <c r="N64" s="134">
        <v>-68517386.914668635</v>
      </c>
      <c r="O64" s="134">
        <v>-79019085.822583705</v>
      </c>
      <c r="P64" s="134">
        <v>-90531337.208625227</v>
      </c>
      <c r="Q64" s="134">
        <v>-71647516.244579971</v>
      </c>
      <c r="R64" s="134">
        <v>-51622480.481154479</v>
      </c>
      <c r="S64" s="134">
        <v>-32446083.64938337</v>
      </c>
      <c r="T64" s="134">
        <v>-15287700.516875412</v>
      </c>
      <c r="U64" s="134">
        <v>2682739.5780499252</v>
      </c>
      <c r="V64" s="134">
        <v>18673506.317332506</v>
      </c>
      <c r="W64" s="134">
        <v>32528277.380311579</v>
      </c>
      <c r="X64" s="134">
        <v>44294315.797482148</v>
      </c>
      <c r="Y64" s="134">
        <v>53581884.316721581</v>
      </c>
      <c r="Z64" s="134">
        <v>62499206.716103196</v>
      </c>
      <c r="AA64" s="134">
        <v>69268032.14761582</v>
      </c>
      <c r="AB64" s="134">
        <v>74234467.257615879</v>
      </c>
      <c r="AC64" s="134">
        <v>77580017.266135976</v>
      </c>
      <c r="AD64" s="134">
        <v>79421182.812406093</v>
      </c>
      <c r="AE64" s="134">
        <v>81197678.518494993</v>
      </c>
      <c r="AF64" s="134">
        <v>81983686.326013386</v>
      </c>
      <c r="AG64" s="134">
        <v>82012882.243625388</v>
      </c>
      <c r="AH64" s="134">
        <v>81416130.943366006</v>
      </c>
      <c r="AI64" s="134">
        <v>80240130.308333889</v>
      </c>
      <c r="AJ64" s="134">
        <v>79270754.458299875</v>
      </c>
      <c r="AK64" s="134">
        <v>77917921.286450103</v>
      </c>
      <c r="AL64" s="134">
        <v>76227148.337176129</v>
      </c>
      <c r="AM64" s="134">
        <v>74181616.692914069</v>
      </c>
      <c r="AN64" s="134">
        <v>71755213.858174041</v>
      </c>
      <c r="AO64" s="134">
        <v>69349114.515043139</v>
      </c>
      <c r="AP64" s="134">
        <v>66766403.627756797</v>
      </c>
      <c r="AQ64" s="134">
        <v>63908393.312772654</v>
      </c>
      <c r="AR64" s="134">
        <v>60813171.490656607</v>
      </c>
      <c r="AS64" s="134">
        <v>57494115.168587796</v>
      </c>
      <c r="AT64" s="134">
        <v>54198690.116635747</v>
      </c>
      <c r="AU64" s="134">
        <v>50760439.925500996</v>
      </c>
      <c r="AV64" s="134">
        <v>47229954.44201602</v>
      </c>
      <c r="AW64" s="134">
        <v>43649238.419170581</v>
      </c>
      <c r="AX64" s="134">
        <v>40056002.76808548</v>
      </c>
      <c r="AY64" s="134">
        <v>36619034.45086731</v>
      </c>
      <c r="AZ64" s="134">
        <v>33313010.631783046</v>
      </c>
      <c r="BA64" s="134">
        <v>30128703.09307494</v>
      </c>
      <c r="BB64" s="134">
        <v>27103837.896242023</v>
      </c>
      <c r="BC64" s="134">
        <v>24257478.520342145</v>
      </c>
      <c r="BD64" s="134">
        <v>21659949.103693038</v>
      </c>
      <c r="BE64" s="134">
        <v>19264827.886636514</v>
      </c>
      <c r="BF64" s="134">
        <v>17059595.313358814</v>
      </c>
      <c r="BG64" s="134">
        <v>15031760.95273493</v>
      </c>
      <c r="BH64" s="134">
        <v>13168569.966622381</v>
      </c>
      <c r="BI64" s="134">
        <v>11486754.804291604</v>
      </c>
      <c r="BJ64" s="134">
        <v>9986581.5020174496</v>
      </c>
      <c r="BK64" s="134">
        <v>8620876.3534121774</v>
      </c>
      <c r="BL64" s="134">
        <v>7386280.7307066964</v>
      </c>
      <c r="BM64" s="134">
        <v>6275554.836817571</v>
      </c>
      <c r="BN64" s="134">
        <v>5291959.043059852</v>
      </c>
      <c r="BO64" s="134">
        <v>4419850.4488632279</v>
      </c>
      <c r="BP64" s="134">
        <v>3648671.9098384846</v>
      </c>
      <c r="BQ64" s="134">
        <v>2973423.4524292895</v>
      </c>
      <c r="BR64" s="134">
        <v>2388213.9504125924</v>
      </c>
      <c r="BS64" s="134">
        <v>1891316.0645798587</v>
      </c>
      <c r="BT64" s="134">
        <v>1477707.6275956044</v>
      </c>
      <c r="BU64" s="134">
        <v>1132967.3946330377</v>
      </c>
      <c r="BV64" s="134">
        <v>851838.97556249879</v>
      </c>
      <c r="BW64" s="134">
        <v>627615.99834081309</v>
      </c>
      <c r="BX64" s="134">
        <v>454006.43149082671</v>
      </c>
      <c r="BY64" s="134">
        <v>326011.94442255714</v>
      </c>
      <c r="BZ64" s="134">
        <v>230077.35403364725</v>
      </c>
      <c r="CA64" s="134">
        <v>159181.44590978598</v>
      </c>
      <c r="CB64" s="134">
        <v>107397.19721406778</v>
      </c>
      <c r="CC64" s="134">
        <v>70067.549358317832</v>
      </c>
      <c r="CD64" s="134">
        <v>48247.054862764933</v>
      </c>
      <c r="CE64" s="134">
        <v>32435.452641440832</v>
      </c>
      <c r="CF64" s="134">
        <v>21144.703364379817</v>
      </c>
      <c r="CG64" s="134">
        <v>13181.465486107436</v>
      </c>
      <c r="CH64" s="134">
        <v>7628.8937331082698</v>
      </c>
      <c r="CI64" s="134">
        <v>4776.3286667481671</v>
      </c>
      <c r="CJ64" s="134">
        <v>2811.1549369986828</v>
      </c>
      <c r="CK64" s="134">
        <v>1484.0056925313504</v>
      </c>
      <c r="CL64" s="134">
        <v>597.16164170320144</v>
      </c>
      <c r="CM64" s="134">
        <v>2.0321382441590797E-8</v>
      </c>
      <c r="CN64" s="134">
        <v>0</v>
      </c>
      <c r="CO64" s="134">
        <v>0</v>
      </c>
      <c r="CP64" s="134">
        <v>0</v>
      </c>
      <c r="CQ64" s="134">
        <v>0</v>
      </c>
      <c r="CR64" s="134">
        <v>0</v>
      </c>
      <c r="CS64" s="134">
        <v>0</v>
      </c>
      <c r="CT64" s="134">
        <v>0</v>
      </c>
      <c r="CU64" s="134">
        <v>0</v>
      </c>
      <c r="CV64" s="134">
        <v>0</v>
      </c>
      <c r="CW64" s="134">
        <v>0</v>
      </c>
      <c r="CX64" s="134">
        <v>0</v>
      </c>
      <c r="CY64" s="134">
        <v>0</v>
      </c>
      <c r="CZ64" s="134">
        <v>0</v>
      </c>
      <c r="DA64" s="134">
        <v>0</v>
      </c>
    </row>
    <row r="65" spans="3:105" x14ac:dyDescent="0.3">
      <c r="C65" s="136" t="s">
        <v>96</v>
      </c>
      <c r="E65" s="158"/>
      <c r="F65" s="115">
        <v>-1772209.8143600377</v>
      </c>
      <c r="G65" s="124">
        <v>-7178897.3770883465</v>
      </c>
      <c r="H65" s="124">
        <v>-9188988.6426730808</v>
      </c>
      <c r="I65" s="124">
        <v>-10665790.388816973</v>
      </c>
      <c r="J65" s="124">
        <v>-13906549.77618828</v>
      </c>
      <c r="K65" s="124">
        <v>-15219262.439427288</v>
      </c>
      <c r="L65" s="124">
        <v>-16983220.080654703</v>
      </c>
      <c r="M65" s="124">
        <v>-19239444.970596764</v>
      </c>
      <c r="N65" s="124">
        <v>-22152026.192158327</v>
      </c>
      <c r="O65" s="124">
        <v>-25967097.369696703</v>
      </c>
      <c r="P65" s="124">
        <v>0</v>
      </c>
      <c r="Q65" s="124">
        <v>0</v>
      </c>
      <c r="R65" s="124">
        <v>0</v>
      </c>
      <c r="S65" s="124">
        <v>0</v>
      </c>
      <c r="T65" s="124">
        <v>0</v>
      </c>
      <c r="U65" s="124">
        <v>0</v>
      </c>
      <c r="V65" s="124">
        <v>0</v>
      </c>
      <c r="W65" s="124">
        <v>0</v>
      </c>
      <c r="X65" s="124">
        <v>0</v>
      </c>
      <c r="Y65" s="124">
        <v>0</v>
      </c>
      <c r="Z65" s="124">
        <v>0</v>
      </c>
      <c r="AA65" s="124">
        <v>0</v>
      </c>
      <c r="AB65" s="124">
        <v>0</v>
      </c>
      <c r="AC65" s="124">
        <v>0</v>
      </c>
      <c r="AD65" s="124">
        <v>0</v>
      </c>
      <c r="AE65" s="124">
        <v>0</v>
      </c>
      <c r="AF65" s="124">
        <v>0</v>
      </c>
      <c r="AG65" s="124">
        <v>0</v>
      </c>
      <c r="AH65" s="124">
        <v>0</v>
      </c>
      <c r="AI65" s="124">
        <v>0</v>
      </c>
      <c r="AJ65" s="124">
        <v>0</v>
      </c>
      <c r="AK65" s="124">
        <v>0</v>
      </c>
      <c r="AL65" s="124">
        <v>0</v>
      </c>
      <c r="AM65" s="124">
        <v>0</v>
      </c>
      <c r="AN65" s="124">
        <v>0</v>
      </c>
      <c r="AO65" s="124">
        <v>0</v>
      </c>
      <c r="AP65" s="124">
        <v>0</v>
      </c>
      <c r="AQ65" s="124">
        <v>0</v>
      </c>
      <c r="AR65" s="124">
        <v>0</v>
      </c>
      <c r="AS65" s="124">
        <v>0</v>
      </c>
      <c r="AT65" s="124">
        <v>0</v>
      </c>
      <c r="AU65" s="124">
        <v>0</v>
      </c>
      <c r="AV65" s="124">
        <v>0</v>
      </c>
      <c r="AW65" s="124">
        <v>0</v>
      </c>
      <c r="AX65" s="124">
        <v>0</v>
      </c>
      <c r="AY65" s="124">
        <v>0</v>
      </c>
      <c r="AZ65" s="124">
        <v>0</v>
      </c>
      <c r="BA65" s="124">
        <v>0</v>
      </c>
      <c r="BB65" s="124">
        <v>0</v>
      </c>
      <c r="BC65" s="124">
        <v>0</v>
      </c>
      <c r="BD65" s="124">
        <v>0</v>
      </c>
      <c r="BE65" s="124">
        <v>0</v>
      </c>
      <c r="BF65" s="124">
        <v>0</v>
      </c>
      <c r="BG65" s="124">
        <v>0</v>
      </c>
      <c r="BH65" s="124">
        <v>0</v>
      </c>
      <c r="BI65" s="124">
        <v>0</v>
      </c>
      <c r="BJ65" s="124">
        <v>0</v>
      </c>
      <c r="BK65" s="124">
        <v>0</v>
      </c>
      <c r="BL65" s="124">
        <v>0</v>
      </c>
      <c r="BM65" s="124">
        <v>0</v>
      </c>
      <c r="BN65" s="124">
        <v>0</v>
      </c>
      <c r="BO65" s="124">
        <v>0</v>
      </c>
      <c r="BP65" s="124">
        <v>0</v>
      </c>
      <c r="BQ65" s="124">
        <v>0</v>
      </c>
      <c r="BR65" s="124">
        <v>0</v>
      </c>
      <c r="BS65" s="124">
        <v>0</v>
      </c>
      <c r="BT65" s="124">
        <v>0</v>
      </c>
      <c r="BU65" s="124">
        <v>0</v>
      </c>
      <c r="BV65" s="124">
        <v>0</v>
      </c>
      <c r="BW65" s="124">
        <v>0</v>
      </c>
      <c r="BX65" s="124">
        <v>0</v>
      </c>
      <c r="BY65" s="124">
        <v>0</v>
      </c>
      <c r="BZ65" s="124">
        <v>0</v>
      </c>
      <c r="CA65" s="124">
        <v>0</v>
      </c>
      <c r="CB65" s="124">
        <v>0</v>
      </c>
      <c r="CC65" s="124">
        <v>0</v>
      </c>
      <c r="CD65" s="124">
        <v>0</v>
      </c>
      <c r="CE65" s="124">
        <v>0</v>
      </c>
      <c r="CF65" s="124">
        <v>0</v>
      </c>
      <c r="CG65" s="124">
        <v>0</v>
      </c>
      <c r="CH65" s="124">
        <v>0</v>
      </c>
      <c r="CI65" s="124">
        <v>0</v>
      </c>
      <c r="CJ65" s="124">
        <v>0</v>
      </c>
      <c r="CK65" s="124">
        <v>0</v>
      </c>
      <c r="CL65" s="124">
        <v>0</v>
      </c>
      <c r="CM65" s="124">
        <v>0</v>
      </c>
      <c r="CN65" s="124">
        <v>0</v>
      </c>
      <c r="CO65" s="124">
        <v>0</v>
      </c>
      <c r="CP65" s="124">
        <v>0</v>
      </c>
      <c r="CQ65" s="124">
        <v>0</v>
      </c>
      <c r="CR65" s="124">
        <v>0</v>
      </c>
      <c r="CS65" s="124">
        <v>0</v>
      </c>
      <c r="CT65" s="124">
        <v>0</v>
      </c>
      <c r="CU65" s="124">
        <v>0</v>
      </c>
      <c r="CV65" s="124">
        <v>0</v>
      </c>
      <c r="CW65" s="124">
        <v>0</v>
      </c>
      <c r="CX65" s="124">
        <v>0</v>
      </c>
      <c r="CY65" s="124">
        <v>0</v>
      </c>
      <c r="CZ65" s="124">
        <v>0</v>
      </c>
      <c r="DA65" s="124">
        <v>0</v>
      </c>
    </row>
    <row r="66" spans="3:105" x14ac:dyDescent="0.3">
      <c r="C66" s="136" t="s">
        <v>97</v>
      </c>
      <c r="F66" s="124">
        <v>2659731.8270136411</v>
      </c>
      <c r="G66" s="124">
        <v>12631685.801176189</v>
      </c>
      <c r="H66" s="124">
        <v>22855352.917652152</v>
      </c>
      <c r="I66" s="124">
        <v>33277873.357796788</v>
      </c>
      <c r="J66" s="124">
        <v>46993414.839027777</v>
      </c>
      <c r="K66" s="124">
        <v>60301089.03205359</v>
      </c>
      <c r="L66" s="124">
        <v>74354249.202451855</v>
      </c>
      <c r="M66" s="124">
        <v>89887414.844225347</v>
      </c>
      <c r="N66" s="124">
        <v>107578356.14618973</v>
      </c>
      <c r="O66" s="124">
        <v>128325834.40862082</v>
      </c>
      <c r="P66" s="124">
        <v>106810569.25061384</v>
      </c>
      <c r="Q66" s="124">
        <v>95117317.645013928</v>
      </c>
      <c r="R66" s="124">
        <v>86685001.663111433</v>
      </c>
      <c r="S66" s="124">
        <v>79037357.935499489</v>
      </c>
      <c r="T66" s="124">
        <v>71961753.355455473</v>
      </c>
      <c r="U66" s="124">
        <v>65686440.630414367</v>
      </c>
      <c r="V66" s="124">
        <v>59862534.474022903</v>
      </c>
      <c r="W66" s="124">
        <v>54393795.656401567</v>
      </c>
      <c r="X66" s="124">
        <v>49248511.183579169</v>
      </c>
      <c r="Y66" s="124">
        <v>44354021.336508565</v>
      </c>
      <c r="Z66" s="124">
        <v>40191149.441948697</v>
      </c>
      <c r="AA66" s="124">
        <v>36353145.535311319</v>
      </c>
      <c r="AB66" s="124">
        <v>32740048.825759683</v>
      </c>
      <c r="AC66" s="124">
        <v>29367616.162303239</v>
      </c>
      <c r="AD66" s="124">
        <v>26215536.257834613</v>
      </c>
      <c r="AE66" s="124">
        <v>23298219.385258231</v>
      </c>
      <c r="AF66" s="124">
        <v>20706865.3721058</v>
      </c>
      <c r="AG66" s="124">
        <v>18327939.600830734</v>
      </c>
      <c r="AH66" s="124">
        <v>16145252.49611559</v>
      </c>
      <c r="AI66" s="124">
        <v>14131577.180550637</v>
      </c>
      <c r="AJ66" s="124">
        <v>12607588.53416609</v>
      </c>
      <c r="AK66" s="124">
        <v>11302776.839728948</v>
      </c>
      <c r="AL66" s="124">
        <v>10130871.60976978</v>
      </c>
      <c r="AM66" s="124">
        <v>9072002.8596177325</v>
      </c>
      <c r="AN66" s="124">
        <v>8109810.3233619202</v>
      </c>
      <c r="AO66" s="124">
        <v>7230664.1110518891</v>
      </c>
      <c r="AP66" s="124">
        <v>6462681.6690847138</v>
      </c>
      <c r="AQ66" s="124">
        <v>5757445.2322048601</v>
      </c>
      <c r="AR66" s="124">
        <v>5111538.2237005234</v>
      </c>
      <c r="AS66" s="124">
        <v>4520629.9675440788</v>
      </c>
      <c r="AT66" s="124">
        <v>3979988.8352172906</v>
      </c>
      <c r="AU66" s="124">
        <v>3497354.015337381</v>
      </c>
      <c r="AV66" s="124">
        <v>3059278.536178207</v>
      </c>
      <c r="AW66" s="124">
        <v>2663325.7793682129</v>
      </c>
      <c r="AX66" s="124">
        <v>2307367.0912896683</v>
      </c>
      <c r="AY66" s="124">
        <v>1989374.8969865975</v>
      </c>
      <c r="AZ66" s="124">
        <v>1711150.359348329</v>
      </c>
      <c r="BA66" s="124">
        <v>1465821.9901493746</v>
      </c>
      <c r="BB66" s="124">
        <v>1251732.3788180538</v>
      </c>
      <c r="BC66" s="124">
        <v>1066481.3785958618</v>
      </c>
      <c r="BD66" s="124">
        <v>907191.7909404583</v>
      </c>
      <c r="BE66" s="124">
        <v>771045.88329836517</v>
      </c>
      <c r="BF66" s="124">
        <v>654427.2979237932</v>
      </c>
      <c r="BG66" s="124">
        <v>554277.47458421986</v>
      </c>
      <c r="BH66" s="124">
        <v>468074.34584204544</v>
      </c>
      <c r="BI66" s="124">
        <v>393740.91544025927</v>
      </c>
      <c r="BJ66" s="124">
        <v>331318.06325182482</v>
      </c>
      <c r="BK66" s="124">
        <v>277142.54201418866</v>
      </c>
      <c r="BL66" s="124">
        <v>230335.48367494019</v>
      </c>
      <c r="BM66" s="124">
        <v>190037.99554976649</v>
      </c>
      <c r="BN66" s="124">
        <v>155442.99083671908</v>
      </c>
      <c r="BO66" s="124">
        <v>125899.33471647385</v>
      </c>
      <c r="BP66" s="124">
        <v>100760.52167559917</v>
      </c>
      <c r="BQ66" s="124">
        <v>79562.953811248415</v>
      </c>
      <c r="BR66" s="124">
        <v>61877.349581103001</v>
      </c>
      <c r="BS66" s="124">
        <v>47302.311086797126</v>
      </c>
      <c r="BT66" s="124">
        <v>35555.753956893241</v>
      </c>
      <c r="BU66" s="124">
        <v>26150.528988149385</v>
      </c>
      <c r="BV66" s="124">
        <v>18798.961099169701</v>
      </c>
      <c r="BW66" s="124">
        <v>13201.22828928231</v>
      </c>
      <c r="BX66" s="124">
        <v>9056.8756410481728</v>
      </c>
      <c r="BY66" s="124">
        <v>6147.1661624897124</v>
      </c>
      <c r="BZ66" s="124">
        <v>4093.9048463555237</v>
      </c>
      <c r="CA66" s="124">
        <v>2665.9600739330913</v>
      </c>
      <c r="CB66" s="124">
        <v>1684.402377358995</v>
      </c>
      <c r="CC66" s="124">
        <v>1014.228034619656</v>
      </c>
      <c r="CD66" s="124">
        <v>675.19821566590417</v>
      </c>
      <c r="CE66" s="124">
        <v>439.13388014350852</v>
      </c>
      <c r="CF66" s="124">
        <v>277.18366589608019</v>
      </c>
      <c r="CG66" s="124">
        <v>167.65075695209697</v>
      </c>
      <c r="CH66" s="124">
        <v>94.429167849396293</v>
      </c>
      <c r="CI66" s="124">
        <v>57.332278886664334</v>
      </c>
      <c r="CJ66" s="124">
        <v>32.748546081101921</v>
      </c>
      <c r="CK66" s="124">
        <v>16.801962965845522</v>
      </c>
      <c r="CL66" s="124">
        <v>6.5908525249837124</v>
      </c>
      <c r="CM66" s="124">
        <v>0</v>
      </c>
      <c r="CN66" s="124">
        <v>0</v>
      </c>
      <c r="CO66" s="124">
        <v>0</v>
      </c>
      <c r="CP66" s="124">
        <v>0</v>
      </c>
      <c r="CQ66" s="124">
        <v>0</v>
      </c>
      <c r="CR66" s="124">
        <v>0</v>
      </c>
      <c r="CS66" s="124">
        <v>0</v>
      </c>
      <c r="CT66" s="124">
        <v>0</v>
      </c>
      <c r="CU66" s="124">
        <v>0</v>
      </c>
      <c r="CV66" s="124">
        <v>0</v>
      </c>
      <c r="CW66" s="124">
        <v>0</v>
      </c>
      <c r="CX66" s="124">
        <v>0</v>
      </c>
      <c r="CY66" s="124">
        <v>0</v>
      </c>
      <c r="CZ66" s="124">
        <v>0</v>
      </c>
      <c r="DA66" s="124">
        <v>0</v>
      </c>
    </row>
    <row r="67" spans="3:105" x14ac:dyDescent="0.3">
      <c r="C67" s="136" t="s">
        <v>98</v>
      </c>
      <c r="F67" s="124">
        <v>-2748236.8015024867</v>
      </c>
      <c r="G67" s="124">
        <v>-12774343.855713969</v>
      </c>
      <c r="H67" s="124">
        <v>-22110263.476920143</v>
      </c>
      <c r="I67" s="124">
        <v>-31000989.730272856</v>
      </c>
      <c r="J67" s="124">
        <v>-43087181.742758058</v>
      </c>
      <c r="K67" s="124">
        <v>-54613781.187646426</v>
      </c>
      <c r="L67" s="124">
        <v>-66301832.662515782</v>
      </c>
      <c r="M67" s="124">
        <v>-79242973.367669493</v>
      </c>
      <c r="N67" s="124">
        <v>-94372718.42629084</v>
      </c>
      <c r="O67" s="124">
        <v>-112223728.06720021</v>
      </c>
      <c r="P67" s="124">
        <v>-86208771.893897578</v>
      </c>
      <c r="Q67" s="124">
        <v>-74345859.557889804</v>
      </c>
      <c r="R67" s="124">
        <v>-67777788.35785301</v>
      </c>
      <c r="S67" s="124">
        <v>-63041284.806263715</v>
      </c>
      <c r="T67" s="124">
        <v>-55920768.169671513</v>
      </c>
      <c r="U67" s="124">
        <v>-52468399.77630163</v>
      </c>
      <c r="V67" s="124">
        <v>-49521191.859428994</v>
      </c>
      <c r="W67" s="124">
        <v>-46766941.749399066</v>
      </c>
      <c r="X67" s="124">
        <v>-44612902.426697768</v>
      </c>
      <c r="Y67" s="124">
        <v>-40461546.805999629</v>
      </c>
      <c r="Z67" s="124">
        <v>-38818401.01827357</v>
      </c>
      <c r="AA67" s="124">
        <v>-37038533.842990607</v>
      </c>
      <c r="AB67" s="124">
        <v>-35201839.61002259</v>
      </c>
      <c r="AC67" s="124">
        <v>-33400698.661523983</v>
      </c>
      <c r="AD67" s="124">
        <v>-30298620.676157709</v>
      </c>
      <c r="AE67" s="124">
        <v>-28364277.691226266</v>
      </c>
      <c r="AF67" s="124">
        <v>-26476301.521399219</v>
      </c>
      <c r="AG67" s="124">
        <v>-24633616.52332126</v>
      </c>
      <c r="AH67" s="124">
        <v>-22911806.651571471</v>
      </c>
      <c r="AI67" s="124">
        <v>-20546516.122241996</v>
      </c>
      <c r="AJ67" s="124">
        <v>-19283744.03071567</v>
      </c>
      <c r="AK67" s="124">
        <v>-18180670.456067465</v>
      </c>
      <c r="AL67" s="124">
        <v>-17212346.644426435</v>
      </c>
      <c r="AM67" s="124">
        <v>-16366277.127798505</v>
      </c>
      <c r="AN67" s="124">
        <v>-15196474.612556284</v>
      </c>
      <c r="AO67" s="124">
        <v>-14311599.781474723</v>
      </c>
      <c r="AP67" s="124">
        <v>-13630488.271669187</v>
      </c>
      <c r="AQ67" s="124">
        <v>-12959833.499774471</v>
      </c>
      <c r="AR67" s="124">
        <v>-12323110.901633605</v>
      </c>
      <c r="AS67" s="124">
        <v>-11482522.815677324</v>
      </c>
      <c r="AT67" s="124">
        <v>-10862343.219199726</v>
      </c>
      <c r="AU67" s="124">
        <v>-10243280.971527867</v>
      </c>
      <c r="AV67" s="124">
        <v>-9622998.892661741</v>
      </c>
      <c r="AW67" s="124">
        <v>-9005810.9462917987</v>
      </c>
      <c r="AX67" s="124">
        <v>-8260714.4863357078</v>
      </c>
      <c r="AY67" s="124">
        <v>-7590103.399353845</v>
      </c>
      <c r="AZ67" s="124">
        <v>-6978124.4547162056</v>
      </c>
      <c r="BA67" s="124">
        <v>-6370101.4821224203</v>
      </c>
      <c r="BB67" s="124">
        <v>-5785262.9148505013</v>
      </c>
      <c r="BC67" s="124">
        <v>-5171001.6736444756</v>
      </c>
      <c r="BD67" s="124">
        <v>-4645402.2972734468</v>
      </c>
      <c r="BE67" s="124">
        <v>-4168746.751240191</v>
      </c>
      <c r="BF67" s="124">
        <v>-3736473.4792173556</v>
      </c>
      <c r="BG67" s="124">
        <v>-3344896.8236686215</v>
      </c>
      <c r="BH67" s="124">
        <v>-2961120.9255922353</v>
      </c>
      <c r="BI67" s="124">
        <v>-2600489.9144264678</v>
      </c>
      <c r="BJ67" s="124">
        <v>-2310467.4875072781</v>
      </c>
      <c r="BK67" s="124">
        <v>-2040564.0657664959</v>
      </c>
      <c r="BL67" s="124">
        <v>-1793535.6568191648</v>
      </c>
      <c r="BM67" s="124">
        <v>-1557542.7509571477</v>
      </c>
      <c r="BN67" s="124">
        <v>-1350855.2911890538</v>
      </c>
      <c r="BO67" s="124">
        <v>-1166744.4446553185</v>
      </c>
      <c r="BP67" s="124">
        <v>-998331.10826376744</v>
      </c>
      <c r="BQ67" s="124">
        <v>-845712.38327735779</v>
      </c>
      <c r="BR67" s="124">
        <v>-703911.96281824727</v>
      </c>
      <c r="BS67" s="124">
        <v>-575700.18855044409</v>
      </c>
      <c r="BT67" s="124">
        <v>-469863.79276868328</v>
      </c>
      <c r="BU67" s="124">
        <v>-375857.90564893151</v>
      </c>
      <c r="BV67" s="124">
        <v>-294509.59155277075</v>
      </c>
      <c r="BW67" s="124">
        <v>-224685.21154225923</v>
      </c>
      <c r="BX67" s="124">
        <v>-164400.9284712252</v>
      </c>
      <c r="BY67" s="124">
        <v>-121684.84045882156</v>
      </c>
      <c r="BZ67" s="124">
        <v>-88795.309184603291</v>
      </c>
      <c r="CA67" s="124">
        <v>-63978.533067372518</v>
      </c>
      <c r="CB67" s="124">
        <v>-45424.39153207725</v>
      </c>
      <c r="CC67" s="124">
        <v>-27002.931043195047</v>
      </c>
      <c r="CD67" s="124">
        <v>-19347.077472314661</v>
      </c>
      <c r="CE67" s="124">
        <v>-13645.982067790632</v>
      </c>
      <c r="CF67" s="124">
        <v>-9484.8041905132395</v>
      </c>
      <c r="CG67" s="124">
        <v>-6492.5375699590004</v>
      </c>
      <c r="CH67" s="124">
        <v>-3391.2750896018142</v>
      </c>
      <c r="CI67" s="124">
        <v>-2300.139610295173</v>
      </c>
      <c r="CJ67" s="124">
        <v>-1523.0055600056194</v>
      </c>
      <c r="CK67" s="124">
        <v>-989.60480843721609</v>
      </c>
      <c r="CL67" s="124">
        <v>-638.28820517716622</v>
      </c>
      <c r="CM67" s="124">
        <v>0</v>
      </c>
      <c r="CN67" s="124">
        <v>0</v>
      </c>
      <c r="CO67" s="124">
        <v>0</v>
      </c>
      <c r="CP67" s="124">
        <v>0</v>
      </c>
      <c r="CQ67" s="124">
        <v>0</v>
      </c>
      <c r="CR67" s="124">
        <v>0</v>
      </c>
      <c r="CS67" s="124">
        <v>0</v>
      </c>
      <c r="CT67" s="124">
        <v>0</v>
      </c>
      <c r="CU67" s="124">
        <v>0</v>
      </c>
      <c r="CV67" s="124">
        <v>0</v>
      </c>
      <c r="CW67" s="124">
        <v>0</v>
      </c>
      <c r="CX67" s="124">
        <v>0</v>
      </c>
      <c r="CY67" s="124">
        <v>0</v>
      </c>
      <c r="CZ67" s="124">
        <v>0</v>
      </c>
      <c r="DA67" s="124">
        <v>0</v>
      </c>
    </row>
    <row r="68" spans="3:105" x14ac:dyDescent="0.3">
      <c r="C68" s="136" t="s">
        <v>99</v>
      </c>
      <c r="F68" s="115">
        <v>-46.783400401062295</v>
      </c>
      <c r="G68" s="115">
        <v>-60782.907856482103</v>
      </c>
      <c r="H68" s="115">
        <v>-297620.83548746153</v>
      </c>
      <c r="I68" s="115">
        <v>-558026.1640246883</v>
      </c>
      <c r="J68" s="115">
        <v>-785575.78773278662</v>
      </c>
      <c r="K68" s="115">
        <v>-1040958.7479917626</v>
      </c>
      <c r="L68" s="115">
        <v>-1265699.0354761356</v>
      </c>
      <c r="M68" s="115">
        <v>-1435522.1592915424</v>
      </c>
      <c r="N68" s="115">
        <v>-1555310.4356557336</v>
      </c>
      <c r="O68" s="115">
        <v>-1647260.3577654958</v>
      </c>
      <c r="P68" s="115">
        <v>-1717976.3926709506</v>
      </c>
      <c r="Q68" s="115">
        <v>-746422.32369862113</v>
      </c>
      <c r="R68" s="115">
        <v>269183.52651270025</v>
      </c>
      <c r="S68" s="115">
        <v>1162310.0032722126</v>
      </c>
      <c r="T68" s="115">
        <v>1929454.9091414469</v>
      </c>
      <c r="U68" s="115">
        <v>2772725.8851698218</v>
      </c>
      <c r="V68" s="115">
        <v>3513428.4483851804</v>
      </c>
      <c r="W68" s="115">
        <v>4139184.5101680676</v>
      </c>
      <c r="X68" s="115">
        <v>4651959.762358061</v>
      </c>
      <c r="Y68" s="115">
        <v>5024847.8688726649</v>
      </c>
      <c r="Z68" s="115">
        <v>5396077.0078374548</v>
      </c>
      <c r="AA68" s="115">
        <v>5651823.4176793396</v>
      </c>
      <c r="AB68" s="115">
        <v>5807340.7927830499</v>
      </c>
      <c r="AC68" s="115">
        <v>5874248.0454907333</v>
      </c>
      <c r="AD68" s="115">
        <v>5859580.1244120616</v>
      </c>
      <c r="AE68" s="115">
        <v>5852066.1134864129</v>
      </c>
      <c r="AF68" s="115">
        <v>5798632.0669053532</v>
      </c>
      <c r="AG68" s="115">
        <v>5708925.6222311649</v>
      </c>
      <c r="AH68" s="115">
        <v>5590553.520423783</v>
      </c>
      <c r="AI68" s="115">
        <v>5445563.0916573126</v>
      </c>
      <c r="AJ68" s="115">
        <v>5323322.3246998284</v>
      </c>
      <c r="AK68" s="115">
        <v>5187120.6670644991</v>
      </c>
      <c r="AL68" s="115">
        <v>5035943.3903945526</v>
      </c>
      <c r="AM68" s="115">
        <v>4867871.4334407737</v>
      </c>
      <c r="AN68" s="115">
        <v>4680564.9460633816</v>
      </c>
      <c r="AO68" s="115">
        <v>4498224.7831363864</v>
      </c>
      <c r="AP68" s="115">
        <v>4309796.2876005005</v>
      </c>
      <c r="AQ68" s="115">
        <v>4107166.4454535646</v>
      </c>
      <c r="AR68" s="115">
        <v>3892516.355864156</v>
      </c>
      <c r="AS68" s="115">
        <v>3666467.7961812546</v>
      </c>
      <c r="AT68" s="115">
        <v>3444104.1928476733</v>
      </c>
      <c r="AU68" s="115">
        <v>3215441.4727054671</v>
      </c>
      <c r="AV68" s="115">
        <v>2983004.3336381111</v>
      </c>
      <c r="AW68" s="115">
        <v>2749249.5158384764</v>
      </c>
      <c r="AX68" s="115">
        <v>2516379.0778278289</v>
      </c>
      <c r="AY68" s="115">
        <v>2294704.6832829574</v>
      </c>
      <c r="AZ68" s="115">
        <v>2082666.5566597746</v>
      </c>
      <c r="BA68" s="115">
        <v>1879414.2951400701</v>
      </c>
      <c r="BB68" s="115">
        <v>1687171.1601325469</v>
      </c>
      <c r="BC68" s="115">
        <v>1506990.8783994906</v>
      </c>
      <c r="BD68" s="115">
        <v>1343089.2892763969</v>
      </c>
      <c r="BE68" s="115">
        <v>1192468.294664084</v>
      </c>
      <c r="BF68" s="115">
        <v>1054211.8206696298</v>
      </c>
      <c r="BG68" s="115">
        <v>927428.36297178781</v>
      </c>
      <c r="BH68" s="115">
        <v>811231.41741934419</v>
      </c>
      <c r="BI68" s="115">
        <v>706575.69671198237</v>
      </c>
      <c r="BJ68" s="115">
        <v>613444.27565020102</v>
      </c>
      <c r="BK68" s="115">
        <v>528825.90104690241</v>
      </c>
      <c r="BL68" s="115">
        <v>452474.27925520879</v>
      </c>
      <c r="BM68" s="115">
        <v>383908.96164978197</v>
      </c>
      <c r="BN68" s="115">
        <v>323303.70615586807</v>
      </c>
      <c r="BO68" s="115">
        <v>269666.57091427251</v>
      </c>
      <c r="BP68" s="115">
        <v>222322.12917916116</v>
      </c>
      <c r="BQ68" s="115">
        <v>180939.92744961646</v>
      </c>
      <c r="BR68" s="115">
        <v>145136.72740464704</v>
      </c>
      <c r="BS68" s="115">
        <v>114789.44047966627</v>
      </c>
      <c r="BT68" s="115">
        <v>89567.805849159588</v>
      </c>
      <c r="BU68" s="115">
        <v>68578.957590075312</v>
      </c>
      <c r="BV68" s="115">
        <v>51487.653231706339</v>
      </c>
      <c r="BW68" s="115">
        <v>37874.416402747833</v>
      </c>
      <c r="BX68" s="115">
        <v>27349.565761597296</v>
      </c>
      <c r="BY68" s="115">
        <v>19603.083907140241</v>
      </c>
      <c r="BZ68" s="115">
        <v>13805.496214068551</v>
      </c>
      <c r="CA68" s="115">
        <v>9528.3242973601446</v>
      </c>
      <c r="CB68" s="115">
        <v>6410.3412985524974</v>
      </c>
      <c r="CC68" s="115">
        <v>4168.20851253406</v>
      </c>
      <c r="CD68" s="115">
        <v>2860.2770353150145</v>
      </c>
      <c r="CE68" s="115">
        <v>1916.0989105796627</v>
      </c>
      <c r="CF68" s="115">
        <v>1244.382646338353</v>
      </c>
      <c r="CG68" s="115">
        <v>772.31506000041304</v>
      </c>
      <c r="CH68" s="115">
        <v>444.28085538489466</v>
      </c>
      <c r="CI68" s="115">
        <v>277.63360167167184</v>
      </c>
      <c r="CJ68" s="115">
        <v>163.10776947129821</v>
      </c>
      <c r="CK68" s="115">
        <v>85.958794659208849</v>
      </c>
      <c r="CL68" s="115">
        <v>34.535710987710345</v>
      </c>
      <c r="CM68" s="115">
        <v>1.2566041112153751E-9</v>
      </c>
      <c r="CN68" s="115">
        <v>0</v>
      </c>
      <c r="CO68" s="115">
        <v>0</v>
      </c>
      <c r="CP68" s="115">
        <v>0</v>
      </c>
      <c r="CQ68" s="115">
        <v>0</v>
      </c>
      <c r="CR68" s="115">
        <v>0</v>
      </c>
      <c r="CS68" s="115">
        <v>0</v>
      </c>
      <c r="CT68" s="115">
        <v>0</v>
      </c>
      <c r="CU68" s="115">
        <v>0</v>
      </c>
      <c r="CV68" s="115">
        <v>0</v>
      </c>
      <c r="CW68" s="115">
        <v>0</v>
      </c>
      <c r="CX68" s="115">
        <v>0</v>
      </c>
      <c r="CY68" s="115">
        <v>0</v>
      </c>
      <c r="CZ68" s="115">
        <v>0</v>
      </c>
      <c r="DA68" s="115">
        <v>0</v>
      </c>
    </row>
    <row r="69" spans="3:105" x14ac:dyDescent="0.3">
      <c r="C69" s="138" t="s">
        <v>83</v>
      </c>
      <c r="D69" s="139"/>
      <c r="F69" s="139">
        <v>-1860761.5722492847</v>
      </c>
      <c r="G69" s="139">
        <v>-9243099.9117318913</v>
      </c>
      <c r="H69" s="139">
        <v>-17984619.949160423</v>
      </c>
      <c r="I69" s="139">
        <v>-26931552.874478135</v>
      </c>
      <c r="J69" s="139">
        <v>-37717445.342129491</v>
      </c>
      <c r="K69" s="139">
        <v>-48290358.68514137</v>
      </c>
      <c r="L69" s="139">
        <v>-58486861.261336148</v>
      </c>
      <c r="M69" s="139">
        <v>-68517386.914668635</v>
      </c>
      <c r="N69" s="139">
        <v>-79019085.822583705</v>
      </c>
      <c r="O69" s="139">
        <v>-90531337.208625227</v>
      </c>
      <c r="P69" s="139">
        <v>-71647516.244579971</v>
      </c>
      <c r="Q69" s="139">
        <v>-51622480.481154479</v>
      </c>
      <c r="R69" s="139">
        <v>-32446083.64938337</v>
      </c>
      <c r="S69" s="139">
        <v>-15287700.516875412</v>
      </c>
      <c r="T69" s="139">
        <v>2682739.5780499252</v>
      </c>
      <c r="U69" s="139">
        <v>18673506.317332506</v>
      </c>
      <c r="V69" s="139">
        <v>32528277.380311579</v>
      </c>
      <c r="W69" s="139">
        <v>44294315.797482148</v>
      </c>
      <c r="X69" s="139">
        <v>53581884.316721581</v>
      </c>
      <c r="Y69" s="139">
        <v>62499206.716103196</v>
      </c>
      <c r="Z69" s="139">
        <v>69268032.14761582</v>
      </c>
      <c r="AA69" s="139">
        <v>74234467.257615879</v>
      </c>
      <c r="AB69" s="139">
        <v>77580017.266135976</v>
      </c>
      <c r="AC69" s="139">
        <v>79421182.812406093</v>
      </c>
      <c r="AD69" s="139">
        <v>81197678.518494993</v>
      </c>
      <c r="AE69" s="139">
        <v>81983686.326013386</v>
      </c>
      <c r="AF69" s="139">
        <v>82012882.243625388</v>
      </c>
      <c r="AG69" s="139">
        <v>81416130.943366006</v>
      </c>
      <c r="AH69" s="139">
        <v>80240130.308333889</v>
      </c>
      <c r="AI69" s="139">
        <v>79270754.458299875</v>
      </c>
      <c r="AJ69" s="139">
        <v>77917921.286450103</v>
      </c>
      <c r="AK69" s="139">
        <v>76227148.337176129</v>
      </c>
      <c r="AL69" s="139">
        <v>74181616.692914069</v>
      </c>
      <c r="AM69" s="139">
        <v>71755213.858174041</v>
      </c>
      <c r="AN69" s="139">
        <v>69349114.515043139</v>
      </c>
      <c r="AO69" s="139">
        <v>66766403.627756797</v>
      </c>
      <c r="AP69" s="139">
        <v>63908393.312772654</v>
      </c>
      <c r="AQ69" s="139">
        <v>60813171.490656607</v>
      </c>
      <c r="AR69" s="139">
        <v>57494115.168587796</v>
      </c>
      <c r="AS69" s="139">
        <v>54198690.116635747</v>
      </c>
      <c r="AT69" s="139">
        <v>50760439.925500996</v>
      </c>
      <c r="AU69" s="139">
        <v>47229954.44201602</v>
      </c>
      <c r="AV69" s="139">
        <v>43649238.419170581</v>
      </c>
      <c r="AW69" s="139">
        <v>40056002.76808548</v>
      </c>
      <c r="AX69" s="139">
        <v>36619034.45086731</v>
      </c>
      <c r="AY69" s="139">
        <v>33313010.631783046</v>
      </c>
      <c r="AZ69" s="139">
        <v>30128703.09307494</v>
      </c>
      <c r="BA69" s="139">
        <v>27103837.896242023</v>
      </c>
      <c r="BB69" s="139">
        <v>24257478.520342145</v>
      </c>
      <c r="BC69" s="139">
        <v>21659949.103693038</v>
      </c>
      <c r="BD69" s="139">
        <v>19264827.886636514</v>
      </c>
      <c r="BE69" s="139">
        <v>17059595.313358814</v>
      </c>
      <c r="BF69" s="139">
        <v>15031760.95273493</v>
      </c>
      <c r="BG69" s="139">
        <v>13168569.966622381</v>
      </c>
      <c r="BH69" s="139">
        <v>11486754.804291604</v>
      </c>
      <c r="BI69" s="139">
        <v>9986581.5020174496</v>
      </c>
      <c r="BJ69" s="139">
        <v>8620876.3534121774</v>
      </c>
      <c r="BK69" s="139">
        <v>7386280.7307066964</v>
      </c>
      <c r="BL69" s="139">
        <v>6275554.836817571</v>
      </c>
      <c r="BM69" s="139">
        <v>5291959.043059852</v>
      </c>
      <c r="BN69" s="139">
        <v>4419850.4488632279</v>
      </c>
      <c r="BO69" s="139">
        <v>3648671.9098384846</v>
      </c>
      <c r="BP69" s="139">
        <v>2973423.4524292895</v>
      </c>
      <c r="BQ69" s="139">
        <v>2388213.9504125924</v>
      </c>
      <c r="BR69" s="139">
        <v>1891316.0645798587</v>
      </c>
      <c r="BS69" s="139">
        <v>1477707.6275956044</v>
      </c>
      <c r="BT69" s="139">
        <v>1132967.3946330377</v>
      </c>
      <c r="BU69" s="139">
        <v>851838.97556249879</v>
      </c>
      <c r="BV69" s="139">
        <v>627615.99834081309</v>
      </c>
      <c r="BW69" s="139">
        <v>454006.43149082671</v>
      </c>
      <c r="BX69" s="139">
        <v>326011.94442255714</v>
      </c>
      <c r="BY69" s="139">
        <v>230077.35403364725</v>
      </c>
      <c r="BZ69" s="139">
        <v>159181.44590978598</v>
      </c>
      <c r="CA69" s="139">
        <v>107397.19721406778</v>
      </c>
      <c r="CB69" s="139">
        <v>70067.549358317832</v>
      </c>
      <c r="CC69" s="139">
        <v>48247.054862764933</v>
      </c>
      <c r="CD69" s="139">
        <v>32435.452641440832</v>
      </c>
      <c r="CE69" s="139">
        <v>21144.703364379817</v>
      </c>
      <c r="CF69" s="139">
        <v>13181.465486107436</v>
      </c>
      <c r="CG69" s="139">
        <v>7628.8937331082698</v>
      </c>
      <c r="CH69" s="139">
        <v>4776.3286667481671</v>
      </c>
      <c r="CI69" s="139">
        <v>2811.1549369986828</v>
      </c>
      <c r="CJ69" s="139">
        <v>1484.0056925313504</v>
      </c>
      <c r="CK69" s="139">
        <v>597.16164170320144</v>
      </c>
      <c r="CL69" s="139">
        <v>2.0321382441590797E-8</v>
      </c>
      <c r="CM69" s="139">
        <v>0</v>
      </c>
      <c r="CN69" s="139">
        <v>0</v>
      </c>
      <c r="CO69" s="139">
        <v>0</v>
      </c>
      <c r="CP69" s="139">
        <v>0</v>
      </c>
      <c r="CQ69" s="139">
        <v>0</v>
      </c>
      <c r="CR69" s="139">
        <v>0</v>
      </c>
      <c r="CS69" s="139">
        <v>0</v>
      </c>
      <c r="CT69" s="139">
        <v>0</v>
      </c>
      <c r="CU69" s="139">
        <v>0</v>
      </c>
      <c r="CV69" s="139">
        <v>0</v>
      </c>
      <c r="CW69" s="139">
        <v>0</v>
      </c>
      <c r="CX69" s="139">
        <v>0</v>
      </c>
      <c r="CY69" s="139">
        <v>0</v>
      </c>
      <c r="CZ69" s="139">
        <v>0</v>
      </c>
      <c r="DA69" s="139">
        <v>0</v>
      </c>
    </row>
    <row r="71" spans="3:105" x14ac:dyDescent="0.3">
      <c r="C71" s="159" t="s">
        <v>100</v>
      </c>
    </row>
    <row r="72" spans="3:105" x14ac:dyDescent="0.3">
      <c r="C72" s="133" t="s">
        <v>95</v>
      </c>
      <c r="D72" s="134"/>
      <c r="E72" s="143"/>
      <c r="F72" s="134">
        <v>0</v>
      </c>
      <c r="G72" s="134">
        <v>335719.94377575273</v>
      </c>
      <c r="H72" s="134">
        <v>1681689.1390290051</v>
      </c>
      <c r="I72" s="134">
        <v>3352567.2374933842</v>
      </c>
      <c r="J72" s="134">
        <v>5232720.1695750831</v>
      </c>
      <c r="K72" s="134">
        <v>7644902.0285005374</v>
      </c>
      <c r="L72" s="134">
        <v>10202771.871263606</v>
      </c>
      <c r="M72" s="134">
        <v>12978779.224815778</v>
      </c>
      <c r="N72" s="134">
        <v>16052215.221824436</v>
      </c>
      <c r="O72" s="134">
        <v>19534846.942346156</v>
      </c>
      <c r="P72" s="134">
        <v>23577563.599712335</v>
      </c>
      <c r="Q72" s="134">
        <v>22519556.892737556</v>
      </c>
      <c r="R72" s="134">
        <v>21491771.652559601</v>
      </c>
      <c r="S72" s="134">
        <v>20493719.652375389</v>
      </c>
      <c r="T72" s="134">
        <v>19553648.536164671</v>
      </c>
      <c r="U72" s="134">
        <v>18642588.996488124</v>
      </c>
      <c r="V72" s="134">
        <v>17799325.265053231</v>
      </c>
      <c r="W72" s="134">
        <v>17033716.523766398</v>
      </c>
      <c r="X72" s="134">
        <v>16348089.894500732</v>
      </c>
      <c r="Y72" s="134">
        <v>15750862.927625302</v>
      </c>
      <c r="Z72" s="134">
        <v>15205460.000138219</v>
      </c>
      <c r="AA72" s="134">
        <v>14724415.927375838</v>
      </c>
      <c r="AB72" s="134">
        <v>14292095.073309425</v>
      </c>
      <c r="AC72" s="134">
        <v>13898728.008362014</v>
      </c>
      <c r="AD72" s="134">
        <v>13534364.731026303</v>
      </c>
      <c r="AE72" s="134">
        <v>13212622.359497607</v>
      </c>
      <c r="AF72" s="134">
        <v>12915918.438952122</v>
      </c>
      <c r="AG72" s="134">
        <v>12637211.985598247</v>
      </c>
      <c r="AH72" s="134">
        <v>12372534.088052029</v>
      </c>
      <c r="AI72" s="134">
        <v>12112882.401901215</v>
      </c>
      <c r="AJ72" s="134">
        <v>11879427.829667555</v>
      </c>
      <c r="AK72" s="134">
        <v>11624973.49635295</v>
      </c>
      <c r="AL72" s="134">
        <v>11339708.834159354</v>
      </c>
      <c r="AM72" s="134">
        <v>11022179.681275766</v>
      </c>
      <c r="AN72" s="134">
        <v>10668042.957142571</v>
      </c>
      <c r="AO72" s="134">
        <v>10303489.633153265</v>
      </c>
      <c r="AP72" s="134">
        <v>9900888.9903499801</v>
      </c>
      <c r="AQ72" s="134">
        <v>9468935.4447990861</v>
      </c>
      <c r="AR72" s="134">
        <v>9011216.0062338114</v>
      </c>
      <c r="AS72" s="134">
        <v>8528430.1545883119</v>
      </c>
      <c r="AT72" s="134">
        <v>8041426.4229995618</v>
      </c>
      <c r="AU72" s="134">
        <v>7537240.6250799801</v>
      </c>
      <c r="AV72" s="134">
        <v>7020061.7218451519</v>
      </c>
      <c r="AW72" s="134">
        <v>6497661.8663187707</v>
      </c>
      <c r="AX72" s="134">
        <v>5976171.0345215714</v>
      </c>
      <c r="AY72" s="134">
        <v>5473403.9201680832</v>
      </c>
      <c r="AZ72" s="134">
        <v>4984641.3544237046</v>
      </c>
      <c r="BA72" s="134">
        <v>4515295.808819416</v>
      </c>
      <c r="BB72" s="134">
        <v>4069016.292708457</v>
      </c>
      <c r="BC72" s="134">
        <v>3647650.2686923305</v>
      </c>
      <c r="BD72" s="134">
        <v>3258136.6918174848</v>
      </c>
      <c r="BE72" s="134">
        <v>2895613.7843665141</v>
      </c>
      <c r="BF72" s="134">
        <v>2558444.4920105515</v>
      </c>
      <c r="BG72" s="134">
        <v>2246077.4542120062</v>
      </c>
      <c r="BH72" s="134">
        <v>1958024.457792694</v>
      </c>
      <c r="BI72" s="134">
        <v>1696634.4043714721</v>
      </c>
      <c r="BJ72" s="134">
        <v>1458309.7558101229</v>
      </c>
      <c r="BK72" s="134">
        <v>1243510.048737627</v>
      </c>
      <c r="BL72" s="134">
        <v>1051332.6513670413</v>
      </c>
      <c r="BM72" s="134">
        <v>880166.74227183149</v>
      </c>
      <c r="BN72" s="134">
        <v>729153.16681462969</v>
      </c>
      <c r="BO72" s="134">
        <v>595095.91768482223</v>
      </c>
      <c r="BP72" s="134">
        <v>478169.36593438691</v>
      </c>
      <c r="BQ72" s="134">
        <v>377756.77772280423</v>
      </c>
      <c r="BR72" s="134">
        <v>292908.29399390647</v>
      </c>
      <c r="BS72" s="134">
        <v>222648.68024485934</v>
      </c>
      <c r="BT72" s="134">
        <v>164053.94182942028</v>
      </c>
      <c r="BU72" s="134">
        <v>117395.1074237377</v>
      </c>
      <c r="BV72" s="134">
        <v>81579.216206823068</v>
      </c>
      <c r="BW72" s="134">
        <v>55168.117316964162</v>
      </c>
      <c r="BX72" s="134">
        <v>36513.729528794385</v>
      </c>
      <c r="BY72" s="134">
        <v>23135.822885456164</v>
      </c>
      <c r="BZ72" s="134">
        <v>14343.148585172185</v>
      </c>
      <c r="CA72" s="134">
        <v>8846.2484574980499</v>
      </c>
      <c r="CB72" s="134">
        <v>5634.1885578436541</v>
      </c>
      <c r="CC72" s="134">
        <v>3816.5548199290547</v>
      </c>
      <c r="CD72" s="134">
        <v>2306.9650663557286</v>
      </c>
      <c r="CE72" s="134">
        <v>1252.1694462311316</v>
      </c>
      <c r="CF72" s="134">
        <v>559.3027003766349</v>
      </c>
      <c r="CG72" s="134">
        <v>159.91153579504487</v>
      </c>
      <c r="CH72" s="134">
        <v>-5.891998814259801</v>
      </c>
      <c r="CI72" s="134">
        <v>-139.06277558907311</v>
      </c>
      <c r="CJ72" s="134">
        <v>-127.67878902646621</v>
      </c>
      <c r="CK72" s="134">
        <v>-84.957347304698985</v>
      </c>
      <c r="CL72" s="134">
        <v>-40.062321380505949</v>
      </c>
      <c r="CM72" s="134">
        <v>-4.0000025794571637E-10</v>
      </c>
      <c r="CN72" s="134">
        <v>0</v>
      </c>
      <c r="CO72" s="134">
        <v>0</v>
      </c>
      <c r="CP72" s="134">
        <v>0</v>
      </c>
      <c r="CQ72" s="134">
        <v>0</v>
      </c>
      <c r="CR72" s="134">
        <v>0</v>
      </c>
      <c r="CS72" s="134">
        <v>0</v>
      </c>
      <c r="CT72" s="134">
        <v>0</v>
      </c>
      <c r="CU72" s="134">
        <v>0</v>
      </c>
      <c r="CV72" s="134">
        <v>0</v>
      </c>
      <c r="CW72" s="134">
        <v>0</v>
      </c>
      <c r="CX72" s="134">
        <v>0</v>
      </c>
      <c r="CY72" s="134">
        <v>0</v>
      </c>
      <c r="CZ72" s="134">
        <v>0</v>
      </c>
      <c r="DA72" s="134">
        <v>0</v>
      </c>
    </row>
    <row r="73" spans="3:105" x14ac:dyDescent="0.3">
      <c r="C73" s="136" t="s">
        <v>96</v>
      </c>
      <c r="F73" s="124">
        <v>369613.59246265411</v>
      </c>
      <c r="G73" s="124">
        <v>1497236.276836199</v>
      </c>
      <c r="H73" s="124">
        <v>1916462.4343503343</v>
      </c>
      <c r="I73" s="124">
        <v>2224465.3255852098</v>
      </c>
      <c r="J73" s="124">
        <v>2900360.5591284074</v>
      </c>
      <c r="K73" s="124">
        <v>3174140.9068927411</v>
      </c>
      <c r="L73" s="124">
        <v>3542033.2492010645</v>
      </c>
      <c r="M73" s="124">
        <v>4012593.2219210132</v>
      </c>
      <c r="N73" s="124">
        <v>4620043.3685231293</v>
      </c>
      <c r="O73" s="124">
        <v>5415717.5042132223</v>
      </c>
      <c r="P73" s="124">
        <v>0</v>
      </c>
      <c r="Q73" s="124">
        <v>0</v>
      </c>
      <c r="R73" s="124">
        <v>0</v>
      </c>
      <c r="S73" s="124">
        <v>0</v>
      </c>
      <c r="T73" s="124">
        <v>0</v>
      </c>
      <c r="U73" s="124">
        <v>0</v>
      </c>
      <c r="V73" s="124">
        <v>0</v>
      </c>
      <c r="W73" s="124">
        <v>0</v>
      </c>
      <c r="X73" s="124">
        <v>0</v>
      </c>
      <c r="Y73" s="124">
        <v>0</v>
      </c>
      <c r="Z73" s="124">
        <v>0</v>
      </c>
      <c r="AA73" s="124">
        <v>0</v>
      </c>
      <c r="AB73" s="124">
        <v>0</v>
      </c>
      <c r="AC73" s="124">
        <v>0</v>
      </c>
      <c r="AD73" s="124">
        <v>0</v>
      </c>
      <c r="AE73" s="124">
        <v>0</v>
      </c>
      <c r="AF73" s="124">
        <v>0</v>
      </c>
      <c r="AG73" s="124">
        <v>0</v>
      </c>
      <c r="AH73" s="124">
        <v>0</v>
      </c>
      <c r="AI73" s="124">
        <v>0</v>
      </c>
      <c r="AJ73" s="124">
        <v>0</v>
      </c>
      <c r="AK73" s="124">
        <v>0</v>
      </c>
      <c r="AL73" s="124">
        <v>0</v>
      </c>
      <c r="AM73" s="124">
        <v>0</v>
      </c>
      <c r="AN73" s="124">
        <v>0</v>
      </c>
      <c r="AO73" s="124">
        <v>0</v>
      </c>
      <c r="AP73" s="124">
        <v>0</v>
      </c>
      <c r="AQ73" s="124">
        <v>0</v>
      </c>
      <c r="AR73" s="124">
        <v>0</v>
      </c>
      <c r="AS73" s="124">
        <v>0</v>
      </c>
      <c r="AT73" s="124">
        <v>0</v>
      </c>
      <c r="AU73" s="124">
        <v>0</v>
      </c>
      <c r="AV73" s="124">
        <v>0</v>
      </c>
      <c r="AW73" s="124">
        <v>0</v>
      </c>
      <c r="AX73" s="124">
        <v>0</v>
      </c>
      <c r="AY73" s="124">
        <v>0</v>
      </c>
      <c r="AZ73" s="124">
        <v>0</v>
      </c>
      <c r="BA73" s="124">
        <v>0</v>
      </c>
      <c r="BB73" s="124">
        <v>0</v>
      </c>
      <c r="BC73" s="124">
        <v>0</v>
      </c>
      <c r="BD73" s="124">
        <v>0</v>
      </c>
      <c r="BE73" s="124">
        <v>0</v>
      </c>
      <c r="BF73" s="124">
        <v>0</v>
      </c>
      <c r="BG73" s="124">
        <v>0</v>
      </c>
      <c r="BH73" s="124">
        <v>0</v>
      </c>
      <c r="BI73" s="124">
        <v>0</v>
      </c>
      <c r="BJ73" s="124">
        <v>0</v>
      </c>
      <c r="BK73" s="124">
        <v>0</v>
      </c>
      <c r="BL73" s="124">
        <v>0</v>
      </c>
      <c r="BM73" s="124">
        <v>0</v>
      </c>
      <c r="BN73" s="124">
        <v>0</v>
      </c>
      <c r="BO73" s="124">
        <v>0</v>
      </c>
      <c r="BP73" s="124">
        <v>0</v>
      </c>
      <c r="BQ73" s="124">
        <v>0</v>
      </c>
      <c r="BR73" s="124">
        <v>0</v>
      </c>
      <c r="BS73" s="124">
        <v>0</v>
      </c>
      <c r="BT73" s="124">
        <v>0</v>
      </c>
      <c r="BU73" s="124">
        <v>0</v>
      </c>
      <c r="BV73" s="124">
        <v>0</v>
      </c>
      <c r="BW73" s="124">
        <v>0</v>
      </c>
      <c r="BX73" s="124">
        <v>0</v>
      </c>
      <c r="BY73" s="124">
        <v>0</v>
      </c>
      <c r="BZ73" s="124">
        <v>0</v>
      </c>
      <c r="CA73" s="124">
        <v>0</v>
      </c>
      <c r="CB73" s="124">
        <v>0</v>
      </c>
      <c r="CC73" s="124">
        <v>0</v>
      </c>
      <c r="CD73" s="124">
        <v>0</v>
      </c>
      <c r="CE73" s="124">
        <v>0</v>
      </c>
      <c r="CF73" s="124">
        <v>0</v>
      </c>
      <c r="CG73" s="124">
        <v>0</v>
      </c>
      <c r="CH73" s="124">
        <v>0</v>
      </c>
      <c r="CI73" s="124">
        <v>0</v>
      </c>
      <c r="CJ73" s="124">
        <v>0</v>
      </c>
      <c r="CK73" s="124">
        <v>0</v>
      </c>
      <c r="CL73" s="124">
        <v>0</v>
      </c>
      <c r="CM73" s="124">
        <v>0</v>
      </c>
      <c r="CN73" s="124">
        <v>0</v>
      </c>
      <c r="CO73" s="124">
        <v>0</v>
      </c>
      <c r="CP73" s="124">
        <v>0</v>
      </c>
      <c r="CQ73" s="124">
        <v>0</v>
      </c>
      <c r="CR73" s="124">
        <v>0</v>
      </c>
      <c r="CS73" s="124">
        <v>0</v>
      </c>
      <c r="CT73" s="124">
        <v>0</v>
      </c>
      <c r="CU73" s="124">
        <v>0</v>
      </c>
      <c r="CV73" s="124">
        <v>0</v>
      </c>
      <c r="CW73" s="124">
        <v>0</v>
      </c>
      <c r="CX73" s="124">
        <v>0</v>
      </c>
      <c r="CY73" s="124">
        <v>0</v>
      </c>
      <c r="CZ73" s="124">
        <v>0</v>
      </c>
      <c r="DA73" s="124">
        <v>0</v>
      </c>
    </row>
    <row r="74" spans="3:105" x14ac:dyDescent="0.3">
      <c r="C74" s="136" t="s">
        <v>99</v>
      </c>
      <c r="F74" s="124">
        <v>31635.331111550542</v>
      </c>
      <c r="G74" s="124">
        <v>161679.32813529109</v>
      </c>
      <c r="H74" s="124">
        <v>324590.05981116701</v>
      </c>
      <c r="I74" s="124">
        <v>485060.49931675621</v>
      </c>
      <c r="J74" s="124">
        <v>680464.66479884915</v>
      </c>
      <c r="K74" s="124">
        <v>883721.7149645579</v>
      </c>
      <c r="L74" s="124">
        <v>1093935.8231044062</v>
      </c>
      <c r="M74" s="124">
        <v>1325645.5303152276</v>
      </c>
      <c r="N74" s="124">
        <v>1590932.3077828286</v>
      </c>
      <c r="O74" s="124">
        <v>1903708.7261689827</v>
      </c>
      <c r="P74" s="124">
        <v>1728209.9063345883</v>
      </c>
      <c r="Q74" s="124">
        <v>1489383.6965224405</v>
      </c>
      <c r="R74" s="124">
        <v>1359235.3040620429</v>
      </c>
      <c r="S74" s="124">
        <v>1276189.9429972002</v>
      </c>
      <c r="T74" s="124">
        <v>1211724.9207286572</v>
      </c>
      <c r="U74" s="124">
        <v>1153537.8853847797</v>
      </c>
      <c r="V74" s="124">
        <v>1100861.8276438313</v>
      </c>
      <c r="W74" s="124">
        <v>1053367.1339404052</v>
      </c>
      <c r="X74" s="124">
        <v>1010926.8575686706</v>
      </c>
      <c r="Y74" s="124">
        <v>973983.99764948734</v>
      </c>
      <c r="Z74" s="124">
        <v>940254.58448469115</v>
      </c>
      <c r="AA74" s="124">
        <v>910507.45137746341</v>
      </c>
      <c r="AB74" s="124">
        <v>883773.92470668477</v>
      </c>
      <c r="AC74" s="124">
        <v>859449.37714765756</v>
      </c>
      <c r="AD74" s="124">
        <v>836918.3850620361</v>
      </c>
      <c r="AE74" s="124">
        <v>817022.94056565722</v>
      </c>
      <c r="AF74" s="124">
        <v>798675.79262008576</v>
      </c>
      <c r="AG74" s="124">
        <v>781441.54741341306</v>
      </c>
      <c r="AH74" s="124">
        <v>765074.78009696584</v>
      </c>
      <c r="AI74" s="124">
        <v>749018.81646621705</v>
      </c>
      <c r="AJ74" s="124">
        <v>734582.79192818399</v>
      </c>
      <c r="AK74" s="124">
        <v>718848.21469779278</v>
      </c>
      <c r="AL74" s="124">
        <v>701208.43313490809</v>
      </c>
      <c r="AM74" s="124">
        <v>681573.52689270012</v>
      </c>
      <c r="AN74" s="124">
        <v>659674.93486729567</v>
      </c>
      <c r="AO74" s="124">
        <v>637132.21628012392</v>
      </c>
      <c r="AP74" s="124">
        <v>612236.78289221786</v>
      </c>
      <c r="AQ74" s="124">
        <v>585526.26736732665</v>
      </c>
      <c r="AR74" s="124">
        <v>557222.47799976228</v>
      </c>
      <c r="AS74" s="124">
        <v>527368.66821304732</v>
      </c>
      <c r="AT74" s="124">
        <v>497254.03929689754</v>
      </c>
      <c r="AU74" s="124">
        <v>466076.93073632964</v>
      </c>
      <c r="AV74" s="124">
        <v>434096.37341417302</v>
      </c>
      <c r="AW74" s="124">
        <v>401792.9704326287</v>
      </c>
      <c r="AX74" s="124">
        <v>369545.77833921841</v>
      </c>
      <c r="AY74" s="124">
        <v>338456.39627102489</v>
      </c>
      <c r="AZ74" s="124">
        <v>308233.00712474517</v>
      </c>
      <c r="BA74" s="124">
        <v>279210.29944813094</v>
      </c>
      <c r="BB74" s="124">
        <v>251613.91537789267</v>
      </c>
      <c r="BC74" s="124">
        <v>225558.09562118762</v>
      </c>
      <c r="BD74" s="124">
        <v>201471.92119471822</v>
      </c>
      <c r="BE74" s="124">
        <v>179054.75655436493</v>
      </c>
      <c r="BF74" s="124">
        <v>158205.3719139306</v>
      </c>
      <c r="BG74" s="124">
        <v>138889.67304186599</v>
      </c>
      <c r="BH74" s="124">
        <v>121077.47052125153</v>
      </c>
      <c r="BI74" s="124">
        <v>104914.01231637697</v>
      </c>
      <c r="BJ74" s="124">
        <v>90176.83909270601</v>
      </c>
      <c r="BK74" s="124">
        <v>76894.367008386937</v>
      </c>
      <c r="BL74" s="124">
        <v>65010.780430913706</v>
      </c>
      <c r="BM74" s="124">
        <v>54426.471726168013</v>
      </c>
      <c r="BN74" s="124">
        <v>45088.313738428827</v>
      </c>
      <c r="BO74" s="124">
        <v>36798.676412871864</v>
      </c>
      <c r="BP74" s="124">
        <v>29568.342253167342</v>
      </c>
      <c r="BQ74" s="124">
        <v>23359.174568481427</v>
      </c>
      <c r="BR74" s="124">
        <v>18112.437355075948</v>
      </c>
      <c r="BS74" s="124">
        <v>13767.825479223644</v>
      </c>
      <c r="BT74" s="124">
        <v>10144.529209884569</v>
      </c>
      <c r="BU74" s="124">
        <v>7259.3080244056882</v>
      </c>
      <c r="BV74" s="124">
        <v>5044.5770001073161</v>
      </c>
      <c r="BW74" s="124">
        <v>3411.4058542903972</v>
      </c>
      <c r="BX74" s="124">
        <v>2257.8829355519956</v>
      </c>
      <c r="BY74" s="124">
        <v>1430.6393887216975</v>
      </c>
      <c r="BZ74" s="124">
        <v>886.9307750939679</v>
      </c>
      <c r="CA74" s="124">
        <v>547.02145449388331</v>
      </c>
      <c r="CB74" s="124">
        <v>348.39876300244265</v>
      </c>
      <c r="CC74" s="124">
        <v>236.00256976546632</v>
      </c>
      <c r="CD74" s="124">
        <v>142.65475270422698</v>
      </c>
      <c r="CE74" s="124">
        <v>77.429834244548033</v>
      </c>
      <c r="CF74" s="124">
        <v>34.585347464782274</v>
      </c>
      <c r="CG74" s="124">
        <v>9.8883771263293276</v>
      </c>
      <c r="CH74" s="124">
        <v>-0.36434085892321327</v>
      </c>
      <c r="CI74" s="124">
        <v>-8.5991617954409527</v>
      </c>
      <c r="CJ74" s="124">
        <v>-7.8952153804905327</v>
      </c>
      <c r="CK74" s="124">
        <v>-5.2534689609775</v>
      </c>
      <c r="CL74" s="124">
        <v>-2.4773156007609112</v>
      </c>
      <c r="CM74" s="124">
        <v>-2.4734634568614016E-11</v>
      </c>
      <c r="CN74" s="124">
        <v>0</v>
      </c>
      <c r="CO74" s="124">
        <v>0</v>
      </c>
      <c r="CP74" s="124">
        <v>0</v>
      </c>
      <c r="CQ74" s="124">
        <v>0</v>
      </c>
      <c r="CR74" s="124">
        <v>0</v>
      </c>
      <c r="CS74" s="124">
        <v>0</v>
      </c>
      <c r="CT74" s="124">
        <v>0</v>
      </c>
      <c r="CU74" s="124">
        <v>0</v>
      </c>
      <c r="CV74" s="124">
        <v>0</v>
      </c>
      <c r="CW74" s="124">
        <v>0</v>
      </c>
      <c r="CX74" s="124">
        <v>0</v>
      </c>
      <c r="CY74" s="124">
        <v>0</v>
      </c>
      <c r="CZ74" s="124">
        <v>0</v>
      </c>
      <c r="DA74" s="124">
        <v>0</v>
      </c>
    </row>
    <row r="75" spans="3:105" x14ac:dyDescent="0.3">
      <c r="C75" s="136" t="s">
        <v>101</v>
      </c>
      <c r="F75" s="124">
        <v>-65528.979798451925</v>
      </c>
      <c r="G75" s="124">
        <v>-312946.40971823758</v>
      </c>
      <c r="H75" s="124">
        <v>-570174.39569712139</v>
      </c>
      <c r="I75" s="124">
        <v>-829372.89282026608</v>
      </c>
      <c r="J75" s="124">
        <v>-1168643.3650018084</v>
      </c>
      <c r="K75" s="124">
        <v>-1499992.7790942206</v>
      </c>
      <c r="L75" s="124">
        <v>-1859961.7187532929</v>
      </c>
      <c r="M75" s="124">
        <v>-2264802.7552275844</v>
      </c>
      <c r="N75" s="124">
        <v>-2728343.9557842435</v>
      </c>
      <c r="O75" s="124">
        <v>-3276709.5730160223</v>
      </c>
      <c r="P75" s="124">
        <v>-2786216.6133093745</v>
      </c>
      <c r="Q75" s="124">
        <v>-2517168.9367004083</v>
      </c>
      <c r="R75" s="124">
        <v>-2357287.3042462431</v>
      </c>
      <c r="S75" s="124">
        <v>-2216261.0592079279</v>
      </c>
      <c r="T75" s="124">
        <v>-2122784.4604051965</v>
      </c>
      <c r="U75" s="124">
        <v>-1996801.6168196651</v>
      </c>
      <c r="V75" s="124">
        <v>-1866470.5689306597</v>
      </c>
      <c r="W75" s="124">
        <v>-1738993.7632060812</v>
      </c>
      <c r="X75" s="124">
        <v>-1608153.8244441019</v>
      </c>
      <c r="Y75" s="124">
        <v>-1519386.9251365701</v>
      </c>
      <c r="Z75" s="124">
        <v>-1421298.6572470577</v>
      </c>
      <c r="AA75" s="124">
        <v>-1342828.3054438781</v>
      </c>
      <c r="AB75" s="124">
        <v>-1277140.9896540982</v>
      </c>
      <c r="AC75" s="124">
        <v>-1223812.654483374</v>
      </c>
      <c r="AD75" s="124">
        <v>-1158660.7565907268</v>
      </c>
      <c r="AE75" s="124">
        <v>-1113726.861111155</v>
      </c>
      <c r="AF75" s="124">
        <v>-1077382.2459739591</v>
      </c>
      <c r="AG75" s="124">
        <v>-1046119.4449596269</v>
      </c>
      <c r="AH75" s="124">
        <v>-1024726.4662477865</v>
      </c>
      <c r="AI75" s="124">
        <v>-982473.3886998659</v>
      </c>
      <c r="AJ75" s="124">
        <v>-989037.1252427916</v>
      </c>
      <c r="AK75" s="124">
        <v>-1004112.87689141</v>
      </c>
      <c r="AL75" s="124">
        <v>-1018737.586018483</v>
      </c>
      <c r="AM75" s="124">
        <v>-1035710.2510258903</v>
      </c>
      <c r="AN75" s="124">
        <v>-1024228.2588566061</v>
      </c>
      <c r="AO75" s="124">
        <v>-1039732.8590834133</v>
      </c>
      <c r="AP75" s="124">
        <v>-1044190.3284431043</v>
      </c>
      <c r="AQ75" s="124">
        <v>-1043245.7059326142</v>
      </c>
      <c r="AR75" s="124">
        <v>-1040008.3296452503</v>
      </c>
      <c r="AS75" s="124">
        <v>-1014372.3998018</v>
      </c>
      <c r="AT75" s="124">
        <v>-1001439.8372164791</v>
      </c>
      <c r="AU75" s="124">
        <v>-983255.83397115709</v>
      </c>
      <c r="AV75" s="124">
        <v>-956496.22894055338</v>
      </c>
      <c r="AW75" s="124">
        <v>-923283.8022298289</v>
      </c>
      <c r="AX75" s="124">
        <v>-872312.8926927034</v>
      </c>
      <c r="AY75" s="124">
        <v>-827218.9620154018</v>
      </c>
      <c r="AZ75" s="124">
        <v>-777578.55272903375</v>
      </c>
      <c r="BA75" s="124">
        <v>-725489.81555908744</v>
      </c>
      <c r="BB75" s="124">
        <v>-672979.93939402397</v>
      </c>
      <c r="BC75" s="124">
        <v>-615071.67249603232</v>
      </c>
      <c r="BD75" s="124">
        <v>-563994.82864569069</v>
      </c>
      <c r="BE75" s="124">
        <v>-516224.04891032306</v>
      </c>
      <c r="BF75" s="124">
        <v>-470572.40971247514</v>
      </c>
      <c r="BG75" s="124">
        <v>-426942.66946117871</v>
      </c>
      <c r="BH75" s="124">
        <v>-382467.52394247416</v>
      </c>
      <c r="BI75" s="124">
        <v>-343238.66087772499</v>
      </c>
      <c r="BJ75" s="124">
        <v>-304976.54616520234</v>
      </c>
      <c r="BK75" s="124">
        <v>-269071.7643789734</v>
      </c>
      <c r="BL75" s="124">
        <v>-236176.68952612413</v>
      </c>
      <c r="BM75" s="124">
        <v>-205440.04718337089</v>
      </c>
      <c r="BN75" s="124">
        <v>-179145.5628682379</v>
      </c>
      <c r="BO75" s="124">
        <v>-153725.22816330701</v>
      </c>
      <c r="BP75" s="124">
        <v>-129980.93046475024</v>
      </c>
      <c r="BQ75" s="124">
        <v>-108207.65829737928</v>
      </c>
      <c r="BR75" s="124">
        <v>-88372.051104123355</v>
      </c>
      <c r="BS75" s="124">
        <v>-72362.563894663035</v>
      </c>
      <c r="BT75" s="124">
        <v>-56803.363615568174</v>
      </c>
      <c r="BU75" s="124">
        <v>-43075.199241323622</v>
      </c>
      <c r="BV75" s="124">
        <v>-31455.675889970404</v>
      </c>
      <c r="BW75" s="124">
        <v>-22065.793642465014</v>
      </c>
      <c r="BX75" s="124">
        <v>-15635.789578896476</v>
      </c>
      <c r="BY75" s="124">
        <v>-10223.313689011669</v>
      </c>
      <c r="BZ75" s="124">
        <v>-6383.8309027743317</v>
      </c>
      <c r="CA75" s="124">
        <v>-3759.0813541552416</v>
      </c>
      <c r="CB75" s="124">
        <v>-2166.0325009250487</v>
      </c>
      <c r="CC75" s="124">
        <v>-1745.5923233480503</v>
      </c>
      <c r="CD75" s="124">
        <v>-1197.4503728274804</v>
      </c>
      <c r="CE75" s="124">
        <v>-770.29658009763034</v>
      </c>
      <c r="CF75" s="124">
        <v>-433.97651204478711</v>
      </c>
      <c r="CG75" s="124">
        <v>-175.69191173381014</v>
      </c>
      <c r="CH75" s="124">
        <v>-132.80643591377509</v>
      </c>
      <c r="CI75" s="124">
        <v>19.983148357798896</v>
      </c>
      <c r="CJ75" s="124">
        <v>50.616657101979939</v>
      </c>
      <c r="CK75" s="124">
        <v>50.148494884855836</v>
      </c>
      <c r="CL75" s="124">
        <v>42.539636980504525</v>
      </c>
      <c r="CM75" s="124">
        <v>0</v>
      </c>
      <c r="CN75" s="124">
        <v>0</v>
      </c>
      <c r="CO75" s="124">
        <v>0</v>
      </c>
      <c r="CP75" s="124">
        <v>0</v>
      </c>
      <c r="CQ75" s="124">
        <v>0</v>
      </c>
      <c r="CR75" s="124">
        <v>0</v>
      </c>
      <c r="CS75" s="124">
        <v>0</v>
      </c>
      <c r="CT75" s="124">
        <v>0</v>
      </c>
      <c r="CU75" s="124">
        <v>0</v>
      </c>
      <c r="CV75" s="124">
        <v>0</v>
      </c>
      <c r="CW75" s="124">
        <v>0</v>
      </c>
      <c r="CX75" s="124">
        <v>0</v>
      </c>
      <c r="CY75" s="124">
        <v>0</v>
      </c>
      <c r="CZ75" s="124">
        <v>0</v>
      </c>
      <c r="DA75" s="124">
        <v>0</v>
      </c>
    </row>
    <row r="76" spans="3:105" x14ac:dyDescent="0.3">
      <c r="C76" s="138" t="s">
        <v>83</v>
      </c>
      <c r="D76" s="139"/>
      <c r="E76" s="141"/>
      <c r="F76" s="139">
        <v>335719.94377575273</v>
      </c>
      <c r="G76" s="139">
        <v>1681689.1390290051</v>
      </c>
      <c r="H76" s="139">
        <v>3352567.2374933842</v>
      </c>
      <c r="I76" s="139">
        <v>5232720.1695750831</v>
      </c>
      <c r="J76" s="139">
        <v>7644902.0285005374</v>
      </c>
      <c r="K76" s="139">
        <v>10202771.871263606</v>
      </c>
      <c r="L76" s="139">
        <v>12978779.224815778</v>
      </c>
      <c r="M76" s="139">
        <v>16052215.221824436</v>
      </c>
      <c r="N76" s="139">
        <v>19534846.942346156</v>
      </c>
      <c r="O76" s="139">
        <v>23577563.599712335</v>
      </c>
      <c r="P76" s="139">
        <v>22519556.892737556</v>
      </c>
      <c r="Q76" s="139">
        <v>21491771.652559601</v>
      </c>
      <c r="R76" s="139">
        <v>20493719.652375389</v>
      </c>
      <c r="S76" s="139">
        <v>19553648.536164671</v>
      </c>
      <c r="T76" s="139">
        <v>18642588.996488124</v>
      </c>
      <c r="U76" s="139">
        <v>17799325.265053231</v>
      </c>
      <c r="V76" s="139">
        <v>17033716.523766398</v>
      </c>
      <c r="W76" s="139">
        <v>16348089.894500732</v>
      </c>
      <c r="X76" s="139">
        <v>15750862.927625302</v>
      </c>
      <c r="Y76" s="139">
        <v>15205460.000138219</v>
      </c>
      <c r="Z76" s="139">
        <v>14724415.927375838</v>
      </c>
      <c r="AA76" s="139">
        <v>14292095.073309425</v>
      </c>
      <c r="AB76" s="139">
        <v>13898728.008362014</v>
      </c>
      <c r="AC76" s="139">
        <v>13534364.731026303</v>
      </c>
      <c r="AD76" s="139">
        <v>13212622.359497607</v>
      </c>
      <c r="AE76" s="139">
        <v>12915918.438952122</v>
      </c>
      <c r="AF76" s="139">
        <v>12637211.985598247</v>
      </c>
      <c r="AG76" s="139">
        <v>12372534.088052029</v>
      </c>
      <c r="AH76" s="139">
        <v>12112882.401901215</v>
      </c>
      <c r="AI76" s="139">
        <v>11879427.829667555</v>
      </c>
      <c r="AJ76" s="139">
        <v>11624973.49635295</v>
      </c>
      <c r="AK76" s="139">
        <v>11339708.834159354</v>
      </c>
      <c r="AL76" s="139">
        <v>11022179.681275766</v>
      </c>
      <c r="AM76" s="139">
        <v>10668042.957142571</v>
      </c>
      <c r="AN76" s="139">
        <v>10303489.633153265</v>
      </c>
      <c r="AO76" s="139">
        <v>9900888.9903499801</v>
      </c>
      <c r="AP76" s="139">
        <v>9468935.4447990861</v>
      </c>
      <c r="AQ76" s="139">
        <v>9011216.0062338114</v>
      </c>
      <c r="AR76" s="139">
        <v>8528430.1545883119</v>
      </c>
      <c r="AS76" s="139">
        <v>8041426.4229995618</v>
      </c>
      <c r="AT76" s="139">
        <v>7537240.6250799801</v>
      </c>
      <c r="AU76" s="139">
        <v>7020061.7218451519</v>
      </c>
      <c r="AV76" s="139">
        <v>6497661.8663187707</v>
      </c>
      <c r="AW76" s="139">
        <v>5976171.0345215714</v>
      </c>
      <c r="AX76" s="139">
        <v>5473403.9201680832</v>
      </c>
      <c r="AY76" s="139">
        <v>4984641.3544237046</v>
      </c>
      <c r="AZ76" s="139">
        <v>4515295.808819416</v>
      </c>
      <c r="BA76" s="139">
        <v>4069016.292708457</v>
      </c>
      <c r="BB76" s="139">
        <v>3647650.2686923305</v>
      </c>
      <c r="BC76" s="139">
        <v>3258136.6918174848</v>
      </c>
      <c r="BD76" s="139">
        <v>2895613.7843665141</v>
      </c>
      <c r="BE76" s="139">
        <v>2558444.4920105515</v>
      </c>
      <c r="BF76" s="139">
        <v>2246077.4542120062</v>
      </c>
      <c r="BG76" s="139">
        <v>1958024.457792694</v>
      </c>
      <c r="BH76" s="139">
        <v>1696634.4043714721</v>
      </c>
      <c r="BI76" s="139">
        <v>1458309.7558101229</v>
      </c>
      <c r="BJ76" s="139">
        <v>1243510.048737627</v>
      </c>
      <c r="BK76" s="139">
        <v>1051332.6513670413</v>
      </c>
      <c r="BL76" s="139">
        <v>880166.74227183149</v>
      </c>
      <c r="BM76" s="139">
        <v>729153.16681462969</v>
      </c>
      <c r="BN76" s="139">
        <v>595095.91768482223</v>
      </c>
      <c r="BO76" s="139">
        <v>478169.36593438691</v>
      </c>
      <c r="BP76" s="139">
        <v>377756.77772280423</v>
      </c>
      <c r="BQ76" s="139">
        <v>292908.29399390647</v>
      </c>
      <c r="BR76" s="139">
        <v>222648.68024485934</v>
      </c>
      <c r="BS76" s="139">
        <v>164053.94182942028</v>
      </c>
      <c r="BT76" s="139">
        <v>117395.1074237377</v>
      </c>
      <c r="BU76" s="139">
        <v>81579.216206823068</v>
      </c>
      <c r="BV76" s="139">
        <v>55168.117316964162</v>
      </c>
      <c r="BW76" s="139">
        <v>36513.729528794385</v>
      </c>
      <c r="BX76" s="139">
        <v>23135.822885456164</v>
      </c>
      <c r="BY76" s="139">
        <v>14343.148585172185</v>
      </c>
      <c r="BZ76" s="139">
        <v>8846.2484574980499</v>
      </c>
      <c r="CA76" s="139">
        <v>5634.1885578436541</v>
      </c>
      <c r="CB76" s="139">
        <v>3816.5548199290547</v>
      </c>
      <c r="CC76" s="139">
        <v>2306.9650663557286</v>
      </c>
      <c r="CD76" s="139">
        <v>1252.1694462311316</v>
      </c>
      <c r="CE76" s="139">
        <v>559.3027003766349</v>
      </c>
      <c r="CF76" s="139">
        <v>159.91153579504487</v>
      </c>
      <c r="CG76" s="139">
        <v>-5.891998814259801</v>
      </c>
      <c r="CH76" s="139">
        <v>-139.06277558907311</v>
      </c>
      <c r="CI76" s="139">
        <v>-127.67878902646621</v>
      </c>
      <c r="CJ76" s="139">
        <v>-84.957347304698985</v>
      </c>
      <c r="CK76" s="139">
        <v>-40.062321380505949</v>
      </c>
      <c r="CL76" s="139">
        <v>-4.0000025794571637E-10</v>
      </c>
      <c r="CM76" s="139">
        <v>0</v>
      </c>
      <c r="CN76" s="139">
        <v>0</v>
      </c>
      <c r="CO76" s="139">
        <v>0</v>
      </c>
      <c r="CP76" s="139">
        <v>0</v>
      </c>
      <c r="CQ76" s="139">
        <v>0</v>
      </c>
      <c r="CR76" s="139">
        <v>0</v>
      </c>
      <c r="CS76" s="139">
        <v>0</v>
      </c>
      <c r="CT76" s="139">
        <v>0</v>
      </c>
      <c r="CU76" s="139">
        <v>0</v>
      </c>
      <c r="CV76" s="139">
        <v>0</v>
      </c>
      <c r="CW76" s="139">
        <v>0</v>
      </c>
      <c r="CX76" s="139">
        <v>0</v>
      </c>
      <c r="CY76" s="139">
        <v>0</v>
      </c>
      <c r="CZ76" s="139">
        <v>0</v>
      </c>
      <c r="DA76" s="139">
        <v>0</v>
      </c>
    </row>
    <row r="78" spans="3:105" x14ac:dyDescent="0.3">
      <c r="C78" s="131" t="s">
        <v>102</v>
      </c>
    </row>
    <row r="79" spans="3:105" x14ac:dyDescent="0.3">
      <c r="C79" s="133" t="s">
        <v>95</v>
      </c>
      <c r="D79" s="134"/>
      <c r="E79" s="143"/>
      <c r="F79" s="134">
        <v>0</v>
      </c>
      <c r="G79" s="134">
        <v>1763103.3513449207</v>
      </c>
      <c r="H79" s="134">
        <v>8800293.7819132637</v>
      </c>
      <c r="I79" s="134">
        <v>17408599.038146801</v>
      </c>
      <c r="J79" s="134">
        <v>26920367.937748779</v>
      </c>
      <c r="K79" s="134">
        <v>38981394.361309357</v>
      </c>
      <c r="L79" s="134">
        <v>51487947.422797479</v>
      </c>
      <c r="M79" s="134">
        <v>64836686.000939801</v>
      </c>
      <c r="N79" s="134">
        <v>79432872.223940462</v>
      </c>
      <c r="O79" s="134">
        <v>95826837.040390298</v>
      </c>
      <c r="P79" s="134">
        <v>114782925.65514523</v>
      </c>
      <c r="Q79" s="134">
        <v>106488903.15941352</v>
      </c>
      <c r="R79" s="134">
        <v>98377751.527530447</v>
      </c>
      <c r="S79" s="134">
        <v>90562908.468177736</v>
      </c>
      <c r="T79" s="134">
        <v>83216356.547389075</v>
      </c>
      <c r="U79" s="134">
        <v>76398400.409934372</v>
      </c>
      <c r="V79" s="134">
        <v>70037003.627238512</v>
      </c>
      <c r="W79" s="134">
        <v>64125194.155829877</v>
      </c>
      <c r="X79" s="134">
        <v>58656141.069128707</v>
      </c>
      <c r="Y79" s="134">
        <v>53626400.942702688</v>
      </c>
      <c r="Z79" s="134">
        <v>49037983.034421921</v>
      </c>
      <c r="AA79" s="134">
        <v>44748092.451853611</v>
      </c>
      <c r="AB79" s="134">
        <v>40757893.310144544</v>
      </c>
      <c r="AC79" s="134">
        <v>37058463.414971597</v>
      </c>
      <c r="AD79" s="134">
        <v>33638748.170574896</v>
      </c>
      <c r="AE79" s="134">
        <v>30493349.10510911</v>
      </c>
      <c r="AF79" s="134">
        <v>27610683.910624675</v>
      </c>
      <c r="AG79" s="134">
        <v>24980951.388856735</v>
      </c>
      <c r="AH79" s="134">
        <v>22597596.551589713</v>
      </c>
      <c r="AI79" s="134">
        <v>20456759.673723802</v>
      </c>
      <c r="AJ79" s="134">
        <v>18558537.992684372</v>
      </c>
      <c r="AK79" s="134">
        <v>16806757.663389504</v>
      </c>
      <c r="AL79" s="134">
        <v>15190428.695928546</v>
      </c>
      <c r="AM79" s="134">
        <v>13700725.256394584</v>
      </c>
      <c r="AN79" s="134">
        <v>12329595.425238961</v>
      </c>
      <c r="AO79" s="134">
        <v>11069585.495109959</v>
      </c>
      <c r="AP79" s="134">
        <v>9913694.2694824785</v>
      </c>
      <c r="AQ79" s="134">
        <v>8853897.7230840698</v>
      </c>
      <c r="AR79" s="134">
        <v>7884408.6849273611</v>
      </c>
      <c r="AS79" s="134">
        <v>6999470.1893299352</v>
      </c>
      <c r="AT79" s="134">
        <v>6193504.1581964977</v>
      </c>
      <c r="AU79" s="134">
        <v>5461202.518378688</v>
      </c>
      <c r="AV79" s="134">
        <v>4797485.0576556716</v>
      </c>
      <c r="AW79" s="134">
        <v>4197825.3086137855</v>
      </c>
      <c r="AX79" s="134">
        <v>3657952.189471696</v>
      </c>
      <c r="AY79" s="134">
        <v>3173787.3170070704</v>
      </c>
      <c r="AZ79" s="134">
        <v>2741403.6188097275</v>
      </c>
      <c r="BA79" s="134">
        <v>2356495.8057504161</v>
      </c>
      <c r="BB79" s="134">
        <v>2015488.4977484141</v>
      </c>
      <c r="BC79" s="134">
        <v>1714818.4368976268</v>
      </c>
      <c r="BD79" s="134">
        <v>1451006.437158403</v>
      </c>
      <c r="BE79" s="134">
        <v>1220710.4224357938</v>
      </c>
      <c r="BF79" s="134">
        <v>1020737.9762585928</v>
      </c>
      <c r="BG79" s="134">
        <v>848091.735983202</v>
      </c>
      <c r="BH79" s="134">
        <v>699951.66179842164</v>
      </c>
      <c r="BI79" s="134">
        <v>573678.33034863847</v>
      </c>
      <c r="BJ79" s="134">
        <v>466816.2158155035</v>
      </c>
      <c r="BK79" s="134">
        <v>376934.11632482987</v>
      </c>
      <c r="BL79" s="134">
        <v>301952.07956783404</v>
      </c>
      <c r="BM79" s="134">
        <v>239915.47806185775</v>
      </c>
      <c r="BN79" s="134">
        <v>189016.35625143332</v>
      </c>
      <c r="BO79" s="134">
        <v>147608.8522370955</v>
      </c>
      <c r="BP79" s="134">
        <v>114178.12739369994</v>
      </c>
      <c r="BQ79" s="134">
        <v>87433.636897803808</v>
      </c>
      <c r="BR79" s="134">
        <v>66234.43364575156</v>
      </c>
      <c r="BS79" s="134">
        <v>49591.265399396427</v>
      </c>
      <c r="BT79" s="134">
        <v>36662.211307761318</v>
      </c>
      <c r="BU79" s="134">
        <v>26695.548012278065</v>
      </c>
      <c r="BV79" s="134">
        <v>19117.84476319631</v>
      </c>
      <c r="BW79" s="134">
        <v>13448.145220634551</v>
      </c>
      <c r="BX79" s="134">
        <v>9285.2812581023445</v>
      </c>
      <c r="BY79" s="134">
        <v>6297.3956983255139</v>
      </c>
      <c r="BZ79" s="134">
        <v>4165.8015917295725</v>
      </c>
      <c r="CA79" s="134">
        <v>2685.135925999708</v>
      </c>
      <c r="CB79" s="134">
        <v>1685.7564945210713</v>
      </c>
      <c r="CC79" s="134">
        <v>1032.1372545468903</v>
      </c>
      <c r="CD79" s="134">
        <v>619.90460050392198</v>
      </c>
      <c r="CE79" s="134">
        <v>359.18148810926965</v>
      </c>
      <c r="CF79" s="134">
        <v>199.14974288880083</v>
      </c>
      <c r="CG79" s="134">
        <v>104.98329279535413</v>
      </c>
      <c r="CH79" s="134">
        <v>53.54362833556722</v>
      </c>
      <c r="CI79" s="134">
        <v>30.004406979990804</v>
      </c>
      <c r="CJ79" s="134">
        <v>15.250862516228192</v>
      </c>
      <c r="CK79" s="134">
        <v>6.5323828461536131</v>
      </c>
      <c r="CL79" s="134">
        <v>1.8928374653384386</v>
      </c>
      <c r="CM79" s="134">
        <v>0</v>
      </c>
      <c r="CN79" s="134">
        <v>0</v>
      </c>
      <c r="CO79" s="134">
        <v>0</v>
      </c>
      <c r="CP79" s="134">
        <v>0</v>
      </c>
      <c r="CQ79" s="134">
        <v>0</v>
      </c>
      <c r="CR79" s="134">
        <v>0</v>
      </c>
      <c r="CS79" s="134">
        <v>0</v>
      </c>
      <c r="CT79" s="134">
        <v>0</v>
      </c>
      <c r="CU79" s="134">
        <v>0</v>
      </c>
      <c r="CV79" s="134">
        <v>0</v>
      </c>
      <c r="CW79" s="134">
        <v>0</v>
      </c>
      <c r="CX79" s="134">
        <v>0</v>
      </c>
      <c r="CY79" s="134">
        <v>0</v>
      </c>
      <c r="CZ79" s="134">
        <v>0</v>
      </c>
      <c r="DA79" s="134">
        <v>0</v>
      </c>
    </row>
    <row r="80" spans="3:105" x14ac:dyDescent="0.3">
      <c r="C80" s="136" t="s">
        <v>96</v>
      </c>
      <c r="F80" s="124">
        <v>1971659.7855470956</v>
      </c>
      <c r="G80" s="124">
        <v>7986895.4437405691</v>
      </c>
      <c r="H80" s="124">
        <v>10223226.167987922</v>
      </c>
      <c r="I80" s="124">
        <v>11866244.659271693</v>
      </c>
      <c r="J80" s="124">
        <v>15471757.459588867</v>
      </c>
      <c r="K80" s="124">
        <v>16932218.34073</v>
      </c>
      <c r="L80" s="124">
        <v>18894712.64976339</v>
      </c>
      <c r="M80" s="124">
        <v>21404879.78922471</v>
      </c>
      <c r="N80" s="124">
        <v>24645277.369256604</v>
      </c>
      <c r="O80" s="124">
        <v>28889741.805073012</v>
      </c>
      <c r="P80" s="124">
        <v>0</v>
      </c>
      <c r="Q80" s="124">
        <v>0</v>
      </c>
      <c r="R80" s="124">
        <v>0</v>
      </c>
      <c r="S80" s="124">
        <v>0</v>
      </c>
      <c r="T80" s="124">
        <v>0</v>
      </c>
      <c r="U80" s="124">
        <v>0</v>
      </c>
      <c r="V80" s="124">
        <v>0</v>
      </c>
      <c r="W80" s="124">
        <v>0</v>
      </c>
      <c r="X80" s="124">
        <v>0</v>
      </c>
      <c r="Y80" s="124">
        <v>0</v>
      </c>
      <c r="Z80" s="124">
        <v>0</v>
      </c>
      <c r="AA80" s="124">
        <v>0</v>
      </c>
      <c r="AB80" s="124">
        <v>0</v>
      </c>
      <c r="AC80" s="124">
        <v>0</v>
      </c>
      <c r="AD80" s="124">
        <v>0</v>
      </c>
      <c r="AE80" s="124">
        <v>0</v>
      </c>
      <c r="AF80" s="124">
        <v>0</v>
      </c>
      <c r="AG80" s="124">
        <v>0</v>
      </c>
      <c r="AH80" s="124">
        <v>0</v>
      </c>
      <c r="AI80" s="124">
        <v>0</v>
      </c>
      <c r="AJ80" s="124">
        <v>0</v>
      </c>
      <c r="AK80" s="124">
        <v>0</v>
      </c>
      <c r="AL80" s="124">
        <v>0</v>
      </c>
      <c r="AM80" s="124">
        <v>0</v>
      </c>
      <c r="AN80" s="124">
        <v>0</v>
      </c>
      <c r="AO80" s="124">
        <v>0</v>
      </c>
      <c r="AP80" s="124">
        <v>0</v>
      </c>
      <c r="AQ80" s="124">
        <v>0</v>
      </c>
      <c r="AR80" s="124">
        <v>0</v>
      </c>
      <c r="AS80" s="124">
        <v>0</v>
      </c>
      <c r="AT80" s="124">
        <v>0</v>
      </c>
      <c r="AU80" s="124">
        <v>0</v>
      </c>
      <c r="AV80" s="124">
        <v>0</v>
      </c>
      <c r="AW80" s="124">
        <v>0</v>
      </c>
      <c r="AX80" s="124">
        <v>0</v>
      </c>
      <c r="AY80" s="124">
        <v>0</v>
      </c>
      <c r="AZ80" s="124">
        <v>0</v>
      </c>
      <c r="BA80" s="124">
        <v>0</v>
      </c>
      <c r="BB80" s="124">
        <v>0</v>
      </c>
      <c r="BC80" s="124">
        <v>0</v>
      </c>
      <c r="BD80" s="124">
        <v>0</v>
      </c>
      <c r="BE80" s="124">
        <v>0</v>
      </c>
      <c r="BF80" s="124">
        <v>0</v>
      </c>
      <c r="BG80" s="124">
        <v>0</v>
      </c>
      <c r="BH80" s="124">
        <v>0</v>
      </c>
      <c r="BI80" s="124">
        <v>0</v>
      </c>
      <c r="BJ80" s="124">
        <v>0</v>
      </c>
      <c r="BK80" s="124">
        <v>0</v>
      </c>
      <c r="BL80" s="124">
        <v>0</v>
      </c>
      <c r="BM80" s="124">
        <v>0</v>
      </c>
      <c r="BN80" s="124">
        <v>0</v>
      </c>
      <c r="BO80" s="124">
        <v>0</v>
      </c>
      <c r="BP80" s="124">
        <v>0</v>
      </c>
      <c r="BQ80" s="124">
        <v>0</v>
      </c>
      <c r="BR80" s="124">
        <v>0</v>
      </c>
      <c r="BS80" s="124">
        <v>0</v>
      </c>
      <c r="BT80" s="124">
        <v>0</v>
      </c>
      <c r="BU80" s="124">
        <v>0</v>
      </c>
      <c r="BV80" s="124">
        <v>0</v>
      </c>
      <c r="BW80" s="124">
        <v>0</v>
      </c>
      <c r="BX80" s="124">
        <v>0</v>
      </c>
      <c r="BY80" s="124">
        <v>0</v>
      </c>
      <c r="BZ80" s="124">
        <v>0</v>
      </c>
      <c r="CA80" s="124">
        <v>0</v>
      </c>
      <c r="CB80" s="124">
        <v>0</v>
      </c>
      <c r="CC80" s="124">
        <v>0</v>
      </c>
      <c r="CD80" s="124">
        <v>0</v>
      </c>
      <c r="CE80" s="124">
        <v>0</v>
      </c>
      <c r="CF80" s="124">
        <v>0</v>
      </c>
      <c r="CG80" s="124">
        <v>0</v>
      </c>
      <c r="CH80" s="124">
        <v>0</v>
      </c>
      <c r="CI80" s="124">
        <v>0</v>
      </c>
      <c r="CJ80" s="124">
        <v>0</v>
      </c>
      <c r="CK80" s="124">
        <v>0</v>
      </c>
      <c r="CL80" s="124">
        <v>0</v>
      </c>
      <c r="CM80" s="124">
        <v>0</v>
      </c>
      <c r="CN80" s="124">
        <v>0</v>
      </c>
      <c r="CO80" s="124">
        <v>0</v>
      </c>
      <c r="CP80" s="124">
        <v>0</v>
      </c>
      <c r="CQ80" s="124">
        <v>0</v>
      </c>
      <c r="CR80" s="124">
        <v>0</v>
      </c>
      <c r="CS80" s="124">
        <v>0</v>
      </c>
      <c r="CT80" s="124">
        <v>0</v>
      </c>
      <c r="CU80" s="124">
        <v>0</v>
      </c>
      <c r="CV80" s="124">
        <v>0</v>
      </c>
      <c r="CW80" s="124">
        <v>0</v>
      </c>
      <c r="CX80" s="124">
        <v>0</v>
      </c>
      <c r="CY80" s="124">
        <v>0</v>
      </c>
      <c r="CZ80" s="124">
        <v>0</v>
      </c>
      <c r="DA80" s="124">
        <v>0</v>
      </c>
    </row>
    <row r="81" spans="3:105" x14ac:dyDescent="0.3">
      <c r="C81" s="136" t="s">
        <v>99</v>
      </c>
      <c r="F81" s="124">
        <v>168754.91439458739</v>
      </c>
      <c r="G81" s="124">
        <v>859692.80498380726</v>
      </c>
      <c r="H81" s="124">
        <v>1715804.7518183356</v>
      </c>
      <c r="I81" s="124">
        <v>2548626.7032844899</v>
      </c>
      <c r="J81" s="124">
        <v>3555431.6712364731</v>
      </c>
      <c r="K81" s="124">
        <v>4585881.5083000194</v>
      </c>
      <c r="L81" s="124">
        <v>5633553.4824328916</v>
      </c>
      <c r="M81" s="124">
        <v>6776376.3695720984</v>
      </c>
      <c r="N81" s="124">
        <v>8077198.4048480596</v>
      </c>
      <c r="O81" s="124">
        <v>9606947.5871813856</v>
      </c>
      <c r="P81" s="124">
        <v>8504734.0830744468</v>
      </c>
      <c r="Q81" s="124">
        <v>7079251.5816420009</v>
      </c>
      <c r="R81" s="124">
        <v>6233713.5767154377</v>
      </c>
      <c r="S81" s="124">
        <v>5643078.5548570473</v>
      </c>
      <c r="T81" s="124">
        <v>5157834.8274338031</v>
      </c>
      <c r="U81" s="124">
        <v>4727557.5205272362</v>
      </c>
      <c r="V81" s="124">
        <v>4331772.8606938049</v>
      </c>
      <c r="W81" s="124">
        <v>3965536.4280136321</v>
      </c>
      <c r="X81" s="124">
        <v>3627163.6922359159</v>
      </c>
      <c r="Y81" s="124">
        <v>3316090.8382424619</v>
      </c>
      <c r="Z81" s="124">
        <v>3032344.8894491205</v>
      </c>
      <c r="AA81" s="124">
        <v>2767068.9848854006</v>
      </c>
      <c r="AB81" s="124">
        <v>2520327.7756625367</v>
      </c>
      <c r="AC81" s="124">
        <v>2291567.5103518106</v>
      </c>
      <c r="AD81" s="124">
        <v>2080104.0478554741</v>
      </c>
      <c r="AE81" s="124">
        <v>1885603.409717069</v>
      </c>
      <c r="AF81" s="124">
        <v>1707349.3430975468</v>
      </c>
      <c r="AG81" s="124">
        <v>1544735.7639331038</v>
      </c>
      <c r="AH81" s="124">
        <v>1397357.3311463401</v>
      </c>
      <c r="AI81" s="124">
        <v>1264975.3717777783</v>
      </c>
      <c r="AJ81" s="124">
        <v>1147595.8984111594</v>
      </c>
      <c r="AK81" s="124">
        <v>1039271.8525322424</v>
      </c>
      <c r="AL81" s="124">
        <v>939323.65110069839</v>
      </c>
      <c r="AM81" s="124">
        <v>847205.53502248763</v>
      </c>
      <c r="AN81" s="124">
        <v>762419.60139831575</v>
      </c>
      <c r="AO81" s="124">
        <v>684504.93870621931</v>
      </c>
      <c r="AP81" s="124">
        <v>613028.61713132239</v>
      </c>
      <c r="AQ81" s="124">
        <v>547494.45866134402</v>
      </c>
      <c r="AR81" s="124">
        <v>487544.6046281443</v>
      </c>
      <c r="AS81" s="124">
        <v>432823.06415535632</v>
      </c>
      <c r="AT81" s="124">
        <v>382984.90815719735</v>
      </c>
      <c r="AU81" s="124">
        <v>337701.9037213563</v>
      </c>
      <c r="AV81" s="124">
        <v>296659.90806839074</v>
      </c>
      <c r="AW81" s="124">
        <v>259579.02008538524</v>
      </c>
      <c r="AX81" s="124">
        <v>226195.1308249638</v>
      </c>
      <c r="AY81" s="124">
        <v>196256.0471531782</v>
      </c>
      <c r="AZ81" s="124">
        <v>169518.93247414462</v>
      </c>
      <c r="BA81" s="124">
        <v>145717.56257623123</v>
      </c>
      <c r="BB81" s="124">
        <v>124630.84830265617</v>
      </c>
      <c r="BC81" s="124">
        <v>106038.45009006116</v>
      </c>
      <c r="BD81" s="124">
        <v>89725.22708896306</v>
      </c>
      <c r="BE81" s="124">
        <v>75484.516855356604</v>
      </c>
      <c r="BF81" s="124">
        <v>63118.911379531084</v>
      </c>
      <c r="BG81" s="124">
        <v>52443.064106861071</v>
      </c>
      <c r="BH81" s="124">
        <v>43282.593514300286</v>
      </c>
      <c r="BI81" s="124">
        <v>35474.286776668567</v>
      </c>
      <c r="BJ81" s="124">
        <v>28866.302657404492</v>
      </c>
      <c r="BK81" s="124">
        <v>23308.304028654482</v>
      </c>
      <c r="BL81" s="124">
        <v>18671.673822664285</v>
      </c>
      <c r="BM81" s="124">
        <v>14835.544626123754</v>
      </c>
      <c r="BN81" s="124">
        <v>11688.118711175919</v>
      </c>
      <c r="BO81" s="124">
        <v>9127.6216618664912</v>
      </c>
      <c r="BP81" s="124">
        <v>7060.3810890426612</v>
      </c>
      <c r="BQ81" s="124">
        <v>5406.5941576611649</v>
      </c>
      <c r="BR81" s="124">
        <v>4095.7086390410213</v>
      </c>
      <c r="BS81" s="124">
        <v>3066.5525911129512</v>
      </c>
      <c r="BT81" s="124">
        <v>2267.0645359881719</v>
      </c>
      <c r="BU81" s="124">
        <v>1650.760497215168</v>
      </c>
      <c r="BV81" s="124">
        <v>1182.1814975463801</v>
      </c>
      <c r="BW81" s="124">
        <v>831.58685788454159</v>
      </c>
      <c r="BX81" s="124">
        <v>574.16972670340658</v>
      </c>
      <c r="BY81" s="124">
        <v>389.4092022140498</v>
      </c>
      <c r="BZ81" s="124">
        <v>257.59878402570706</v>
      </c>
      <c r="CA81" s="124">
        <v>166.03953266869479</v>
      </c>
      <c r="CB81" s="124">
        <v>104.24135993759779</v>
      </c>
      <c r="CC81" s="124">
        <v>63.823803381990274</v>
      </c>
      <c r="CD81" s="124">
        <v>38.332759682743898</v>
      </c>
      <c r="CE81" s="124">
        <v>22.210542807700261</v>
      </c>
      <c r="CF81" s="124">
        <v>12.314732345639047</v>
      </c>
      <c r="CG81" s="124">
        <v>6.491804271424841</v>
      </c>
      <c r="CH81" s="124">
        <v>3.3109530657798643</v>
      </c>
      <c r="CI81" s="124">
        <v>1.8553689087841876</v>
      </c>
      <c r="CJ81" s="124">
        <v>0.9430606698416617</v>
      </c>
      <c r="CK81" s="124">
        <v>0.40393999591830165</v>
      </c>
      <c r="CL81" s="124">
        <v>0.11704653202820553</v>
      </c>
      <c r="CM81" s="124">
        <v>0</v>
      </c>
      <c r="CN81" s="124">
        <v>0</v>
      </c>
      <c r="CO81" s="124">
        <v>0</v>
      </c>
      <c r="CP81" s="124">
        <v>0</v>
      </c>
      <c r="CQ81" s="124">
        <v>0</v>
      </c>
      <c r="CR81" s="124">
        <v>0</v>
      </c>
      <c r="CS81" s="124">
        <v>0</v>
      </c>
      <c r="CT81" s="124">
        <v>0</v>
      </c>
      <c r="CU81" s="124">
        <v>0</v>
      </c>
      <c r="CV81" s="124">
        <v>0</v>
      </c>
      <c r="CW81" s="124">
        <v>0</v>
      </c>
      <c r="CX81" s="124">
        <v>0</v>
      </c>
      <c r="CY81" s="124">
        <v>0</v>
      </c>
      <c r="CZ81" s="124">
        <v>0</v>
      </c>
      <c r="DA81" s="124">
        <v>0</v>
      </c>
    </row>
    <row r="82" spans="3:105" x14ac:dyDescent="0.3">
      <c r="C82" s="136" t="s">
        <v>101</v>
      </c>
      <c r="F82" s="124">
        <v>-377311.34859676246</v>
      </c>
      <c r="G82" s="124">
        <v>-1809397.8181560261</v>
      </c>
      <c r="H82" s="124">
        <v>-3330725.6635727263</v>
      </c>
      <c r="I82" s="124">
        <v>-4903102.4629542064</v>
      </c>
      <c r="J82" s="124">
        <v>-6966162.7072647559</v>
      </c>
      <c r="K82" s="124">
        <v>-9011546.7875418831</v>
      </c>
      <c r="L82" s="124">
        <v>-11179527.554053945</v>
      </c>
      <c r="M82" s="124">
        <v>-13585069.935796227</v>
      </c>
      <c r="N82" s="124">
        <v>-16328510.957654824</v>
      </c>
      <c r="O82" s="124">
        <v>-19540600.7774994</v>
      </c>
      <c r="P82" s="124">
        <v>-16798756.578806151</v>
      </c>
      <c r="Q82" s="124">
        <v>-15190403.213525085</v>
      </c>
      <c r="R82" s="124">
        <v>-14048556.636068098</v>
      </c>
      <c r="S82" s="124">
        <v>-12989630.475645699</v>
      </c>
      <c r="T82" s="124">
        <v>-11975790.964888608</v>
      </c>
      <c r="U82" s="124">
        <v>-11088954.303223085</v>
      </c>
      <c r="V82" s="124">
        <v>-10243582.332102446</v>
      </c>
      <c r="W82" s="124">
        <v>-9434589.5147148278</v>
      </c>
      <c r="X82" s="124">
        <v>-8656903.8186618946</v>
      </c>
      <c r="Y82" s="124">
        <v>-7904508.7465232946</v>
      </c>
      <c r="Z82" s="124">
        <v>-7322235.4720173944</v>
      </c>
      <c r="AA82" s="124">
        <v>-6757268.1265944857</v>
      </c>
      <c r="AB82" s="124">
        <v>-6219757.6708354848</v>
      </c>
      <c r="AC82" s="124">
        <v>-5711282.7547484925</v>
      </c>
      <c r="AD82" s="124">
        <v>-5225503.1133212447</v>
      </c>
      <c r="AE82" s="124">
        <v>-4768268.6042015087</v>
      </c>
      <c r="AF82" s="124">
        <v>-4337081.8648654986</v>
      </c>
      <c r="AG82" s="124">
        <v>-3928090.6012001131</v>
      </c>
      <c r="AH82" s="124">
        <v>-3538194.2090122588</v>
      </c>
      <c r="AI82" s="124">
        <v>-3163197.0528172175</v>
      </c>
      <c r="AJ82" s="124">
        <v>-2899376.227706023</v>
      </c>
      <c r="AK82" s="124">
        <v>-2655600.8199932044</v>
      </c>
      <c r="AL82" s="124">
        <v>-2429027.0906346487</v>
      </c>
      <c r="AM82" s="124">
        <v>-2218335.3661781191</v>
      </c>
      <c r="AN82" s="124">
        <v>-2022429.5315273155</v>
      </c>
      <c r="AO82" s="124">
        <v>-1840396.1643336895</v>
      </c>
      <c r="AP82" s="124">
        <v>-1672825.1635297486</v>
      </c>
      <c r="AQ82" s="124">
        <v>-1516983.4968180493</v>
      </c>
      <c r="AR82" s="124">
        <v>-1372483.1002255674</v>
      </c>
      <c r="AS82" s="124">
        <v>-1238789.0952887891</v>
      </c>
      <c r="AT82" s="124">
        <v>-1115286.5479750086</v>
      </c>
      <c r="AU82" s="124">
        <v>-1001419.3644443767</v>
      </c>
      <c r="AV82" s="124">
        <v>-896319.65711027547</v>
      </c>
      <c r="AW82" s="124">
        <v>-799452.13922747562</v>
      </c>
      <c r="AX82" s="124">
        <v>-710360.00328958931</v>
      </c>
      <c r="AY82" s="124">
        <v>-628639.74535052385</v>
      </c>
      <c r="AZ82" s="124">
        <v>-554426.74553345772</v>
      </c>
      <c r="BA82" s="124">
        <v>-486724.87057823146</v>
      </c>
      <c r="BB82" s="124">
        <v>-425300.90915344405</v>
      </c>
      <c r="BC82" s="124">
        <v>-369850.44982928428</v>
      </c>
      <c r="BD82" s="124">
        <v>-320021.24181157188</v>
      </c>
      <c r="BE82" s="124">
        <v>-275456.96303255769</v>
      </c>
      <c r="BF82" s="124">
        <v>-235765.15165492194</v>
      </c>
      <c r="BG82" s="124">
        <v>-200583.13829164146</v>
      </c>
      <c r="BH82" s="124">
        <v>-169555.92496408292</v>
      </c>
      <c r="BI82" s="124">
        <v>-142336.40130980394</v>
      </c>
      <c r="BJ82" s="124">
        <v>-118748.40214807799</v>
      </c>
      <c r="BK82" s="124">
        <v>-98290.340785650478</v>
      </c>
      <c r="BL82" s="124">
        <v>-80708.275328640637</v>
      </c>
      <c r="BM82" s="124">
        <v>-65734.66643654801</v>
      </c>
      <c r="BN82" s="124">
        <v>-53095.622725513866</v>
      </c>
      <c r="BO82" s="124">
        <v>-42558.346505262023</v>
      </c>
      <c r="BP82" s="124">
        <v>-33804.87158493881</v>
      </c>
      <c r="BQ82" s="124">
        <v>-26605.797409713425</v>
      </c>
      <c r="BR82" s="124">
        <v>-20738.876885396126</v>
      </c>
      <c r="BS82" s="124">
        <v>-15995.606682748075</v>
      </c>
      <c r="BT82" s="124">
        <v>-12233.727831471406</v>
      </c>
      <c r="BU82" s="124">
        <v>-9228.4637462969331</v>
      </c>
      <c r="BV82" s="124">
        <v>-6851.881040108141</v>
      </c>
      <c r="BW82" s="124">
        <v>-4994.4508204167469</v>
      </c>
      <c r="BX82" s="124">
        <v>-3562.0552864802403</v>
      </c>
      <c r="BY82" s="124">
        <v>-2521.0033088099917</v>
      </c>
      <c r="BZ82" s="124">
        <v>-1738.2644497555714</v>
      </c>
      <c r="CA82" s="124">
        <v>-1165.4189641473306</v>
      </c>
      <c r="CB82" s="124">
        <v>-757.86059991177876</v>
      </c>
      <c r="CC82" s="124">
        <v>-476.05645742495852</v>
      </c>
      <c r="CD82" s="124">
        <v>-299.05587207739626</v>
      </c>
      <c r="CE82" s="124">
        <v>-182.24228802816907</v>
      </c>
      <c r="CF82" s="124">
        <v>-106.48118243908576</v>
      </c>
      <c r="CG82" s="124">
        <v>-57.931468731211751</v>
      </c>
      <c r="CH82" s="124">
        <v>-26.850174421356282</v>
      </c>
      <c r="CI82" s="124">
        <v>-16.608913372546798</v>
      </c>
      <c r="CJ82" s="124">
        <v>-9.6615403399162432</v>
      </c>
      <c r="CK82" s="124">
        <v>-5.043485376733476</v>
      </c>
      <c r="CL82" s="124">
        <v>-2.0098839973666442</v>
      </c>
      <c r="CM82" s="124">
        <v>0</v>
      </c>
      <c r="CN82" s="124">
        <v>0</v>
      </c>
      <c r="CO82" s="124">
        <v>0</v>
      </c>
      <c r="CP82" s="124">
        <v>0</v>
      </c>
      <c r="CQ82" s="124">
        <v>0</v>
      </c>
      <c r="CR82" s="124">
        <v>0</v>
      </c>
      <c r="CS82" s="124">
        <v>0</v>
      </c>
      <c r="CT82" s="124">
        <v>0</v>
      </c>
      <c r="CU82" s="124">
        <v>0</v>
      </c>
      <c r="CV82" s="124">
        <v>0</v>
      </c>
      <c r="CW82" s="124">
        <v>0</v>
      </c>
      <c r="CX82" s="124">
        <v>0</v>
      </c>
      <c r="CY82" s="124">
        <v>0</v>
      </c>
      <c r="CZ82" s="124">
        <v>0</v>
      </c>
      <c r="DA82" s="124">
        <v>0</v>
      </c>
    </row>
    <row r="83" spans="3:105" x14ac:dyDescent="0.3">
      <c r="C83" s="138" t="s">
        <v>83</v>
      </c>
      <c r="D83" s="139"/>
      <c r="E83" s="141"/>
      <c r="F83" s="139">
        <v>1763103.3513449207</v>
      </c>
      <c r="G83" s="139">
        <v>8800293.7819132637</v>
      </c>
      <c r="H83" s="139">
        <v>17408599.038146801</v>
      </c>
      <c r="I83" s="139">
        <v>26920367.937748779</v>
      </c>
      <c r="J83" s="139">
        <v>38981394.361309357</v>
      </c>
      <c r="K83" s="139">
        <v>51487947.422797479</v>
      </c>
      <c r="L83" s="139">
        <v>64836686.000939801</v>
      </c>
      <c r="M83" s="139">
        <v>79432872.223940462</v>
      </c>
      <c r="N83" s="139">
        <v>95826837.040390298</v>
      </c>
      <c r="O83" s="139">
        <v>114782925.65514523</v>
      </c>
      <c r="P83" s="139">
        <v>106488903.15941352</v>
      </c>
      <c r="Q83" s="139">
        <v>98377751.527530447</v>
      </c>
      <c r="R83" s="139">
        <v>90562908.468177736</v>
      </c>
      <c r="S83" s="139">
        <v>83216356.547389075</v>
      </c>
      <c r="T83" s="139">
        <v>76398400.409934372</v>
      </c>
      <c r="U83" s="139">
        <v>70037003.627238512</v>
      </c>
      <c r="V83" s="139">
        <v>64125194.155829877</v>
      </c>
      <c r="W83" s="139">
        <v>58656141.069128707</v>
      </c>
      <c r="X83" s="139">
        <v>53626400.942702688</v>
      </c>
      <c r="Y83" s="139">
        <v>49037983.034421921</v>
      </c>
      <c r="Z83" s="139">
        <v>44748092.451853611</v>
      </c>
      <c r="AA83" s="139">
        <v>40757893.310144544</v>
      </c>
      <c r="AB83" s="139">
        <v>37058463.414971597</v>
      </c>
      <c r="AC83" s="139">
        <v>33638748.170574896</v>
      </c>
      <c r="AD83" s="139">
        <v>30493349.10510911</v>
      </c>
      <c r="AE83" s="139">
        <v>27610683.910624675</v>
      </c>
      <c r="AF83" s="139">
        <v>24980951.388856735</v>
      </c>
      <c r="AG83" s="139">
        <v>22597596.551589713</v>
      </c>
      <c r="AH83" s="139">
        <v>20456759.673723802</v>
      </c>
      <c r="AI83" s="139">
        <v>18558537.992684372</v>
      </c>
      <c r="AJ83" s="139">
        <v>16806757.663389504</v>
      </c>
      <c r="AK83" s="139">
        <v>15190428.695928546</v>
      </c>
      <c r="AL83" s="139">
        <v>13700725.256394584</v>
      </c>
      <c r="AM83" s="139">
        <v>12329595.425238961</v>
      </c>
      <c r="AN83" s="139">
        <v>11069585.495109959</v>
      </c>
      <c r="AO83" s="139">
        <v>9913694.2694824785</v>
      </c>
      <c r="AP83" s="139">
        <v>8853897.7230840698</v>
      </c>
      <c r="AQ83" s="139">
        <v>7884408.6849273611</v>
      </c>
      <c r="AR83" s="139">
        <v>6999470.1893299352</v>
      </c>
      <c r="AS83" s="139">
        <v>6193504.1581964977</v>
      </c>
      <c r="AT83" s="139">
        <v>5461202.518378688</v>
      </c>
      <c r="AU83" s="139">
        <v>4797485.0576556716</v>
      </c>
      <c r="AV83" s="139">
        <v>4197825.3086137855</v>
      </c>
      <c r="AW83" s="139">
        <v>3657952.189471696</v>
      </c>
      <c r="AX83" s="139">
        <v>3173787.3170070704</v>
      </c>
      <c r="AY83" s="139">
        <v>2741403.6188097275</v>
      </c>
      <c r="AZ83" s="139">
        <v>2356495.8057504161</v>
      </c>
      <c r="BA83" s="139">
        <v>2015488.4977484141</v>
      </c>
      <c r="BB83" s="139">
        <v>1714818.4368976268</v>
      </c>
      <c r="BC83" s="139">
        <v>1451006.437158403</v>
      </c>
      <c r="BD83" s="139">
        <v>1220710.4224357938</v>
      </c>
      <c r="BE83" s="139">
        <v>1020737.9762585928</v>
      </c>
      <c r="BF83" s="139">
        <v>848091.735983202</v>
      </c>
      <c r="BG83" s="139">
        <v>699951.66179842164</v>
      </c>
      <c r="BH83" s="139">
        <v>573678.33034863847</v>
      </c>
      <c r="BI83" s="139">
        <v>466816.2158155035</v>
      </c>
      <c r="BJ83" s="139">
        <v>376934.11632482987</v>
      </c>
      <c r="BK83" s="139">
        <v>301952.07956783404</v>
      </c>
      <c r="BL83" s="139">
        <v>239915.47806185775</v>
      </c>
      <c r="BM83" s="139">
        <v>189016.35625143332</v>
      </c>
      <c r="BN83" s="139">
        <v>147608.8522370955</v>
      </c>
      <c r="BO83" s="139">
        <v>114178.12739369994</v>
      </c>
      <c r="BP83" s="139">
        <v>87433.636897803808</v>
      </c>
      <c r="BQ83" s="139">
        <v>66234.43364575156</v>
      </c>
      <c r="BR83" s="139">
        <v>49591.265399396427</v>
      </c>
      <c r="BS83" s="139">
        <v>36662.211307761318</v>
      </c>
      <c r="BT83" s="139">
        <v>26695.548012278065</v>
      </c>
      <c r="BU83" s="139">
        <v>19117.84476319631</v>
      </c>
      <c r="BV83" s="139">
        <v>13448.145220634551</v>
      </c>
      <c r="BW83" s="139">
        <v>9285.2812581023445</v>
      </c>
      <c r="BX83" s="139">
        <v>6297.3956983255139</v>
      </c>
      <c r="BY83" s="139">
        <v>4165.8015917295725</v>
      </c>
      <c r="BZ83" s="139">
        <v>2685.135925999708</v>
      </c>
      <c r="CA83" s="139">
        <v>1685.7564945210713</v>
      </c>
      <c r="CB83" s="139">
        <v>1032.1372545468903</v>
      </c>
      <c r="CC83" s="139">
        <v>619.90460050392198</v>
      </c>
      <c r="CD83" s="139">
        <v>359.18148810926965</v>
      </c>
      <c r="CE83" s="139">
        <v>199.14974288880083</v>
      </c>
      <c r="CF83" s="139">
        <v>104.98329279535413</v>
      </c>
      <c r="CG83" s="139">
        <v>53.54362833556722</v>
      </c>
      <c r="CH83" s="139">
        <v>30.004406979990804</v>
      </c>
      <c r="CI83" s="139">
        <v>15.250862516228192</v>
      </c>
      <c r="CJ83" s="139">
        <v>6.5323828461536131</v>
      </c>
      <c r="CK83" s="139">
        <v>1.8928374653384386</v>
      </c>
      <c r="CL83" s="139">
        <v>0</v>
      </c>
      <c r="CM83" s="139">
        <v>0</v>
      </c>
      <c r="CN83" s="139">
        <v>0</v>
      </c>
      <c r="CO83" s="139">
        <v>0</v>
      </c>
      <c r="CP83" s="139">
        <v>0</v>
      </c>
      <c r="CQ83" s="139">
        <v>0</v>
      </c>
      <c r="CR83" s="139">
        <v>0</v>
      </c>
      <c r="CS83" s="139">
        <v>0</v>
      </c>
      <c r="CT83" s="139">
        <v>0</v>
      </c>
      <c r="CU83" s="139">
        <v>0</v>
      </c>
      <c r="CV83" s="139">
        <v>0</v>
      </c>
      <c r="CW83" s="139">
        <v>0</v>
      </c>
      <c r="CX83" s="139">
        <v>0</v>
      </c>
      <c r="CY83" s="139">
        <v>0</v>
      </c>
      <c r="CZ83" s="139">
        <v>0</v>
      </c>
      <c r="DA83" s="139">
        <v>0</v>
      </c>
    </row>
    <row r="85" spans="3:105" x14ac:dyDescent="0.3">
      <c r="C85" s="131" t="s">
        <v>103</v>
      </c>
    </row>
    <row r="86" spans="3:105" x14ac:dyDescent="0.3">
      <c r="C86" s="133" t="s">
        <v>95</v>
      </c>
      <c r="D86" s="134"/>
      <c r="E86" s="143"/>
      <c r="F86" s="134">
        <v>0</v>
      </c>
      <c r="G86" s="134">
        <v>238061.72287138886</v>
      </c>
      <c r="H86" s="134">
        <v>1238883.0092103833</v>
      </c>
      <c r="I86" s="134">
        <v>2776546.3264797716</v>
      </c>
      <c r="J86" s="134">
        <v>5221535.2328457227</v>
      </c>
      <c r="K86" s="134">
        <v>8908851.0476804152</v>
      </c>
      <c r="L86" s="134">
        <v>13400360.608919734</v>
      </c>
      <c r="M86" s="134">
        <v>19328603.964419462</v>
      </c>
      <c r="N86" s="134">
        <v>26967700.531096201</v>
      </c>
      <c r="O86" s="134">
        <v>36342598.160152622</v>
      </c>
      <c r="P86" s="134">
        <v>47829152.046232343</v>
      </c>
      <c r="Q86" s="134">
        <v>57360943.807571173</v>
      </c>
      <c r="R86" s="134">
        <v>68247042.698935658</v>
      </c>
      <c r="S86" s="134">
        <v>78610544.47116977</v>
      </c>
      <c r="T86" s="134">
        <v>87482304.566678524</v>
      </c>
      <c r="U86" s="134">
        <v>97723728.984472468</v>
      </c>
      <c r="V86" s="134">
        <v>106509835.20962425</v>
      </c>
      <c r="W86" s="134">
        <v>113687188.05990793</v>
      </c>
      <c r="X86" s="134">
        <v>119298546.76111156</v>
      </c>
      <c r="Y86" s="134">
        <v>122959148.18704969</v>
      </c>
      <c r="Z86" s="134">
        <v>126742649.75066327</v>
      </c>
      <c r="AA86" s="134">
        <v>128740540.52684537</v>
      </c>
      <c r="AB86" s="134">
        <v>129284455.6410698</v>
      </c>
      <c r="AC86" s="134">
        <v>128537208.6894695</v>
      </c>
      <c r="AD86" s="134">
        <v>126594295.71400723</v>
      </c>
      <c r="AE86" s="134">
        <v>124903649.98310189</v>
      </c>
      <c r="AF86" s="134">
        <v>122510288.67559023</v>
      </c>
      <c r="AG86" s="134">
        <v>119631045.61808036</v>
      </c>
      <c r="AH86" s="134">
        <v>116386261.58300792</v>
      </c>
      <c r="AI86" s="134">
        <v>112809772.38395886</v>
      </c>
      <c r="AJ86" s="134">
        <v>109708720.28065182</v>
      </c>
      <c r="AK86" s="134">
        <v>106349652.44619258</v>
      </c>
      <c r="AL86" s="134">
        <v>102757285.86726397</v>
      </c>
      <c r="AM86" s="134">
        <v>98904521.630584314</v>
      </c>
      <c r="AN86" s="134">
        <v>94752852.24055557</v>
      </c>
      <c r="AO86" s="134">
        <v>90722189.64330633</v>
      </c>
      <c r="AP86" s="134">
        <v>86580986.887589231</v>
      </c>
      <c r="AQ86" s="134">
        <v>82231226.480655923</v>
      </c>
      <c r="AR86" s="134">
        <v>77708796.181817785</v>
      </c>
      <c r="AS86" s="134">
        <v>73022015.512506023</v>
      </c>
      <c r="AT86" s="134">
        <v>68433620.697831869</v>
      </c>
      <c r="AU86" s="134">
        <v>63758883.068959706</v>
      </c>
      <c r="AV86" s="134">
        <v>59047501.221516848</v>
      </c>
      <c r="AW86" s="134">
        <v>54344725.594103113</v>
      </c>
      <c r="AX86" s="134">
        <v>49690125.992078766</v>
      </c>
      <c r="AY86" s="134">
        <v>45266225.688042492</v>
      </c>
      <c r="AZ86" s="134">
        <v>41039055.60501647</v>
      </c>
      <c r="BA86" s="134">
        <v>37000494.707644798</v>
      </c>
      <c r="BB86" s="134">
        <v>33188342.686698869</v>
      </c>
      <c r="BC86" s="134">
        <v>29619947.225932091</v>
      </c>
      <c r="BD86" s="134">
        <v>26369092.232668936</v>
      </c>
      <c r="BE86" s="134">
        <v>23381152.093438827</v>
      </c>
      <c r="BF86" s="134">
        <v>20638777.781627972</v>
      </c>
      <c r="BG86" s="134">
        <v>18125930.142930139</v>
      </c>
      <c r="BH86" s="134">
        <v>15826546.086213481</v>
      </c>
      <c r="BI86" s="134">
        <v>13757067.539011706</v>
      </c>
      <c r="BJ86" s="134">
        <v>11911707.473643079</v>
      </c>
      <c r="BK86" s="134">
        <v>10241320.518474633</v>
      </c>
      <c r="BL86" s="134">
        <v>8739565.4616415687</v>
      </c>
      <c r="BM86" s="134">
        <v>7395637.0571512608</v>
      </c>
      <c r="BN86" s="134">
        <v>6210128.5661259163</v>
      </c>
      <c r="BO86" s="134">
        <v>5162555.2187851416</v>
      </c>
      <c r="BP86" s="134">
        <v>4241019.403166567</v>
      </c>
      <c r="BQ86" s="134">
        <v>3438613.8670498999</v>
      </c>
      <c r="BR86" s="134">
        <v>2747356.6780522508</v>
      </c>
      <c r="BS86" s="134">
        <v>2163556.0102241146</v>
      </c>
      <c r="BT86" s="134">
        <v>1678423.7807327856</v>
      </c>
      <c r="BU86" s="134">
        <v>1277058.0500690537</v>
      </c>
      <c r="BV86" s="134">
        <v>952536.03653251834</v>
      </c>
      <c r="BW86" s="134">
        <v>696232.26087841194</v>
      </c>
      <c r="BX86" s="134">
        <v>499805.44227772328</v>
      </c>
      <c r="BY86" s="134">
        <v>355445.16300633881</v>
      </c>
      <c r="BZ86" s="134">
        <v>248586.3042105489</v>
      </c>
      <c r="CA86" s="134">
        <v>170712.83029328368</v>
      </c>
      <c r="CB86" s="134">
        <v>114717.14226643249</v>
      </c>
      <c r="CC86" s="134">
        <v>74916.241432793773</v>
      </c>
      <c r="CD86" s="134">
        <v>51173.924529624579</v>
      </c>
      <c r="CE86" s="134">
        <v>34046.803575781225</v>
      </c>
      <c r="CF86" s="134">
        <v>21903.155807645257</v>
      </c>
      <c r="CG86" s="134">
        <v>13446.360314697831</v>
      </c>
      <c r="CH86" s="134">
        <v>7676.5453626295766</v>
      </c>
      <c r="CI86" s="134">
        <v>4667.2702981390839</v>
      </c>
      <c r="CJ86" s="134">
        <v>2698.7270104884446</v>
      </c>
      <c r="CK86" s="134">
        <v>1405.5807280728052</v>
      </c>
      <c r="CL86" s="134">
        <v>558.99215778803386</v>
      </c>
      <c r="CM86" s="134">
        <v>1.9921382183645084E-8</v>
      </c>
      <c r="CN86" s="134">
        <v>0</v>
      </c>
      <c r="CO86" s="134">
        <v>0</v>
      </c>
      <c r="CP86" s="134">
        <v>0</v>
      </c>
      <c r="CQ86" s="134">
        <v>0</v>
      </c>
      <c r="CR86" s="134">
        <v>0</v>
      </c>
      <c r="CS86" s="134">
        <v>0</v>
      </c>
      <c r="CT86" s="134">
        <v>0</v>
      </c>
      <c r="CU86" s="134">
        <v>0</v>
      </c>
      <c r="CV86" s="134">
        <v>0</v>
      </c>
      <c r="CW86" s="134">
        <v>0</v>
      </c>
      <c r="CX86" s="134">
        <v>0</v>
      </c>
      <c r="CY86" s="134">
        <v>0</v>
      </c>
      <c r="CZ86" s="134">
        <v>0</v>
      </c>
      <c r="DA86" s="134">
        <v>0</v>
      </c>
    </row>
    <row r="87" spans="3:105" x14ac:dyDescent="0.3">
      <c r="C87" s="136" t="s">
        <v>96</v>
      </c>
      <c r="F87" s="124">
        <v>569063.5636497126</v>
      </c>
      <c r="G87" s="124">
        <v>2305234.3434884194</v>
      </c>
      <c r="H87" s="124">
        <v>2950699.9596651765</v>
      </c>
      <c r="I87" s="124">
        <v>3424919.5960399369</v>
      </c>
      <c r="J87" s="124">
        <v>4465568.2425289955</v>
      </c>
      <c r="K87" s="124">
        <v>4887096.8081954485</v>
      </c>
      <c r="L87" s="124">
        <v>5453525.8183097467</v>
      </c>
      <c r="M87" s="124">
        <v>6178028.0405489635</v>
      </c>
      <c r="N87" s="124">
        <v>7113294.5456214091</v>
      </c>
      <c r="O87" s="124">
        <v>8338361.9395895395</v>
      </c>
      <c r="P87" s="124">
        <v>0</v>
      </c>
      <c r="Q87" s="124">
        <v>0</v>
      </c>
      <c r="R87" s="124">
        <v>0</v>
      </c>
      <c r="S87" s="124">
        <v>0</v>
      </c>
      <c r="T87" s="124">
        <v>0</v>
      </c>
      <c r="U87" s="124">
        <v>0</v>
      </c>
      <c r="V87" s="124">
        <v>0</v>
      </c>
      <c r="W87" s="124">
        <v>0</v>
      </c>
      <c r="X87" s="124">
        <v>0</v>
      </c>
      <c r="Y87" s="124">
        <v>0</v>
      </c>
      <c r="Z87" s="124">
        <v>0</v>
      </c>
      <c r="AA87" s="124">
        <v>0</v>
      </c>
      <c r="AB87" s="124">
        <v>0</v>
      </c>
      <c r="AC87" s="124">
        <v>0</v>
      </c>
      <c r="AD87" s="124">
        <v>0</v>
      </c>
      <c r="AE87" s="124">
        <v>0</v>
      </c>
      <c r="AF87" s="124">
        <v>0</v>
      </c>
      <c r="AG87" s="124">
        <v>0</v>
      </c>
      <c r="AH87" s="124">
        <v>0</v>
      </c>
      <c r="AI87" s="124">
        <v>0</v>
      </c>
      <c r="AJ87" s="124">
        <v>0</v>
      </c>
      <c r="AK87" s="124">
        <v>0</v>
      </c>
      <c r="AL87" s="124">
        <v>0</v>
      </c>
      <c r="AM87" s="124">
        <v>0</v>
      </c>
      <c r="AN87" s="124">
        <v>0</v>
      </c>
      <c r="AO87" s="124">
        <v>0</v>
      </c>
      <c r="AP87" s="124">
        <v>0</v>
      </c>
      <c r="AQ87" s="124">
        <v>0</v>
      </c>
      <c r="AR87" s="124">
        <v>0</v>
      </c>
      <c r="AS87" s="124">
        <v>0</v>
      </c>
      <c r="AT87" s="124">
        <v>0</v>
      </c>
      <c r="AU87" s="124">
        <v>0</v>
      </c>
      <c r="AV87" s="124">
        <v>0</v>
      </c>
      <c r="AW87" s="124">
        <v>0</v>
      </c>
      <c r="AX87" s="124">
        <v>0</v>
      </c>
      <c r="AY87" s="124">
        <v>0</v>
      </c>
      <c r="AZ87" s="124">
        <v>0</v>
      </c>
      <c r="BA87" s="124">
        <v>0</v>
      </c>
      <c r="BB87" s="124">
        <v>0</v>
      </c>
      <c r="BC87" s="124">
        <v>0</v>
      </c>
      <c r="BD87" s="124">
        <v>0</v>
      </c>
      <c r="BE87" s="124">
        <v>0</v>
      </c>
      <c r="BF87" s="124">
        <v>0</v>
      </c>
      <c r="BG87" s="124">
        <v>0</v>
      </c>
      <c r="BH87" s="124">
        <v>0</v>
      </c>
      <c r="BI87" s="124">
        <v>0</v>
      </c>
      <c r="BJ87" s="124">
        <v>0</v>
      </c>
      <c r="BK87" s="124">
        <v>0</v>
      </c>
      <c r="BL87" s="124">
        <v>0</v>
      </c>
      <c r="BM87" s="124">
        <v>0</v>
      </c>
      <c r="BN87" s="124">
        <v>0</v>
      </c>
      <c r="BO87" s="124">
        <v>0</v>
      </c>
      <c r="BP87" s="124">
        <v>0</v>
      </c>
      <c r="BQ87" s="124">
        <v>0</v>
      </c>
      <c r="BR87" s="124">
        <v>0</v>
      </c>
      <c r="BS87" s="124">
        <v>0</v>
      </c>
      <c r="BT87" s="124">
        <v>0</v>
      </c>
      <c r="BU87" s="124">
        <v>0</v>
      </c>
      <c r="BV87" s="124">
        <v>0</v>
      </c>
      <c r="BW87" s="124">
        <v>0</v>
      </c>
      <c r="BX87" s="124">
        <v>0</v>
      </c>
      <c r="BY87" s="124">
        <v>0</v>
      </c>
      <c r="BZ87" s="124">
        <v>0</v>
      </c>
      <c r="CA87" s="124">
        <v>0</v>
      </c>
      <c r="CB87" s="124">
        <v>0</v>
      </c>
      <c r="CC87" s="124">
        <v>0</v>
      </c>
      <c r="CD87" s="124">
        <v>0</v>
      </c>
      <c r="CE87" s="124">
        <v>0</v>
      </c>
      <c r="CF87" s="124">
        <v>0</v>
      </c>
      <c r="CG87" s="124">
        <v>0</v>
      </c>
      <c r="CH87" s="124">
        <v>0</v>
      </c>
      <c r="CI87" s="124">
        <v>0</v>
      </c>
      <c r="CJ87" s="124">
        <v>0</v>
      </c>
      <c r="CK87" s="124">
        <v>0</v>
      </c>
      <c r="CL87" s="124">
        <v>0</v>
      </c>
      <c r="CM87" s="124">
        <v>0</v>
      </c>
      <c r="CN87" s="124">
        <v>0</v>
      </c>
      <c r="CO87" s="124">
        <v>0</v>
      </c>
      <c r="CP87" s="124">
        <v>0</v>
      </c>
      <c r="CQ87" s="124">
        <v>0</v>
      </c>
      <c r="CR87" s="124">
        <v>0</v>
      </c>
      <c r="CS87" s="124">
        <v>0</v>
      </c>
      <c r="CT87" s="124">
        <v>0</v>
      </c>
      <c r="CU87" s="124">
        <v>0</v>
      </c>
      <c r="CV87" s="124">
        <v>0</v>
      </c>
      <c r="CW87" s="124">
        <v>0</v>
      </c>
      <c r="CX87" s="124">
        <v>0</v>
      </c>
      <c r="CY87" s="124">
        <v>0</v>
      </c>
      <c r="CZ87" s="124">
        <v>0</v>
      </c>
      <c r="DA87" s="124">
        <v>0</v>
      </c>
    </row>
    <row r="88" spans="3:105" x14ac:dyDescent="0.3">
      <c r="C88" s="136" t="s">
        <v>97</v>
      </c>
      <c r="F88" s="124">
        <v>2659731.8270136411</v>
      </c>
      <c r="G88" s="124">
        <v>12631685.801176189</v>
      </c>
      <c r="H88" s="124">
        <v>22855352.917652152</v>
      </c>
      <c r="I88" s="124">
        <v>33277873.357796788</v>
      </c>
      <c r="J88" s="124">
        <v>46993414.839027777</v>
      </c>
      <c r="K88" s="124">
        <v>60301089.03205359</v>
      </c>
      <c r="L88" s="124">
        <v>74354249.202451855</v>
      </c>
      <c r="M88" s="124">
        <v>89887414.844225347</v>
      </c>
      <c r="N88" s="124">
        <v>107578356.14618973</v>
      </c>
      <c r="O88" s="124">
        <v>128325834.40862082</v>
      </c>
      <c r="P88" s="124">
        <v>106810569.25061384</v>
      </c>
      <c r="Q88" s="124">
        <v>95117317.645013928</v>
      </c>
      <c r="R88" s="124">
        <v>86685001.663111433</v>
      </c>
      <c r="S88" s="124">
        <v>79037357.935499489</v>
      </c>
      <c r="T88" s="124">
        <v>71961753.355455473</v>
      </c>
      <c r="U88" s="124">
        <v>65686440.630414367</v>
      </c>
      <c r="V88" s="124">
        <v>59862534.474022903</v>
      </c>
      <c r="W88" s="124">
        <v>54393795.656401567</v>
      </c>
      <c r="X88" s="124">
        <v>49248511.183579169</v>
      </c>
      <c r="Y88" s="124">
        <v>44354021.336508565</v>
      </c>
      <c r="Z88" s="124">
        <v>40191149.441948697</v>
      </c>
      <c r="AA88" s="124">
        <v>36353145.535311319</v>
      </c>
      <c r="AB88" s="124">
        <v>32740048.825759683</v>
      </c>
      <c r="AC88" s="124">
        <v>29367616.162303239</v>
      </c>
      <c r="AD88" s="124">
        <v>26215536.257834613</v>
      </c>
      <c r="AE88" s="124">
        <v>23298219.385258231</v>
      </c>
      <c r="AF88" s="124">
        <v>20706865.3721058</v>
      </c>
      <c r="AG88" s="124">
        <v>18327939.600830734</v>
      </c>
      <c r="AH88" s="124">
        <v>16145252.49611559</v>
      </c>
      <c r="AI88" s="124">
        <v>14131577.180550637</v>
      </c>
      <c r="AJ88" s="124">
        <v>12607588.53416609</v>
      </c>
      <c r="AK88" s="124">
        <v>11302776.839728948</v>
      </c>
      <c r="AL88" s="124">
        <v>10130871.60976978</v>
      </c>
      <c r="AM88" s="124">
        <v>9072002.8596177325</v>
      </c>
      <c r="AN88" s="124">
        <v>8109810.3233619202</v>
      </c>
      <c r="AO88" s="124">
        <v>7230664.1110518891</v>
      </c>
      <c r="AP88" s="124">
        <v>6462681.6690847138</v>
      </c>
      <c r="AQ88" s="124">
        <v>5757445.2322048601</v>
      </c>
      <c r="AR88" s="124">
        <v>5111538.2237005234</v>
      </c>
      <c r="AS88" s="124">
        <v>4520629.9675440788</v>
      </c>
      <c r="AT88" s="124">
        <v>3979988.8352172906</v>
      </c>
      <c r="AU88" s="124">
        <v>3497354.015337381</v>
      </c>
      <c r="AV88" s="124">
        <v>3059278.536178207</v>
      </c>
      <c r="AW88" s="124">
        <v>2663325.7793682129</v>
      </c>
      <c r="AX88" s="124">
        <v>2307367.0912896683</v>
      </c>
      <c r="AY88" s="124">
        <v>1989374.8969865975</v>
      </c>
      <c r="AZ88" s="124">
        <v>1711150.359348329</v>
      </c>
      <c r="BA88" s="124">
        <v>1465821.9901493746</v>
      </c>
      <c r="BB88" s="124">
        <v>1251732.3788180538</v>
      </c>
      <c r="BC88" s="124">
        <v>1066481.3785958618</v>
      </c>
      <c r="BD88" s="124">
        <v>907191.7909404583</v>
      </c>
      <c r="BE88" s="124">
        <v>771045.88329836517</v>
      </c>
      <c r="BF88" s="124">
        <v>654427.2979237932</v>
      </c>
      <c r="BG88" s="124">
        <v>554277.47458421986</v>
      </c>
      <c r="BH88" s="124">
        <v>468074.34584204544</v>
      </c>
      <c r="BI88" s="124">
        <v>393740.91544025927</v>
      </c>
      <c r="BJ88" s="124">
        <v>331318.06325182482</v>
      </c>
      <c r="BK88" s="124">
        <v>277142.54201418866</v>
      </c>
      <c r="BL88" s="124">
        <v>230335.48367494019</v>
      </c>
      <c r="BM88" s="124">
        <v>190037.99554976649</v>
      </c>
      <c r="BN88" s="124">
        <v>155442.99083671908</v>
      </c>
      <c r="BO88" s="124">
        <v>125899.33471647385</v>
      </c>
      <c r="BP88" s="124">
        <v>100760.52167559917</v>
      </c>
      <c r="BQ88" s="124">
        <v>79562.953811248415</v>
      </c>
      <c r="BR88" s="124">
        <v>61877.349581103001</v>
      </c>
      <c r="BS88" s="124">
        <v>47302.311086797126</v>
      </c>
      <c r="BT88" s="124">
        <v>35555.753956893241</v>
      </c>
      <c r="BU88" s="124">
        <v>26150.528988149385</v>
      </c>
      <c r="BV88" s="124">
        <v>18798.961099169701</v>
      </c>
      <c r="BW88" s="124">
        <v>13201.22828928231</v>
      </c>
      <c r="BX88" s="124">
        <v>9056.8756410481728</v>
      </c>
      <c r="BY88" s="124">
        <v>6147.1661624897124</v>
      </c>
      <c r="BZ88" s="124">
        <v>4093.9048463555237</v>
      </c>
      <c r="CA88" s="124">
        <v>2665.9600739330913</v>
      </c>
      <c r="CB88" s="124">
        <v>1684.402377358995</v>
      </c>
      <c r="CC88" s="124">
        <v>1014.228034619656</v>
      </c>
      <c r="CD88" s="124">
        <v>675.19821566590417</v>
      </c>
      <c r="CE88" s="124">
        <v>439.13388014350852</v>
      </c>
      <c r="CF88" s="124">
        <v>277.18366589608019</v>
      </c>
      <c r="CG88" s="124">
        <v>167.65075695209697</v>
      </c>
      <c r="CH88" s="124">
        <v>94.429167849396293</v>
      </c>
      <c r="CI88" s="124">
        <v>57.332278886664334</v>
      </c>
      <c r="CJ88" s="124">
        <v>32.748546081101921</v>
      </c>
      <c r="CK88" s="124">
        <v>16.801962965845522</v>
      </c>
      <c r="CL88" s="124">
        <v>6.5908525249837124</v>
      </c>
      <c r="CM88" s="124">
        <v>0</v>
      </c>
      <c r="CN88" s="124">
        <v>0</v>
      </c>
      <c r="CO88" s="124">
        <v>0</v>
      </c>
      <c r="CP88" s="124">
        <v>0</v>
      </c>
      <c r="CQ88" s="124">
        <v>0</v>
      </c>
      <c r="CR88" s="124">
        <v>0</v>
      </c>
      <c r="CS88" s="124">
        <v>0</v>
      </c>
      <c r="CT88" s="124">
        <v>0</v>
      </c>
      <c r="CU88" s="124">
        <v>0</v>
      </c>
      <c r="CV88" s="124">
        <v>0</v>
      </c>
      <c r="CW88" s="124">
        <v>0</v>
      </c>
      <c r="CX88" s="124">
        <v>0</v>
      </c>
      <c r="CY88" s="124">
        <v>0</v>
      </c>
      <c r="CZ88" s="124">
        <v>0</v>
      </c>
      <c r="DA88" s="124">
        <v>0</v>
      </c>
    </row>
    <row r="89" spans="3:105" x14ac:dyDescent="0.3">
      <c r="C89" s="136" t="s">
        <v>98</v>
      </c>
      <c r="F89" s="124">
        <v>-2748236.8015024867</v>
      </c>
      <c r="G89" s="124">
        <v>-12774343.855713969</v>
      </c>
      <c r="H89" s="124">
        <v>-22110263.476920143</v>
      </c>
      <c r="I89" s="124">
        <v>-31000989.730272856</v>
      </c>
      <c r="J89" s="124">
        <v>-43087181.742758058</v>
      </c>
      <c r="K89" s="124">
        <v>-54613781.187646426</v>
      </c>
      <c r="L89" s="124">
        <v>-66301832.662515782</v>
      </c>
      <c r="M89" s="124">
        <v>-79242973.367669493</v>
      </c>
      <c r="N89" s="124">
        <v>-94372718.42629084</v>
      </c>
      <c r="O89" s="124">
        <v>-112223728.06720021</v>
      </c>
      <c r="P89" s="124">
        <v>-86208771.893897578</v>
      </c>
      <c r="Q89" s="124">
        <v>-74345859.557889804</v>
      </c>
      <c r="R89" s="124">
        <v>-67777788.35785301</v>
      </c>
      <c r="S89" s="124">
        <v>-63041284.806263715</v>
      </c>
      <c r="T89" s="124">
        <v>-55920768.169671513</v>
      </c>
      <c r="U89" s="124">
        <v>-52468399.77630163</v>
      </c>
      <c r="V89" s="124">
        <v>-49521191.859428994</v>
      </c>
      <c r="W89" s="124">
        <v>-46766941.749399066</v>
      </c>
      <c r="X89" s="124">
        <v>-44612902.426697768</v>
      </c>
      <c r="Y89" s="124">
        <v>-40461546.805999629</v>
      </c>
      <c r="Z89" s="124">
        <v>-38818401.01827357</v>
      </c>
      <c r="AA89" s="124">
        <v>-37038533.842990607</v>
      </c>
      <c r="AB89" s="124">
        <v>-35201839.61002259</v>
      </c>
      <c r="AC89" s="124">
        <v>-33400698.661523983</v>
      </c>
      <c r="AD89" s="124">
        <v>-30298620.676157709</v>
      </c>
      <c r="AE89" s="124">
        <v>-28364277.691226266</v>
      </c>
      <c r="AF89" s="124">
        <v>-26476301.521399219</v>
      </c>
      <c r="AG89" s="124">
        <v>-24633616.52332126</v>
      </c>
      <c r="AH89" s="124">
        <v>-22911806.651571471</v>
      </c>
      <c r="AI89" s="124">
        <v>-20546516.122241996</v>
      </c>
      <c r="AJ89" s="124">
        <v>-19283744.03071567</v>
      </c>
      <c r="AK89" s="124">
        <v>-18180670.456067465</v>
      </c>
      <c r="AL89" s="124">
        <v>-17212346.644426435</v>
      </c>
      <c r="AM89" s="124">
        <v>-16366277.127798505</v>
      </c>
      <c r="AN89" s="124">
        <v>-15196474.612556284</v>
      </c>
      <c r="AO89" s="124">
        <v>-14311599.781474723</v>
      </c>
      <c r="AP89" s="124">
        <v>-13630488.271669187</v>
      </c>
      <c r="AQ89" s="124">
        <v>-12959833.499774471</v>
      </c>
      <c r="AR89" s="124">
        <v>-12323110.901633605</v>
      </c>
      <c r="AS89" s="124">
        <v>-11482522.815677324</v>
      </c>
      <c r="AT89" s="124">
        <v>-10862343.219199726</v>
      </c>
      <c r="AU89" s="124">
        <v>-10243280.971527867</v>
      </c>
      <c r="AV89" s="124">
        <v>-9622998.892661741</v>
      </c>
      <c r="AW89" s="124">
        <v>-9005810.9462917987</v>
      </c>
      <c r="AX89" s="124">
        <v>-8260714.4863357078</v>
      </c>
      <c r="AY89" s="124">
        <v>-7590103.399353845</v>
      </c>
      <c r="AZ89" s="124">
        <v>-6978124.4547162056</v>
      </c>
      <c r="BA89" s="124">
        <v>-6370101.4821224203</v>
      </c>
      <c r="BB89" s="124">
        <v>-5785262.9148505013</v>
      </c>
      <c r="BC89" s="124">
        <v>-5171001.6736444756</v>
      </c>
      <c r="BD89" s="124">
        <v>-4645402.2972734468</v>
      </c>
      <c r="BE89" s="124">
        <v>-4168746.751240191</v>
      </c>
      <c r="BF89" s="124">
        <v>-3736473.4792173556</v>
      </c>
      <c r="BG89" s="124">
        <v>-3344896.8236686215</v>
      </c>
      <c r="BH89" s="124">
        <v>-2961120.9255922353</v>
      </c>
      <c r="BI89" s="124">
        <v>-2600489.9144264678</v>
      </c>
      <c r="BJ89" s="124">
        <v>-2310467.4875072781</v>
      </c>
      <c r="BK89" s="124">
        <v>-2040564.0657664959</v>
      </c>
      <c r="BL89" s="124">
        <v>-1793535.6568191648</v>
      </c>
      <c r="BM89" s="124">
        <v>-1557542.7509571477</v>
      </c>
      <c r="BN89" s="124">
        <v>-1350855.2911890538</v>
      </c>
      <c r="BO89" s="124">
        <v>-1166744.4446553185</v>
      </c>
      <c r="BP89" s="124">
        <v>-998331.10826376744</v>
      </c>
      <c r="BQ89" s="124">
        <v>-845712.38327735779</v>
      </c>
      <c r="BR89" s="124">
        <v>-703911.96281824727</v>
      </c>
      <c r="BS89" s="124">
        <v>-575700.18855044409</v>
      </c>
      <c r="BT89" s="124">
        <v>-469863.79276868328</v>
      </c>
      <c r="BU89" s="124">
        <v>-375857.90564893151</v>
      </c>
      <c r="BV89" s="124">
        <v>-294509.59155277075</v>
      </c>
      <c r="BW89" s="124">
        <v>-224685.21154225923</v>
      </c>
      <c r="BX89" s="124">
        <v>-164400.9284712252</v>
      </c>
      <c r="BY89" s="124">
        <v>-121684.84045882156</v>
      </c>
      <c r="BZ89" s="124">
        <v>-88795.309184603291</v>
      </c>
      <c r="CA89" s="124">
        <v>-63978.533067372518</v>
      </c>
      <c r="CB89" s="124">
        <v>-45424.39153207725</v>
      </c>
      <c r="CC89" s="124">
        <v>-27002.931043195047</v>
      </c>
      <c r="CD89" s="124">
        <v>-19347.077472314661</v>
      </c>
      <c r="CE89" s="124">
        <v>-13645.982067790632</v>
      </c>
      <c r="CF89" s="124">
        <v>-9484.8041905132395</v>
      </c>
      <c r="CG89" s="124">
        <v>-6492.5375699590004</v>
      </c>
      <c r="CH89" s="124">
        <v>-3391.2750896018142</v>
      </c>
      <c r="CI89" s="124">
        <v>-2300.139610295173</v>
      </c>
      <c r="CJ89" s="124">
        <v>-1523.0055600056194</v>
      </c>
      <c r="CK89" s="124">
        <v>-989.60480843721609</v>
      </c>
      <c r="CL89" s="124">
        <v>-638.28820517716622</v>
      </c>
      <c r="CM89" s="124">
        <v>0</v>
      </c>
      <c r="CN89" s="124">
        <v>0</v>
      </c>
      <c r="CO89" s="124">
        <v>0</v>
      </c>
      <c r="CP89" s="124">
        <v>0</v>
      </c>
      <c r="CQ89" s="124">
        <v>0</v>
      </c>
      <c r="CR89" s="124">
        <v>0</v>
      </c>
      <c r="CS89" s="124">
        <v>0</v>
      </c>
      <c r="CT89" s="124">
        <v>0</v>
      </c>
      <c r="CU89" s="124">
        <v>0</v>
      </c>
      <c r="CV89" s="124">
        <v>0</v>
      </c>
      <c r="CW89" s="124">
        <v>0</v>
      </c>
      <c r="CX89" s="124">
        <v>0</v>
      </c>
      <c r="CY89" s="124">
        <v>0</v>
      </c>
      <c r="CZ89" s="124">
        <v>0</v>
      </c>
      <c r="DA89" s="124">
        <v>0</v>
      </c>
    </row>
    <row r="90" spans="3:105" x14ac:dyDescent="0.3">
      <c r="C90" s="136" t="s">
        <v>99</v>
      </c>
      <c r="F90" s="124">
        <v>200343.46210573689</v>
      </c>
      <c r="G90" s="124">
        <v>960589.2252626163</v>
      </c>
      <c r="H90" s="124">
        <v>1742773.9761420409</v>
      </c>
      <c r="I90" s="124">
        <v>2475661.0385765582</v>
      </c>
      <c r="J90" s="124">
        <v>3450320.5483025331</v>
      </c>
      <c r="K90" s="124">
        <v>4428644.4752728101</v>
      </c>
      <c r="L90" s="124">
        <v>5461790.2700611604</v>
      </c>
      <c r="M90" s="124">
        <v>6666499.7405957896</v>
      </c>
      <c r="N90" s="124">
        <v>8112820.276975153</v>
      </c>
      <c r="O90" s="124">
        <v>9863395.9555848632</v>
      </c>
      <c r="P90" s="124">
        <v>8514967.5967380852</v>
      </c>
      <c r="Q90" s="124">
        <v>7822212.9544658167</v>
      </c>
      <c r="R90" s="124">
        <v>7862132.4072901793</v>
      </c>
      <c r="S90" s="124">
        <v>8081578.5011264589</v>
      </c>
      <c r="T90" s="124">
        <v>8299014.657303906</v>
      </c>
      <c r="U90" s="124">
        <v>8653821.2910818346</v>
      </c>
      <c r="V90" s="124">
        <v>8946063.1367228124</v>
      </c>
      <c r="W90" s="124">
        <v>9158088.0721221007</v>
      </c>
      <c r="X90" s="124">
        <v>9290050.312162647</v>
      </c>
      <c r="Y90" s="124">
        <v>9314922.7047646213</v>
      </c>
      <c r="Z90" s="124">
        <v>9368676.481771268</v>
      </c>
      <c r="AA90" s="124">
        <v>9329399.8539421894</v>
      </c>
      <c r="AB90" s="124">
        <v>9211442.493152285</v>
      </c>
      <c r="AC90" s="124">
        <v>9025264.932990199</v>
      </c>
      <c r="AD90" s="124">
        <v>8776602.5573295709</v>
      </c>
      <c r="AE90" s="124">
        <v>8554692.4637691379</v>
      </c>
      <c r="AF90" s="124">
        <v>8304657.2026229808</v>
      </c>
      <c r="AG90" s="124">
        <v>8035102.9335776782</v>
      </c>
      <c r="AH90" s="124">
        <v>7752985.6316670813</v>
      </c>
      <c r="AI90" s="124">
        <v>7459557.2799013089</v>
      </c>
      <c r="AJ90" s="124">
        <v>7205501.0150391767</v>
      </c>
      <c r="AK90" s="124">
        <v>6945240.7342945347</v>
      </c>
      <c r="AL90" s="124">
        <v>6676475.474630164</v>
      </c>
      <c r="AM90" s="124">
        <v>6396650.4953559516</v>
      </c>
      <c r="AN90" s="124">
        <v>6102659.4823289895</v>
      </c>
      <c r="AO90" s="124">
        <v>5819861.9381227363</v>
      </c>
      <c r="AP90" s="124">
        <v>5535061.6876240391</v>
      </c>
      <c r="AQ90" s="124">
        <v>5240187.1714822333</v>
      </c>
      <c r="AR90" s="124">
        <v>4937283.4384920634</v>
      </c>
      <c r="AS90" s="124">
        <v>4626659.5285496581</v>
      </c>
      <c r="AT90" s="124">
        <v>4324343.1403017659</v>
      </c>
      <c r="AU90" s="124">
        <v>4019220.307163151</v>
      </c>
      <c r="AV90" s="124">
        <v>3713760.6151206749</v>
      </c>
      <c r="AW90" s="124">
        <v>3410621.5063564889</v>
      </c>
      <c r="AX90" s="124">
        <v>3112119.986992009</v>
      </c>
      <c r="AY90" s="124">
        <v>2829417.1267071622</v>
      </c>
      <c r="AZ90" s="124">
        <v>2560418.4962586658</v>
      </c>
      <c r="BA90" s="124">
        <v>2304342.1571644335</v>
      </c>
      <c r="BB90" s="124">
        <v>2063415.9238130969</v>
      </c>
      <c r="BC90" s="124">
        <v>1838587.4241107395</v>
      </c>
      <c r="BD90" s="124">
        <v>1634286.4375600785</v>
      </c>
      <c r="BE90" s="124">
        <v>1447007.5680738059</v>
      </c>
      <c r="BF90" s="124">
        <v>1275536.1039630913</v>
      </c>
      <c r="BG90" s="124">
        <v>1118761.1001205135</v>
      </c>
      <c r="BH90" s="124">
        <v>975591.48145489604</v>
      </c>
      <c r="BI90" s="124">
        <v>846963.99580502836</v>
      </c>
      <c r="BJ90" s="124">
        <v>732487.41740031145</v>
      </c>
      <c r="BK90" s="124">
        <v>629028.57208394387</v>
      </c>
      <c r="BL90" s="124">
        <v>536156.73350878654</v>
      </c>
      <c r="BM90" s="124">
        <v>453170.97800207336</v>
      </c>
      <c r="BN90" s="124">
        <v>380080.13860547257</v>
      </c>
      <c r="BO90" s="124">
        <v>315592.86898901081</v>
      </c>
      <c r="BP90" s="124">
        <v>258950.85252137098</v>
      </c>
      <c r="BQ90" s="124">
        <v>209705.69617575899</v>
      </c>
      <c r="BR90" s="124">
        <v>167344.87339876409</v>
      </c>
      <c r="BS90" s="124">
        <v>131623.81855000288</v>
      </c>
      <c r="BT90" s="124">
        <v>101979.39959503233</v>
      </c>
      <c r="BU90" s="124">
        <v>77489.026111696192</v>
      </c>
      <c r="BV90" s="124">
        <v>57714.41172936005</v>
      </c>
      <c r="BW90" s="124">
        <v>42117.409114922782</v>
      </c>
      <c r="BX90" s="124">
        <v>30181.618423852688</v>
      </c>
      <c r="BY90" s="124">
        <v>21423.132498075989</v>
      </c>
      <c r="BZ90" s="124">
        <v>14950.025773188223</v>
      </c>
      <c r="CA90" s="124">
        <v>10241.385284522723</v>
      </c>
      <c r="CB90" s="124">
        <v>6862.9814214925391</v>
      </c>
      <c r="CC90" s="124">
        <v>4468.0348856815172</v>
      </c>
      <c r="CD90" s="124">
        <v>3041.2645477019855</v>
      </c>
      <c r="CE90" s="124">
        <v>2015.7392876319111</v>
      </c>
      <c r="CF90" s="124">
        <v>1291.2827261487739</v>
      </c>
      <c r="CG90" s="124">
        <v>788.69524139816701</v>
      </c>
      <c r="CH90" s="124">
        <v>447.22746759175141</v>
      </c>
      <c r="CI90" s="124">
        <v>270.88980878501502</v>
      </c>
      <c r="CJ90" s="124">
        <v>156.15561476064934</v>
      </c>
      <c r="CK90" s="124">
        <v>81.109265694149656</v>
      </c>
      <c r="CL90" s="124">
        <v>32.17544191897764</v>
      </c>
      <c r="CM90" s="124">
        <v>1.2318694766467609E-9</v>
      </c>
      <c r="CN90" s="124">
        <v>0</v>
      </c>
      <c r="CO90" s="124">
        <v>0</v>
      </c>
      <c r="CP90" s="124">
        <v>0</v>
      </c>
      <c r="CQ90" s="124">
        <v>0</v>
      </c>
      <c r="CR90" s="124">
        <v>0</v>
      </c>
      <c r="CS90" s="124">
        <v>0</v>
      </c>
      <c r="CT90" s="124">
        <v>0</v>
      </c>
      <c r="CU90" s="124">
        <v>0</v>
      </c>
      <c r="CV90" s="124">
        <v>0</v>
      </c>
      <c r="CW90" s="124">
        <v>0</v>
      </c>
      <c r="CX90" s="124">
        <v>0</v>
      </c>
      <c r="CY90" s="124">
        <v>0</v>
      </c>
      <c r="CZ90" s="124">
        <v>0</v>
      </c>
      <c r="DA90" s="124">
        <v>0</v>
      </c>
    </row>
    <row r="91" spans="3:105" x14ac:dyDescent="0.3">
      <c r="C91" s="136" t="s">
        <v>101</v>
      </c>
      <c r="F91" s="124">
        <v>-442840.32839521434</v>
      </c>
      <c r="G91" s="124">
        <v>-2122344.2278742627</v>
      </c>
      <c r="H91" s="124">
        <v>-3900900.0592698478</v>
      </c>
      <c r="I91" s="124">
        <v>-5732475.3557744734</v>
      </c>
      <c r="J91" s="124">
        <v>-8134806.0722665628</v>
      </c>
      <c r="K91" s="124">
        <v>-10511539.566636112</v>
      </c>
      <c r="L91" s="124">
        <v>-13039489.272807254</v>
      </c>
      <c r="M91" s="124">
        <v>-15849872.691023812</v>
      </c>
      <c r="N91" s="124">
        <v>-19056854.913439073</v>
      </c>
      <c r="O91" s="124">
        <v>-22817310.350515421</v>
      </c>
      <c r="P91" s="124">
        <v>-19584973.192115508</v>
      </c>
      <c r="Q91" s="124">
        <v>-17707572.150225472</v>
      </c>
      <c r="R91" s="124">
        <v>-16405843.940314347</v>
      </c>
      <c r="S91" s="124">
        <v>-15205891.534853617</v>
      </c>
      <c r="T91" s="124">
        <v>-14098575.42529379</v>
      </c>
      <c r="U91" s="124">
        <v>-13085755.920042759</v>
      </c>
      <c r="V91" s="124">
        <v>-12110052.901033105</v>
      </c>
      <c r="W91" s="124">
        <v>-11173583.277920902</v>
      </c>
      <c r="X91" s="124">
        <v>-10265057.643106006</v>
      </c>
      <c r="Y91" s="124">
        <v>-9423895.6716598589</v>
      </c>
      <c r="Z91" s="124">
        <v>-8743534.1292644497</v>
      </c>
      <c r="AA91" s="124">
        <v>-8100096.4320383621</v>
      </c>
      <c r="AB91" s="124">
        <v>-7496898.6604895843</v>
      </c>
      <c r="AC91" s="124">
        <v>-6935095.4092318574</v>
      </c>
      <c r="AD91" s="124">
        <v>-6384163.8699119734</v>
      </c>
      <c r="AE91" s="124">
        <v>-5881995.465312656</v>
      </c>
      <c r="AF91" s="124">
        <v>-5414464.1108394582</v>
      </c>
      <c r="AG91" s="124">
        <v>-4974210.0461597471</v>
      </c>
      <c r="AH91" s="124">
        <v>-4562920.6752600437</v>
      </c>
      <c r="AI91" s="124">
        <v>-4145670.4415170834</v>
      </c>
      <c r="AJ91" s="124">
        <v>-3888413.3529488128</v>
      </c>
      <c r="AK91" s="124">
        <v>-3659713.6968846158</v>
      </c>
      <c r="AL91" s="124">
        <v>-3447764.6766531318</v>
      </c>
      <c r="AM91" s="124">
        <v>-3254045.6172040105</v>
      </c>
      <c r="AN91" s="124">
        <v>-3046657.7903839201</v>
      </c>
      <c r="AO91" s="124">
        <v>-2880129.0234171031</v>
      </c>
      <c r="AP91" s="124">
        <v>-2717015.4919728539</v>
      </c>
      <c r="AQ91" s="124">
        <v>-2560229.2027506656</v>
      </c>
      <c r="AR91" s="124">
        <v>-2412491.4298708169</v>
      </c>
      <c r="AS91" s="124">
        <v>-2253161.4950905871</v>
      </c>
      <c r="AT91" s="124">
        <v>-2116726.3851914895</v>
      </c>
      <c r="AU91" s="124">
        <v>-1984675.1984155325</v>
      </c>
      <c r="AV91" s="124">
        <v>-1852815.8860508301</v>
      </c>
      <c r="AW91" s="124">
        <v>-1722735.9414573037</v>
      </c>
      <c r="AX91" s="124">
        <v>-1582672.8959822941</v>
      </c>
      <c r="AY91" s="124">
        <v>-1455858.7073659259</v>
      </c>
      <c r="AZ91" s="124">
        <v>-1332005.2982624914</v>
      </c>
      <c r="BA91" s="124">
        <v>-1212214.6861373179</v>
      </c>
      <c r="BB91" s="124">
        <v>-1098280.8485474684</v>
      </c>
      <c r="BC91" s="124">
        <v>-984922.12232531654</v>
      </c>
      <c r="BD91" s="124">
        <v>-884016.07045726292</v>
      </c>
      <c r="BE91" s="124">
        <v>-791681.01194288058</v>
      </c>
      <c r="BF91" s="124">
        <v>-706337.5613673972</v>
      </c>
      <c r="BG91" s="124">
        <v>-627525.80775282043</v>
      </c>
      <c r="BH91" s="124">
        <v>-552023.44890655682</v>
      </c>
      <c r="BI91" s="124">
        <v>-485575.06218752917</v>
      </c>
      <c r="BJ91" s="124">
        <v>-423724.94831328047</v>
      </c>
      <c r="BK91" s="124">
        <v>-367362.10516462394</v>
      </c>
      <c r="BL91" s="124">
        <v>-316884.96485476452</v>
      </c>
      <c r="BM91" s="124">
        <v>-271174.71361991897</v>
      </c>
      <c r="BN91" s="124">
        <v>-232241.18559375172</v>
      </c>
      <c r="BO91" s="124">
        <v>-196283.57466856902</v>
      </c>
      <c r="BP91" s="124">
        <v>-163785.80204968908</v>
      </c>
      <c r="BQ91" s="124">
        <v>-134813.45570709262</v>
      </c>
      <c r="BR91" s="124">
        <v>-109110.92798951945</v>
      </c>
      <c r="BS91" s="124">
        <v>-88358.170577411162</v>
      </c>
      <c r="BT91" s="124">
        <v>-69037.09144703958</v>
      </c>
      <c r="BU91" s="124">
        <v>-52303.662987620555</v>
      </c>
      <c r="BV91" s="124">
        <v>-38307.556930078536</v>
      </c>
      <c r="BW91" s="124">
        <v>-27060.244462881768</v>
      </c>
      <c r="BX91" s="124">
        <v>-19197.844865376712</v>
      </c>
      <c r="BY91" s="124">
        <v>-12744.316997821659</v>
      </c>
      <c r="BZ91" s="124">
        <v>-8122.0953525299037</v>
      </c>
      <c r="CA91" s="124">
        <v>-4924.5003183025729</v>
      </c>
      <c r="CB91" s="124">
        <v>-2923.8931008368272</v>
      </c>
      <c r="CC91" s="124">
        <v>-2221.6487807730086</v>
      </c>
      <c r="CD91" s="124">
        <v>-1496.5062449048764</v>
      </c>
      <c r="CE91" s="124">
        <v>-952.53886812579913</v>
      </c>
      <c r="CF91" s="124">
        <v>-540.45769448387284</v>
      </c>
      <c r="CG91" s="124">
        <v>-233.62338046502191</v>
      </c>
      <c r="CH91" s="124">
        <v>-159.65661033513135</v>
      </c>
      <c r="CI91" s="124">
        <v>3.3742349852520874</v>
      </c>
      <c r="CJ91" s="124">
        <v>40.955116762063703</v>
      </c>
      <c r="CK91" s="124">
        <v>45.105009508122365</v>
      </c>
      <c r="CL91" s="124">
        <v>40.529752983137868</v>
      </c>
      <c r="CM91" s="124">
        <v>0</v>
      </c>
      <c r="CN91" s="124">
        <v>0</v>
      </c>
      <c r="CO91" s="124">
        <v>0</v>
      </c>
      <c r="CP91" s="124">
        <v>0</v>
      </c>
      <c r="CQ91" s="124">
        <v>0</v>
      </c>
      <c r="CR91" s="124">
        <v>0</v>
      </c>
      <c r="CS91" s="124">
        <v>0</v>
      </c>
      <c r="CT91" s="124">
        <v>0</v>
      </c>
      <c r="CU91" s="124">
        <v>0</v>
      </c>
      <c r="CV91" s="124">
        <v>0</v>
      </c>
      <c r="CW91" s="124">
        <v>0</v>
      </c>
      <c r="CX91" s="124">
        <v>0</v>
      </c>
      <c r="CY91" s="124">
        <v>0</v>
      </c>
      <c r="CZ91" s="124">
        <v>0</v>
      </c>
      <c r="DA91" s="124">
        <v>0</v>
      </c>
    </row>
    <row r="92" spans="3:105" x14ac:dyDescent="0.3">
      <c r="C92" s="138" t="s">
        <v>83</v>
      </c>
      <c r="D92" s="139"/>
      <c r="E92" s="141"/>
      <c r="F92" s="139">
        <v>238061.72287138886</v>
      </c>
      <c r="G92" s="139">
        <v>1238883.0092103833</v>
      </c>
      <c r="H92" s="139">
        <v>2776546.3264797716</v>
      </c>
      <c r="I92" s="139">
        <v>5221535.2328457227</v>
      </c>
      <c r="J92" s="139">
        <v>8908851.0476804152</v>
      </c>
      <c r="K92" s="139">
        <v>13400360.608919734</v>
      </c>
      <c r="L92" s="139">
        <v>19328603.964419462</v>
      </c>
      <c r="M92" s="139">
        <v>26967700.531096201</v>
      </c>
      <c r="N92" s="139">
        <v>36342598.160152622</v>
      </c>
      <c r="O92" s="139">
        <v>47829152.046232343</v>
      </c>
      <c r="P92" s="139">
        <v>57360943.807571173</v>
      </c>
      <c r="Q92" s="139">
        <v>68247042.698935658</v>
      </c>
      <c r="R92" s="139">
        <v>78610544.47116977</v>
      </c>
      <c r="S92" s="139">
        <v>87482304.566678524</v>
      </c>
      <c r="T92" s="139">
        <v>97723728.984472468</v>
      </c>
      <c r="U92" s="139">
        <v>106509835.20962425</v>
      </c>
      <c r="V92" s="139">
        <v>113687188.05990793</v>
      </c>
      <c r="W92" s="139">
        <v>119298546.76111156</v>
      </c>
      <c r="X92" s="139">
        <v>122959148.18704969</v>
      </c>
      <c r="Y92" s="139">
        <v>126742649.75066327</v>
      </c>
      <c r="Z92" s="139">
        <v>128740540.52684537</v>
      </c>
      <c r="AA92" s="139">
        <v>129284455.6410698</v>
      </c>
      <c r="AB92" s="139">
        <v>128537208.6894695</v>
      </c>
      <c r="AC92" s="139">
        <v>126594295.71400723</v>
      </c>
      <c r="AD92" s="139">
        <v>124903649.98310189</v>
      </c>
      <c r="AE92" s="139">
        <v>122510288.67559023</v>
      </c>
      <c r="AF92" s="139">
        <v>119631045.61808036</v>
      </c>
      <c r="AG92" s="139">
        <v>116386261.58300792</v>
      </c>
      <c r="AH92" s="139">
        <v>112809772.38395886</v>
      </c>
      <c r="AI92" s="139">
        <v>109708720.28065182</v>
      </c>
      <c r="AJ92" s="139">
        <v>106349652.44619258</v>
      </c>
      <c r="AK92" s="139">
        <v>102757285.86726397</v>
      </c>
      <c r="AL92" s="139">
        <v>98904521.630584314</v>
      </c>
      <c r="AM92" s="139">
        <v>94752852.24055557</v>
      </c>
      <c r="AN92" s="139">
        <v>90722189.64330633</v>
      </c>
      <c r="AO92" s="139">
        <v>86580986.887589231</v>
      </c>
      <c r="AP92" s="139">
        <v>82231226.480655923</v>
      </c>
      <c r="AQ92" s="139">
        <v>77708796.181817785</v>
      </c>
      <c r="AR92" s="139">
        <v>73022015.512506023</v>
      </c>
      <c r="AS92" s="139">
        <v>68433620.697831869</v>
      </c>
      <c r="AT92" s="139">
        <v>63758883.068959706</v>
      </c>
      <c r="AU92" s="139">
        <v>59047501.221516848</v>
      </c>
      <c r="AV92" s="139">
        <v>54344725.594103113</v>
      </c>
      <c r="AW92" s="139">
        <v>49690125.992078766</v>
      </c>
      <c r="AX92" s="139">
        <v>45266225.688042492</v>
      </c>
      <c r="AY92" s="139">
        <v>41039055.60501647</v>
      </c>
      <c r="AZ92" s="139">
        <v>37000494.707644798</v>
      </c>
      <c r="BA92" s="139">
        <v>33188342.686698869</v>
      </c>
      <c r="BB92" s="139">
        <v>29619947.225932091</v>
      </c>
      <c r="BC92" s="139">
        <v>26369092.232668936</v>
      </c>
      <c r="BD92" s="139">
        <v>23381152.093438827</v>
      </c>
      <c r="BE92" s="139">
        <v>20638777.781627972</v>
      </c>
      <c r="BF92" s="139">
        <v>18125930.142930139</v>
      </c>
      <c r="BG92" s="139">
        <v>15826546.086213481</v>
      </c>
      <c r="BH92" s="139">
        <v>13757067.539011706</v>
      </c>
      <c r="BI92" s="139">
        <v>11911707.473643079</v>
      </c>
      <c r="BJ92" s="139">
        <v>10241320.518474633</v>
      </c>
      <c r="BK92" s="139">
        <v>8739565.4616415687</v>
      </c>
      <c r="BL92" s="139">
        <v>7395637.0571512608</v>
      </c>
      <c r="BM92" s="139">
        <v>6210128.5661259163</v>
      </c>
      <c r="BN92" s="139">
        <v>5162555.2187851416</v>
      </c>
      <c r="BO92" s="139">
        <v>4241019.403166567</v>
      </c>
      <c r="BP92" s="139">
        <v>3438613.8670498999</v>
      </c>
      <c r="BQ92" s="139">
        <v>2747356.6780522508</v>
      </c>
      <c r="BR92" s="139">
        <v>2163556.0102241146</v>
      </c>
      <c r="BS92" s="139">
        <v>1678423.7807327856</v>
      </c>
      <c r="BT92" s="139">
        <v>1277058.0500690537</v>
      </c>
      <c r="BU92" s="139">
        <v>952536.03653251834</v>
      </c>
      <c r="BV92" s="139">
        <v>696232.26087841194</v>
      </c>
      <c r="BW92" s="139">
        <v>499805.44227772328</v>
      </c>
      <c r="BX92" s="139">
        <v>355445.16300633881</v>
      </c>
      <c r="BY92" s="139">
        <v>248586.3042105489</v>
      </c>
      <c r="BZ92" s="139">
        <v>170712.83029328368</v>
      </c>
      <c r="CA92" s="139">
        <v>114717.14226643249</v>
      </c>
      <c r="CB92" s="139">
        <v>74916.241432793773</v>
      </c>
      <c r="CC92" s="139">
        <v>51173.924529624579</v>
      </c>
      <c r="CD92" s="139">
        <v>34046.803575781225</v>
      </c>
      <c r="CE92" s="139">
        <v>21903.155807645257</v>
      </c>
      <c r="CF92" s="139">
        <v>13446.360314697831</v>
      </c>
      <c r="CG92" s="139">
        <v>7676.5453626295766</v>
      </c>
      <c r="CH92" s="139">
        <v>4667.2702981390839</v>
      </c>
      <c r="CI92" s="139">
        <v>2698.7270104884446</v>
      </c>
      <c r="CJ92" s="139">
        <v>1405.5807280728052</v>
      </c>
      <c r="CK92" s="139">
        <v>558.99215778803386</v>
      </c>
      <c r="CL92" s="139">
        <v>1.9921382183645084E-8</v>
      </c>
      <c r="CM92" s="139">
        <v>0</v>
      </c>
      <c r="CN92" s="139">
        <v>0</v>
      </c>
      <c r="CO92" s="139">
        <v>0</v>
      </c>
      <c r="CP92" s="139">
        <v>0</v>
      </c>
      <c r="CQ92" s="139">
        <v>0</v>
      </c>
      <c r="CR92" s="139">
        <v>0</v>
      </c>
      <c r="CS92" s="139">
        <v>0</v>
      </c>
      <c r="CT92" s="139">
        <v>0</v>
      </c>
      <c r="CU92" s="139">
        <v>0</v>
      </c>
      <c r="CV92" s="139">
        <v>0</v>
      </c>
      <c r="CW92" s="139">
        <v>0</v>
      </c>
      <c r="CX92" s="139">
        <v>0</v>
      </c>
      <c r="CY92" s="139">
        <v>0</v>
      </c>
      <c r="CZ92" s="139">
        <v>0</v>
      </c>
      <c r="DA92" s="139">
        <v>0</v>
      </c>
    </row>
    <row r="94" spans="3:105" x14ac:dyDescent="0.3">
      <c r="C94" s="131" t="s">
        <v>104</v>
      </c>
    </row>
    <row r="95" spans="3:105" x14ac:dyDescent="0.3">
      <c r="C95" s="133" t="s">
        <v>95</v>
      </c>
      <c r="D95" s="134"/>
      <c r="E95" s="143"/>
      <c r="F95" s="134">
        <v>0</v>
      </c>
      <c r="G95" s="134">
        <v>39814.206901010788</v>
      </c>
      <c r="H95" s="134">
        <v>199345.22330011643</v>
      </c>
      <c r="I95" s="134">
        <v>396861.19594785827</v>
      </c>
      <c r="J95" s="134">
        <v>617664.52466389746</v>
      </c>
      <c r="K95" s="134">
        <v>899157.77241352899</v>
      </c>
      <c r="L95" s="134">
        <v>1194626.6560323983</v>
      </c>
      <c r="M95" s="134">
        <v>1512781.6250919201</v>
      </c>
      <c r="N95" s="134">
        <v>1862968.6846525047</v>
      </c>
      <c r="O95" s="134">
        <v>2258001.4300833838</v>
      </c>
      <c r="P95" s="134">
        <v>2715619.7914531338</v>
      </c>
      <c r="Q95" s="134">
        <v>2563393.4055915382</v>
      </c>
      <c r="R95" s="134">
        <v>2410001.1304045864</v>
      </c>
      <c r="S95" s="134">
        <v>2258758.7934641913</v>
      </c>
      <c r="T95" s="134">
        <v>2113564.9828020814</v>
      </c>
      <c r="U95" s="134">
        <v>1975473.1448548364</v>
      </c>
      <c r="V95" s="134">
        <v>1844552.0134391987</v>
      </c>
      <c r="W95" s="134">
        <v>1720590.0455420527</v>
      </c>
      <c r="X95" s="134">
        <v>1603298.0148150735</v>
      </c>
      <c r="Y95" s="134">
        <v>1492359.790023451</v>
      </c>
      <c r="Z95" s="134">
        <v>1387459.604515044</v>
      </c>
      <c r="AA95" s="134">
        <v>1288300.6334669921</v>
      </c>
      <c r="AB95" s="134">
        <v>1194586.5453432181</v>
      </c>
      <c r="AC95" s="134">
        <v>1106067.8068232797</v>
      </c>
      <c r="AD95" s="134">
        <v>1022500.7439748895</v>
      </c>
      <c r="AE95" s="134">
        <v>943644.5242221643</v>
      </c>
      <c r="AF95" s="134">
        <v>869258.60813109751</v>
      </c>
      <c r="AG95" s="134">
        <v>799109.42226806353</v>
      </c>
      <c r="AH95" s="134">
        <v>733052.06451939163</v>
      </c>
      <c r="AI95" s="134">
        <v>670943.76943075017</v>
      </c>
      <c r="AJ95" s="134">
        <v>612646.00002541824</v>
      </c>
      <c r="AK95" s="134">
        <v>558023.95667776314</v>
      </c>
      <c r="AL95" s="134">
        <v>506943.88330727926</v>
      </c>
      <c r="AM95" s="134">
        <v>459273.47237725323</v>
      </c>
      <c r="AN95" s="134">
        <v>414880.91808203724</v>
      </c>
      <c r="AO95" s="134">
        <v>373633.62732704321</v>
      </c>
      <c r="AP95" s="134">
        <v>335397.1258686728</v>
      </c>
      <c r="AQ95" s="134">
        <v>300033.99742436997</v>
      </c>
      <c r="AR95" s="134">
        <v>267429.39603003109</v>
      </c>
      <c r="AS95" s="134">
        <v>237467.07847102726</v>
      </c>
      <c r="AT95" s="134">
        <v>210029.33725899033</v>
      </c>
      <c r="AU95" s="134">
        <v>184997.00646111634</v>
      </c>
      <c r="AV95" s="134">
        <v>162249.52132320221</v>
      </c>
      <c r="AW95" s="134">
        <v>141663.34412273881</v>
      </c>
      <c r="AX95" s="134">
        <v>123113.0937144136</v>
      </c>
      <c r="AY95" s="134">
        <v>106472.41117532662</v>
      </c>
      <c r="AZ95" s="134">
        <v>91614.783763012121</v>
      </c>
      <c r="BA95" s="134">
        <v>78414.625030454292</v>
      </c>
      <c r="BB95" s="134">
        <v>66749.407383249345</v>
      </c>
      <c r="BC95" s="134">
        <v>56498.565582828058</v>
      </c>
      <c r="BD95" s="134">
        <v>47544.519033119439</v>
      </c>
      <c r="BE95" s="134">
        <v>39773.508709541587</v>
      </c>
      <c r="BF95" s="134">
        <v>33076.035581537333</v>
      </c>
      <c r="BG95" s="134">
        <v>27344.641151062111</v>
      </c>
      <c r="BH95" s="134">
        <v>22474.552534396411</v>
      </c>
      <c r="BI95" s="134">
        <v>18364.868047527496</v>
      </c>
      <c r="BJ95" s="134">
        <v>14919.848960416808</v>
      </c>
      <c r="BK95" s="134">
        <v>12048.499071669385</v>
      </c>
      <c r="BL95" s="134">
        <v>9670.0850799108921</v>
      </c>
      <c r="BM95" s="134">
        <v>7711.0992256726231</v>
      </c>
      <c r="BN95" s="134">
        <v>6106.4946878047704</v>
      </c>
      <c r="BO95" s="134">
        <v>4800.080082979317</v>
      </c>
      <c r="BP95" s="134">
        <v>3743.4416093428481</v>
      </c>
      <c r="BQ95" s="134">
        <v>2896.0122915348484</v>
      </c>
      <c r="BR95" s="134">
        <v>2223.128517346951</v>
      </c>
      <c r="BS95" s="134">
        <v>1694.8873478018209</v>
      </c>
      <c r="BT95" s="134">
        <v>1285.3814644055487</v>
      </c>
      <c r="BU95" s="134">
        <v>968.26326442070763</v>
      </c>
      <c r="BV95" s="134">
        <v>725.55559560797565</v>
      </c>
      <c r="BW95" s="134">
        <v>541.36859153439104</v>
      </c>
      <c r="BX95" s="134">
        <v>402.28828971486809</v>
      </c>
      <c r="BY95" s="134">
        <v>297.48210756571547</v>
      </c>
      <c r="BZ95" s="134">
        <v>218.34476695099804</v>
      </c>
      <c r="CA95" s="134">
        <v>158.62486811366821</v>
      </c>
      <c r="CB95" s="134">
        <v>113.79325734770688</v>
      </c>
      <c r="CC95" s="134">
        <v>80.556830137606838</v>
      </c>
      <c r="CD95" s="134">
        <v>56.491572991375442</v>
      </c>
      <c r="CE95" s="134">
        <v>38.358682727406801</v>
      </c>
      <c r="CF95" s="134">
        <v>25.122732259807606</v>
      </c>
      <c r="CG95" s="134">
        <v>15.779647007744284</v>
      </c>
      <c r="CH95" s="134">
        <v>9.421766119255377</v>
      </c>
      <c r="CI95" s="134">
        <v>5.27626219440186</v>
      </c>
      <c r="CJ95" s="134">
        <v>2.6802332680889669</v>
      </c>
      <c r="CK95" s="134">
        <v>1.1473910447312572</v>
      </c>
      <c r="CL95" s="134">
        <v>0.33231015275042153</v>
      </c>
      <c r="CM95" s="134">
        <v>0</v>
      </c>
      <c r="CN95" s="134">
        <v>0</v>
      </c>
      <c r="CO95" s="134">
        <v>0</v>
      </c>
      <c r="CP95" s="134">
        <v>0</v>
      </c>
      <c r="CQ95" s="134">
        <v>0</v>
      </c>
      <c r="CR95" s="134">
        <v>0</v>
      </c>
      <c r="CS95" s="134">
        <v>0</v>
      </c>
      <c r="CT95" s="134">
        <v>0</v>
      </c>
      <c r="CU95" s="134">
        <v>0</v>
      </c>
      <c r="CV95" s="134">
        <v>0</v>
      </c>
      <c r="CW95" s="134">
        <v>0</v>
      </c>
      <c r="CX95" s="134">
        <v>0</v>
      </c>
      <c r="CY95" s="134">
        <v>0</v>
      </c>
      <c r="CZ95" s="134">
        <v>0</v>
      </c>
      <c r="DA95" s="134">
        <v>0</v>
      </c>
    </row>
    <row r="96" spans="3:105" x14ac:dyDescent="0.3">
      <c r="C96" s="136" t="s">
        <v>105</v>
      </c>
      <c r="F96" s="124">
        <v>43642.408594125962</v>
      </c>
      <c r="G96" s="124">
        <v>176758.66379782223</v>
      </c>
      <c r="H96" s="124">
        <v>226251.08966121252</v>
      </c>
      <c r="I96" s="124">
        <v>262612.87192819308</v>
      </c>
      <c r="J96" s="124">
        <v>342406.7830140671</v>
      </c>
      <c r="K96" s="124">
        <v>374728.3672513832</v>
      </c>
      <c r="L96" s="124">
        <v>418160.49607027665</v>
      </c>
      <c r="M96" s="124">
        <v>473713.21897816373</v>
      </c>
      <c r="N96" s="124">
        <v>545426.73400470871</v>
      </c>
      <c r="O96" s="124">
        <v>639361.33819440857</v>
      </c>
      <c r="P96" s="124">
        <v>0</v>
      </c>
      <c r="Q96" s="124">
        <v>0</v>
      </c>
      <c r="R96" s="124">
        <v>0</v>
      </c>
      <c r="S96" s="124">
        <v>0</v>
      </c>
      <c r="T96" s="124">
        <v>0</v>
      </c>
      <c r="U96" s="124">
        <v>0</v>
      </c>
      <c r="V96" s="124">
        <v>0</v>
      </c>
      <c r="W96" s="124">
        <v>0</v>
      </c>
      <c r="X96" s="124">
        <v>0</v>
      </c>
      <c r="Y96" s="124">
        <v>0</v>
      </c>
      <c r="Z96" s="124">
        <v>0</v>
      </c>
      <c r="AA96" s="124">
        <v>0</v>
      </c>
      <c r="AB96" s="124">
        <v>0</v>
      </c>
      <c r="AC96" s="124">
        <v>0</v>
      </c>
      <c r="AD96" s="124">
        <v>0</v>
      </c>
      <c r="AE96" s="124">
        <v>0</v>
      </c>
      <c r="AF96" s="124">
        <v>0</v>
      </c>
      <c r="AG96" s="124">
        <v>0</v>
      </c>
      <c r="AH96" s="124">
        <v>0</v>
      </c>
      <c r="AI96" s="124">
        <v>0</v>
      </c>
      <c r="AJ96" s="124">
        <v>0</v>
      </c>
      <c r="AK96" s="124">
        <v>0</v>
      </c>
      <c r="AL96" s="124">
        <v>0</v>
      </c>
      <c r="AM96" s="124">
        <v>0</v>
      </c>
      <c r="AN96" s="124">
        <v>0</v>
      </c>
      <c r="AO96" s="124">
        <v>0</v>
      </c>
      <c r="AP96" s="124">
        <v>0</v>
      </c>
      <c r="AQ96" s="124">
        <v>0</v>
      </c>
      <c r="AR96" s="124">
        <v>0</v>
      </c>
      <c r="AS96" s="124">
        <v>0</v>
      </c>
      <c r="AT96" s="124">
        <v>0</v>
      </c>
      <c r="AU96" s="124">
        <v>0</v>
      </c>
      <c r="AV96" s="124">
        <v>0</v>
      </c>
      <c r="AW96" s="124">
        <v>0</v>
      </c>
      <c r="AX96" s="124">
        <v>0</v>
      </c>
      <c r="AY96" s="124">
        <v>0</v>
      </c>
      <c r="AZ96" s="124">
        <v>0</v>
      </c>
      <c r="BA96" s="124">
        <v>0</v>
      </c>
      <c r="BB96" s="124">
        <v>0</v>
      </c>
      <c r="BC96" s="124">
        <v>0</v>
      </c>
      <c r="BD96" s="124">
        <v>0</v>
      </c>
      <c r="BE96" s="124">
        <v>0</v>
      </c>
      <c r="BF96" s="124">
        <v>0</v>
      </c>
      <c r="BG96" s="124">
        <v>0</v>
      </c>
      <c r="BH96" s="124">
        <v>0</v>
      </c>
      <c r="BI96" s="124">
        <v>0</v>
      </c>
      <c r="BJ96" s="124">
        <v>0</v>
      </c>
      <c r="BK96" s="124">
        <v>0</v>
      </c>
      <c r="BL96" s="124">
        <v>0</v>
      </c>
      <c r="BM96" s="124">
        <v>0</v>
      </c>
      <c r="BN96" s="124">
        <v>0</v>
      </c>
      <c r="BO96" s="124">
        <v>0</v>
      </c>
      <c r="BP96" s="124">
        <v>0</v>
      </c>
      <c r="BQ96" s="124">
        <v>0</v>
      </c>
      <c r="BR96" s="124">
        <v>0</v>
      </c>
      <c r="BS96" s="124">
        <v>0</v>
      </c>
      <c r="BT96" s="124">
        <v>0</v>
      </c>
      <c r="BU96" s="124">
        <v>0</v>
      </c>
      <c r="BV96" s="124">
        <v>0</v>
      </c>
      <c r="BW96" s="124">
        <v>0</v>
      </c>
      <c r="BX96" s="124">
        <v>0</v>
      </c>
      <c r="BY96" s="124">
        <v>0</v>
      </c>
      <c r="BZ96" s="124">
        <v>0</v>
      </c>
      <c r="CA96" s="124">
        <v>0</v>
      </c>
      <c r="CB96" s="124">
        <v>0</v>
      </c>
      <c r="CC96" s="124">
        <v>0</v>
      </c>
      <c r="CD96" s="124">
        <v>0</v>
      </c>
      <c r="CE96" s="124">
        <v>0</v>
      </c>
      <c r="CF96" s="124">
        <v>0</v>
      </c>
      <c r="CG96" s="124">
        <v>0</v>
      </c>
      <c r="CH96" s="124">
        <v>0</v>
      </c>
      <c r="CI96" s="124">
        <v>0</v>
      </c>
      <c r="CJ96" s="124">
        <v>0</v>
      </c>
      <c r="CK96" s="124">
        <v>0</v>
      </c>
      <c r="CL96" s="124">
        <v>0</v>
      </c>
      <c r="CM96" s="124">
        <v>0</v>
      </c>
      <c r="CN96" s="124">
        <v>0</v>
      </c>
      <c r="CO96" s="124">
        <v>0</v>
      </c>
      <c r="CP96" s="124">
        <v>0</v>
      </c>
      <c r="CQ96" s="124">
        <v>0</v>
      </c>
      <c r="CR96" s="124">
        <v>0</v>
      </c>
      <c r="CS96" s="124">
        <v>0</v>
      </c>
      <c r="CT96" s="124">
        <v>0</v>
      </c>
      <c r="CU96" s="124">
        <v>0</v>
      </c>
      <c r="CV96" s="124">
        <v>0</v>
      </c>
      <c r="CW96" s="124">
        <v>0</v>
      </c>
      <c r="CX96" s="124">
        <v>0</v>
      </c>
      <c r="CY96" s="124">
        <v>0</v>
      </c>
      <c r="CZ96" s="124">
        <v>0</v>
      </c>
      <c r="DA96" s="124">
        <v>0</v>
      </c>
    </row>
    <row r="97" spans="3:105" x14ac:dyDescent="0.3">
      <c r="C97" s="136" t="s">
        <v>106</v>
      </c>
      <c r="F97" s="124">
        <v>3735.3659998860958</v>
      </c>
      <c r="G97" s="124">
        <v>19105.318031416242</v>
      </c>
      <c r="H97" s="124">
        <v>38398.532091435409</v>
      </c>
      <c r="I97" s="124">
        <v>57369.883073110213</v>
      </c>
      <c r="J97" s="124">
        <v>80369.258030562516</v>
      </c>
      <c r="K97" s="124">
        <v>104170.35686862931</v>
      </c>
      <c r="L97" s="124">
        <v>128588.55424760743</v>
      </c>
      <c r="M97" s="124">
        <v>155354.60525369222</v>
      </c>
      <c r="N97" s="124">
        <v>185897.08143305275</v>
      </c>
      <c r="O97" s="124">
        <v>221835.13720354947</v>
      </c>
      <c r="P97" s="124">
        <v>199914.23589750077</v>
      </c>
      <c r="Q97" s="124">
        <v>169931.68170702865</v>
      </c>
      <c r="R97" s="124">
        <v>152556.97966563053</v>
      </c>
      <c r="S97" s="124">
        <v>140700.80478404902</v>
      </c>
      <c r="T97" s="124">
        <v>130988.09303834321</v>
      </c>
      <c r="U97" s="124">
        <v>122239.18255891219</v>
      </c>
      <c r="V97" s="124">
        <v>114084.06798283492</v>
      </c>
      <c r="W97" s="124">
        <v>106401.92140171102</v>
      </c>
      <c r="X97" s="124">
        <v>99144.262417304912</v>
      </c>
      <c r="Y97" s="124">
        <v>92282.895696314226</v>
      </c>
      <c r="Z97" s="124">
        <v>85795.856464626399</v>
      </c>
      <c r="AA97" s="124">
        <v>79664.103056809181</v>
      </c>
      <c r="AB97" s="124">
        <v>73869.117993460648</v>
      </c>
      <c r="AC97" s="124">
        <v>68395.416631640284</v>
      </c>
      <c r="AD97" s="124">
        <v>63227.915745422382</v>
      </c>
      <c r="AE97" s="124">
        <v>58351.718794989923</v>
      </c>
      <c r="AF97" s="124">
        <v>53751.950451518474</v>
      </c>
      <c r="AG97" s="124">
        <v>49414.167004353279</v>
      </c>
      <c r="AH97" s="124">
        <v>45329.40811322334</v>
      </c>
      <c r="AI97" s="124">
        <v>41488.845629219475</v>
      </c>
      <c r="AJ97" s="124">
        <v>37883.912896813919</v>
      </c>
      <c r="AK97" s="124">
        <v>34506.274370644293</v>
      </c>
      <c r="AL97" s="124">
        <v>31347.659036047178</v>
      </c>
      <c r="AM97" s="124">
        <v>28399.885451713566</v>
      </c>
      <c r="AN97" s="124">
        <v>25654.803201763891</v>
      </c>
      <c r="AO97" s="124">
        <v>23104.213187120735</v>
      </c>
      <c r="AP97" s="124">
        <v>20739.799984958121</v>
      </c>
      <c r="AQ97" s="124">
        <v>18553.06624692247</v>
      </c>
      <c r="AR97" s="124">
        <v>16536.910295208316</v>
      </c>
      <c r="AS97" s="124">
        <v>14684.144050864188</v>
      </c>
      <c r="AT97" s="124">
        <v>12987.488889306627</v>
      </c>
      <c r="AU97" s="124">
        <v>11439.576000784917</v>
      </c>
      <c r="AV97" s="124">
        <v>10032.950077264466</v>
      </c>
      <c r="AW97" s="124">
        <v>8759.9719726170442</v>
      </c>
      <c r="AX97" s="124">
        <v>7612.8885498144546</v>
      </c>
      <c r="AY97" s="124">
        <v>6583.8862094396991</v>
      </c>
      <c r="AZ97" s="124">
        <v>5665.1418404045444</v>
      </c>
      <c r="BA97" s="124">
        <v>4848.8896105326412</v>
      </c>
      <c r="BB97" s="124">
        <v>4127.5528365294485</v>
      </c>
      <c r="BC97" s="124">
        <v>3493.6761804086059</v>
      </c>
      <c r="BD97" s="124">
        <v>2939.9888641682614</v>
      </c>
      <c r="BE97" s="124">
        <v>2459.4564225898348</v>
      </c>
      <c r="BF97" s="124">
        <v>2045.3078137737168</v>
      </c>
      <c r="BG97" s="124">
        <v>1690.898175303839</v>
      </c>
      <c r="BH97" s="124">
        <v>1389.7487138793454</v>
      </c>
      <c r="BI97" s="124">
        <v>1135.6200178203458</v>
      </c>
      <c r="BJ97" s="124">
        <v>922.59193469056447</v>
      </c>
      <c r="BK97" s="124">
        <v>745.03757364701028</v>
      </c>
      <c r="BL97" s="124">
        <v>597.96466614149097</v>
      </c>
      <c r="BM97" s="124">
        <v>476.82774618417545</v>
      </c>
      <c r="BN97" s="124">
        <v>377.60454299142725</v>
      </c>
      <c r="BO97" s="124">
        <v>296.82037547261166</v>
      </c>
      <c r="BP97" s="124">
        <v>231.48150131596933</v>
      </c>
      <c r="BQ97" s="124">
        <v>179.07939886143006</v>
      </c>
      <c r="BR97" s="124">
        <v>137.47059003924019</v>
      </c>
      <c r="BS97" s="124">
        <v>104.80598037148485</v>
      </c>
      <c r="BT97" s="124">
        <v>79.483550752255596</v>
      </c>
      <c r="BU97" s="124">
        <v>59.874056418514733</v>
      </c>
      <c r="BV97" s="124">
        <v>44.865852359059815</v>
      </c>
      <c r="BW97" s="124">
        <v>33.476364108612792</v>
      </c>
      <c r="BX97" s="124">
        <v>24.876118551606737</v>
      </c>
      <c r="BY97" s="124">
        <v>18.395266190898873</v>
      </c>
      <c r="BZ97" s="124">
        <v>13.501686344500579</v>
      </c>
      <c r="CA97" s="124">
        <v>9.8088140403622344</v>
      </c>
      <c r="CB97" s="124">
        <v>7.0365820545297542</v>
      </c>
      <c r="CC97" s="124">
        <v>4.9813561763508654</v>
      </c>
      <c r="CD97" s="124">
        <v>3.4932437827018008</v>
      </c>
      <c r="CE97" s="124">
        <v>2.3719684698919519</v>
      </c>
      <c r="CF97" s="124">
        <v>1.5535030027301286</v>
      </c>
      <c r="CG97" s="124">
        <v>0.9757588766637042</v>
      </c>
      <c r="CH97" s="124">
        <v>0.58260947917284944</v>
      </c>
      <c r="CI97" s="124">
        <v>0.3262658327696647</v>
      </c>
      <c r="CJ97" s="124">
        <v>0.16573636923461119</v>
      </c>
      <c r="CK97" s="124">
        <v>7.0950699743255824E-2</v>
      </c>
      <c r="CL97" s="124">
        <v>2.0548912228047826E-2</v>
      </c>
      <c r="CM97" s="124">
        <v>0</v>
      </c>
      <c r="CN97" s="124">
        <v>0</v>
      </c>
      <c r="CO97" s="124">
        <v>0</v>
      </c>
      <c r="CP97" s="124">
        <v>0</v>
      </c>
      <c r="CQ97" s="124">
        <v>0</v>
      </c>
      <c r="CR97" s="124">
        <v>0</v>
      </c>
      <c r="CS97" s="124">
        <v>0</v>
      </c>
      <c r="CT97" s="124">
        <v>0</v>
      </c>
      <c r="CU97" s="124">
        <v>0</v>
      </c>
      <c r="CV97" s="124">
        <v>0</v>
      </c>
      <c r="CW97" s="124">
        <v>0</v>
      </c>
      <c r="CX97" s="124">
        <v>0</v>
      </c>
      <c r="CY97" s="124">
        <v>0</v>
      </c>
      <c r="CZ97" s="124">
        <v>0</v>
      </c>
      <c r="DA97" s="124">
        <v>0</v>
      </c>
    </row>
    <row r="98" spans="3:105" x14ac:dyDescent="0.3">
      <c r="C98" s="136" t="s">
        <v>107</v>
      </c>
      <c r="F98" s="124">
        <v>-7563.5676930012714</v>
      </c>
      <c r="G98" s="124">
        <v>-36332.965430132914</v>
      </c>
      <c r="H98" s="124">
        <v>-67133.649104905955</v>
      </c>
      <c r="I98" s="124">
        <v>-99179.426285264039</v>
      </c>
      <c r="J98" s="124">
        <v>-141282.79329499824</v>
      </c>
      <c r="K98" s="124">
        <v>-183429.84050114348</v>
      </c>
      <c r="L98" s="124">
        <v>-228594.08125836166</v>
      </c>
      <c r="M98" s="124">
        <v>-278880.76467127219</v>
      </c>
      <c r="N98" s="124">
        <v>-336291.07000688167</v>
      </c>
      <c r="O98" s="124">
        <v>-403578.11402820871</v>
      </c>
      <c r="P98" s="124">
        <v>-352140.62175909587</v>
      </c>
      <c r="Q98" s="124">
        <v>-323323.9568939801</v>
      </c>
      <c r="R98" s="124">
        <v>-303799.31660602632</v>
      </c>
      <c r="S98" s="124">
        <v>-285894.61544615956</v>
      </c>
      <c r="T98" s="124">
        <v>-269079.93098558683</v>
      </c>
      <c r="U98" s="124">
        <v>-253160.31397455031</v>
      </c>
      <c r="V98" s="124">
        <v>-238046.03587998135</v>
      </c>
      <c r="W98" s="124">
        <v>-223693.95212868889</v>
      </c>
      <c r="X98" s="124">
        <v>-210082.48720892821</v>
      </c>
      <c r="Y98" s="124">
        <v>-197183.08120472077</v>
      </c>
      <c r="Z98" s="124">
        <v>-184954.82751267962</v>
      </c>
      <c r="AA98" s="124">
        <v>-173378.19118058265</v>
      </c>
      <c r="AB98" s="124">
        <v>-162387.85651339919</v>
      </c>
      <c r="AC98" s="124">
        <v>-151962.47948003057</v>
      </c>
      <c r="AD98" s="124">
        <v>-142084.13549814746</v>
      </c>
      <c r="AE98" s="124">
        <v>-132737.63488605633</v>
      </c>
      <c r="AF98" s="124">
        <v>-123901.13631455258</v>
      </c>
      <c r="AG98" s="124">
        <v>-115471.52475302509</v>
      </c>
      <c r="AH98" s="124">
        <v>-107437.70320186493</v>
      </c>
      <c r="AI98" s="124">
        <v>-99786.615034551345</v>
      </c>
      <c r="AJ98" s="124">
        <v>-92505.95624446914</v>
      </c>
      <c r="AK98" s="124">
        <v>-85586.347741128397</v>
      </c>
      <c r="AL98" s="124">
        <v>-79018.069966072901</v>
      </c>
      <c r="AM98" s="124">
        <v>-72792.439746929609</v>
      </c>
      <c r="AN98" s="124">
        <v>-66902.093956758021</v>
      </c>
      <c r="AO98" s="124">
        <v>-61340.714645491062</v>
      </c>
      <c r="AP98" s="124">
        <v>-56102.928429261046</v>
      </c>
      <c r="AQ98" s="124">
        <v>-51157.667641261163</v>
      </c>
      <c r="AR98" s="124">
        <v>-46499.227854212324</v>
      </c>
      <c r="AS98" s="124">
        <v>-42121.88526290116</v>
      </c>
      <c r="AT98" s="124">
        <v>-38019.819687180432</v>
      </c>
      <c r="AU98" s="124">
        <v>-34187.061138699086</v>
      </c>
      <c r="AV98" s="124">
        <v>-30619.127277727886</v>
      </c>
      <c r="AW98" s="124">
        <v>-27310.222380942298</v>
      </c>
      <c r="AX98" s="124">
        <v>-24253.57108890135</v>
      </c>
      <c r="AY98" s="124">
        <v>-21441.513621754213</v>
      </c>
      <c r="AZ98" s="124">
        <v>-18865.300572962384</v>
      </c>
      <c r="BA98" s="124">
        <v>-16514.107257737593</v>
      </c>
      <c r="BB98" s="124">
        <v>-14378.394636950745</v>
      </c>
      <c r="BC98" s="124">
        <v>-12447.722730117237</v>
      </c>
      <c r="BD98" s="124">
        <v>-10710.999187746063</v>
      </c>
      <c r="BE98" s="124">
        <v>-9156.9295505941245</v>
      </c>
      <c r="BF98" s="124">
        <v>-7776.7022442489279</v>
      </c>
      <c r="BG98" s="124">
        <v>-6560.9867919695471</v>
      </c>
      <c r="BH98" s="124">
        <v>-5499.4332007482553</v>
      </c>
      <c r="BI98" s="124">
        <v>-4580.6391049310387</v>
      </c>
      <c r="BJ98" s="124">
        <v>-3793.9418234379837</v>
      </c>
      <c r="BK98" s="124">
        <v>-3123.4515654055076</v>
      </c>
      <c r="BL98" s="124">
        <v>-2556.9505203797594</v>
      </c>
      <c r="BM98" s="124">
        <v>-2081.432284052024</v>
      </c>
      <c r="BN98" s="124">
        <v>-1684.0191478168829</v>
      </c>
      <c r="BO98" s="124">
        <v>-1353.4588491090819</v>
      </c>
      <c r="BP98" s="124">
        <v>-1078.910819123967</v>
      </c>
      <c r="BQ98" s="124">
        <v>-851.96317304932825</v>
      </c>
      <c r="BR98" s="124">
        <v>-665.71175958437084</v>
      </c>
      <c r="BS98" s="124">
        <v>-514.31186376775634</v>
      </c>
      <c r="BT98" s="124">
        <v>-396.60175073709746</v>
      </c>
      <c r="BU98" s="124">
        <v>-302.58172523124642</v>
      </c>
      <c r="BV98" s="124">
        <v>-229.05285643264435</v>
      </c>
      <c r="BW98" s="124">
        <v>-172.55666592813594</v>
      </c>
      <c r="BX98" s="124">
        <v>-129.68230070075916</v>
      </c>
      <c r="BY98" s="124">
        <v>-97.53260680561641</v>
      </c>
      <c r="BZ98" s="124">
        <v>-73.221585181830363</v>
      </c>
      <c r="CA98" s="124">
        <v>-54.640424806323594</v>
      </c>
      <c r="CB98" s="124">
        <v>-40.273009264629771</v>
      </c>
      <c r="CC98" s="124">
        <v>-29.046613322582274</v>
      </c>
      <c r="CD98" s="124">
        <v>-21.626134046670437</v>
      </c>
      <c r="CE98" s="124">
        <v>-15.607918937491142</v>
      </c>
      <c r="CF98" s="124">
        <v>-10.896588254793452</v>
      </c>
      <c r="CG98" s="124">
        <v>-7.3336397651526104</v>
      </c>
      <c r="CH98" s="124">
        <v>-4.7281134040263675</v>
      </c>
      <c r="CI98" s="124">
        <v>-2.9222947590825572</v>
      </c>
      <c r="CJ98" s="124">
        <v>-1.6985785925923214</v>
      </c>
      <c r="CK98" s="124">
        <v>-0.88603159172409141</v>
      </c>
      <c r="CL98" s="124">
        <v>-0.35285906497846942</v>
      </c>
      <c r="CM98" s="124">
        <v>0</v>
      </c>
      <c r="CN98" s="124">
        <v>0</v>
      </c>
      <c r="CO98" s="124">
        <v>0</v>
      </c>
      <c r="CP98" s="124">
        <v>0</v>
      </c>
      <c r="CQ98" s="124">
        <v>0</v>
      </c>
      <c r="CR98" s="124">
        <v>0</v>
      </c>
      <c r="CS98" s="124">
        <v>0</v>
      </c>
      <c r="CT98" s="124">
        <v>0</v>
      </c>
      <c r="CU98" s="124">
        <v>0</v>
      </c>
      <c r="CV98" s="124">
        <v>0</v>
      </c>
      <c r="CW98" s="124">
        <v>0</v>
      </c>
      <c r="CX98" s="124">
        <v>0</v>
      </c>
      <c r="CY98" s="124">
        <v>0</v>
      </c>
      <c r="CZ98" s="124">
        <v>0</v>
      </c>
      <c r="DA98" s="124">
        <v>0</v>
      </c>
    </row>
    <row r="99" spans="3:105" x14ac:dyDescent="0.3">
      <c r="C99" s="138" t="s">
        <v>83</v>
      </c>
      <c r="D99" s="139"/>
      <c r="E99" s="141"/>
      <c r="F99" s="139">
        <v>39814.206901010788</v>
      </c>
      <c r="G99" s="139">
        <v>199345.22330011643</v>
      </c>
      <c r="H99" s="139">
        <v>396861.19594785827</v>
      </c>
      <c r="I99" s="139">
        <v>617664.52466389746</v>
      </c>
      <c r="J99" s="139">
        <v>899157.77241352899</v>
      </c>
      <c r="K99" s="139">
        <v>1194626.6560323983</v>
      </c>
      <c r="L99" s="139">
        <v>1512781.6250919201</v>
      </c>
      <c r="M99" s="139">
        <v>1862968.6846525047</v>
      </c>
      <c r="N99" s="139">
        <v>2258001.4300833838</v>
      </c>
      <c r="O99" s="139">
        <v>2715619.7914531338</v>
      </c>
      <c r="P99" s="139">
        <v>2563393.4055915382</v>
      </c>
      <c r="Q99" s="139">
        <v>2410001.1304045864</v>
      </c>
      <c r="R99" s="139">
        <v>2258758.7934641913</v>
      </c>
      <c r="S99" s="139">
        <v>2113564.9828020814</v>
      </c>
      <c r="T99" s="139">
        <v>1975473.1448548364</v>
      </c>
      <c r="U99" s="139">
        <v>1844552.0134391987</v>
      </c>
      <c r="V99" s="139">
        <v>1720590.0455420527</v>
      </c>
      <c r="W99" s="139">
        <v>1603298.0148150735</v>
      </c>
      <c r="X99" s="139">
        <v>1492359.790023451</v>
      </c>
      <c r="Y99" s="139">
        <v>1387459.604515044</v>
      </c>
      <c r="Z99" s="139">
        <v>1288300.6334669921</v>
      </c>
      <c r="AA99" s="139">
        <v>1194586.5453432181</v>
      </c>
      <c r="AB99" s="139">
        <v>1106067.8068232797</v>
      </c>
      <c r="AC99" s="139">
        <v>1022500.7439748895</v>
      </c>
      <c r="AD99" s="139">
        <v>943644.5242221643</v>
      </c>
      <c r="AE99" s="139">
        <v>869258.60813109751</v>
      </c>
      <c r="AF99" s="139">
        <v>799109.42226806353</v>
      </c>
      <c r="AG99" s="139">
        <v>733052.06451939163</v>
      </c>
      <c r="AH99" s="139">
        <v>670943.76943075017</v>
      </c>
      <c r="AI99" s="139">
        <v>612646.00002541824</v>
      </c>
      <c r="AJ99" s="139">
        <v>558023.95667776314</v>
      </c>
      <c r="AK99" s="139">
        <v>506943.88330727926</v>
      </c>
      <c r="AL99" s="139">
        <v>459273.47237725323</v>
      </c>
      <c r="AM99" s="139">
        <v>414880.91808203724</v>
      </c>
      <c r="AN99" s="139">
        <v>373633.62732704321</v>
      </c>
      <c r="AO99" s="139">
        <v>335397.1258686728</v>
      </c>
      <c r="AP99" s="139">
        <v>300033.99742436997</v>
      </c>
      <c r="AQ99" s="139">
        <v>267429.39603003109</v>
      </c>
      <c r="AR99" s="139">
        <v>237467.07847102726</v>
      </c>
      <c r="AS99" s="139">
        <v>210029.33725899033</v>
      </c>
      <c r="AT99" s="139">
        <v>184997.00646111634</v>
      </c>
      <c r="AU99" s="139">
        <v>162249.52132320221</v>
      </c>
      <c r="AV99" s="139">
        <v>141663.34412273881</v>
      </c>
      <c r="AW99" s="139">
        <v>123113.0937144136</v>
      </c>
      <c r="AX99" s="139">
        <v>106472.41117532662</v>
      </c>
      <c r="AY99" s="139">
        <v>91614.783763012121</v>
      </c>
      <c r="AZ99" s="139">
        <v>78414.625030454292</v>
      </c>
      <c r="BA99" s="139">
        <v>66749.407383249345</v>
      </c>
      <c r="BB99" s="139">
        <v>56498.565582828058</v>
      </c>
      <c r="BC99" s="139">
        <v>47544.519033119439</v>
      </c>
      <c r="BD99" s="139">
        <v>39773.508709541587</v>
      </c>
      <c r="BE99" s="139">
        <v>33076.035581537333</v>
      </c>
      <c r="BF99" s="139">
        <v>27344.641151062111</v>
      </c>
      <c r="BG99" s="139">
        <v>22474.552534396411</v>
      </c>
      <c r="BH99" s="139">
        <v>18364.868047527496</v>
      </c>
      <c r="BI99" s="139">
        <v>14919.848960416808</v>
      </c>
      <c r="BJ99" s="139">
        <v>12048.499071669385</v>
      </c>
      <c r="BK99" s="139">
        <v>9670.0850799108921</v>
      </c>
      <c r="BL99" s="139">
        <v>7711.0992256726231</v>
      </c>
      <c r="BM99" s="139">
        <v>6106.4946878047704</v>
      </c>
      <c r="BN99" s="139">
        <v>4800.080082979317</v>
      </c>
      <c r="BO99" s="139">
        <v>3743.4416093428481</v>
      </c>
      <c r="BP99" s="139">
        <v>2896.0122915348484</v>
      </c>
      <c r="BQ99" s="139">
        <v>2223.128517346951</v>
      </c>
      <c r="BR99" s="139">
        <v>1694.8873478018209</v>
      </c>
      <c r="BS99" s="139">
        <v>1285.3814644055487</v>
      </c>
      <c r="BT99" s="139">
        <v>968.26326442070763</v>
      </c>
      <c r="BU99" s="139">
        <v>725.55559560797565</v>
      </c>
      <c r="BV99" s="139">
        <v>541.36859153439104</v>
      </c>
      <c r="BW99" s="139">
        <v>402.28828971486809</v>
      </c>
      <c r="BX99" s="139">
        <v>297.48210756571547</v>
      </c>
      <c r="BY99" s="139">
        <v>218.34476695099804</v>
      </c>
      <c r="BZ99" s="139">
        <v>158.62486811366821</v>
      </c>
      <c r="CA99" s="139">
        <v>113.79325734770688</v>
      </c>
      <c r="CB99" s="139">
        <v>80.556830137606838</v>
      </c>
      <c r="CC99" s="139">
        <v>56.491572991375442</v>
      </c>
      <c r="CD99" s="139">
        <v>38.358682727406801</v>
      </c>
      <c r="CE99" s="139">
        <v>25.122732259807606</v>
      </c>
      <c r="CF99" s="139">
        <v>15.779647007744284</v>
      </c>
      <c r="CG99" s="139">
        <v>9.421766119255377</v>
      </c>
      <c r="CH99" s="139">
        <v>5.27626219440186</v>
      </c>
      <c r="CI99" s="139">
        <v>2.6802332680889669</v>
      </c>
      <c r="CJ99" s="139">
        <v>1.1473910447312572</v>
      </c>
      <c r="CK99" s="139">
        <v>0.33231015275042153</v>
      </c>
      <c r="CL99" s="139">
        <v>0</v>
      </c>
      <c r="CM99" s="139">
        <v>0</v>
      </c>
      <c r="CN99" s="139">
        <v>0</v>
      </c>
      <c r="CO99" s="139">
        <v>0</v>
      </c>
      <c r="CP99" s="139">
        <v>0</v>
      </c>
      <c r="CQ99" s="139">
        <v>0</v>
      </c>
      <c r="CR99" s="139">
        <v>0</v>
      </c>
      <c r="CS99" s="139">
        <v>0</v>
      </c>
      <c r="CT99" s="139">
        <v>0</v>
      </c>
      <c r="CU99" s="139">
        <v>0</v>
      </c>
      <c r="CV99" s="139">
        <v>0</v>
      </c>
      <c r="CW99" s="139">
        <v>0</v>
      </c>
      <c r="CX99" s="139">
        <v>0</v>
      </c>
      <c r="CY99" s="139">
        <v>0</v>
      </c>
      <c r="CZ99" s="139">
        <v>0</v>
      </c>
      <c r="DA99" s="139">
        <v>0</v>
      </c>
    </row>
    <row r="101" spans="3:105" x14ac:dyDescent="0.3">
      <c r="C101" s="131" t="s">
        <v>108</v>
      </c>
    </row>
    <row r="102" spans="3:105" x14ac:dyDescent="0.3">
      <c r="C102" s="133" t="s">
        <v>109</v>
      </c>
      <c r="D102" s="134"/>
      <c r="E102" s="143"/>
      <c r="F102" s="134">
        <v>377311.34859676246</v>
      </c>
      <c r="G102" s="134">
        <v>1326145.2492529545</v>
      </c>
      <c r="H102" s="134">
        <v>2588713.5910160155</v>
      </c>
      <c r="I102" s="134">
        <v>3986402.8229159215</v>
      </c>
      <c r="J102" s="134">
        <v>5689577.0344079593</v>
      </c>
      <c r="K102" s="134">
        <v>7576831.0277580135</v>
      </c>
      <c r="L102" s="134">
        <v>9544883.1596250031</v>
      </c>
      <c r="M102" s="134">
        <v>11698805.043352582</v>
      </c>
      <c r="N102" s="134">
        <v>14121402.994411618</v>
      </c>
      <c r="O102" s="134">
        <v>16917186.825172756</v>
      </c>
      <c r="P102" s="134">
        <v>16920997.853586473</v>
      </c>
      <c r="Q102" s="134">
        <v>15304074.244626345</v>
      </c>
      <c r="R102" s="134">
        <v>14154180.285325559</v>
      </c>
      <c r="S102" s="134">
        <v>13087630.660362605</v>
      </c>
      <c r="T102" s="134">
        <v>12066584.910080398</v>
      </c>
      <c r="U102" s="134">
        <v>11172954.088345289</v>
      </c>
      <c r="V102" s="134">
        <v>10321197.049512584</v>
      </c>
      <c r="W102" s="134">
        <v>9506279.9853195287</v>
      </c>
      <c r="X102" s="134">
        <v>8723058.6106364671</v>
      </c>
      <c r="Y102" s="134">
        <v>7965507.8947254661</v>
      </c>
      <c r="Z102" s="134">
        <v>7372641.8913745852</v>
      </c>
      <c r="AA102" s="134">
        <v>6803535.9635243909</v>
      </c>
      <c r="AB102" s="134">
        <v>6262276.4122593394</v>
      </c>
      <c r="AC102" s="134">
        <v>5750326.7585892556</v>
      </c>
      <c r="AD102" s="134">
        <v>5261316.7124631619</v>
      </c>
      <c r="AE102" s="134">
        <v>4801072.2647237331</v>
      </c>
      <c r="AF102" s="134">
        <v>4366998.3645483842</v>
      </c>
      <c r="AG102" s="134">
        <v>3955438.2603390105</v>
      </c>
      <c r="AH102" s="134">
        <v>3563134.8635767223</v>
      </c>
      <c r="AI102" s="134">
        <v>3185890.6983193294</v>
      </c>
      <c r="AJ102" s="134">
        <v>2919979.7676020199</v>
      </c>
      <c r="AK102" s="134">
        <v>2674266.4848463424</v>
      </c>
      <c r="AL102" s="134">
        <v>2445915.6110090404</v>
      </c>
      <c r="AM102" s="134">
        <v>2233579.4010724905</v>
      </c>
      <c r="AN102" s="134">
        <v>2036151.0044151961</v>
      </c>
      <c r="AO102" s="134">
        <v>1852708.3062155817</v>
      </c>
      <c r="AP102" s="134">
        <v>1683804.7750064952</v>
      </c>
      <c r="AQ102" s="134">
        <v>1526773.1374628886</v>
      </c>
      <c r="AR102" s="134">
        <v>1381172.3007532544</v>
      </c>
      <c r="AS102" s="134">
        <v>1246466.4638161177</v>
      </c>
      <c r="AT102" s="134">
        <v>1122039.0682518054</v>
      </c>
      <c r="AU102" s="134">
        <v>1007331.4736063309</v>
      </c>
      <c r="AV102" s="134">
        <v>901472.59778692876</v>
      </c>
      <c r="AW102" s="134">
        <v>803921.70935522427</v>
      </c>
      <c r="AX102" s="134">
        <v>714216.83580950357</v>
      </c>
      <c r="AY102" s="134">
        <v>631949.64708869555</v>
      </c>
      <c r="AZ102" s="134">
        <v>557241.83049206703</v>
      </c>
      <c r="BA102" s="134">
        <v>489113.42805483512</v>
      </c>
      <c r="BB102" s="134">
        <v>427311.90822848893</v>
      </c>
      <c r="BC102" s="134">
        <v>371529.96986538987</v>
      </c>
      <c r="BD102" s="134">
        <v>321412.3931500928</v>
      </c>
      <c r="BE102" s="134">
        <v>276597.67417209985</v>
      </c>
      <c r="BF102" s="134">
        <v>236695.32332754455</v>
      </c>
      <c r="BG102" s="134">
        <v>201334.99702463692</v>
      </c>
      <c r="BH102" s="134">
        <v>170158.28252786127</v>
      </c>
      <c r="BI102" s="134">
        <v>142814.76222016948</v>
      </c>
      <c r="BJ102" s="134">
        <v>119122.73362429909</v>
      </c>
      <c r="BK102" s="134">
        <v>98583.543108645405</v>
      </c>
      <c r="BL102" s="134">
        <v>80935.552674689359</v>
      </c>
      <c r="BM102" s="134">
        <v>65908.662714756094</v>
      </c>
      <c r="BN102" s="134">
        <v>53226.880335269627</v>
      </c>
      <c r="BO102" s="134">
        <v>42653.046936009261</v>
      </c>
      <c r="BP102" s="134">
        <v>33874.506340078267</v>
      </c>
      <c r="BQ102" s="134">
        <v>26655.772421474918</v>
      </c>
      <c r="BR102" s="134">
        <v>20773.779844843597</v>
      </c>
      <c r="BS102" s="134">
        <v>16019.260631856781</v>
      </c>
      <c r="BT102" s="134">
        <v>12248.605555562799</v>
      </c>
      <c r="BU102" s="134">
        <v>9238.1427279384679</v>
      </c>
      <c r="BV102" s="134">
        <v>6858.0556941123968</v>
      </c>
      <c r="BW102" s="134">
        <v>4998.3132791647922</v>
      </c>
      <c r="BX102" s="134">
        <v>3564.4217425819165</v>
      </c>
      <c r="BY102" s="134">
        <v>2521.8570056466319</v>
      </c>
      <c r="BZ102" s="134">
        <v>1738.8306987958392</v>
      </c>
      <c r="CA102" s="134">
        <v>1165.7836964203655</v>
      </c>
      <c r="CB102" s="134">
        <v>758.08828641636808</v>
      </c>
      <c r="CC102" s="134">
        <v>476.19392761261776</v>
      </c>
      <c r="CD102" s="134">
        <v>299.05587207739626</v>
      </c>
      <c r="CE102" s="134">
        <v>182.24228802816907</v>
      </c>
      <c r="CF102" s="134">
        <v>106.48118243908576</v>
      </c>
      <c r="CG102" s="134">
        <v>57.931468731211751</v>
      </c>
      <c r="CH102" s="134">
        <v>26.850174421356282</v>
      </c>
      <c r="CI102" s="134">
        <v>16.608913372546798</v>
      </c>
      <c r="CJ102" s="134">
        <v>9.6615403399162432</v>
      </c>
      <c r="CK102" s="134">
        <v>5.043485376733476</v>
      </c>
      <c r="CL102" s="134">
        <v>2.0098839973666442</v>
      </c>
      <c r="CM102" s="134">
        <v>0</v>
      </c>
      <c r="CN102" s="134">
        <v>0</v>
      </c>
      <c r="CO102" s="134">
        <v>0</v>
      </c>
      <c r="CP102" s="134">
        <v>0</v>
      </c>
      <c r="CQ102" s="134">
        <v>0</v>
      </c>
      <c r="CR102" s="134">
        <v>0</v>
      </c>
      <c r="CS102" s="134">
        <v>0</v>
      </c>
      <c r="CT102" s="134">
        <v>0</v>
      </c>
      <c r="CU102" s="134">
        <v>0</v>
      </c>
      <c r="CV102" s="134">
        <v>0</v>
      </c>
      <c r="CW102" s="134">
        <v>0</v>
      </c>
      <c r="CX102" s="134">
        <v>0</v>
      </c>
      <c r="CY102" s="134">
        <v>0</v>
      </c>
      <c r="CZ102" s="134">
        <v>0</v>
      </c>
      <c r="DA102" s="134">
        <v>0</v>
      </c>
    </row>
    <row r="103" spans="3:105" x14ac:dyDescent="0.3">
      <c r="C103" s="155" t="s">
        <v>110</v>
      </c>
      <c r="F103" s="124">
        <v>65528.979798451925</v>
      </c>
      <c r="G103" s="124">
        <v>227719.29799301102</v>
      </c>
      <c r="H103" s="124">
        <v>438282.08280671574</v>
      </c>
      <c r="I103" s="124">
        <v>666984.03993893415</v>
      </c>
      <c r="J103" s="124">
        <v>942126.01333463099</v>
      </c>
      <c r="K103" s="124">
        <v>1250113.1594509983</v>
      </c>
      <c r="L103" s="124">
        <v>1576269.3931360641</v>
      </c>
      <c r="M103" s="124">
        <v>1937812.1917907051</v>
      </c>
      <c r="N103" s="124">
        <v>2346433.7415361837</v>
      </c>
      <c r="O103" s="124">
        <v>2820462.2845831672</v>
      </c>
      <c r="P103" s="124">
        <v>2809717.8509896314</v>
      </c>
      <c r="Q103" s="124">
        <v>2538084.175167317</v>
      </c>
      <c r="R103" s="124">
        <v>2376544.4199620602</v>
      </c>
      <c r="S103" s="124">
        <v>2234288.1511508808</v>
      </c>
      <c r="T103" s="124">
        <v>2140953.7936053374</v>
      </c>
      <c r="U103" s="124">
        <v>2013418.5448571846</v>
      </c>
      <c r="V103" s="124">
        <v>1882046.0570526805</v>
      </c>
      <c r="W103" s="124">
        <v>1754056.671685206</v>
      </c>
      <c r="X103" s="124">
        <v>1622525.6307648276</v>
      </c>
      <c r="Y103" s="124">
        <v>1534698.4364499894</v>
      </c>
      <c r="Z103" s="124">
        <v>1433495.7352770385</v>
      </c>
      <c r="AA103" s="124">
        <v>1354427.3497224599</v>
      </c>
      <c r="AB103" s="124">
        <v>1288872.1478359131</v>
      </c>
      <c r="AC103" s="124">
        <v>1235625.15561062</v>
      </c>
      <c r="AD103" s="124">
        <v>1172226.3303117389</v>
      </c>
      <c r="AE103" s="124">
        <v>1125643.6641081828</v>
      </c>
      <c r="AF103" s="124">
        <v>1089947.1459634798</v>
      </c>
      <c r="AG103" s="124">
        <v>1058944.3623136617</v>
      </c>
      <c r="AH103" s="124">
        <v>1037600.1972006133</v>
      </c>
      <c r="AI103" s="124">
        <v>996426.6124264464</v>
      </c>
      <c r="AJ103" s="124">
        <v>1001866.078885996</v>
      </c>
      <c r="AK103" s="124">
        <v>1016891.6803971597</v>
      </c>
      <c r="AL103" s="124">
        <v>1031645.9871437532</v>
      </c>
      <c r="AM103" s="124">
        <v>1048598.9209922575</v>
      </c>
      <c r="AN103" s="124">
        <v>1037664.2339376636</v>
      </c>
      <c r="AO103" s="124">
        <v>1052207.9360554256</v>
      </c>
      <c r="AP103" s="124">
        <v>1056347.2338445603</v>
      </c>
      <c r="AQ103" s="124">
        <v>1054956.2874047384</v>
      </c>
      <c r="AR103" s="124">
        <v>1051137.3303812053</v>
      </c>
      <c r="AS103" s="124">
        <v>1025173.9215620572</v>
      </c>
      <c r="AT103" s="124">
        <v>1011171.8978692557</v>
      </c>
      <c r="AU103" s="124">
        <v>992185.29114767758</v>
      </c>
      <c r="AV103" s="124">
        <v>964760.63583204534</v>
      </c>
      <c r="AW103" s="124">
        <v>930916.75539026526</v>
      </c>
      <c r="AX103" s="124">
        <v>879492.30999857176</v>
      </c>
      <c r="AY103" s="124">
        <v>833595.2331115593</v>
      </c>
      <c r="AZ103" s="124">
        <v>783446.44396366307</v>
      </c>
      <c r="BA103" s="124">
        <v>730806.62358564406</v>
      </c>
      <c r="BB103" s="124">
        <v>677724.42618969455</v>
      </c>
      <c r="BC103" s="124">
        <v>619314.43662563548</v>
      </c>
      <c r="BD103" s="124">
        <v>567638.76322384796</v>
      </c>
      <c r="BE103" s="124">
        <v>519517.18426606554</v>
      </c>
      <c r="BF103" s="124">
        <v>473495.22228542727</v>
      </c>
      <c r="BG103" s="124">
        <v>429494.83183831919</v>
      </c>
      <c r="BH103" s="124">
        <v>384673.74109178269</v>
      </c>
      <c r="BI103" s="124">
        <v>345020.80609766894</v>
      </c>
      <c r="BJ103" s="124">
        <v>306570.0020673502</v>
      </c>
      <c r="BK103" s="124">
        <v>270412.92998408596</v>
      </c>
      <c r="BL103" s="124">
        <v>237265.25648485162</v>
      </c>
      <c r="BM103" s="124">
        <v>206287.03655119313</v>
      </c>
      <c r="BN103" s="124">
        <v>179733.50004155978</v>
      </c>
      <c r="BO103" s="124">
        <v>154192.15924349159</v>
      </c>
      <c r="BP103" s="124">
        <v>130304.99502606021</v>
      </c>
      <c r="BQ103" s="124">
        <v>108422.42646705532</v>
      </c>
      <c r="BR103" s="124">
        <v>88499.861749456657</v>
      </c>
      <c r="BS103" s="124">
        <v>72407.265678195457</v>
      </c>
      <c r="BT103" s="124">
        <v>56851.209997522179</v>
      </c>
      <c r="BU103" s="124">
        <v>43111.390595371449</v>
      </c>
      <c r="BV103" s="124">
        <v>31482.717804652402</v>
      </c>
      <c r="BW103" s="124">
        <v>22084.986175350856</v>
      </c>
      <c r="BX103" s="124">
        <v>15640.207338397928</v>
      </c>
      <c r="BY103" s="124">
        <v>10233.672549378036</v>
      </c>
      <c r="BZ103" s="124">
        <v>6385.493904524129</v>
      </c>
      <c r="CA103" s="124">
        <v>3758.5837167716654</v>
      </c>
      <c r="CB103" s="124">
        <v>2165.0846024631205</v>
      </c>
      <c r="CC103" s="124">
        <v>1742.6827365826803</v>
      </c>
      <c r="CD103" s="124">
        <v>1197.4503728274804</v>
      </c>
      <c r="CE103" s="124">
        <v>770.29658009763034</v>
      </c>
      <c r="CF103" s="124">
        <v>433.97651204478711</v>
      </c>
      <c r="CG103" s="124">
        <v>175.69191173381014</v>
      </c>
      <c r="CH103" s="124">
        <v>132.80643591377509</v>
      </c>
      <c r="CI103" s="124">
        <v>-19.983148357798896</v>
      </c>
      <c r="CJ103" s="124">
        <v>-50.616657101979939</v>
      </c>
      <c r="CK103" s="124">
        <v>-50.148494884855836</v>
      </c>
      <c r="CL103" s="124">
        <v>-42.539636980504525</v>
      </c>
      <c r="CM103" s="124">
        <v>0</v>
      </c>
      <c r="CN103" s="124">
        <v>0</v>
      </c>
      <c r="CO103" s="124">
        <v>0</v>
      </c>
      <c r="CP103" s="124">
        <v>0</v>
      </c>
      <c r="CQ103" s="124">
        <v>0</v>
      </c>
      <c r="CR103" s="124">
        <v>0</v>
      </c>
      <c r="CS103" s="124">
        <v>0</v>
      </c>
      <c r="CT103" s="124">
        <v>0</v>
      </c>
      <c r="CU103" s="124">
        <v>0</v>
      </c>
      <c r="CV103" s="124">
        <v>0</v>
      </c>
      <c r="CW103" s="124">
        <v>0</v>
      </c>
      <c r="CX103" s="124">
        <v>0</v>
      </c>
      <c r="CY103" s="124">
        <v>0</v>
      </c>
      <c r="CZ103" s="124">
        <v>0</v>
      </c>
      <c r="DA103" s="124">
        <v>0</v>
      </c>
    </row>
    <row r="104" spans="3:105" x14ac:dyDescent="0.3">
      <c r="C104" s="136" t="s">
        <v>111</v>
      </c>
      <c r="F104" s="124">
        <v>1860168.1917347617</v>
      </c>
      <c r="G104" s="124">
        <v>5843916.917150856</v>
      </c>
      <c r="H104" s="124">
        <v>10429292.308507152</v>
      </c>
      <c r="I104" s="124">
        <v>14968324.354879815</v>
      </c>
      <c r="J104" s="124">
        <v>20888814.822152406</v>
      </c>
      <c r="K104" s="124">
        <v>27039221.678781562</v>
      </c>
      <c r="L104" s="124">
        <v>33024318.447121594</v>
      </c>
      <c r="M104" s="124">
        <v>39507318.839896642</v>
      </c>
      <c r="N104" s="124">
        <v>47065996.904050723</v>
      </c>
      <c r="O104" s="124">
        <v>55973978.007754698</v>
      </c>
      <c r="P104" s="124">
        <v>50486000.383804061</v>
      </c>
      <c r="Q104" s="124">
        <v>42101357.536889412</v>
      </c>
      <c r="R104" s="124">
        <v>38053881.658243909</v>
      </c>
      <c r="S104" s="124">
        <v>35653414.513269417</v>
      </c>
      <c r="T104" s="124">
        <v>30829326.262735762</v>
      </c>
      <c r="U104" s="124">
        <v>29211918.484078348</v>
      </c>
      <c r="V104" s="124">
        <v>28065630.832630862</v>
      </c>
      <c r="W104" s="124">
        <v>27034949.779752389</v>
      </c>
      <c r="X104" s="124">
        <v>26540353.387359135</v>
      </c>
      <c r="Y104" s="124">
        <v>24055422.804054439</v>
      </c>
      <c r="Z104" s="124">
        <v>23601168.127810918</v>
      </c>
      <c r="AA104" s="124">
        <v>23010803.598301675</v>
      </c>
      <c r="AB104" s="124">
        <v>22322755.378806151</v>
      </c>
      <c r="AC104" s="124">
        <v>21619991.356593274</v>
      </c>
      <c r="AD104" s="124">
        <v>19606075.32394753</v>
      </c>
      <c r="AE104" s="124">
        <v>18667881.902288035</v>
      </c>
      <c r="AF104" s="124">
        <v>17704034.169271041</v>
      </c>
      <c r="AG104" s="124">
        <v>16755412.787585223</v>
      </c>
      <c r="AH104" s="124">
        <v>15893292.410063637</v>
      </c>
      <c r="AI104" s="124">
        <v>14380556.886869702</v>
      </c>
      <c r="AJ104" s="124">
        <v>13615328.688290017</v>
      </c>
      <c r="AK104" s="124">
        <v>12962615.387022085</v>
      </c>
      <c r="AL104" s="124">
        <v>12407627.786387272</v>
      </c>
      <c r="AM104" s="124">
        <v>11943450.022506163</v>
      </c>
      <c r="AN104" s="124">
        <v>11135911.190637385</v>
      </c>
      <c r="AO104" s="124">
        <v>10577677.970757609</v>
      </c>
      <c r="AP104" s="124">
        <v>10191657.496041223</v>
      </c>
      <c r="AQ104" s="124">
        <v>9802250.3328988776</v>
      </c>
      <c r="AR104" s="124">
        <v>9429673.0369061977</v>
      </c>
      <c r="AS104" s="124">
        <v>8840852.3466530666</v>
      </c>
      <c r="AT104" s="124">
        <v>8450701.5965841208</v>
      </c>
      <c r="AU104" s="124">
        <v>8047770.281715001</v>
      </c>
      <c r="AV104" s="124">
        <v>7630888.5866414998</v>
      </c>
      <c r="AW104" s="124">
        <v>7204527.5808235845</v>
      </c>
      <c r="AX104" s="124">
        <v>6639219.675156597</v>
      </c>
      <c r="AY104" s="124">
        <v>6134356.0582223199</v>
      </c>
      <c r="AZ104" s="124">
        <v>5670669.8133630501</v>
      </c>
      <c r="BA104" s="124">
        <v>5201822.5837462554</v>
      </c>
      <c r="BB104" s="124">
        <v>4743605.1370342178</v>
      </c>
      <c r="BC104" s="124">
        <v>4244551.0871360525</v>
      </c>
      <c r="BD104" s="124">
        <v>3821604.1311072353</v>
      </c>
      <c r="BE104" s="124">
        <v>3437489.9245000663</v>
      </c>
      <c r="BF104" s="124">
        <v>3088827.8462360026</v>
      </c>
      <c r="BG104" s="124">
        <v>2772728.2611124236</v>
      </c>
      <c r="BH104" s="124">
        <v>2457487.4442682271</v>
      </c>
      <c r="BI104" s="124">
        <v>2158705.639309526</v>
      </c>
      <c r="BJ104" s="124">
        <v>1923003.3274582534</v>
      </c>
      <c r="BK104" s="124">
        <v>1703087.3999035188</v>
      </c>
      <c r="BL104" s="124">
        <v>1501365.2609077175</v>
      </c>
      <c r="BM104" s="124">
        <v>1306395.9978907467</v>
      </c>
      <c r="BN104" s="124">
        <v>1136768.876465179</v>
      </c>
      <c r="BO104" s="124">
        <v>985499.17889078904</v>
      </c>
      <c r="BP104" s="124">
        <v>846908.87285804213</v>
      </c>
      <c r="BQ104" s="124">
        <v>720837.06780175969</v>
      </c>
      <c r="BR104" s="124">
        <v>602415.57479274797</v>
      </c>
      <c r="BS104" s="124">
        <v>494775.42511355365</v>
      </c>
      <c r="BT104" s="124">
        <v>405674.30153083638</v>
      </c>
      <c r="BU104" s="124">
        <v>326221.04450166668</v>
      </c>
      <c r="BV104" s="124">
        <v>256832.53547474876</v>
      </c>
      <c r="BW104" s="124">
        <v>196589.09860757133</v>
      </c>
      <c r="BX104" s="124">
        <v>143840.53671588365</v>
      </c>
      <c r="BY104" s="124">
        <v>106619.02826800702</v>
      </c>
      <c r="BZ104" s="124">
        <v>77937.671221033583</v>
      </c>
      <c r="CA104" s="124">
        <v>56258.259640492688</v>
      </c>
      <c r="CB104" s="124">
        <v>40034.203928154348</v>
      </c>
      <c r="CC104" s="124">
        <v>23368.59296981752</v>
      </c>
      <c r="CD104" s="124">
        <v>16680.270325309793</v>
      </c>
      <c r="CE104" s="124">
        <v>11757.907853683617</v>
      </c>
      <c r="CF104" s="124">
        <v>8186.6581493239073</v>
      </c>
      <c r="CG104" s="124">
        <v>5633.0428071984306</v>
      </c>
      <c r="CH104" s="124">
        <v>2852.7139550370985</v>
      </c>
      <c r="CI104" s="124">
        <v>1956.2766430776105</v>
      </c>
      <c r="CJ104" s="124">
        <v>1316.82650663094</v>
      </c>
      <c r="CK104" s="124">
        <v>878.89410145171223</v>
      </c>
      <c r="CL104" s="124">
        <v>593.0357067787229</v>
      </c>
      <c r="CM104" s="124">
        <v>0</v>
      </c>
      <c r="CN104" s="124">
        <v>0</v>
      </c>
      <c r="CO104" s="124">
        <v>0</v>
      </c>
      <c r="CP104" s="124">
        <v>0</v>
      </c>
      <c r="CQ104" s="124">
        <v>0</v>
      </c>
      <c r="CR104" s="124">
        <v>0</v>
      </c>
      <c r="CS104" s="124">
        <v>0</v>
      </c>
      <c r="CT104" s="124">
        <v>0</v>
      </c>
      <c r="CU104" s="124">
        <v>0</v>
      </c>
      <c r="CV104" s="124">
        <v>0</v>
      </c>
      <c r="CW104" s="124">
        <v>0</v>
      </c>
      <c r="CX104" s="124">
        <v>0</v>
      </c>
      <c r="CY104" s="124">
        <v>0</v>
      </c>
      <c r="CZ104" s="124">
        <v>0</v>
      </c>
      <c r="DA104" s="124">
        <v>0</v>
      </c>
    </row>
    <row r="105" spans="3:105" x14ac:dyDescent="0.3">
      <c r="C105" s="136" t="s">
        <v>112</v>
      </c>
      <c r="F105" s="124">
        <v>844426.20117359958</v>
      </c>
      <c r="G105" s="124">
        <v>2917374.125096539</v>
      </c>
      <c r="H105" s="124">
        <v>5653249.9147662232</v>
      </c>
      <c r="I105" s="124">
        <v>8677433.5091500022</v>
      </c>
      <c r="J105" s="124">
        <v>12372787.040488254</v>
      </c>
      <c r="K105" s="124">
        <v>16437757.857642587</v>
      </c>
      <c r="L105" s="124">
        <v>20674928.232592009</v>
      </c>
      <c r="M105" s="124">
        <v>25310130.74849394</v>
      </c>
      <c r="N105" s="124">
        <v>30525278.065662675</v>
      </c>
      <c r="O105" s="124">
        <v>36549285.7408228</v>
      </c>
      <c r="P105" s="124">
        <v>36287490.153954268</v>
      </c>
      <c r="Q105" s="124">
        <v>32786644.345139824</v>
      </c>
      <c r="R105" s="124">
        <v>30245738.454545654</v>
      </c>
      <c r="S105" s="124">
        <v>27888748.560559597</v>
      </c>
      <c r="T105" s="124">
        <v>25644051.816007365</v>
      </c>
      <c r="U105" s="124">
        <v>23711745.375293478</v>
      </c>
      <c r="V105" s="124">
        <v>21885247.844342567</v>
      </c>
      <c r="W105" s="124">
        <v>20137313.04702295</v>
      </c>
      <c r="X105" s="124">
        <v>18453008.443525694</v>
      </c>
      <c r="Y105" s="124">
        <v>16804839.663741875</v>
      </c>
      <c r="Z105" s="124">
        <v>15527479.03655149</v>
      </c>
      <c r="AA105" s="124">
        <v>14313066.88432535</v>
      </c>
      <c r="AB105" s="124">
        <v>13144110.832460491</v>
      </c>
      <c r="AC105" s="124">
        <v>12028672.244553274</v>
      </c>
      <c r="AD105" s="124">
        <v>10949021.168606289</v>
      </c>
      <c r="AE105" s="124">
        <v>9924269.5368742142</v>
      </c>
      <c r="AF105" s="124">
        <v>8977282.5710444972</v>
      </c>
      <c r="AG105" s="124">
        <v>8073767.5714184316</v>
      </c>
      <c r="AH105" s="124">
        <v>7204366.685733215</v>
      </c>
      <c r="AI105" s="124">
        <v>6355443.2576300874</v>
      </c>
      <c r="AJ105" s="124">
        <v>5835178.0950662931</v>
      </c>
      <c r="AK105" s="124">
        <v>5376431.0238481183</v>
      </c>
      <c r="AL105" s="124">
        <v>4955250.424400962</v>
      </c>
      <c r="AM105" s="124">
        <v>4565742.4524490042</v>
      </c>
      <c r="AN105" s="124">
        <v>4203259.6004926693</v>
      </c>
      <c r="AO105" s="124">
        <v>3863970.2990632257</v>
      </c>
      <c r="AP105" s="124">
        <v>3557743.326801165</v>
      </c>
      <c r="AQ105" s="124">
        <v>3268919.3648232189</v>
      </c>
      <c r="AR105" s="124">
        <v>2996747.6994756716</v>
      </c>
      <c r="AS105" s="124">
        <v>2740232.500623316</v>
      </c>
      <c r="AT105" s="124">
        <v>2498194.1662524357</v>
      </c>
      <c r="AU105" s="124">
        <v>2273380.2718105563</v>
      </c>
      <c r="AV105" s="124">
        <v>2062120.4676783672</v>
      </c>
      <c r="AW105" s="124">
        <v>1864229.8800883072</v>
      </c>
      <c r="AX105" s="124">
        <v>1679656.376040278</v>
      </c>
      <c r="AY105" s="124">
        <v>1508383.3989075078</v>
      </c>
      <c r="AZ105" s="124">
        <v>1352026.8691754832</v>
      </c>
      <c r="BA105" s="124">
        <v>1208402.9928219772</v>
      </c>
      <c r="BB105" s="124">
        <v>1077498.8630710666</v>
      </c>
      <c r="BC105" s="124">
        <v>958936.80165455653</v>
      </c>
      <c r="BD105" s="124">
        <v>851984.23148160137</v>
      </c>
      <c r="BE105" s="124">
        <v>755878.08289379813</v>
      </c>
      <c r="BF105" s="124">
        <v>669294.48440204922</v>
      </c>
      <c r="BG105" s="124">
        <v>591091.00043616397</v>
      </c>
      <c r="BH105" s="124">
        <v>520323.47419561073</v>
      </c>
      <c r="BI105" s="124">
        <v>456205.63386037399</v>
      </c>
      <c r="BJ105" s="124">
        <v>399305.29222787428</v>
      </c>
      <c r="BK105" s="124">
        <v>347509.71619394515</v>
      </c>
      <c r="BL105" s="124">
        <v>300543.4444202297</v>
      </c>
      <c r="BM105" s="124">
        <v>258077.91568126174</v>
      </c>
      <c r="BN105" s="124">
        <v>219756.63540270261</v>
      </c>
      <c r="BO105" s="124">
        <v>185321.77963735821</v>
      </c>
      <c r="BP105" s="124">
        <v>154506.67418515601</v>
      </c>
      <c r="BQ105" s="124">
        <v>127176.10308703009</v>
      </c>
      <c r="BR105" s="124">
        <v>103200.39082064181</v>
      </c>
      <c r="BS105" s="124">
        <v>82435.493542527343</v>
      </c>
      <c r="BT105" s="124">
        <v>64896.669567575882</v>
      </c>
      <c r="BU105" s="124">
        <v>50152.552819991768</v>
      </c>
      <c r="BV105" s="124">
        <v>38049.067982282832</v>
      </c>
      <c r="BW105" s="124">
        <v>28362.71286659133</v>
      </c>
      <c r="BX105" s="124">
        <v>20802.043969491449</v>
      </c>
      <c r="BY105" s="124">
        <v>15161.054490379376</v>
      </c>
      <c r="BZ105" s="124">
        <v>10924.736177394561</v>
      </c>
      <c r="CA105" s="124">
        <v>7766.125922793497</v>
      </c>
      <c r="CB105" s="124">
        <v>5420.6307006446104</v>
      </c>
      <c r="CC105" s="124">
        <v>3677.9951199838806</v>
      </c>
      <c r="CD105" s="124">
        <v>2666.8071470048721</v>
      </c>
      <c r="CE105" s="124">
        <v>1888.0742141070157</v>
      </c>
      <c r="CF105" s="124">
        <v>1298.1460411893318</v>
      </c>
      <c r="CG105" s="124">
        <v>859.49476276056851</v>
      </c>
      <c r="CH105" s="124">
        <v>538.56113456471576</v>
      </c>
      <c r="CI105" s="124">
        <v>343.86296721756253</v>
      </c>
      <c r="CJ105" s="124">
        <v>206.17905337467943</v>
      </c>
      <c r="CK105" s="124">
        <v>110.71070698550385</v>
      </c>
      <c r="CL105" s="124">
        <v>45.252498398443421</v>
      </c>
      <c r="CM105" s="124">
        <v>0</v>
      </c>
      <c r="CN105" s="124">
        <v>0</v>
      </c>
      <c r="CO105" s="124">
        <v>0</v>
      </c>
      <c r="CP105" s="124">
        <v>0</v>
      </c>
      <c r="CQ105" s="124">
        <v>0</v>
      </c>
      <c r="CR105" s="124">
        <v>0</v>
      </c>
      <c r="CS105" s="124">
        <v>0</v>
      </c>
      <c r="CT105" s="124">
        <v>0</v>
      </c>
      <c r="CU105" s="124">
        <v>0</v>
      </c>
      <c r="CV105" s="124">
        <v>0</v>
      </c>
      <c r="CW105" s="124">
        <v>0</v>
      </c>
      <c r="CX105" s="124">
        <v>0</v>
      </c>
      <c r="CY105" s="124">
        <v>0</v>
      </c>
      <c r="CZ105" s="124">
        <v>0</v>
      </c>
      <c r="DA105" s="124">
        <v>0</v>
      </c>
    </row>
    <row r="106" spans="3:105" x14ac:dyDescent="0.3">
      <c r="C106" s="136" t="s">
        <v>113</v>
      </c>
      <c r="F106" s="124">
        <v>7563.5676930012714</v>
      </c>
      <c r="G106" s="124">
        <v>26715.637562410924</v>
      </c>
      <c r="H106" s="124">
        <v>52367.358703172387</v>
      </c>
      <c r="I106" s="124">
        <v>80943.505337505499</v>
      </c>
      <c r="J106" s="124">
        <v>115862.12191122223</v>
      </c>
      <c r="K106" s="124">
        <v>154961.51802845954</v>
      </c>
      <c r="L106" s="124">
        <v>196130.84624795974</v>
      </c>
      <c r="M106" s="124">
        <v>241384.35474309549</v>
      </c>
      <c r="N106" s="124">
        <v>292371.91950017423</v>
      </c>
      <c r="O106" s="124">
        <v>351320.82177155005</v>
      </c>
      <c r="P106" s="124">
        <v>355098.29514859314</v>
      </c>
      <c r="Q106" s="124">
        <v>326102.65542440576</v>
      </c>
      <c r="R106" s="124">
        <v>306409.98999632511</v>
      </c>
      <c r="S106" s="124">
        <v>288345.02416330052</v>
      </c>
      <c r="T106" s="124">
        <v>271377.448930541</v>
      </c>
      <c r="U106" s="124">
        <v>255312.02114047547</v>
      </c>
      <c r="V106" s="124">
        <v>240059.31091956588</v>
      </c>
      <c r="W106" s="124">
        <v>225580.76435101093</v>
      </c>
      <c r="X106" s="124">
        <v>211848.56343267768</v>
      </c>
      <c r="Y106" s="124">
        <v>198833.89650364337</v>
      </c>
      <c r="Z106" s="124">
        <v>186495.62397516894</v>
      </c>
      <c r="AA106" s="124">
        <v>174813.98422877601</v>
      </c>
      <c r="AB106" s="124">
        <v>163723.43628796464</v>
      </c>
      <c r="AC106" s="124">
        <v>153202.46569858247</v>
      </c>
      <c r="AD106" s="124">
        <v>143232.99258661122</v>
      </c>
      <c r="AE106" s="124">
        <v>133799.70792697469</v>
      </c>
      <c r="AF106" s="124">
        <v>124880.66442519167</v>
      </c>
      <c r="AG106" s="124">
        <v>116374.19302531672</v>
      </c>
      <c r="AH106" s="124">
        <v>108267.40887666478</v>
      </c>
      <c r="AI106" s="124">
        <v>100547.17258594748</v>
      </c>
      <c r="AJ106" s="124">
        <v>93201.10637537943</v>
      </c>
      <c r="AK106" s="124">
        <v>86219.75999336371</v>
      </c>
      <c r="AL106" s="124">
        <v>79593.220710449532</v>
      </c>
      <c r="AM106" s="124">
        <v>73312.778165516764</v>
      </c>
      <c r="AN106" s="124">
        <v>67371.041831510011</v>
      </c>
      <c r="AO106" s="124">
        <v>61761.660769009781</v>
      </c>
      <c r="AP106" s="124">
        <v>56479.218125410225</v>
      </c>
      <c r="AQ106" s="124">
        <v>51492.668534837634</v>
      </c>
      <c r="AR106" s="124">
        <v>46796.142248687509</v>
      </c>
      <c r="AS106" s="124">
        <v>42383.827575641786</v>
      </c>
      <c r="AT106" s="124">
        <v>38249.800619622802</v>
      </c>
      <c r="AU106" s="124">
        <v>34387.97272909867</v>
      </c>
      <c r="AV106" s="124">
        <v>30793.546606104952</v>
      </c>
      <c r="AW106" s="124">
        <v>27460.626277302788</v>
      </c>
      <c r="AX106" s="124">
        <v>24382.350781142028</v>
      </c>
      <c r="AY106" s="124">
        <v>21550.978733334076</v>
      </c>
      <c r="AZ106" s="124">
        <v>18957.566593112271</v>
      </c>
      <c r="BA106" s="124">
        <v>16591.461391996865</v>
      </c>
      <c r="BB106" s="124">
        <v>14442.809788765499</v>
      </c>
      <c r="BC106" s="124">
        <v>12501.040803361075</v>
      </c>
      <c r="BD106" s="124">
        <v>10754.904508940306</v>
      </c>
      <c r="BE106" s="124">
        <v>9192.9196684375129</v>
      </c>
      <c r="BF106" s="124">
        <v>7806.1021122374977</v>
      </c>
      <c r="BG106" s="124">
        <v>6584.8701269467429</v>
      </c>
      <c r="BH106" s="124">
        <v>5518.691847004694</v>
      </c>
      <c r="BI106" s="124">
        <v>4596.0248843246682</v>
      </c>
      <c r="BJ106" s="124">
        <v>3805.8688364121817</v>
      </c>
      <c r="BK106" s="124">
        <v>3132.8290181980351</v>
      </c>
      <c r="BL106" s="124">
        <v>2564.2131635702858</v>
      </c>
      <c r="BM106" s="124">
        <v>2086.9805566081382</v>
      </c>
      <c r="BN106" s="124">
        <v>1688.2112986882191</v>
      </c>
      <c r="BO106" s="124">
        <v>1356.6050651014966</v>
      </c>
      <c r="BP106" s="124">
        <v>1081.2823868748662</v>
      </c>
      <c r="BQ106" s="124">
        <v>853.76020681890304</v>
      </c>
      <c r="BR106" s="124">
        <v>667.07948644506064</v>
      </c>
      <c r="BS106" s="124">
        <v>515.35449524550563</v>
      </c>
      <c r="BT106" s="124">
        <v>397.31207378396516</v>
      </c>
      <c r="BU106" s="124">
        <v>303.13689419189154</v>
      </c>
      <c r="BV106" s="124">
        <v>229.47505222824637</v>
      </c>
      <c r="BW106" s="124">
        <v>172.86776747273416</v>
      </c>
      <c r="BX106" s="124">
        <v>129.90331575046309</v>
      </c>
      <c r="BY106" s="124">
        <v>97.683081670742411</v>
      </c>
      <c r="BZ106" s="124">
        <v>73.321295432002486</v>
      </c>
      <c r="CA106" s="124">
        <v>54.704586404605877</v>
      </c>
      <c r="CB106" s="124">
        <v>40.313022537382217</v>
      </c>
      <c r="CC106" s="124">
        <v>29.070747850715946</v>
      </c>
      <c r="CD106" s="124">
        <v>21.626134046670437</v>
      </c>
      <c r="CE106" s="124">
        <v>15.607918937491142</v>
      </c>
      <c r="CF106" s="124">
        <v>10.896588254793452</v>
      </c>
      <c r="CG106" s="124">
        <v>7.3336397651526104</v>
      </c>
      <c r="CH106" s="124">
        <v>4.7281134040263675</v>
      </c>
      <c r="CI106" s="124">
        <v>2.9222947590825572</v>
      </c>
      <c r="CJ106" s="124">
        <v>1.6985785925923214</v>
      </c>
      <c r="CK106" s="124">
        <v>0.88603159172409141</v>
      </c>
      <c r="CL106" s="124">
        <v>0.35285906497846942</v>
      </c>
      <c r="CM106" s="124">
        <v>0</v>
      </c>
      <c r="CN106" s="124">
        <v>0</v>
      </c>
      <c r="CO106" s="124">
        <v>0</v>
      </c>
      <c r="CP106" s="124">
        <v>0</v>
      </c>
      <c r="CQ106" s="124">
        <v>0</v>
      </c>
      <c r="CR106" s="124">
        <v>0</v>
      </c>
      <c r="CS106" s="124">
        <v>0</v>
      </c>
      <c r="CT106" s="124">
        <v>0</v>
      </c>
      <c r="CU106" s="124">
        <v>0</v>
      </c>
      <c r="CV106" s="124">
        <v>0</v>
      </c>
      <c r="CW106" s="124">
        <v>0</v>
      </c>
      <c r="CX106" s="124">
        <v>0</v>
      </c>
      <c r="CY106" s="124">
        <v>0</v>
      </c>
      <c r="CZ106" s="124">
        <v>0</v>
      </c>
      <c r="DA106" s="124">
        <v>0</v>
      </c>
    </row>
    <row r="107" spans="3:105" x14ac:dyDescent="0.3">
      <c r="C107" s="160" t="s">
        <v>114</v>
      </c>
      <c r="F107" s="131">
        <v>3154998.2889965768</v>
      </c>
      <c r="G107" s="131">
        <v>10341871.227055773</v>
      </c>
      <c r="H107" s="131">
        <v>19161905.255799286</v>
      </c>
      <c r="I107" s="131">
        <v>28380088.232222185</v>
      </c>
      <c r="J107" s="131">
        <v>40009167.032294497</v>
      </c>
      <c r="K107" s="131">
        <v>52458885.241661631</v>
      </c>
      <c r="L107" s="131">
        <v>65016530.078722619</v>
      </c>
      <c r="M107" s="131">
        <v>78695451.178277001</v>
      </c>
      <c r="N107" s="131">
        <v>94351483.625161439</v>
      </c>
      <c r="O107" s="131">
        <v>112612233.68010503</v>
      </c>
      <c r="P107" s="131">
        <v>106859304.53748299</v>
      </c>
      <c r="Q107" s="131">
        <v>93056262.957247257</v>
      </c>
      <c r="R107" s="131">
        <v>85136754.808073521</v>
      </c>
      <c r="S107" s="131">
        <v>79152426.90950577</v>
      </c>
      <c r="T107" s="131">
        <v>70952294.231359497</v>
      </c>
      <c r="U107" s="131">
        <v>66365348.513714761</v>
      </c>
      <c r="V107" s="131">
        <v>62394181.094458267</v>
      </c>
      <c r="W107" s="131">
        <v>58658180.248131074</v>
      </c>
      <c r="X107" s="131">
        <v>55550794.63571883</v>
      </c>
      <c r="Y107" s="131">
        <v>50559302.695475362</v>
      </c>
      <c r="Z107" s="131">
        <v>48121280.414989211</v>
      </c>
      <c r="AA107" s="131">
        <v>45656647.780102625</v>
      </c>
      <c r="AB107" s="131">
        <v>43181738.207649916</v>
      </c>
      <c r="AC107" s="131">
        <v>40787817.981045038</v>
      </c>
      <c r="AD107" s="131">
        <v>37131872.527915336</v>
      </c>
      <c r="AE107" s="131">
        <v>34652667.075921126</v>
      </c>
      <c r="AF107" s="131">
        <v>32263142.91525257</v>
      </c>
      <c r="AG107" s="131">
        <v>29959937.174681645</v>
      </c>
      <c r="AH107" s="131">
        <v>27806661.565450862</v>
      </c>
      <c r="AI107" s="131">
        <v>25018864.627831526</v>
      </c>
      <c r="AJ107" s="131">
        <v>23465553.736219697</v>
      </c>
      <c r="AK107" s="131">
        <v>22116424.336107042</v>
      </c>
      <c r="AL107" s="131">
        <v>20920033.029651459</v>
      </c>
      <c r="AM107" s="131">
        <v>19864683.575185422</v>
      </c>
      <c r="AN107" s="131">
        <v>18480357.071314421</v>
      </c>
      <c r="AO107" s="131">
        <v>17408326.172860865</v>
      </c>
      <c r="AP107" s="131">
        <v>16546032.049818851</v>
      </c>
      <c r="AQ107" s="131">
        <v>15704391.791124567</v>
      </c>
      <c r="AR107" s="131">
        <v>14905526.509765022</v>
      </c>
      <c r="AS107" s="131">
        <v>13895109.060230199</v>
      </c>
      <c r="AT107" s="131">
        <v>13120356.529577255</v>
      </c>
      <c r="AU107" s="131">
        <v>12355055.291008666</v>
      </c>
      <c r="AV107" s="131">
        <v>11590035.834544947</v>
      </c>
      <c r="AW107" s="131">
        <v>10831056.551934684</v>
      </c>
      <c r="AX107" s="131">
        <v>9936967.5477860942</v>
      </c>
      <c r="AY107" s="131">
        <v>9129835.3160634264</v>
      </c>
      <c r="AZ107" s="131">
        <v>8382342.523587374</v>
      </c>
      <c r="BA107" s="131">
        <v>7646737.0896007046</v>
      </c>
      <c r="BB107" s="131">
        <v>6940583.1443122299</v>
      </c>
      <c r="BC107" s="131">
        <v>6206833.3360849964</v>
      </c>
      <c r="BD107" s="131">
        <v>5573394.4234717172</v>
      </c>
      <c r="BE107" s="131">
        <v>4998675.785500464</v>
      </c>
      <c r="BF107" s="131">
        <v>4476118.9783632588</v>
      </c>
      <c r="BG107" s="131">
        <v>4001233.9605384883</v>
      </c>
      <c r="BH107" s="131">
        <v>3538161.6339304876</v>
      </c>
      <c r="BI107" s="131">
        <v>3107342.8663720633</v>
      </c>
      <c r="BJ107" s="131">
        <v>2751807.2242141883</v>
      </c>
      <c r="BK107" s="131">
        <v>2422726.4182083923</v>
      </c>
      <c r="BL107" s="131">
        <v>2122673.7276510559</v>
      </c>
      <c r="BM107" s="131">
        <v>1838756.5933945661</v>
      </c>
      <c r="BN107" s="131">
        <v>1591174.1035434005</v>
      </c>
      <c r="BO107" s="131">
        <v>1369022.7697727499</v>
      </c>
      <c r="BP107" s="131">
        <v>1166676.3307962115</v>
      </c>
      <c r="BQ107" s="131">
        <v>983945.12998413853</v>
      </c>
      <c r="BR107" s="131">
        <v>815556.68669413484</v>
      </c>
      <c r="BS107" s="131">
        <v>666152.79946137848</v>
      </c>
      <c r="BT107" s="131">
        <v>540068.09872528096</v>
      </c>
      <c r="BU107" s="131">
        <v>429026.26753916021</v>
      </c>
      <c r="BV107" s="131">
        <v>333451.8520080247</v>
      </c>
      <c r="BW107" s="131">
        <v>252207.97869615105</v>
      </c>
      <c r="BX107" s="131">
        <v>183977.11308210547</v>
      </c>
      <c r="BY107" s="131">
        <v>134633.2953950818</v>
      </c>
      <c r="BZ107" s="131">
        <v>97060.053297180129</v>
      </c>
      <c r="CA107" s="131">
        <v>69003.457562882832</v>
      </c>
      <c r="CB107" s="131">
        <v>48418.320540215827</v>
      </c>
      <c r="CC107" s="131">
        <v>29294.535501847422</v>
      </c>
      <c r="CD107" s="131">
        <v>20865.209851266209</v>
      </c>
      <c r="CE107" s="131">
        <v>14614.128854853925</v>
      </c>
      <c r="CF107" s="131">
        <v>10036.158473251904</v>
      </c>
      <c r="CG107" s="131">
        <v>6733.4945901891733</v>
      </c>
      <c r="CH107" s="131">
        <v>3555.6598133409725</v>
      </c>
      <c r="CI107" s="131">
        <v>2299.6876700690036</v>
      </c>
      <c r="CJ107" s="131">
        <v>1483.7490218361481</v>
      </c>
      <c r="CK107" s="131">
        <v>945.38583052081776</v>
      </c>
      <c r="CL107" s="131">
        <v>598.11131125900692</v>
      </c>
      <c r="CM107" s="131">
        <v>0</v>
      </c>
      <c r="CN107" s="131">
        <v>0</v>
      </c>
      <c r="CO107" s="131">
        <v>0</v>
      </c>
      <c r="CP107" s="131">
        <v>0</v>
      </c>
      <c r="CQ107" s="131">
        <v>0</v>
      </c>
      <c r="CR107" s="131">
        <v>0</v>
      </c>
      <c r="CS107" s="131">
        <v>0</v>
      </c>
      <c r="CT107" s="131">
        <v>0</v>
      </c>
      <c r="CU107" s="131">
        <v>0</v>
      </c>
      <c r="CV107" s="131">
        <v>0</v>
      </c>
      <c r="CW107" s="131">
        <v>0</v>
      </c>
      <c r="CX107" s="131">
        <v>0</v>
      </c>
      <c r="CY107" s="131">
        <v>0</v>
      </c>
      <c r="CZ107" s="131">
        <v>0</v>
      </c>
      <c r="DA107" s="131">
        <v>0</v>
      </c>
    </row>
    <row r="108" spans="3:105" x14ac:dyDescent="0.3">
      <c r="C108" s="160"/>
      <c r="F108" s="131"/>
    </row>
    <row r="109" spans="3:105" x14ac:dyDescent="0.3">
      <c r="C109" s="136" t="s">
        <v>115</v>
      </c>
      <c r="F109" s="124">
        <v>-1860168.1917347617</v>
      </c>
      <c r="G109" s="124">
        <v>-5843916.917150856</v>
      </c>
      <c r="H109" s="124">
        <v>-10429292.308507152</v>
      </c>
      <c r="I109" s="124">
        <v>-14968324.354879815</v>
      </c>
      <c r="J109" s="124">
        <v>-20888814.822152406</v>
      </c>
      <c r="K109" s="124">
        <v>-27039221.678781562</v>
      </c>
      <c r="L109" s="124">
        <v>-33024318.447121594</v>
      </c>
      <c r="M109" s="124">
        <v>-39507318.839896642</v>
      </c>
      <c r="N109" s="124">
        <v>-47065996.904050723</v>
      </c>
      <c r="O109" s="124">
        <v>-55973978.007754698</v>
      </c>
      <c r="P109" s="124">
        <v>-50486000.383804061</v>
      </c>
      <c r="Q109" s="124">
        <v>-42101357.536889412</v>
      </c>
      <c r="R109" s="124">
        <v>-38053881.658243909</v>
      </c>
      <c r="S109" s="124">
        <v>-35653414.513269417</v>
      </c>
      <c r="T109" s="124">
        <v>-30829326.262735762</v>
      </c>
      <c r="U109" s="124">
        <v>-29211918.484078348</v>
      </c>
      <c r="V109" s="124">
        <v>-28065630.832630862</v>
      </c>
      <c r="W109" s="124">
        <v>-27034949.779752389</v>
      </c>
      <c r="X109" s="124">
        <v>-26540353.387359135</v>
      </c>
      <c r="Y109" s="124">
        <v>-24055422.804054439</v>
      </c>
      <c r="Z109" s="124">
        <v>-23601168.127810918</v>
      </c>
      <c r="AA109" s="124">
        <v>-23010803.598301675</v>
      </c>
      <c r="AB109" s="124">
        <v>-22322755.378806151</v>
      </c>
      <c r="AC109" s="124">
        <v>-21619991.356593274</v>
      </c>
      <c r="AD109" s="124">
        <v>-19606075.32394753</v>
      </c>
      <c r="AE109" s="124">
        <v>-18667881.902288035</v>
      </c>
      <c r="AF109" s="124">
        <v>-17704034.169271041</v>
      </c>
      <c r="AG109" s="124">
        <v>-16755412.787585223</v>
      </c>
      <c r="AH109" s="124">
        <v>-15893292.410063637</v>
      </c>
      <c r="AI109" s="124">
        <v>-14380556.886869702</v>
      </c>
      <c r="AJ109" s="124">
        <v>-13615328.688290017</v>
      </c>
      <c r="AK109" s="124">
        <v>-12962615.387022085</v>
      </c>
      <c r="AL109" s="124">
        <v>-12407627.786387272</v>
      </c>
      <c r="AM109" s="124">
        <v>-11943450.022506163</v>
      </c>
      <c r="AN109" s="124">
        <v>-11135911.190637385</v>
      </c>
      <c r="AO109" s="124">
        <v>-10577677.970757609</v>
      </c>
      <c r="AP109" s="124">
        <v>-10191657.496041223</v>
      </c>
      <c r="AQ109" s="124">
        <v>-9802250.3328988776</v>
      </c>
      <c r="AR109" s="124">
        <v>-9429673.0369061977</v>
      </c>
      <c r="AS109" s="124">
        <v>-8840852.3466530666</v>
      </c>
      <c r="AT109" s="124">
        <v>-8450701.5965841208</v>
      </c>
      <c r="AU109" s="124">
        <v>-8047770.281715001</v>
      </c>
      <c r="AV109" s="124">
        <v>-7630888.5866414998</v>
      </c>
      <c r="AW109" s="124">
        <v>-7204527.5808235845</v>
      </c>
      <c r="AX109" s="124">
        <v>-6639219.675156597</v>
      </c>
      <c r="AY109" s="124">
        <v>-6134356.0582223199</v>
      </c>
      <c r="AZ109" s="124">
        <v>-5670669.8133630501</v>
      </c>
      <c r="BA109" s="124">
        <v>-5201822.5837462554</v>
      </c>
      <c r="BB109" s="124">
        <v>-4743605.1370342178</v>
      </c>
      <c r="BC109" s="124">
        <v>-4244551.0871360525</v>
      </c>
      <c r="BD109" s="124">
        <v>-3821604.1311072353</v>
      </c>
      <c r="BE109" s="124">
        <v>-3437489.9245000663</v>
      </c>
      <c r="BF109" s="124">
        <v>-3088827.8462360026</v>
      </c>
      <c r="BG109" s="124">
        <v>-2772728.2611124236</v>
      </c>
      <c r="BH109" s="124">
        <v>-2457487.4442682271</v>
      </c>
      <c r="BI109" s="124">
        <v>-2158705.639309526</v>
      </c>
      <c r="BJ109" s="124">
        <v>-1923003.3274582534</v>
      </c>
      <c r="BK109" s="124">
        <v>-1703087.3999035188</v>
      </c>
      <c r="BL109" s="124">
        <v>-1501365.2609077175</v>
      </c>
      <c r="BM109" s="124">
        <v>-1306395.9978907467</v>
      </c>
      <c r="BN109" s="124">
        <v>-1136768.876465179</v>
      </c>
      <c r="BO109" s="124">
        <v>-985499.17889078904</v>
      </c>
      <c r="BP109" s="124">
        <v>-846908.87285804213</v>
      </c>
      <c r="BQ109" s="124">
        <v>-720837.06780175969</v>
      </c>
      <c r="BR109" s="124">
        <v>-602415.57479274797</v>
      </c>
      <c r="BS109" s="124">
        <v>-494775.42511355365</v>
      </c>
      <c r="BT109" s="124">
        <v>-405674.30153083638</v>
      </c>
      <c r="BU109" s="124">
        <v>-326221.04450166668</v>
      </c>
      <c r="BV109" s="124">
        <v>-256832.53547474876</v>
      </c>
      <c r="BW109" s="124">
        <v>-196589.09860757133</v>
      </c>
      <c r="BX109" s="124">
        <v>-143840.53671588365</v>
      </c>
      <c r="BY109" s="124">
        <v>-106619.02826800702</v>
      </c>
      <c r="BZ109" s="124">
        <v>-77937.671221033583</v>
      </c>
      <c r="CA109" s="124">
        <v>-56258.259640492688</v>
      </c>
      <c r="CB109" s="124">
        <v>-40034.203928154348</v>
      </c>
      <c r="CC109" s="124">
        <v>-23368.59296981752</v>
      </c>
      <c r="CD109" s="124">
        <v>-16680.270325309793</v>
      </c>
      <c r="CE109" s="124">
        <v>-11757.907853683617</v>
      </c>
      <c r="CF109" s="124">
        <v>-8186.6581493239073</v>
      </c>
      <c r="CG109" s="124">
        <v>-5633.0428071984306</v>
      </c>
      <c r="CH109" s="124">
        <v>-2852.7139550370985</v>
      </c>
      <c r="CI109" s="124">
        <v>-1956.2766430776105</v>
      </c>
      <c r="CJ109" s="124">
        <v>-1316.82650663094</v>
      </c>
      <c r="CK109" s="124">
        <v>-878.89410145171223</v>
      </c>
      <c r="CL109" s="124">
        <v>-593.0357067787229</v>
      </c>
      <c r="CM109" s="124">
        <v>0</v>
      </c>
      <c r="CN109" s="124">
        <v>0</v>
      </c>
      <c r="CO109" s="124">
        <v>0</v>
      </c>
      <c r="CP109" s="124">
        <v>0</v>
      </c>
      <c r="CQ109" s="124">
        <v>0</v>
      </c>
      <c r="CR109" s="124">
        <v>0</v>
      </c>
      <c r="CS109" s="124">
        <v>0</v>
      </c>
      <c r="CT109" s="124">
        <v>0</v>
      </c>
      <c r="CU109" s="124">
        <v>0</v>
      </c>
      <c r="CV109" s="124">
        <v>0</v>
      </c>
      <c r="CW109" s="124">
        <v>0</v>
      </c>
      <c r="CX109" s="124">
        <v>0</v>
      </c>
      <c r="CY109" s="124">
        <v>0</v>
      </c>
      <c r="CZ109" s="124">
        <v>0</v>
      </c>
      <c r="DA109" s="124">
        <v>0</v>
      </c>
    </row>
    <row r="110" spans="3:105" x14ac:dyDescent="0.3">
      <c r="C110" s="136" t="s">
        <v>116</v>
      </c>
      <c r="F110" s="161">
        <v>-891803.97576761164</v>
      </c>
      <c r="G110" s="124">
        <v>-3013317.8688164838</v>
      </c>
      <c r="H110" s="124">
        <v>-5776057.9067277536</v>
      </c>
      <c r="I110" s="124">
        <v>-8819978.4998196382</v>
      </c>
      <c r="J110" s="124">
        <v>-12558643.778322889</v>
      </c>
      <c r="K110" s="124">
        <v>-16641158.594328873</v>
      </c>
      <c r="L110" s="124">
        <v>-20901903.717735197</v>
      </c>
      <c r="M110" s="124">
        <v>-25567259.981663384</v>
      </c>
      <c r="N110" s="124">
        <v>-30821333.046284225</v>
      </c>
      <c r="O110" s="124">
        <v>-36896327.96810694</v>
      </c>
      <c r="P110" s="124">
        <v>-36287490.153954268</v>
      </c>
      <c r="Q110" s="124">
        <v>-32786644.345139824</v>
      </c>
      <c r="R110" s="124">
        <v>-30245738.454545654</v>
      </c>
      <c r="S110" s="124">
        <v>-27888748.560559597</v>
      </c>
      <c r="T110" s="124">
        <v>-25644051.816007365</v>
      </c>
      <c r="U110" s="124">
        <v>-23711745.375293478</v>
      </c>
      <c r="V110" s="124">
        <v>-21885247.844342567</v>
      </c>
      <c r="W110" s="124">
        <v>-20137313.04702295</v>
      </c>
      <c r="X110" s="124">
        <v>-18453008.443525694</v>
      </c>
      <c r="Y110" s="124">
        <v>-16804839.663741875</v>
      </c>
      <c r="Z110" s="124">
        <v>-15527479.03655149</v>
      </c>
      <c r="AA110" s="124">
        <v>-14313066.88432535</v>
      </c>
      <c r="AB110" s="124">
        <v>-13144110.832460491</v>
      </c>
      <c r="AC110" s="124">
        <v>-12028672.244553274</v>
      </c>
      <c r="AD110" s="124">
        <v>-10949021.168606289</v>
      </c>
      <c r="AE110" s="124">
        <v>-9924269.5368742142</v>
      </c>
      <c r="AF110" s="124">
        <v>-8977282.5710444972</v>
      </c>
      <c r="AG110" s="124">
        <v>-8073767.5714184316</v>
      </c>
      <c r="AH110" s="124">
        <v>-7204366.685733215</v>
      </c>
      <c r="AI110" s="124">
        <v>-6355443.2576300874</v>
      </c>
      <c r="AJ110" s="124">
        <v>-5835178.0950662931</v>
      </c>
      <c r="AK110" s="124">
        <v>-5376431.0238481183</v>
      </c>
      <c r="AL110" s="124">
        <v>-4955250.424400962</v>
      </c>
      <c r="AM110" s="124">
        <v>-4565742.4524490042</v>
      </c>
      <c r="AN110" s="124">
        <v>-4203259.6004926693</v>
      </c>
      <c r="AO110" s="124">
        <v>-3863970.2990632257</v>
      </c>
      <c r="AP110" s="124">
        <v>-3557743.326801165</v>
      </c>
      <c r="AQ110" s="124">
        <v>-3268919.3648232189</v>
      </c>
      <c r="AR110" s="124">
        <v>-2996747.6994756716</v>
      </c>
      <c r="AS110" s="124">
        <v>-2740232.500623316</v>
      </c>
      <c r="AT110" s="124">
        <v>-2498194.1662524357</v>
      </c>
      <c r="AU110" s="124">
        <v>-2273380.2718105563</v>
      </c>
      <c r="AV110" s="124">
        <v>-2062120.4676783672</v>
      </c>
      <c r="AW110" s="124">
        <v>-1864229.8800883072</v>
      </c>
      <c r="AX110" s="124">
        <v>-1679656.376040278</v>
      </c>
      <c r="AY110" s="124">
        <v>-1508383.3989075078</v>
      </c>
      <c r="AZ110" s="124">
        <v>-1352026.8691754832</v>
      </c>
      <c r="BA110" s="124">
        <v>-1208402.9928219772</v>
      </c>
      <c r="BB110" s="124">
        <v>-1077498.8630710666</v>
      </c>
      <c r="BC110" s="124">
        <v>-958936.80165455653</v>
      </c>
      <c r="BD110" s="124">
        <v>-851984.23148160137</v>
      </c>
      <c r="BE110" s="124">
        <v>-755878.08289379813</v>
      </c>
      <c r="BF110" s="124">
        <v>-669294.48440204922</v>
      </c>
      <c r="BG110" s="124">
        <v>-591091.00043616397</v>
      </c>
      <c r="BH110" s="124">
        <v>-520323.47419561073</v>
      </c>
      <c r="BI110" s="124">
        <v>-456205.63386037399</v>
      </c>
      <c r="BJ110" s="124">
        <v>-399305.29222787428</v>
      </c>
      <c r="BK110" s="124">
        <v>-347509.71619394515</v>
      </c>
      <c r="BL110" s="124">
        <v>-300543.4444202297</v>
      </c>
      <c r="BM110" s="124">
        <v>-258077.91568126174</v>
      </c>
      <c r="BN110" s="124">
        <v>-219756.63540270261</v>
      </c>
      <c r="BO110" s="124">
        <v>-185321.77963735821</v>
      </c>
      <c r="BP110" s="124">
        <v>-154506.67418515601</v>
      </c>
      <c r="BQ110" s="124">
        <v>-127176.10308703009</v>
      </c>
      <c r="BR110" s="124">
        <v>-103200.39082064181</v>
      </c>
      <c r="BS110" s="124">
        <v>-82435.493542527343</v>
      </c>
      <c r="BT110" s="124">
        <v>-64896.669567575882</v>
      </c>
      <c r="BU110" s="124">
        <v>-50152.552819991768</v>
      </c>
      <c r="BV110" s="124">
        <v>-38049.067982282832</v>
      </c>
      <c r="BW110" s="124">
        <v>-28362.71286659133</v>
      </c>
      <c r="BX110" s="124">
        <v>-20802.043969491449</v>
      </c>
      <c r="BY110" s="124">
        <v>-15161.054490379376</v>
      </c>
      <c r="BZ110" s="124">
        <v>-10924.736177394561</v>
      </c>
      <c r="CA110" s="124">
        <v>-7766.125922793497</v>
      </c>
      <c r="CB110" s="124">
        <v>-5420.6307006446104</v>
      </c>
      <c r="CC110" s="124">
        <v>-3677.9951199838806</v>
      </c>
      <c r="CD110" s="124">
        <v>-2666.8071470048721</v>
      </c>
      <c r="CE110" s="124">
        <v>-1888.0742141070157</v>
      </c>
      <c r="CF110" s="124">
        <v>-1298.1460411893318</v>
      </c>
      <c r="CG110" s="124">
        <v>-859.49476276056851</v>
      </c>
      <c r="CH110" s="124">
        <v>-538.56113456471576</v>
      </c>
      <c r="CI110" s="124">
        <v>-343.86296721756253</v>
      </c>
      <c r="CJ110" s="124">
        <v>-206.17905337467943</v>
      </c>
      <c r="CK110" s="124">
        <v>-110.71070698550385</v>
      </c>
      <c r="CL110" s="124">
        <v>-45.252498398443421</v>
      </c>
      <c r="CM110" s="124">
        <v>0</v>
      </c>
      <c r="CN110" s="124">
        <v>0</v>
      </c>
      <c r="CO110" s="124">
        <v>0</v>
      </c>
      <c r="CP110" s="124">
        <v>0</v>
      </c>
      <c r="CQ110" s="124">
        <v>0</v>
      </c>
      <c r="CR110" s="124">
        <v>0</v>
      </c>
      <c r="CS110" s="124">
        <v>0</v>
      </c>
      <c r="CT110" s="124">
        <v>0</v>
      </c>
      <c r="CU110" s="124">
        <v>0</v>
      </c>
      <c r="CV110" s="124">
        <v>0</v>
      </c>
      <c r="CW110" s="124">
        <v>0</v>
      </c>
      <c r="CX110" s="124">
        <v>0</v>
      </c>
      <c r="CY110" s="124">
        <v>0</v>
      </c>
      <c r="CZ110" s="124">
        <v>0</v>
      </c>
      <c r="DA110" s="124">
        <v>0</v>
      </c>
    </row>
    <row r="111" spans="3:105" x14ac:dyDescent="0.3">
      <c r="C111" s="136" t="s">
        <v>117</v>
      </c>
      <c r="F111" s="124">
        <v>-7563.5676930012714</v>
      </c>
      <c r="G111" s="124">
        <v>-26715.637562410924</v>
      </c>
      <c r="H111" s="124">
        <v>-52367.358703172387</v>
      </c>
      <c r="I111" s="124">
        <v>-80943.505337505499</v>
      </c>
      <c r="J111" s="124">
        <v>-115862.12191122223</v>
      </c>
      <c r="K111" s="124">
        <v>-154961.51802845954</v>
      </c>
      <c r="L111" s="124">
        <v>-196130.84624795974</v>
      </c>
      <c r="M111" s="124">
        <v>-241384.35474309549</v>
      </c>
      <c r="N111" s="124">
        <v>-292371.91950017423</v>
      </c>
      <c r="O111" s="124">
        <v>-351320.82177155005</v>
      </c>
      <c r="P111" s="124">
        <v>-355098.29514859314</v>
      </c>
      <c r="Q111" s="124">
        <v>-326102.65542440576</v>
      </c>
      <c r="R111" s="124">
        <v>-306409.98999632511</v>
      </c>
      <c r="S111" s="124">
        <v>-288345.02416330052</v>
      </c>
      <c r="T111" s="124">
        <v>-271377.448930541</v>
      </c>
      <c r="U111" s="124">
        <v>-255312.02114047547</v>
      </c>
      <c r="V111" s="124">
        <v>-240059.31091956588</v>
      </c>
      <c r="W111" s="124">
        <v>-225580.76435101093</v>
      </c>
      <c r="X111" s="124">
        <v>-211848.56343267768</v>
      </c>
      <c r="Y111" s="124">
        <v>-198833.89650364337</v>
      </c>
      <c r="Z111" s="124">
        <v>-186495.62397516894</v>
      </c>
      <c r="AA111" s="124">
        <v>-174813.98422877601</v>
      </c>
      <c r="AB111" s="124">
        <v>-163723.43628796464</v>
      </c>
      <c r="AC111" s="124">
        <v>-153202.46569858247</v>
      </c>
      <c r="AD111" s="124">
        <v>-143232.99258661122</v>
      </c>
      <c r="AE111" s="124">
        <v>-133799.70792697469</v>
      </c>
      <c r="AF111" s="124">
        <v>-124880.66442519167</v>
      </c>
      <c r="AG111" s="124">
        <v>-116374.19302531672</v>
      </c>
      <c r="AH111" s="124">
        <v>-108267.40887666478</v>
      </c>
      <c r="AI111" s="124">
        <v>-100547.17258594748</v>
      </c>
      <c r="AJ111" s="124">
        <v>-93201.10637537943</v>
      </c>
      <c r="AK111" s="124">
        <v>-86219.75999336371</v>
      </c>
      <c r="AL111" s="124">
        <v>-79593.220710449532</v>
      </c>
      <c r="AM111" s="124">
        <v>-73312.778165516764</v>
      </c>
      <c r="AN111" s="124">
        <v>-67371.041831510011</v>
      </c>
      <c r="AO111" s="124">
        <v>-61761.660769009781</v>
      </c>
      <c r="AP111" s="124">
        <v>-56479.218125410225</v>
      </c>
      <c r="AQ111" s="124">
        <v>-51492.668534837634</v>
      </c>
      <c r="AR111" s="124">
        <v>-46796.142248687509</v>
      </c>
      <c r="AS111" s="124">
        <v>-42383.827575641786</v>
      </c>
      <c r="AT111" s="124">
        <v>-38249.800619622802</v>
      </c>
      <c r="AU111" s="124">
        <v>-34387.97272909867</v>
      </c>
      <c r="AV111" s="124">
        <v>-30793.546606104952</v>
      </c>
      <c r="AW111" s="124">
        <v>-27460.626277302788</v>
      </c>
      <c r="AX111" s="124">
        <v>-24382.350781142028</v>
      </c>
      <c r="AY111" s="124">
        <v>-21550.978733334076</v>
      </c>
      <c r="AZ111" s="124">
        <v>-18957.566593112271</v>
      </c>
      <c r="BA111" s="124">
        <v>-16591.461391996865</v>
      </c>
      <c r="BB111" s="124">
        <v>-14442.809788765499</v>
      </c>
      <c r="BC111" s="124">
        <v>-12501.040803361075</v>
      </c>
      <c r="BD111" s="124">
        <v>-10754.904508940306</v>
      </c>
      <c r="BE111" s="124">
        <v>-9192.9196684375129</v>
      </c>
      <c r="BF111" s="124">
        <v>-7806.1021122374977</v>
      </c>
      <c r="BG111" s="124">
        <v>-6584.8701269467429</v>
      </c>
      <c r="BH111" s="124">
        <v>-5518.691847004694</v>
      </c>
      <c r="BI111" s="124">
        <v>-4596.0248843246682</v>
      </c>
      <c r="BJ111" s="124">
        <v>-3805.8688364121817</v>
      </c>
      <c r="BK111" s="124">
        <v>-3132.8290181980351</v>
      </c>
      <c r="BL111" s="124">
        <v>-2564.2131635702858</v>
      </c>
      <c r="BM111" s="124">
        <v>-2086.9805566081382</v>
      </c>
      <c r="BN111" s="124">
        <v>-1688.2112986882191</v>
      </c>
      <c r="BO111" s="124">
        <v>-1356.6050651014966</v>
      </c>
      <c r="BP111" s="124">
        <v>-1081.2823868748662</v>
      </c>
      <c r="BQ111" s="124">
        <v>-853.76020681890304</v>
      </c>
      <c r="BR111" s="124">
        <v>-667.07948644506064</v>
      </c>
      <c r="BS111" s="124">
        <v>-515.35449524550563</v>
      </c>
      <c r="BT111" s="124">
        <v>-397.31207378396516</v>
      </c>
      <c r="BU111" s="124">
        <v>-303.13689419189154</v>
      </c>
      <c r="BV111" s="124">
        <v>-229.47505222824637</v>
      </c>
      <c r="BW111" s="124">
        <v>-172.86776747273416</v>
      </c>
      <c r="BX111" s="124">
        <v>-129.90331575046309</v>
      </c>
      <c r="BY111" s="124">
        <v>-97.683081670742411</v>
      </c>
      <c r="BZ111" s="124">
        <v>-73.321295432002486</v>
      </c>
      <c r="CA111" s="124">
        <v>-54.704586404605877</v>
      </c>
      <c r="CB111" s="124">
        <v>-40.313022537382217</v>
      </c>
      <c r="CC111" s="124">
        <v>-29.070747850715946</v>
      </c>
      <c r="CD111" s="124">
        <v>-21.626134046670437</v>
      </c>
      <c r="CE111" s="124">
        <v>-15.607918937491142</v>
      </c>
      <c r="CF111" s="124">
        <v>-10.896588254793452</v>
      </c>
      <c r="CG111" s="124">
        <v>-7.3336397651526104</v>
      </c>
      <c r="CH111" s="124">
        <v>-4.7281134040263675</v>
      </c>
      <c r="CI111" s="124">
        <v>-2.9222947590825572</v>
      </c>
      <c r="CJ111" s="124">
        <v>-1.6985785925923214</v>
      </c>
      <c r="CK111" s="124">
        <v>-0.88603159172409141</v>
      </c>
      <c r="CL111" s="124">
        <v>-0.35285906497846942</v>
      </c>
      <c r="CM111" s="124">
        <v>0</v>
      </c>
      <c r="CN111" s="124">
        <v>0</v>
      </c>
      <c r="CO111" s="124">
        <v>0</v>
      </c>
      <c r="CP111" s="124">
        <v>0</v>
      </c>
      <c r="CQ111" s="124">
        <v>0</v>
      </c>
      <c r="CR111" s="124">
        <v>0</v>
      </c>
      <c r="CS111" s="124">
        <v>0</v>
      </c>
      <c r="CT111" s="124">
        <v>0</v>
      </c>
      <c r="CU111" s="124">
        <v>0</v>
      </c>
      <c r="CV111" s="124">
        <v>0</v>
      </c>
      <c r="CW111" s="124">
        <v>0</v>
      </c>
      <c r="CX111" s="124">
        <v>0</v>
      </c>
      <c r="CY111" s="124">
        <v>0</v>
      </c>
      <c r="CZ111" s="124">
        <v>0</v>
      </c>
      <c r="DA111" s="124">
        <v>0</v>
      </c>
    </row>
    <row r="112" spans="3:105" x14ac:dyDescent="0.3">
      <c r="C112" s="160" t="s">
        <v>118</v>
      </c>
      <c r="F112" s="131">
        <v>-2759535.7351953741</v>
      </c>
      <c r="G112" s="131">
        <v>-8883950.4235297516</v>
      </c>
      <c r="H112" s="131">
        <v>-16257717.573938075</v>
      </c>
      <c r="I112" s="131">
        <v>-23869246.360036954</v>
      </c>
      <c r="J112" s="131">
        <v>-33563320.722386524</v>
      </c>
      <c r="K112" s="131">
        <v>-43835341.791138902</v>
      </c>
      <c r="L112" s="131">
        <v>-54122353.011104725</v>
      </c>
      <c r="M112" s="131">
        <v>-65315963.176303133</v>
      </c>
      <c r="N112" s="131">
        <v>-78179701.869835123</v>
      </c>
      <c r="O112" s="131">
        <v>-93221626.797633186</v>
      </c>
      <c r="P112" s="131">
        <v>-87128588.832906947</v>
      </c>
      <c r="Q112" s="131">
        <v>-75214104.537453666</v>
      </c>
      <c r="R112" s="131">
        <v>-68606030.10278587</v>
      </c>
      <c r="S112" s="131">
        <v>-63830508.097992271</v>
      </c>
      <c r="T112" s="131">
        <v>-56744755.527673714</v>
      </c>
      <c r="U112" s="131">
        <v>-53178975.880512334</v>
      </c>
      <c r="V112" s="131">
        <v>-50190937.98789297</v>
      </c>
      <c r="W112" s="131">
        <v>-47397843.591126323</v>
      </c>
      <c r="X112" s="131">
        <v>-45205210.39431753</v>
      </c>
      <c r="Y112" s="131">
        <v>-41059096.364299946</v>
      </c>
      <c r="Z112" s="131">
        <v>-39315142.788337581</v>
      </c>
      <c r="AA112" s="131">
        <v>-37498684.466855817</v>
      </c>
      <c r="AB112" s="131">
        <v>-35630589.647554629</v>
      </c>
      <c r="AC112" s="131">
        <v>-33801866.066845119</v>
      </c>
      <c r="AD112" s="131">
        <v>-30698329.485140428</v>
      </c>
      <c r="AE112" s="131">
        <v>-28725951.147089213</v>
      </c>
      <c r="AF112" s="131">
        <v>-26806197.404740725</v>
      </c>
      <c r="AG112" s="131">
        <v>-24945554.552028965</v>
      </c>
      <c r="AH112" s="131">
        <v>-23205926.504673507</v>
      </c>
      <c r="AI112" s="131">
        <v>-20836547.317085754</v>
      </c>
      <c r="AJ112" s="131">
        <v>-19543707.889731679</v>
      </c>
      <c r="AK112" s="131">
        <v>-18425266.170863565</v>
      </c>
      <c r="AL112" s="131">
        <v>-17442471.431498673</v>
      </c>
      <c r="AM112" s="131">
        <v>-16582505.253120678</v>
      </c>
      <c r="AN112" s="131">
        <v>-15406541.832961554</v>
      </c>
      <c r="AO112" s="131">
        <v>-14503409.930589857</v>
      </c>
      <c r="AP112" s="131">
        <v>-13805880.040967785</v>
      </c>
      <c r="AQ112" s="131">
        <v>-13122662.366256932</v>
      </c>
      <c r="AR112" s="131">
        <v>-12473216.878630565</v>
      </c>
      <c r="AS112" s="131">
        <v>-11623468.674852023</v>
      </c>
      <c r="AT112" s="131">
        <v>-10987145.563456189</v>
      </c>
      <c r="AU112" s="131">
        <v>-10355538.52625466</v>
      </c>
      <c r="AV112" s="131">
        <v>-9723802.6009259727</v>
      </c>
      <c r="AW112" s="131">
        <v>-9096218.0871891957</v>
      </c>
      <c r="AX112" s="131">
        <v>-8343258.4019780234</v>
      </c>
      <c r="AY112" s="131">
        <v>-7664290.4358631652</v>
      </c>
      <c r="AZ112" s="131">
        <v>-7041654.2491316497</v>
      </c>
      <c r="BA112" s="131">
        <v>-6426817.0379602322</v>
      </c>
      <c r="BB112" s="131">
        <v>-5835546.8098940551</v>
      </c>
      <c r="BC112" s="131">
        <v>-5215988.9295939719</v>
      </c>
      <c r="BD112" s="131">
        <v>-4684343.2670977795</v>
      </c>
      <c r="BE112" s="131">
        <v>-4202560.927062301</v>
      </c>
      <c r="BF112" s="131">
        <v>-3765928.432750287</v>
      </c>
      <c r="BG112" s="131">
        <v>-3370404.131675533</v>
      </c>
      <c r="BH112" s="131">
        <v>-2983329.6103108418</v>
      </c>
      <c r="BI112" s="131">
        <v>-2619507.2980542225</v>
      </c>
      <c r="BJ112" s="131">
        <v>-2326114.4885225384</v>
      </c>
      <c r="BK112" s="131">
        <v>-2053729.9451156619</v>
      </c>
      <c r="BL112" s="131">
        <v>-1804472.9184915165</v>
      </c>
      <c r="BM112" s="131">
        <v>-1566560.8941286169</v>
      </c>
      <c r="BN112" s="131">
        <v>-1358213.7231665701</v>
      </c>
      <c r="BO112" s="131">
        <v>-1172177.5635932486</v>
      </c>
      <c r="BP112" s="131">
        <v>-1002496.8294300733</v>
      </c>
      <c r="BQ112" s="131">
        <v>-848866.93109560851</v>
      </c>
      <c r="BR112" s="131">
        <v>-706283.04509983445</v>
      </c>
      <c r="BS112" s="131">
        <v>-577726.27315132669</v>
      </c>
      <c r="BT112" s="131">
        <v>-470968.28317219618</v>
      </c>
      <c r="BU112" s="131">
        <v>-376676.73421585042</v>
      </c>
      <c r="BV112" s="131">
        <v>-295111.07850925991</v>
      </c>
      <c r="BW112" s="131">
        <v>-225124.67924163537</v>
      </c>
      <c r="BX112" s="131">
        <v>-164772.48400112562</v>
      </c>
      <c r="BY112" s="131">
        <v>-121877.7658400572</v>
      </c>
      <c r="BZ112" s="131">
        <v>-88935.728693860176</v>
      </c>
      <c r="CA112" s="131">
        <v>-64079.090149690805</v>
      </c>
      <c r="CB112" s="131">
        <v>-45495.147651336338</v>
      </c>
      <c r="CC112" s="131">
        <v>-27075.658837652118</v>
      </c>
      <c r="CD112" s="131">
        <v>-19368.70360636133</v>
      </c>
      <c r="CE112" s="131">
        <v>-13661.589986728122</v>
      </c>
      <c r="CF112" s="131">
        <v>-9495.7007787680341</v>
      </c>
      <c r="CG112" s="131">
        <v>-6499.8712097241532</v>
      </c>
      <c r="CH112" s="131">
        <v>-3396.0032030058401</v>
      </c>
      <c r="CI112" s="131">
        <v>-2303.0619050542559</v>
      </c>
      <c r="CJ112" s="131">
        <v>-1524.7041385982118</v>
      </c>
      <c r="CK112" s="131">
        <v>-990.49084002894017</v>
      </c>
      <c r="CL112" s="131">
        <v>-638.64106424214481</v>
      </c>
      <c r="CM112" s="131">
        <v>0</v>
      </c>
      <c r="CN112" s="131">
        <v>0</v>
      </c>
      <c r="CO112" s="131">
        <v>0</v>
      </c>
      <c r="CP112" s="131">
        <v>0</v>
      </c>
      <c r="CQ112" s="131">
        <v>0</v>
      </c>
      <c r="CR112" s="131">
        <v>0</v>
      </c>
      <c r="CS112" s="131">
        <v>0</v>
      </c>
      <c r="CT112" s="131">
        <v>0</v>
      </c>
      <c r="CU112" s="131">
        <v>0</v>
      </c>
      <c r="CV112" s="131">
        <v>0</v>
      </c>
      <c r="CW112" s="131">
        <v>0</v>
      </c>
      <c r="CX112" s="131">
        <v>0</v>
      </c>
      <c r="CY112" s="131">
        <v>0</v>
      </c>
      <c r="CZ112" s="131">
        <v>0</v>
      </c>
      <c r="DA112" s="131">
        <v>0</v>
      </c>
    </row>
    <row r="113" spans="2:105" x14ac:dyDescent="0.3">
      <c r="C113" s="160"/>
    </row>
    <row r="114" spans="2:105" x14ac:dyDescent="0.3">
      <c r="C114" s="160" t="s">
        <v>119</v>
      </c>
      <c r="F114" s="124">
        <v>395462.55380120239</v>
      </c>
      <c r="G114" s="124">
        <v>1457920.8035260192</v>
      </c>
      <c r="H114" s="124">
        <v>2904187.6818611994</v>
      </c>
      <c r="I114" s="124">
        <v>4510841.8721852219</v>
      </c>
      <c r="J114" s="124">
        <v>6445846.3099079505</v>
      </c>
      <c r="K114" s="124">
        <v>8623543.4505227301</v>
      </c>
      <c r="L114" s="124">
        <v>10894177.067617893</v>
      </c>
      <c r="M114" s="124">
        <v>13379488.001973836</v>
      </c>
      <c r="N114" s="124">
        <v>16171781.755326252</v>
      </c>
      <c r="O114" s="124">
        <v>19390606.882471781</v>
      </c>
      <c r="P114" s="124">
        <v>19730715.704576101</v>
      </c>
      <c r="Q114" s="124">
        <v>17842158.419793639</v>
      </c>
      <c r="R114" s="124">
        <v>16530724.70528762</v>
      </c>
      <c r="S114" s="124">
        <v>15321918.811513478</v>
      </c>
      <c r="T114" s="124">
        <v>14207538.703685723</v>
      </c>
      <c r="U114" s="124">
        <v>13186372.63320248</v>
      </c>
      <c r="V114" s="124">
        <v>12203243.106565263</v>
      </c>
      <c r="W114" s="124">
        <v>11260336.657004727</v>
      </c>
      <c r="X114" s="124">
        <v>10345584.241401302</v>
      </c>
      <c r="Y114" s="124">
        <v>9500206.3311754502</v>
      </c>
      <c r="Z114" s="124">
        <v>8806137.6266516224</v>
      </c>
      <c r="AA114" s="124">
        <v>8157963.3132468499</v>
      </c>
      <c r="AB114" s="124">
        <v>7551148.5600952534</v>
      </c>
      <c r="AC114" s="124">
        <v>6985951.9141998682</v>
      </c>
      <c r="AD114" s="124">
        <v>6433543.0427749055</v>
      </c>
      <c r="AE114" s="124">
        <v>5926715.9288319098</v>
      </c>
      <c r="AF114" s="124">
        <v>5456945.5105118621</v>
      </c>
      <c r="AG114" s="124">
        <v>5014382.6226526769</v>
      </c>
      <c r="AH114" s="124">
        <v>4600735.0607773354</v>
      </c>
      <c r="AI114" s="124">
        <v>4182317.3107457766</v>
      </c>
      <c r="AJ114" s="124">
        <v>3921845.8464880148</v>
      </c>
      <c r="AK114" s="124">
        <v>3691158.1652435041</v>
      </c>
      <c r="AL114" s="124">
        <v>3477561.5981527935</v>
      </c>
      <c r="AM114" s="124">
        <v>3282178.3220647499</v>
      </c>
      <c r="AN114" s="124">
        <v>3073815.2383528575</v>
      </c>
      <c r="AO114" s="124">
        <v>2904916.2422710075</v>
      </c>
      <c r="AP114" s="124">
        <v>2740152.0088510565</v>
      </c>
      <c r="AQ114" s="124">
        <v>2581729.4248676291</v>
      </c>
      <c r="AR114" s="124">
        <v>2432309.6311344588</v>
      </c>
      <c r="AS114" s="124">
        <v>2271640.3853781731</v>
      </c>
      <c r="AT114" s="124">
        <v>2133210.9661210631</v>
      </c>
      <c r="AU114" s="124">
        <v>1999516.7647540071</v>
      </c>
      <c r="AV114" s="124">
        <v>1866233.2336189758</v>
      </c>
      <c r="AW114" s="124">
        <v>1734838.4647454889</v>
      </c>
      <c r="AX114" s="124">
        <v>1593709.1458080763</v>
      </c>
      <c r="AY114" s="124">
        <v>1465544.8802002547</v>
      </c>
      <c r="AZ114" s="124">
        <v>1340688.2744557299</v>
      </c>
      <c r="BA114" s="124">
        <v>1219920.0516404784</v>
      </c>
      <c r="BB114" s="124">
        <v>1105036.3344181837</v>
      </c>
      <c r="BC114" s="124">
        <v>990844.40649102523</v>
      </c>
      <c r="BD114" s="124">
        <v>889051.15637394134</v>
      </c>
      <c r="BE114" s="124">
        <v>796114.85843816516</v>
      </c>
      <c r="BF114" s="124">
        <v>710190.54561297176</v>
      </c>
      <c r="BG114" s="124">
        <v>630829.82886295649</v>
      </c>
      <c r="BH114" s="124">
        <v>554832.02361964365</v>
      </c>
      <c r="BI114" s="124">
        <v>487835.5683178386</v>
      </c>
      <c r="BJ114" s="124">
        <v>425692.73569164937</v>
      </c>
      <c r="BK114" s="124">
        <v>368996.4730927312</v>
      </c>
      <c r="BL114" s="124">
        <v>318200.80915954075</v>
      </c>
      <c r="BM114" s="124">
        <v>272195.69926594914</v>
      </c>
      <c r="BN114" s="124">
        <v>232960.38037682936</v>
      </c>
      <c r="BO114" s="124">
        <v>196845.20617950076</v>
      </c>
      <c r="BP114" s="124">
        <v>164179.50136613849</v>
      </c>
      <c r="BQ114" s="124">
        <v>135078.19888853017</v>
      </c>
      <c r="BR114" s="124">
        <v>109273.64159430022</v>
      </c>
      <c r="BS114" s="124">
        <v>88426.526310052242</v>
      </c>
      <c r="BT114" s="124">
        <v>69099.815553084991</v>
      </c>
      <c r="BU114" s="124">
        <v>52349.533323309915</v>
      </c>
      <c r="BV114" s="124">
        <v>38340.773498764785</v>
      </c>
      <c r="BW114" s="124">
        <v>27083.299454515643</v>
      </c>
      <c r="BX114" s="124">
        <v>19204.629080979837</v>
      </c>
      <c r="BY114" s="124">
        <v>12755.529555024668</v>
      </c>
      <c r="BZ114" s="124">
        <v>8124.3246033199684</v>
      </c>
      <c r="CA114" s="124">
        <v>4924.3674131920316</v>
      </c>
      <c r="CB114" s="124">
        <v>2923.172888879486</v>
      </c>
      <c r="CC114" s="124">
        <v>2218.876664195298</v>
      </c>
      <c r="CD114" s="124">
        <v>1496.5062449048758</v>
      </c>
      <c r="CE114" s="124">
        <v>952.5388681257989</v>
      </c>
      <c r="CF114" s="124">
        <v>540.45769448387273</v>
      </c>
      <c r="CG114" s="124">
        <v>233.62338046502168</v>
      </c>
      <c r="CH114" s="124">
        <v>159.65661033513135</v>
      </c>
      <c r="CI114" s="124">
        <v>-3.3742349852521727</v>
      </c>
      <c r="CJ114" s="124">
        <v>-40.955116762063696</v>
      </c>
      <c r="CK114" s="124">
        <v>-45.105009508122343</v>
      </c>
      <c r="CL114" s="124">
        <v>-40.529752983137882</v>
      </c>
      <c r="CM114" s="124">
        <v>0</v>
      </c>
      <c r="CN114" s="124">
        <v>0</v>
      </c>
      <c r="CO114" s="124">
        <v>0</v>
      </c>
      <c r="CP114" s="124">
        <v>0</v>
      </c>
      <c r="CQ114" s="124">
        <v>0</v>
      </c>
      <c r="CR114" s="124">
        <v>0</v>
      </c>
      <c r="CS114" s="124">
        <v>0</v>
      </c>
      <c r="CT114" s="124">
        <v>0</v>
      </c>
      <c r="CU114" s="124">
        <v>0</v>
      </c>
      <c r="CV114" s="124">
        <v>0</v>
      </c>
      <c r="CW114" s="124">
        <v>0</v>
      </c>
      <c r="CX114" s="124">
        <v>0</v>
      </c>
      <c r="CY114" s="124">
        <v>0</v>
      </c>
      <c r="CZ114" s="124">
        <v>0</v>
      </c>
      <c r="DA114" s="124">
        <v>0</v>
      </c>
    </row>
    <row r="115" spans="2:105" x14ac:dyDescent="0.3">
      <c r="C115" s="160"/>
    </row>
    <row r="116" spans="2:105" x14ac:dyDescent="0.3">
      <c r="C116" s="160" t="s">
        <v>120</v>
      </c>
      <c r="F116" s="116">
        <v>-9774.6087250126166</v>
      </c>
      <c r="G116" s="131">
        <v>-32879.527127720256</v>
      </c>
      <c r="H116" s="131">
        <v>-63663.229051129762</v>
      </c>
      <c r="I116" s="131">
        <v>-98834.963506666434</v>
      </c>
      <c r="J116" s="131">
        <v>-143053.68252577828</v>
      </c>
      <c r="K116" s="131">
        <v>-191898.66140847115</v>
      </c>
      <c r="L116" s="131">
        <v>-244075.4462991718</v>
      </c>
      <c r="M116" s="131">
        <v>-302190.38741410879</v>
      </c>
      <c r="N116" s="131">
        <v>-368395.97013136355</v>
      </c>
      <c r="O116" s="131">
        <v>-445127.68968764914</v>
      </c>
      <c r="P116" s="131">
        <v>-449638.22662643285</v>
      </c>
      <c r="Q116" s="131">
        <v>-425094.78188748786</v>
      </c>
      <c r="R116" s="131">
        <v>-406626.95347055083</v>
      </c>
      <c r="S116" s="131">
        <v>-387142.16222838691</v>
      </c>
      <c r="T116" s="131">
        <v>-365757.74262361991</v>
      </c>
      <c r="U116" s="131">
        <v>-349904.92803232896</v>
      </c>
      <c r="V116" s="131">
        <v>-333528.02451298578</v>
      </c>
      <c r="W116" s="131">
        <v>-316332.24683775072</v>
      </c>
      <c r="X116" s="131">
        <v>-298047.88939114584</v>
      </c>
      <c r="Y116" s="131">
        <v>-278214.18635144626</v>
      </c>
      <c r="Z116" s="131">
        <v>-268193.85655028839</v>
      </c>
      <c r="AA116" s="131">
        <v>-256791.28324948775</v>
      </c>
      <c r="AB116" s="131">
        <v>-244629.33218821869</v>
      </c>
      <c r="AC116" s="131">
        <v>-231980.03276488083</v>
      </c>
      <c r="AD116" s="131">
        <v>-218192.64780735609</v>
      </c>
      <c r="AE116" s="131">
        <v>-204082.620772561</v>
      </c>
      <c r="AF116" s="131">
        <v>-189648.4102211378</v>
      </c>
      <c r="AG116" s="131">
        <v>-174563.47693513942</v>
      </c>
      <c r="AH116" s="131">
        <v>-158596.44870014873</v>
      </c>
      <c r="AI116" s="131">
        <v>-141399.62932820548</v>
      </c>
      <c r="AJ116" s="131">
        <v>-134839.17273653077</v>
      </c>
      <c r="AK116" s="131">
        <v>-128538.20772240583</v>
      </c>
      <c r="AL116" s="131">
        <v>-122390.1636713164</v>
      </c>
      <c r="AM116" s="131">
        <v>-116365.1766016827</v>
      </c>
      <c r="AN116" s="131">
        <v>-110441.5470470944</v>
      </c>
      <c r="AO116" s="131">
        <v>-104603.2632360992</v>
      </c>
      <c r="AP116" s="131">
        <v>-98991.408032815336</v>
      </c>
      <c r="AQ116" s="131">
        <v>-93432.369664944476</v>
      </c>
      <c r="AR116" s="131">
        <v>-87937.806504014065</v>
      </c>
      <c r="AS116" s="131">
        <v>-82514.10404084975</v>
      </c>
      <c r="AT116" s="131">
        <v>-77163.513869999457</v>
      </c>
      <c r="AU116" s="131">
        <v>-71925.776234451769</v>
      </c>
      <c r="AV116" s="131">
        <v>-66790.257460486901</v>
      </c>
      <c r="AW116" s="131">
        <v>-61781.225872491268</v>
      </c>
      <c r="AX116" s="131">
        <v>-56925.694220328696</v>
      </c>
      <c r="AY116" s="131">
        <v>-52251.028321094156</v>
      </c>
      <c r="AZ116" s="131">
        <v>-47819.75677510017</v>
      </c>
      <c r="BA116" s="131">
        <v>-43607.333066683539</v>
      </c>
      <c r="BB116" s="131">
        <v>-39638.268663851573</v>
      </c>
      <c r="BC116" s="131">
        <v>-35925.435281349222</v>
      </c>
      <c r="BD116" s="131">
        <v>-32469.514667076299</v>
      </c>
      <c r="BE116" s="131">
        <v>-29268.835427632468</v>
      </c>
      <c r="BF116" s="131">
        <v>-26302.934581526864</v>
      </c>
      <c r="BG116" s="131">
        <v>-23553.439236734517</v>
      </c>
      <c r="BH116" s="131">
        <v>-21005.017957266191</v>
      </c>
      <c r="BI116" s="131">
        <v>-18644.589744997687</v>
      </c>
      <c r="BJ116" s="131">
        <v>-16501.640222975475</v>
      </c>
      <c r="BK116" s="131">
        <v>-14514.61114397898</v>
      </c>
      <c r="BL116" s="131">
        <v>-12681.141217930675</v>
      </c>
      <c r="BM116" s="131">
        <v>-10995.652921272418</v>
      </c>
      <c r="BN116" s="131">
        <v>-9450.3904262354426</v>
      </c>
      <c r="BO116" s="131">
        <v>-8040.7136131293482</v>
      </c>
      <c r="BP116" s="131">
        <v>-6761.280595877327</v>
      </c>
      <c r="BQ116" s="131">
        <v>-5611.4316604263913</v>
      </c>
      <c r="BR116" s="131">
        <v>-4590.2436698512911</v>
      </c>
      <c r="BS116" s="131">
        <v>-3695.6444086826223</v>
      </c>
      <c r="BT116" s="131">
        <v>-2932.4042603564594</v>
      </c>
      <c r="BU116" s="131">
        <v>-2284.2370547122782</v>
      </c>
      <c r="BV116" s="131">
        <v>-1747.127194570535</v>
      </c>
      <c r="BW116" s="131">
        <v>-1313.3927528196295</v>
      </c>
      <c r="BX116" s="131">
        <v>-971.78196921839617</v>
      </c>
      <c r="BY116" s="131">
        <v>-714.43653791573115</v>
      </c>
      <c r="BZ116" s="131">
        <v>-519.36816634021272</v>
      </c>
      <c r="CA116" s="131">
        <v>-372.52551547685727</v>
      </c>
      <c r="CB116" s="131">
        <v>-262.413558421056</v>
      </c>
      <c r="CC116" s="131">
        <v>-179.80042010169205</v>
      </c>
      <c r="CD116" s="131">
        <v>-131.18978986121431</v>
      </c>
      <c r="CE116" s="131">
        <v>-93.409351212104866</v>
      </c>
      <c r="CF116" s="131">
        <v>-64.559613441481261</v>
      </c>
      <c r="CG116" s="131">
        <v>-42.960045656154108</v>
      </c>
      <c r="CH116" s="131">
        <v>-27.063074171556416</v>
      </c>
      <c r="CI116" s="131">
        <v>-17.319538908673859</v>
      </c>
      <c r="CJ116" s="131">
        <v>-10.406838341355542</v>
      </c>
      <c r="CK116" s="131">
        <v>-5.5987263442271473</v>
      </c>
      <c r="CL116" s="131">
        <v>-2.2922136024735615</v>
      </c>
      <c r="CM116" s="131">
        <v>0</v>
      </c>
      <c r="CN116" s="131">
        <v>0</v>
      </c>
      <c r="CO116" s="131">
        <v>0</v>
      </c>
      <c r="CP116" s="131">
        <v>0</v>
      </c>
      <c r="CQ116" s="131">
        <v>0</v>
      </c>
      <c r="CR116" s="131">
        <v>0</v>
      </c>
      <c r="CS116" s="131">
        <v>0</v>
      </c>
      <c r="CT116" s="131">
        <v>0</v>
      </c>
      <c r="CU116" s="131">
        <v>0</v>
      </c>
      <c r="CV116" s="131">
        <v>0</v>
      </c>
      <c r="CW116" s="131">
        <v>0</v>
      </c>
      <c r="CX116" s="131">
        <v>0</v>
      </c>
      <c r="CY116" s="131">
        <v>0</v>
      </c>
      <c r="CZ116" s="131">
        <v>0</v>
      </c>
      <c r="DA116" s="131">
        <v>0</v>
      </c>
    </row>
    <row r="117" spans="2:105" x14ac:dyDescent="0.3">
      <c r="C117" s="136"/>
    </row>
    <row r="118" spans="2:105" x14ac:dyDescent="0.3">
      <c r="C118" s="136" t="s">
        <v>121</v>
      </c>
      <c r="F118" s="124">
        <v>200343.46210573689</v>
      </c>
      <c r="G118" s="124">
        <v>703828.89467045618</v>
      </c>
      <c r="H118" s="124">
        <v>1323669.8775551226</v>
      </c>
      <c r="I118" s="124">
        <v>1963695.8538288088</v>
      </c>
      <c r="J118" s="124">
        <v>2757249.1189020323</v>
      </c>
      <c r="K118" s="124">
        <v>3655402.71739825</v>
      </c>
      <c r="L118" s="124">
        <v>4595047.521528706</v>
      </c>
      <c r="M118" s="124">
        <v>5679172.9639475429</v>
      </c>
      <c r="N118" s="124">
        <v>6966941.8601525342</v>
      </c>
      <c r="O118" s="124">
        <v>8508337.6511667632</v>
      </c>
      <c r="P118" s="124">
        <v>8625341.0269382857</v>
      </c>
      <c r="Q118" s="124">
        <v>7937338.5333250631</v>
      </c>
      <c r="R118" s="124">
        <v>7980719.4413534477</v>
      </c>
      <c r="S118" s="124">
        <v>8202370.0502186958</v>
      </c>
      <c r="T118" s="124">
        <v>8420853.7458106503</v>
      </c>
      <c r="U118" s="124">
        <v>8771067.7474069316</v>
      </c>
      <c r="V118" s="124">
        <v>9061961.8388910498</v>
      </c>
      <c r="W118" s="124">
        <v>9271964.8485011812</v>
      </c>
      <c r="X118" s="124">
        <v>9401372.4900126345</v>
      </c>
      <c r="Y118" s="124">
        <v>9423349.1879245434</v>
      </c>
      <c r="Z118" s="124">
        <v>9471154.4241358191</v>
      </c>
      <c r="AA118" s="124">
        <v>9428898.554921886</v>
      </c>
      <c r="AB118" s="124">
        <v>9308119.5817438141</v>
      </c>
      <c r="AC118" s="124">
        <v>9119177.3425892387</v>
      </c>
      <c r="AD118" s="124">
        <v>8867739.0838831384</v>
      </c>
      <c r="AE118" s="124">
        <v>8641458.7942089662</v>
      </c>
      <c r="AF118" s="124">
        <v>8387860.3835862838</v>
      </c>
      <c r="AG118" s="124">
        <v>8115243.8225551499</v>
      </c>
      <c r="AH118" s="124">
        <v>7829892.9038791247</v>
      </c>
      <c r="AI118" s="124">
        <v>7533125.2286329232</v>
      </c>
      <c r="AJ118" s="124">
        <v>7274773.7261872739</v>
      </c>
      <c r="AK118" s="124">
        <v>7010982.4853423275</v>
      </c>
      <c r="AL118" s="124">
        <v>6738600.3136199582</v>
      </c>
      <c r="AM118" s="124">
        <v>6455068.3784062108</v>
      </c>
      <c r="AN118" s="124">
        <v>6157300.1828469457</v>
      </c>
      <c r="AO118" s="124">
        <v>5870186.3836363778</v>
      </c>
      <c r="AP118" s="124">
        <v>5581377.9723149091</v>
      </c>
      <c r="AQ118" s="124">
        <v>5282719.8700606916</v>
      </c>
      <c r="AR118" s="124">
        <v>4976088.1149993492</v>
      </c>
      <c r="AS118" s="124">
        <v>4661853.8982220218</v>
      </c>
      <c r="AT118" s="124">
        <v>4355856.104450359</v>
      </c>
      <c r="AU118" s="124">
        <v>4047493.0288093309</v>
      </c>
      <c r="AV118" s="124">
        <v>3739060.8764041457</v>
      </c>
      <c r="AW118" s="124">
        <v>3433194.2018108857</v>
      </c>
      <c r="AX118" s="124">
        <v>3132190.3123042043</v>
      </c>
      <c r="AY118" s="124">
        <v>2847085.5824290169</v>
      </c>
      <c r="AZ118" s="124">
        <v>2575868.1395773948</v>
      </c>
      <c r="BA118" s="124">
        <v>2317913.6986820498</v>
      </c>
      <c r="BB118" s="124">
        <v>2075262.5807914136</v>
      </c>
      <c r="BC118" s="124">
        <v>1848867.978587379</v>
      </c>
      <c r="BD118" s="124">
        <v>1643112.2440340735</v>
      </c>
      <c r="BE118" s="124">
        <v>1454565.3176652172</v>
      </c>
      <c r="BF118" s="124">
        <v>1281966.7099411443</v>
      </c>
      <c r="BG118" s="124">
        <v>1124181.6160675143</v>
      </c>
      <c r="BH118" s="124">
        <v>980113.37901949137</v>
      </c>
      <c r="BI118" s="124">
        <v>850675.6348127916</v>
      </c>
      <c r="BJ118" s="124">
        <v>735491.89540252206</v>
      </c>
      <c r="BK118" s="124">
        <v>631440.62244416156</v>
      </c>
      <c r="BL118" s="124">
        <v>538056.79407876648</v>
      </c>
      <c r="BM118" s="124">
        <v>454636.65987670131</v>
      </c>
      <c r="BN118" s="124">
        <v>381180.97967880615</v>
      </c>
      <c r="BO118" s="124">
        <v>316393.9541650649</v>
      </c>
      <c r="BP118" s="124">
        <v>259534.14944140977</v>
      </c>
      <c r="BQ118" s="124">
        <v>210123.9869465791</v>
      </c>
      <c r="BR118" s="124">
        <v>167640.34050777624</v>
      </c>
      <c r="BS118" s="124">
        <v>131829.13843292295</v>
      </c>
      <c r="BT118" s="124">
        <v>102105.28410359469</v>
      </c>
      <c r="BU118" s="124">
        <v>77577.77746952766</v>
      </c>
      <c r="BV118" s="124">
        <v>57775.905529133939</v>
      </c>
      <c r="BW118" s="124">
        <v>42159.095419147037</v>
      </c>
      <c r="BX118" s="124">
        <v>30209.021527720379</v>
      </c>
      <c r="BY118" s="124">
        <v>21437.695064617634</v>
      </c>
      <c r="BZ118" s="124">
        <v>14959.345762479788</v>
      </c>
      <c r="CA118" s="124">
        <v>10247.304308049203</v>
      </c>
      <c r="CB118" s="124">
        <v>6866.651678428726</v>
      </c>
      <c r="CC118" s="124">
        <v>4470.2355918139474</v>
      </c>
      <c r="CD118" s="124">
        <v>3041.2645477020696</v>
      </c>
      <c r="CE118" s="124">
        <v>2015.7392876319107</v>
      </c>
      <c r="CF118" s="124">
        <v>1291.2827261487744</v>
      </c>
      <c r="CG118" s="124">
        <v>788.69524139816724</v>
      </c>
      <c r="CH118" s="124">
        <v>447.22746759175141</v>
      </c>
      <c r="CI118" s="124">
        <v>270.88980878501502</v>
      </c>
      <c r="CJ118" s="124">
        <v>156.15561476064934</v>
      </c>
      <c r="CK118" s="124">
        <v>81.109265694149656</v>
      </c>
      <c r="CL118" s="124">
        <v>32.17544191897764</v>
      </c>
      <c r="CM118" s="124">
        <v>1.2318694766467609E-9</v>
      </c>
      <c r="CN118" s="124">
        <v>0</v>
      </c>
      <c r="CO118" s="124">
        <v>0</v>
      </c>
      <c r="CP118" s="124">
        <v>0</v>
      </c>
      <c r="CQ118" s="124">
        <v>0</v>
      </c>
      <c r="CR118" s="124">
        <v>0</v>
      </c>
      <c r="CS118" s="124">
        <v>0</v>
      </c>
      <c r="CT118" s="124">
        <v>0</v>
      </c>
      <c r="CU118" s="124">
        <v>0</v>
      </c>
      <c r="CV118" s="124">
        <v>0</v>
      </c>
      <c r="CW118" s="124">
        <v>0</v>
      </c>
      <c r="CX118" s="124">
        <v>0</v>
      </c>
      <c r="CY118" s="124">
        <v>0</v>
      </c>
      <c r="CZ118" s="124">
        <v>0</v>
      </c>
      <c r="DA118" s="124">
        <v>0</v>
      </c>
    </row>
    <row r="119" spans="2:105" x14ac:dyDescent="0.3">
      <c r="C119" s="136" t="s">
        <v>122</v>
      </c>
      <c r="F119" s="124">
        <v>-200343.46210573686</v>
      </c>
      <c r="G119" s="124">
        <v>-703828.89467045618</v>
      </c>
      <c r="H119" s="124">
        <v>-1323669.8775551228</v>
      </c>
      <c r="I119" s="124">
        <v>-1963695.8538288083</v>
      </c>
      <c r="J119" s="124">
        <v>-2757249.1189020318</v>
      </c>
      <c r="K119" s="124">
        <v>-3655402.7173982505</v>
      </c>
      <c r="L119" s="124">
        <v>-4595047.521528705</v>
      </c>
      <c r="M119" s="124">
        <v>-5679172.9639475411</v>
      </c>
      <c r="N119" s="124">
        <v>-6966941.8601525342</v>
      </c>
      <c r="O119" s="124">
        <v>-8508337.6511667632</v>
      </c>
      <c r="P119" s="124">
        <v>-8625341.0269382838</v>
      </c>
      <c r="Q119" s="124">
        <v>-7937338.5333250631</v>
      </c>
      <c r="R119" s="124">
        <v>-7980719.4413534477</v>
      </c>
      <c r="S119" s="124">
        <v>-8202370.0502186958</v>
      </c>
      <c r="T119" s="124">
        <v>-8420853.7458106503</v>
      </c>
      <c r="U119" s="124">
        <v>-8771067.7474069316</v>
      </c>
      <c r="V119" s="124">
        <v>-9061961.8388910498</v>
      </c>
      <c r="W119" s="124">
        <v>-9271964.8485011812</v>
      </c>
      <c r="X119" s="124">
        <v>-9401372.4900126364</v>
      </c>
      <c r="Y119" s="124">
        <v>-9423349.1879245434</v>
      </c>
      <c r="Z119" s="124">
        <v>-9471154.4241358191</v>
      </c>
      <c r="AA119" s="124">
        <v>-9428898.554921886</v>
      </c>
      <c r="AB119" s="124">
        <v>-9308119.5817438141</v>
      </c>
      <c r="AC119" s="124">
        <v>-9119177.3425892387</v>
      </c>
      <c r="AD119" s="124">
        <v>-8867739.0838831402</v>
      </c>
      <c r="AE119" s="124">
        <v>-8641458.7942089662</v>
      </c>
      <c r="AF119" s="124">
        <v>-8387860.3835862838</v>
      </c>
      <c r="AG119" s="124">
        <v>-8115243.822555149</v>
      </c>
      <c r="AH119" s="124">
        <v>-7829892.9038791228</v>
      </c>
      <c r="AI119" s="124">
        <v>-7533125.2286329241</v>
      </c>
      <c r="AJ119" s="124">
        <v>-7274773.7261872739</v>
      </c>
      <c r="AK119" s="124">
        <v>-7010982.4853423275</v>
      </c>
      <c r="AL119" s="124">
        <v>-6738600.3136199582</v>
      </c>
      <c r="AM119" s="124">
        <v>-6455068.3784062108</v>
      </c>
      <c r="AN119" s="124">
        <v>-6157300.1828469457</v>
      </c>
      <c r="AO119" s="124">
        <v>-5870186.3836363778</v>
      </c>
      <c r="AP119" s="124">
        <v>-5581377.9723149091</v>
      </c>
      <c r="AQ119" s="124">
        <v>-5282719.8700606907</v>
      </c>
      <c r="AR119" s="124">
        <v>-4976088.1149993483</v>
      </c>
      <c r="AS119" s="124">
        <v>-4661853.8982220218</v>
      </c>
      <c r="AT119" s="124">
        <v>-4355856.104450359</v>
      </c>
      <c r="AU119" s="124">
        <v>-4047493.0288093309</v>
      </c>
      <c r="AV119" s="124">
        <v>-3739060.8764041457</v>
      </c>
      <c r="AW119" s="124">
        <v>-3433194.2018108852</v>
      </c>
      <c r="AX119" s="124">
        <v>-3132190.3123042043</v>
      </c>
      <c r="AY119" s="124">
        <v>-2847085.5824290169</v>
      </c>
      <c r="AZ119" s="124">
        <v>-2575868.1395773953</v>
      </c>
      <c r="BA119" s="124">
        <v>-2317913.6986820498</v>
      </c>
      <c r="BB119" s="124">
        <v>-2075262.5807914136</v>
      </c>
      <c r="BC119" s="124">
        <v>-1848867.9785873785</v>
      </c>
      <c r="BD119" s="124">
        <v>-1643112.2440340738</v>
      </c>
      <c r="BE119" s="124">
        <v>-1454565.3176652174</v>
      </c>
      <c r="BF119" s="124">
        <v>-1281966.7099411443</v>
      </c>
      <c r="BG119" s="124">
        <v>-1124181.6160675143</v>
      </c>
      <c r="BH119" s="124">
        <v>-980113.37901949137</v>
      </c>
      <c r="BI119" s="124">
        <v>-850675.6348127916</v>
      </c>
      <c r="BJ119" s="124">
        <v>-735491.89540252206</v>
      </c>
      <c r="BK119" s="124">
        <v>-631440.62244416145</v>
      </c>
      <c r="BL119" s="124">
        <v>-538056.7940787666</v>
      </c>
      <c r="BM119" s="124">
        <v>-454636.65987670131</v>
      </c>
      <c r="BN119" s="124">
        <v>-381180.97967880609</v>
      </c>
      <c r="BO119" s="124">
        <v>-316393.9541650649</v>
      </c>
      <c r="BP119" s="124">
        <v>-259534.14944140977</v>
      </c>
      <c r="BQ119" s="124">
        <v>-210123.98694657904</v>
      </c>
      <c r="BR119" s="124">
        <v>-167640.34050777624</v>
      </c>
      <c r="BS119" s="124">
        <v>-131829.13843292295</v>
      </c>
      <c r="BT119" s="124">
        <v>-102105.28410359469</v>
      </c>
      <c r="BU119" s="124">
        <v>-77577.77746952766</v>
      </c>
      <c r="BV119" s="124">
        <v>-57775.905529133932</v>
      </c>
      <c r="BW119" s="124">
        <v>-42159.095419147037</v>
      </c>
      <c r="BX119" s="124">
        <v>-30209.021527720379</v>
      </c>
      <c r="BY119" s="124">
        <v>-21437.695064617626</v>
      </c>
      <c r="BZ119" s="124">
        <v>-14959.345762479788</v>
      </c>
      <c r="CA119" s="124">
        <v>-10247.304308049203</v>
      </c>
      <c r="CB119" s="124">
        <v>-6866.651678428726</v>
      </c>
      <c r="CC119" s="124">
        <v>-4470.2355918139474</v>
      </c>
      <c r="CD119" s="124">
        <v>-3041.2645477020696</v>
      </c>
      <c r="CE119" s="124">
        <v>-2015.7392876319111</v>
      </c>
      <c r="CF119" s="124">
        <v>-1291.2827261487741</v>
      </c>
      <c r="CG119" s="124">
        <v>-788.69524139816701</v>
      </c>
      <c r="CH119" s="124">
        <v>-447.22746759175146</v>
      </c>
      <c r="CI119" s="124">
        <v>-270.88980878501502</v>
      </c>
      <c r="CJ119" s="124">
        <v>-156.15561476064934</v>
      </c>
      <c r="CK119" s="124">
        <v>-81.109265694149656</v>
      </c>
      <c r="CL119" s="124">
        <v>-32.17544191897764</v>
      </c>
      <c r="CM119" s="124">
        <v>-1.2318694766467609E-9</v>
      </c>
      <c r="CN119" s="124">
        <v>0</v>
      </c>
      <c r="CO119" s="124">
        <v>0</v>
      </c>
      <c r="CP119" s="124">
        <v>0</v>
      </c>
      <c r="CQ119" s="124">
        <v>0</v>
      </c>
      <c r="CR119" s="124">
        <v>0</v>
      </c>
      <c r="CS119" s="124">
        <v>0</v>
      </c>
      <c r="CT119" s="124">
        <v>0</v>
      </c>
      <c r="CU119" s="124">
        <v>0</v>
      </c>
      <c r="CV119" s="124">
        <v>0</v>
      </c>
      <c r="CW119" s="124">
        <v>0</v>
      </c>
      <c r="CX119" s="124">
        <v>0</v>
      </c>
      <c r="CY119" s="124">
        <v>0</v>
      </c>
      <c r="CZ119" s="124">
        <v>0</v>
      </c>
      <c r="DA119" s="124">
        <v>0</v>
      </c>
    </row>
    <row r="120" spans="2:105" x14ac:dyDescent="0.3">
      <c r="C120" s="160" t="s">
        <v>123</v>
      </c>
      <c r="F120" s="131">
        <v>0</v>
      </c>
      <c r="G120" s="131">
        <v>0</v>
      </c>
      <c r="H120" s="131">
        <v>0</v>
      </c>
      <c r="I120" s="131">
        <v>0</v>
      </c>
      <c r="J120" s="131">
        <v>0</v>
      </c>
      <c r="K120" s="131">
        <v>0</v>
      </c>
      <c r="L120" s="131">
        <v>0</v>
      </c>
      <c r="M120" s="131">
        <v>0</v>
      </c>
      <c r="N120" s="131">
        <v>0</v>
      </c>
      <c r="O120" s="131">
        <v>0</v>
      </c>
      <c r="P120" s="131">
        <v>0</v>
      </c>
      <c r="Q120" s="131">
        <v>0</v>
      </c>
      <c r="R120" s="131">
        <v>0</v>
      </c>
      <c r="S120" s="131">
        <v>0</v>
      </c>
      <c r="T120" s="131">
        <v>0</v>
      </c>
      <c r="U120" s="131">
        <v>0</v>
      </c>
      <c r="V120" s="131">
        <v>0</v>
      </c>
      <c r="W120" s="131">
        <v>0</v>
      </c>
      <c r="X120" s="131">
        <v>0</v>
      </c>
      <c r="Y120" s="131">
        <v>0</v>
      </c>
      <c r="Z120" s="131">
        <v>0</v>
      </c>
      <c r="AA120" s="131">
        <v>0</v>
      </c>
      <c r="AB120" s="131">
        <v>0</v>
      </c>
      <c r="AC120" s="131">
        <v>0</v>
      </c>
      <c r="AD120" s="131">
        <v>0</v>
      </c>
      <c r="AE120" s="131">
        <v>0</v>
      </c>
      <c r="AF120" s="131">
        <v>0</v>
      </c>
      <c r="AG120" s="131">
        <v>0</v>
      </c>
      <c r="AH120" s="131">
        <v>0</v>
      </c>
      <c r="AI120" s="131">
        <v>0</v>
      </c>
      <c r="AJ120" s="131">
        <v>0</v>
      </c>
      <c r="AK120" s="131">
        <v>0</v>
      </c>
      <c r="AL120" s="131">
        <v>0</v>
      </c>
      <c r="AM120" s="131">
        <v>0</v>
      </c>
      <c r="AN120" s="131">
        <v>0</v>
      </c>
      <c r="AO120" s="131">
        <v>0</v>
      </c>
      <c r="AP120" s="131">
        <v>0</v>
      </c>
      <c r="AQ120" s="131">
        <v>0</v>
      </c>
      <c r="AR120" s="131">
        <v>0</v>
      </c>
      <c r="AS120" s="131">
        <v>0</v>
      </c>
      <c r="AT120" s="131">
        <v>0</v>
      </c>
      <c r="AU120" s="131">
        <v>0</v>
      </c>
      <c r="AV120" s="131">
        <v>0</v>
      </c>
      <c r="AW120" s="131">
        <v>0</v>
      </c>
      <c r="AX120" s="131">
        <v>0</v>
      </c>
      <c r="AY120" s="131">
        <v>0</v>
      </c>
      <c r="AZ120" s="131">
        <v>0</v>
      </c>
      <c r="BA120" s="131">
        <v>0</v>
      </c>
      <c r="BB120" s="131">
        <v>0</v>
      </c>
      <c r="BC120" s="131">
        <v>0</v>
      </c>
      <c r="BD120" s="131">
        <v>0</v>
      </c>
      <c r="BE120" s="131">
        <v>0</v>
      </c>
      <c r="BF120" s="131">
        <v>0</v>
      </c>
      <c r="BG120" s="131">
        <v>0</v>
      </c>
      <c r="BH120" s="131">
        <v>0</v>
      </c>
      <c r="BI120" s="131">
        <v>0</v>
      </c>
      <c r="BJ120" s="131">
        <v>0</v>
      </c>
      <c r="BK120" s="131">
        <v>0</v>
      </c>
      <c r="BL120" s="131">
        <v>0</v>
      </c>
      <c r="BM120" s="131">
        <v>0</v>
      </c>
      <c r="BN120" s="131">
        <v>0</v>
      </c>
      <c r="BO120" s="131">
        <v>0</v>
      </c>
      <c r="BP120" s="131">
        <v>0</v>
      </c>
      <c r="BQ120" s="131">
        <v>0</v>
      </c>
      <c r="BR120" s="131">
        <v>0</v>
      </c>
      <c r="BS120" s="131">
        <v>0</v>
      </c>
      <c r="BT120" s="131">
        <v>0</v>
      </c>
      <c r="BU120" s="131">
        <v>0</v>
      </c>
      <c r="BV120" s="131">
        <v>0</v>
      </c>
      <c r="BW120" s="131">
        <v>0</v>
      </c>
      <c r="BX120" s="131">
        <v>0</v>
      </c>
      <c r="BY120" s="131">
        <v>0</v>
      </c>
      <c r="BZ120" s="131">
        <v>0</v>
      </c>
      <c r="CA120" s="131">
        <v>0</v>
      </c>
      <c r="CB120" s="131">
        <v>0</v>
      </c>
      <c r="CC120" s="131">
        <v>0</v>
      </c>
      <c r="CD120" s="131">
        <v>0</v>
      </c>
      <c r="CE120" s="131">
        <v>0</v>
      </c>
      <c r="CF120" s="131">
        <v>0</v>
      </c>
      <c r="CG120" s="131">
        <v>0</v>
      </c>
      <c r="CH120" s="131">
        <v>0</v>
      </c>
      <c r="CI120" s="131">
        <v>0</v>
      </c>
      <c r="CJ120" s="131">
        <v>0</v>
      </c>
      <c r="CK120" s="131">
        <v>0</v>
      </c>
      <c r="CL120" s="131">
        <v>0</v>
      </c>
      <c r="CM120" s="131">
        <v>0</v>
      </c>
      <c r="CN120" s="131">
        <v>0</v>
      </c>
      <c r="CO120" s="131">
        <v>0</v>
      </c>
      <c r="CP120" s="131">
        <v>0</v>
      </c>
      <c r="CQ120" s="131">
        <v>0</v>
      </c>
      <c r="CR120" s="131">
        <v>0</v>
      </c>
      <c r="CS120" s="131">
        <v>0</v>
      </c>
      <c r="CT120" s="131">
        <v>0</v>
      </c>
      <c r="CU120" s="131">
        <v>0</v>
      </c>
      <c r="CV120" s="131">
        <v>0</v>
      </c>
      <c r="CW120" s="131">
        <v>0</v>
      </c>
      <c r="CX120" s="131">
        <v>0</v>
      </c>
      <c r="CY120" s="131">
        <v>0</v>
      </c>
      <c r="CZ120" s="131">
        <v>0</v>
      </c>
      <c r="DA120" s="131">
        <v>0</v>
      </c>
    </row>
    <row r="121" spans="2:105" x14ac:dyDescent="0.3">
      <c r="C121" s="136"/>
    </row>
    <row r="122" spans="2:105" x14ac:dyDescent="0.3">
      <c r="C122" s="162" t="s">
        <v>124</v>
      </c>
      <c r="D122" s="139"/>
      <c r="E122" s="141"/>
      <c r="F122" s="163">
        <v>385687.94507618982</v>
      </c>
      <c r="G122" s="163">
        <v>1425041.2763982993</v>
      </c>
      <c r="H122" s="163">
        <v>2840524.4528100714</v>
      </c>
      <c r="I122" s="163">
        <v>4412006.9086785549</v>
      </c>
      <c r="J122" s="163">
        <v>6302792.6273821695</v>
      </c>
      <c r="K122" s="163">
        <v>8431644.7891142573</v>
      </c>
      <c r="L122" s="163">
        <v>10650101.621318715</v>
      </c>
      <c r="M122" s="163">
        <v>13077297.614559717</v>
      </c>
      <c r="N122" s="163">
        <v>15803385.785194887</v>
      </c>
      <c r="O122" s="163">
        <v>18945479.192784112</v>
      </c>
      <c r="P122" s="163">
        <v>19281077.477949664</v>
      </c>
      <c r="Q122" s="163">
        <v>17417063.637906149</v>
      </c>
      <c r="R122" s="163">
        <v>16124097.751817068</v>
      </c>
      <c r="S122" s="163">
        <v>14934776.649285093</v>
      </c>
      <c r="T122" s="163">
        <v>13841780.961062111</v>
      </c>
      <c r="U122" s="163">
        <v>12836467.705170145</v>
      </c>
      <c r="V122" s="163">
        <v>11869715.08205229</v>
      </c>
      <c r="W122" s="163">
        <v>10944004.410166983</v>
      </c>
      <c r="X122" s="163">
        <v>10047536.352010144</v>
      </c>
      <c r="Y122" s="163">
        <v>9221992.1448240187</v>
      </c>
      <c r="Z122" s="163">
        <v>8537943.7701013349</v>
      </c>
      <c r="AA122" s="163">
        <v>7901172.0299973618</v>
      </c>
      <c r="AB122" s="163">
        <v>7306519.2279070336</v>
      </c>
      <c r="AC122" s="163">
        <v>6753971.881434992</v>
      </c>
      <c r="AD122" s="163">
        <v>6215350.394967543</v>
      </c>
      <c r="AE122" s="163">
        <v>5722633.3080593562</v>
      </c>
      <c r="AF122" s="163">
        <v>5267297.1002907287</v>
      </c>
      <c r="AG122" s="163">
        <v>4839819.1457175314</v>
      </c>
      <c r="AH122" s="163">
        <v>4442138.6120771887</v>
      </c>
      <c r="AI122" s="163">
        <v>4040917.6814175714</v>
      </c>
      <c r="AJ122" s="163">
        <v>3787006.6737514865</v>
      </c>
      <c r="AK122" s="163">
        <v>3562619.9575210954</v>
      </c>
      <c r="AL122" s="163">
        <v>3355171.434481476</v>
      </c>
      <c r="AM122" s="163">
        <v>3165813.1454630643</v>
      </c>
      <c r="AN122" s="163">
        <v>2963373.691305764</v>
      </c>
      <c r="AO122" s="163">
        <v>2800312.9790349081</v>
      </c>
      <c r="AP122" s="163">
        <v>2641160.6008182405</v>
      </c>
      <c r="AQ122" s="163">
        <v>2488297.0552026853</v>
      </c>
      <c r="AR122" s="163">
        <v>2344371.8246304472</v>
      </c>
      <c r="AS122" s="163">
        <v>2189126.2813373255</v>
      </c>
      <c r="AT122" s="163">
        <v>2056047.4522510632</v>
      </c>
      <c r="AU122" s="163">
        <v>1927590.9885195571</v>
      </c>
      <c r="AV122" s="163">
        <v>1799442.9761584885</v>
      </c>
      <c r="AW122" s="163">
        <v>1673057.2388729972</v>
      </c>
      <c r="AX122" s="163">
        <v>1536783.4515877459</v>
      </c>
      <c r="AY122" s="163">
        <v>1413293.8518791615</v>
      </c>
      <c r="AZ122" s="163">
        <v>1292868.5176806315</v>
      </c>
      <c r="BA122" s="163">
        <v>1176312.718573794</v>
      </c>
      <c r="BB122" s="163">
        <v>1065398.0657543314</v>
      </c>
      <c r="BC122" s="163">
        <v>954918.97120967647</v>
      </c>
      <c r="BD122" s="163">
        <v>856581.641706864</v>
      </c>
      <c r="BE122" s="163">
        <v>766846.02301053307</v>
      </c>
      <c r="BF122" s="163">
        <v>683887.61103144556</v>
      </c>
      <c r="BG122" s="163">
        <v>607276.38962622185</v>
      </c>
      <c r="BH122" s="163">
        <v>533827.00566237757</v>
      </c>
      <c r="BI122" s="163">
        <v>469190.97857284074</v>
      </c>
      <c r="BJ122" s="163">
        <v>409191.0954686742</v>
      </c>
      <c r="BK122" s="163">
        <v>354481.86194875266</v>
      </c>
      <c r="BL122" s="163">
        <v>305519.66794161021</v>
      </c>
      <c r="BM122" s="163">
        <v>261200.04634467664</v>
      </c>
      <c r="BN122" s="163">
        <v>223509.98995059397</v>
      </c>
      <c r="BO122" s="163">
        <v>188804.49256637148</v>
      </c>
      <c r="BP122" s="163">
        <v>157418.2207702611</v>
      </c>
      <c r="BQ122" s="163">
        <v>129466.76722810381</v>
      </c>
      <c r="BR122" s="163">
        <v>104683.39792444893</v>
      </c>
      <c r="BS122" s="163">
        <v>84730.881901369576</v>
      </c>
      <c r="BT122" s="163">
        <v>66167.411292728517</v>
      </c>
      <c r="BU122" s="163">
        <v>50065.29626859766</v>
      </c>
      <c r="BV122" s="163">
        <v>36593.646304194262</v>
      </c>
      <c r="BW122" s="163">
        <v>25769.906701696018</v>
      </c>
      <c r="BX122" s="163">
        <v>18232.847111761439</v>
      </c>
      <c r="BY122" s="163">
        <v>12041.093017108935</v>
      </c>
      <c r="BZ122" s="163">
        <v>7604.956436979759</v>
      </c>
      <c r="CA122" s="163">
        <v>4551.8418977151732</v>
      </c>
      <c r="CB122" s="163">
        <v>2660.7593304584316</v>
      </c>
      <c r="CC122" s="163">
        <v>2039.076244093606</v>
      </c>
      <c r="CD122" s="163">
        <v>1365.3164550436613</v>
      </c>
      <c r="CE122" s="163">
        <v>859.12951691369403</v>
      </c>
      <c r="CF122" s="163">
        <v>475.89808104239131</v>
      </c>
      <c r="CG122" s="163">
        <v>190.66333480886752</v>
      </c>
      <c r="CH122" s="163">
        <v>132.59353616357492</v>
      </c>
      <c r="CI122" s="163">
        <v>-20.693773893926043</v>
      </c>
      <c r="CJ122" s="163">
        <v>-51.361955103419248</v>
      </c>
      <c r="CK122" s="163">
        <v>-50.703735852349496</v>
      </c>
      <c r="CL122" s="163">
        <v>-42.821966585611449</v>
      </c>
      <c r="CM122" s="163">
        <v>0</v>
      </c>
      <c r="CN122" s="163">
        <v>0</v>
      </c>
      <c r="CO122" s="163">
        <v>0</v>
      </c>
      <c r="CP122" s="163">
        <v>0</v>
      </c>
      <c r="CQ122" s="163">
        <v>0</v>
      </c>
      <c r="CR122" s="163">
        <v>0</v>
      </c>
      <c r="CS122" s="163">
        <v>0</v>
      </c>
      <c r="CT122" s="163">
        <v>0</v>
      </c>
      <c r="CU122" s="163">
        <v>0</v>
      </c>
      <c r="CV122" s="163">
        <v>0</v>
      </c>
      <c r="CW122" s="163">
        <v>0</v>
      </c>
      <c r="CX122" s="163">
        <v>0</v>
      </c>
      <c r="CY122" s="163">
        <v>0</v>
      </c>
      <c r="CZ122" s="163">
        <v>0</v>
      </c>
      <c r="DA122" s="163">
        <v>0</v>
      </c>
    </row>
    <row r="123" spans="2:105" x14ac:dyDescent="0.3"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</row>
    <row r="124" spans="2:105" ht="43.2" x14ac:dyDescent="0.3">
      <c r="C124" s="164" t="s">
        <v>125</v>
      </c>
      <c r="F124" s="124">
        <v>384851.33357215585</v>
      </c>
      <c r="G124" s="124">
        <v>1422040.2110631696</v>
      </c>
      <c r="H124" s="124">
        <v>2834800.0459577572</v>
      </c>
      <c r="I124" s="124">
        <v>4403488.543320233</v>
      </c>
      <c r="J124" s="124">
        <v>6290942.6936619654</v>
      </c>
      <c r="K124" s="124">
        <v>8416103.7917404007</v>
      </c>
      <c r="L124" s="124">
        <v>10630831.364208244</v>
      </c>
      <c r="M124" s="124">
        <v>13053907.677636933</v>
      </c>
      <c r="N124" s="124">
        <v>15775265.063831028</v>
      </c>
      <c r="O124" s="124">
        <v>18911800.961456478</v>
      </c>
      <c r="P124" s="124">
        <v>19248090.651739374</v>
      </c>
      <c r="Q124" s="124">
        <v>17388986.979885954</v>
      </c>
      <c r="R124" s="124">
        <v>16098385.156798914</v>
      </c>
      <c r="S124" s="124">
        <v>14910668.058850355</v>
      </c>
      <c r="T124" s="124">
        <v>13819116.408469781</v>
      </c>
      <c r="U124" s="124">
        <v>12814816.856115976</v>
      </c>
      <c r="V124" s="124">
        <v>11849086.770121831</v>
      </c>
      <c r="W124" s="124">
        <v>10924442.32367491</v>
      </c>
      <c r="X124" s="124">
        <v>10029105.760312185</v>
      </c>
      <c r="Y124" s="124">
        <v>9204788.2537355106</v>
      </c>
      <c r="Z124" s="124">
        <v>8521359.5628655739</v>
      </c>
      <c r="AA124" s="124">
        <v>7885292.9364444008</v>
      </c>
      <c r="AB124" s="124">
        <v>7291392.1926548472</v>
      </c>
      <c r="AC124" s="124">
        <v>6739627.0367094325</v>
      </c>
      <c r="AD124" s="124">
        <v>6201858.1149615329</v>
      </c>
      <c r="AE124" s="124">
        <v>5710013.5435274253</v>
      </c>
      <c r="AF124" s="124">
        <v>5255569.8975293366</v>
      </c>
      <c r="AG124" s="124">
        <v>4829024.7431464596</v>
      </c>
      <c r="AH124" s="124">
        <v>4432331.555393979</v>
      </c>
      <c r="AI124" s="124">
        <v>4032174.0166568393</v>
      </c>
      <c r="AJ124" s="124">
        <v>3778668.684970344</v>
      </c>
      <c r="AK124" s="124">
        <v>3554671.5986563899</v>
      </c>
      <c r="AL124" s="124">
        <v>3347603.2494289116</v>
      </c>
      <c r="AM124" s="124">
        <v>3158617.524803875</v>
      </c>
      <c r="AN124" s="124">
        <v>2956544.3674412454</v>
      </c>
      <c r="AO124" s="124">
        <v>2793844.6744790147</v>
      </c>
      <c r="AP124" s="124">
        <v>2635039.3140078285</v>
      </c>
      <c r="AQ124" s="124">
        <v>2482519.5201270557</v>
      </c>
      <c r="AR124" s="124">
        <v>2338934.0543654645</v>
      </c>
      <c r="AS124" s="124">
        <v>2184023.8941021529</v>
      </c>
      <c r="AT124" s="124">
        <v>2051275.9270340372</v>
      </c>
      <c r="AU124" s="124">
        <v>1923143.3469096238</v>
      </c>
      <c r="AV124" s="124">
        <v>1795312.8972942561</v>
      </c>
      <c r="AW124" s="124">
        <v>1669236.9012237063</v>
      </c>
      <c r="AX124" s="124">
        <v>1533263.3632474649</v>
      </c>
      <c r="AY124" s="124">
        <v>1410062.828734339</v>
      </c>
      <c r="AZ124" s="124">
        <v>1289911.5090650201</v>
      </c>
      <c r="BA124" s="124">
        <v>1173616.1916928978</v>
      </c>
      <c r="BB124" s="124">
        <v>1062946.9721091217</v>
      </c>
      <c r="BC124" s="124">
        <v>952697.46635873849</v>
      </c>
      <c r="BD124" s="124">
        <v>854573.83905184851</v>
      </c>
      <c r="BE124" s="124">
        <v>765036.13930628332</v>
      </c>
      <c r="BF124" s="124">
        <v>682261.12839291559</v>
      </c>
      <c r="BG124" s="124">
        <v>605819.92628455628</v>
      </c>
      <c r="BH124" s="124">
        <v>532528.1278917772</v>
      </c>
      <c r="BI124" s="124">
        <v>468038.06153125473</v>
      </c>
      <c r="BJ124" s="124">
        <v>408170.69102495117</v>
      </c>
      <c r="BK124" s="124">
        <v>353584.32852116</v>
      </c>
      <c r="BL124" s="124">
        <v>304735.50996243954</v>
      </c>
      <c r="BM124" s="124">
        <v>260520.11314101383</v>
      </c>
      <c r="BN124" s="124">
        <v>222925.61044313031</v>
      </c>
      <c r="BO124" s="124">
        <v>188307.28260477522</v>
      </c>
      <c r="BP124" s="124">
        <v>157000.12652798806</v>
      </c>
      <c r="BQ124" s="124">
        <v>129119.77567304777</v>
      </c>
      <c r="BR124" s="124">
        <v>104399.55310810372</v>
      </c>
      <c r="BS124" s="124">
        <v>84502.356013876997</v>
      </c>
      <c r="BT124" s="124">
        <v>65986.081540193161</v>
      </c>
      <c r="BU124" s="124">
        <v>49924.046937643303</v>
      </c>
      <c r="BV124" s="124">
        <v>36485.60999210654</v>
      </c>
      <c r="BW124" s="124">
        <v>25688.691029603935</v>
      </c>
      <c r="BX124" s="124">
        <v>18172.755470789929</v>
      </c>
      <c r="BY124" s="124">
        <v>11996.914728878404</v>
      </c>
      <c r="BZ124" s="124">
        <v>7572.8405031876837</v>
      </c>
      <c r="CA124" s="124">
        <v>4528.8062063380548</v>
      </c>
      <c r="CB124" s="124">
        <v>2644.5325822389927</v>
      </c>
      <c r="CC124" s="124">
        <v>2027.9580070471122</v>
      </c>
      <c r="CD124" s="124">
        <v>1357.2041314966325</v>
      </c>
      <c r="CE124" s="124">
        <v>853.35340521969488</v>
      </c>
      <c r="CF124" s="124">
        <v>471.90593750086691</v>
      </c>
      <c r="CG124" s="124">
        <v>188.00683394606008</v>
      </c>
      <c r="CH124" s="124">
        <v>130.92004911790491</v>
      </c>
      <c r="CI124" s="124">
        <v>-21.764754367796456</v>
      </c>
      <c r="CJ124" s="124">
        <v>-52.005478046904528</v>
      </c>
      <c r="CK124" s="124">
        <v>-51.04994175452903</v>
      </c>
      <c r="CL124" s="124">
        <v>-42.963709158732712</v>
      </c>
      <c r="CM124" s="124">
        <v>0</v>
      </c>
      <c r="CN124" s="124">
        <v>0</v>
      </c>
      <c r="CO124" s="124">
        <v>0</v>
      </c>
      <c r="CP124" s="124">
        <v>0</v>
      </c>
      <c r="CQ124" s="124">
        <v>0</v>
      </c>
      <c r="CR124" s="124">
        <v>0</v>
      </c>
      <c r="CS124" s="124">
        <v>0</v>
      </c>
      <c r="CT124" s="124">
        <v>0</v>
      </c>
      <c r="CU124" s="124">
        <v>0</v>
      </c>
      <c r="CV124" s="124">
        <v>0</v>
      </c>
      <c r="CW124" s="124">
        <v>0</v>
      </c>
      <c r="CX124" s="124">
        <v>0</v>
      </c>
      <c r="CY124" s="124">
        <v>0</v>
      </c>
      <c r="CZ124" s="124">
        <v>0</v>
      </c>
      <c r="DA124" s="124">
        <v>0</v>
      </c>
    </row>
    <row r="125" spans="2:105" x14ac:dyDescent="0.3">
      <c r="B125" s="128"/>
    </row>
    <row r="126" spans="2:105" x14ac:dyDescent="0.3">
      <c r="B126" s="128"/>
      <c r="C126" s="131" t="s">
        <v>126</v>
      </c>
      <c r="F126" s="216">
        <f>IF(F122&lt;0,1.05*F122,0.95*F122)</f>
        <v>366403.54782238032</v>
      </c>
      <c r="G126" s="216">
        <f t="shared" ref="G126:BR126" si="0">IF(G122&lt;0,1.05*G122,0.95*G122)</f>
        <v>1353789.2125783842</v>
      </c>
      <c r="H126" s="216">
        <f t="shared" si="0"/>
        <v>2698498.2301695677</v>
      </c>
      <c r="I126" s="216">
        <f t="shared" si="0"/>
        <v>4191406.5632446269</v>
      </c>
      <c r="J126" s="216">
        <f t="shared" si="0"/>
        <v>5987652.9960130611</v>
      </c>
      <c r="K126" s="216">
        <f t="shared" si="0"/>
        <v>8010062.5496585444</v>
      </c>
      <c r="L126" s="216">
        <f t="shared" si="0"/>
        <v>10117596.540252779</v>
      </c>
      <c r="M126" s="216">
        <f t="shared" si="0"/>
        <v>12423432.733831732</v>
      </c>
      <c r="N126" s="216">
        <f t="shared" si="0"/>
        <v>15013216.495935142</v>
      </c>
      <c r="O126" s="216">
        <f t="shared" si="0"/>
        <v>17998205.233144905</v>
      </c>
      <c r="P126" s="124">
        <f t="shared" si="0"/>
        <v>18317023.604052179</v>
      </c>
      <c r="Q126" s="124">
        <f t="shared" si="0"/>
        <v>16546210.456010841</v>
      </c>
      <c r="R126" s="124">
        <f t="shared" si="0"/>
        <v>15317892.864226215</v>
      </c>
      <c r="S126" s="124">
        <f t="shared" si="0"/>
        <v>14188037.816820838</v>
      </c>
      <c r="T126" s="124">
        <f t="shared" si="0"/>
        <v>13149691.913009005</v>
      </c>
      <c r="U126" s="124">
        <f t="shared" si="0"/>
        <v>12194644.319911638</v>
      </c>
      <c r="V126" s="124">
        <f t="shared" si="0"/>
        <v>11276229.327949675</v>
      </c>
      <c r="W126" s="124">
        <f t="shared" si="0"/>
        <v>10396804.189658633</v>
      </c>
      <c r="X126" s="124">
        <f t="shared" si="0"/>
        <v>9545159.5344096366</v>
      </c>
      <c r="Y126" s="124">
        <f t="shared" si="0"/>
        <v>8760892.5375828166</v>
      </c>
      <c r="Z126" s="124">
        <f t="shared" si="0"/>
        <v>8111046.5815962674</v>
      </c>
      <c r="AA126" s="124">
        <f t="shared" si="0"/>
        <v>7506113.4284974933</v>
      </c>
      <c r="AB126" s="124">
        <f t="shared" si="0"/>
        <v>6941193.2665116815</v>
      </c>
      <c r="AC126" s="124">
        <f t="shared" si="0"/>
        <v>6416273.2873632424</v>
      </c>
      <c r="AD126" s="124">
        <f t="shared" si="0"/>
        <v>5904582.8752191653</v>
      </c>
      <c r="AE126" s="124">
        <f t="shared" si="0"/>
        <v>5436501.6426563878</v>
      </c>
      <c r="AF126" s="124">
        <f t="shared" si="0"/>
        <v>5003932.2452761922</v>
      </c>
      <c r="AG126" s="124">
        <f t="shared" si="0"/>
        <v>4597828.1884316551</v>
      </c>
      <c r="AH126" s="124">
        <f t="shared" si="0"/>
        <v>4220031.6814733287</v>
      </c>
      <c r="AI126" s="124">
        <f t="shared" si="0"/>
        <v>3838871.7973466925</v>
      </c>
      <c r="AJ126" s="124">
        <f t="shared" si="0"/>
        <v>3597656.3400639119</v>
      </c>
      <c r="AK126" s="124">
        <f t="shared" si="0"/>
        <v>3384488.9596450403</v>
      </c>
      <c r="AL126" s="124">
        <f t="shared" si="0"/>
        <v>3187412.862757402</v>
      </c>
      <c r="AM126" s="124">
        <f t="shared" si="0"/>
        <v>3007522.488189911</v>
      </c>
      <c r="AN126" s="124">
        <f t="shared" si="0"/>
        <v>2815205.0067404755</v>
      </c>
      <c r="AO126" s="124">
        <f t="shared" si="0"/>
        <v>2660297.3300831625</v>
      </c>
      <c r="AP126" s="124">
        <f t="shared" si="0"/>
        <v>2509102.5707773282</v>
      </c>
      <c r="AQ126" s="124">
        <f t="shared" si="0"/>
        <v>2363882.202442551</v>
      </c>
      <c r="AR126" s="124">
        <f t="shared" si="0"/>
        <v>2227153.2333989246</v>
      </c>
      <c r="AS126" s="124">
        <f t="shared" si="0"/>
        <v>2079669.967270459</v>
      </c>
      <c r="AT126" s="124">
        <f t="shared" si="0"/>
        <v>1953245.07963851</v>
      </c>
      <c r="AU126" s="124">
        <f t="shared" si="0"/>
        <v>1831211.4390935791</v>
      </c>
      <c r="AV126" s="124">
        <f t="shared" si="0"/>
        <v>1709470.8273505641</v>
      </c>
      <c r="AW126" s="124">
        <f t="shared" si="0"/>
        <v>1589404.3769293474</v>
      </c>
      <c r="AX126" s="124">
        <f t="shared" si="0"/>
        <v>1459944.2790083585</v>
      </c>
      <c r="AY126" s="124">
        <f t="shared" si="0"/>
        <v>1342629.1592852033</v>
      </c>
      <c r="AZ126" s="124">
        <f t="shared" si="0"/>
        <v>1228225.0917965998</v>
      </c>
      <c r="BA126" s="124">
        <f t="shared" si="0"/>
        <v>1117497.0826451043</v>
      </c>
      <c r="BB126" s="124">
        <f t="shared" si="0"/>
        <v>1012128.1624666147</v>
      </c>
      <c r="BC126" s="124">
        <f t="shared" si="0"/>
        <v>907173.0226491926</v>
      </c>
      <c r="BD126" s="124">
        <f t="shared" si="0"/>
        <v>813752.55962152081</v>
      </c>
      <c r="BE126" s="124">
        <f t="shared" si="0"/>
        <v>728503.72186000634</v>
      </c>
      <c r="BF126" s="124">
        <f t="shared" si="0"/>
        <v>649693.23047987325</v>
      </c>
      <c r="BG126" s="124">
        <f t="shared" si="0"/>
        <v>576912.57014491071</v>
      </c>
      <c r="BH126" s="124">
        <f t="shared" si="0"/>
        <v>507135.65537925868</v>
      </c>
      <c r="BI126" s="124">
        <f t="shared" si="0"/>
        <v>445731.42964419868</v>
      </c>
      <c r="BJ126" s="124">
        <f t="shared" si="0"/>
        <v>388731.54069524049</v>
      </c>
      <c r="BK126" s="124">
        <f t="shared" si="0"/>
        <v>336757.76885131502</v>
      </c>
      <c r="BL126" s="124">
        <f t="shared" si="0"/>
        <v>290243.68454452971</v>
      </c>
      <c r="BM126" s="124">
        <f t="shared" si="0"/>
        <v>248140.04402744278</v>
      </c>
      <c r="BN126" s="124">
        <f t="shared" si="0"/>
        <v>212334.49045306427</v>
      </c>
      <c r="BO126" s="124">
        <f t="shared" si="0"/>
        <v>179364.26793805289</v>
      </c>
      <c r="BP126" s="124">
        <f t="shared" si="0"/>
        <v>149547.30973174804</v>
      </c>
      <c r="BQ126" s="124">
        <f t="shared" si="0"/>
        <v>122993.42886669861</v>
      </c>
      <c r="BR126" s="124">
        <f t="shared" si="0"/>
        <v>99449.228028226484</v>
      </c>
      <c r="BS126" s="124">
        <f t="shared" ref="BS126:DA126" si="1">IF(BS122&lt;0,1.05*BS122,0.95*BS122)</f>
        <v>80494.33780630109</v>
      </c>
      <c r="BT126" s="124">
        <f t="shared" si="1"/>
        <v>62859.040728092084</v>
      </c>
      <c r="BU126" s="124">
        <f t="shared" si="1"/>
        <v>47562.031455167773</v>
      </c>
      <c r="BV126" s="124">
        <f t="shared" si="1"/>
        <v>34763.963988984549</v>
      </c>
      <c r="BW126" s="124">
        <f t="shared" si="1"/>
        <v>24481.411366611217</v>
      </c>
      <c r="BX126" s="124">
        <f t="shared" si="1"/>
        <v>17321.204756173367</v>
      </c>
      <c r="BY126" s="124">
        <f t="shared" si="1"/>
        <v>11439.038366253488</v>
      </c>
      <c r="BZ126" s="124">
        <f t="shared" si="1"/>
        <v>7224.7086151307703</v>
      </c>
      <c r="CA126" s="124">
        <f t="shared" si="1"/>
        <v>4324.249802829414</v>
      </c>
      <c r="CB126" s="124">
        <f t="shared" si="1"/>
        <v>2527.72136393551</v>
      </c>
      <c r="CC126" s="124">
        <f t="shared" si="1"/>
        <v>1937.1224318889256</v>
      </c>
      <c r="CD126" s="124">
        <f t="shared" si="1"/>
        <v>1297.0506322914782</v>
      </c>
      <c r="CE126" s="124">
        <f t="shared" si="1"/>
        <v>816.1730410680093</v>
      </c>
      <c r="CF126" s="124">
        <f t="shared" si="1"/>
        <v>452.10317699027172</v>
      </c>
      <c r="CG126" s="124">
        <f t="shared" si="1"/>
        <v>181.13016806842413</v>
      </c>
      <c r="CH126" s="124">
        <f t="shared" si="1"/>
        <v>125.96385935539617</v>
      </c>
      <c r="CI126" s="124">
        <f t="shared" si="1"/>
        <v>-21.728462588622346</v>
      </c>
      <c r="CJ126" s="124">
        <f t="shared" si="1"/>
        <v>-53.930052858590216</v>
      </c>
      <c r="CK126" s="124">
        <f t="shared" si="1"/>
        <v>-53.238922644966976</v>
      </c>
      <c r="CL126" s="124">
        <f t="shared" si="1"/>
        <v>-44.963064914892023</v>
      </c>
      <c r="CM126" s="124">
        <f t="shared" si="1"/>
        <v>0</v>
      </c>
      <c r="CN126" s="124">
        <f t="shared" si="1"/>
        <v>0</v>
      </c>
      <c r="CO126" s="124">
        <f t="shared" si="1"/>
        <v>0</v>
      </c>
      <c r="CP126" s="124">
        <f t="shared" si="1"/>
        <v>0</v>
      </c>
      <c r="CQ126" s="124">
        <f t="shared" si="1"/>
        <v>0</v>
      </c>
      <c r="CR126" s="124">
        <f t="shared" si="1"/>
        <v>0</v>
      </c>
      <c r="CS126" s="124">
        <f t="shared" si="1"/>
        <v>0</v>
      </c>
      <c r="CT126" s="124">
        <f t="shared" si="1"/>
        <v>0</v>
      </c>
      <c r="CU126" s="124">
        <f t="shared" si="1"/>
        <v>0</v>
      </c>
      <c r="CV126" s="124">
        <f t="shared" si="1"/>
        <v>0</v>
      </c>
      <c r="CW126" s="124">
        <f t="shared" si="1"/>
        <v>0</v>
      </c>
      <c r="CX126" s="124">
        <f t="shared" si="1"/>
        <v>0</v>
      </c>
      <c r="CY126" s="124">
        <f t="shared" si="1"/>
        <v>0</v>
      </c>
      <c r="CZ126" s="124">
        <f t="shared" si="1"/>
        <v>0</v>
      </c>
      <c r="DA126" s="124">
        <f t="shared" si="1"/>
        <v>0</v>
      </c>
    </row>
    <row r="127" spans="2:105" x14ac:dyDescent="0.3"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  <c r="AB127" s="148"/>
      <c r="AC127" s="148"/>
      <c r="AD127" s="148"/>
      <c r="AE127" s="148"/>
      <c r="AF127" s="148"/>
      <c r="AG127" s="148"/>
      <c r="AH127" s="148"/>
      <c r="AI127" s="148"/>
      <c r="AJ127" s="148"/>
      <c r="AK127" s="148"/>
      <c r="AL127" s="148"/>
      <c r="AM127" s="148"/>
      <c r="AN127" s="148"/>
      <c r="AO127" s="148"/>
      <c r="AP127" s="148"/>
      <c r="AQ127" s="148"/>
      <c r="AR127" s="148"/>
      <c r="AS127" s="148"/>
      <c r="AT127" s="148"/>
      <c r="AU127" s="148"/>
      <c r="AV127" s="148"/>
      <c r="AW127" s="148"/>
      <c r="AX127" s="148"/>
      <c r="AY127" s="148"/>
      <c r="AZ127" s="148"/>
      <c r="BA127" s="148"/>
      <c r="BB127" s="148"/>
      <c r="BC127" s="148"/>
      <c r="BD127" s="148"/>
      <c r="BE127" s="148"/>
      <c r="BF127" s="148"/>
      <c r="BG127" s="148"/>
      <c r="BH127" s="148"/>
      <c r="BI127" s="148"/>
      <c r="BJ127" s="148"/>
      <c r="BK127" s="148"/>
      <c r="BL127" s="148"/>
      <c r="BM127" s="148"/>
      <c r="BN127" s="148"/>
      <c r="BO127" s="148"/>
      <c r="BP127" s="148"/>
      <c r="BQ127" s="148"/>
      <c r="BR127" s="148"/>
      <c r="BS127" s="148"/>
      <c r="BT127" s="148"/>
      <c r="BU127" s="148"/>
      <c r="BV127" s="148"/>
      <c r="BW127" s="148"/>
      <c r="BX127" s="148"/>
      <c r="BY127" s="148"/>
      <c r="BZ127" s="148"/>
      <c r="CA127" s="148"/>
      <c r="CB127" s="148"/>
      <c r="CC127" s="148"/>
      <c r="CD127" s="148"/>
      <c r="CE127" s="148"/>
      <c r="CF127" s="148"/>
      <c r="CG127" s="148"/>
      <c r="CH127" s="148"/>
      <c r="CI127" s="148"/>
      <c r="CJ127" s="148"/>
      <c r="CK127" s="148"/>
      <c r="CL127" s="148"/>
      <c r="CM127" s="148"/>
      <c r="CN127" s="148"/>
      <c r="CO127" s="148"/>
      <c r="CP127" s="148"/>
      <c r="CQ127" s="148"/>
      <c r="CR127" s="148"/>
      <c r="CS127" s="148"/>
      <c r="CT127" s="148"/>
      <c r="CU127" s="148"/>
      <c r="CV127" s="148"/>
      <c r="CW127" s="148"/>
      <c r="CX127" s="148"/>
      <c r="CY127" s="148"/>
      <c r="CZ127" s="148"/>
      <c r="DA127" s="148"/>
    </row>
    <row r="128" spans="2:105" x14ac:dyDescent="0.3">
      <c r="C128" s="131" t="s">
        <v>127</v>
      </c>
      <c r="F128" s="216">
        <v>162759.92215422643</v>
      </c>
      <c r="G128" s="216">
        <v>574443.99699226324</v>
      </c>
      <c r="H128" s="216">
        <v>483365.01081392064</v>
      </c>
      <c r="I128" s="216">
        <v>483605.34171300568</v>
      </c>
      <c r="J128" s="216">
        <v>704717.33216224122</v>
      </c>
      <c r="K128" s="216">
        <v>629617.98765337327</v>
      </c>
      <c r="L128" s="216">
        <v>848735.67231021542</v>
      </c>
      <c r="M128" s="216">
        <v>1330134.2103667161</v>
      </c>
      <c r="N128" s="216">
        <v>2005179.9055531975</v>
      </c>
      <c r="O128" s="216">
        <v>2845327.3938887538</v>
      </c>
      <c r="P128" s="124">
        <v>838698.31315887719</v>
      </c>
      <c r="Q128" s="124">
        <v>2866012.8871832862</v>
      </c>
      <c r="R128" s="124">
        <v>3982178.6186752841</v>
      </c>
      <c r="S128" s="124">
        <v>4594901.2997668982</v>
      </c>
      <c r="T128" s="124">
        <v>5891337.2629520521</v>
      </c>
      <c r="U128" s="124">
        <v>6310667.2172810249</v>
      </c>
      <c r="V128" s="124">
        <v>6122659.8193153962</v>
      </c>
      <c r="W128" s="124">
        <v>5284405.7875057459</v>
      </c>
      <c r="X128" s="124">
        <v>3934648.0929662809</v>
      </c>
      <c r="Y128" s="124">
        <v>3974643.1746742874</v>
      </c>
      <c r="Z128" s="124">
        <v>2700984.0527592152</v>
      </c>
      <c r="AA128" s="124">
        <v>1689193.509402357</v>
      </c>
      <c r="AB128" s="124">
        <v>798863.69150207192</v>
      </c>
      <c r="AC128" s="124">
        <v>-58443.691782839596</v>
      </c>
      <c r="AD128" s="124">
        <v>49133.332793995738</v>
      </c>
      <c r="AE128" s="124">
        <v>-526239.40597146004</v>
      </c>
      <c r="AF128" s="124">
        <v>-927303.91482418776</v>
      </c>
      <c r="AG128" s="124">
        <v>-1271087.2801952139</v>
      </c>
      <c r="AH128" s="124">
        <v>-1589374.5866648331</v>
      </c>
      <c r="AI128" s="124">
        <v>-1372765.7939531282</v>
      </c>
      <c r="AJ128" s="124">
        <v>-1585831.3831574321</v>
      </c>
      <c r="AK128" s="124">
        <v>-1767008.2191517726</v>
      </c>
      <c r="AL128" s="124">
        <v>-1953809.2160689533</v>
      </c>
      <c r="AM128" s="124">
        <v>-2149864.3403609917</v>
      </c>
      <c r="AN128" s="124">
        <v>-2087886.1332623437</v>
      </c>
      <c r="AO128" s="124">
        <v>-2168828.5691304356</v>
      </c>
      <c r="AP128" s="124">
        <v>-2278415.7575450018</v>
      </c>
      <c r="AQ128" s="124">
        <v>-2364282.6017530113</v>
      </c>
      <c r="AR128" s="124">
        <v>-2440426.5011698678</v>
      </c>
      <c r="AS128" s="124">
        <v>-2371198.962862581</v>
      </c>
      <c r="AT128" s="124">
        <v>-2398344.3537545353</v>
      </c>
      <c r="AU128" s="124">
        <v>-2395692.0392094813</v>
      </c>
      <c r="AV128" s="124">
        <v>-2368941.5884500593</v>
      </c>
      <c r="AW128" s="124">
        <v>-2321330.9798180722</v>
      </c>
      <c r="AX128" s="124">
        <v>-2183933.9070529975</v>
      </c>
      <c r="AY128" s="124">
        <v>-2068699.7013139576</v>
      </c>
      <c r="AZ128" s="124">
        <v>-1953671.7118650693</v>
      </c>
      <c r="BA128" s="124">
        <v>-1824294.5295364223</v>
      </c>
      <c r="BB128" s="124">
        <v>-1689870.3297431804</v>
      </c>
      <c r="BC128" s="124">
        <v>-1525172.2946786284</v>
      </c>
      <c r="BD128" s="124">
        <v>-1388825.8659904096</v>
      </c>
      <c r="BE128" s="124">
        <v>-1262150.8927208316</v>
      </c>
      <c r="BF128" s="124">
        <v>-1144660.0577576831</v>
      </c>
      <c r="BG128" s="124">
        <v>-1036021.7072333293</v>
      </c>
      <c r="BH128" s="124">
        <v>-922579.13706083316</v>
      </c>
      <c r="BI128" s="124">
        <v>-816836.9794080127</v>
      </c>
      <c r="BJ128" s="124">
        <v>-729856.41152382083</v>
      </c>
      <c r="BK128" s="124">
        <v>-647596.71948293131</v>
      </c>
      <c r="BL128" s="124">
        <v>-571625.84906501649</v>
      </c>
      <c r="BM128" s="124">
        <v>-497393.33283086028</v>
      </c>
      <c r="BN128" s="124">
        <v>-432963.21711049043</v>
      </c>
      <c r="BO128" s="124">
        <v>-375213.45269329078</v>
      </c>
      <c r="BP128" s="124">
        <v>-322000.63201563386</v>
      </c>
      <c r="BQ128" s="124">
        <v>-273446.46344263025</v>
      </c>
      <c r="BR128" s="124">
        <v>-227784.07357801171</v>
      </c>
      <c r="BS128" s="124">
        <v>-186417.64551926113</v>
      </c>
      <c r="BT128" s="124">
        <v>-152124.77729887923</v>
      </c>
      <c r="BU128" s="124">
        <v>-121591.61122998741</v>
      </c>
      <c r="BV128" s="124">
        <v>-95123.16866004793</v>
      </c>
      <c r="BW128" s="124">
        <v>-72388.720739635144</v>
      </c>
      <c r="BX128" s="124">
        <v>-52989.430516502616</v>
      </c>
      <c r="BY128" s="124">
        <v>-39194.412910800296</v>
      </c>
      <c r="BZ128" s="124">
        <v>-28663.698976569183</v>
      </c>
      <c r="CA128" s="124">
        <v>-20766.396408717817</v>
      </c>
      <c r="CB128" s="124">
        <v>-14885.182553827588</v>
      </c>
      <c r="CC128" s="124">
        <v>-9240.2169371474411</v>
      </c>
      <c r="CD128" s="124">
        <v>-6726.0927995075308</v>
      </c>
      <c r="CE128" s="124">
        <v>-4837.2513482399881</v>
      </c>
      <c r="CF128" s="124">
        <v>-3437.9770900897356</v>
      </c>
      <c r="CG128" s="124">
        <v>-2410.9639938696346</v>
      </c>
      <c r="CH128" s="124">
        <v>-1407.4152397496518</v>
      </c>
      <c r="CI128" s="124">
        <v>-967.93352048967222</v>
      </c>
      <c r="CJ128" s="124">
        <v>-651.1779077606941</v>
      </c>
      <c r="CK128" s="124">
        <v>-431.4583599790692</v>
      </c>
      <c r="CL128" s="124">
        <v>-285.71634337250981</v>
      </c>
      <c r="CM128" s="124">
        <v>-9.6615053735149559E-9</v>
      </c>
      <c r="CN128" s="124">
        <v>0</v>
      </c>
      <c r="CO128" s="124">
        <v>0</v>
      </c>
      <c r="CP128" s="124">
        <v>0</v>
      </c>
      <c r="CQ128" s="124">
        <v>0</v>
      </c>
      <c r="CR128" s="124">
        <v>0</v>
      </c>
      <c r="CS128" s="124">
        <v>0</v>
      </c>
      <c r="CT128" s="124">
        <v>0</v>
      </c>
      <c r="CU128" s="124">
        <v>0</v>
      </c>
      <c r="CV128" s="124">
        <v>0</v>
      </c>
      <c r="CW128" s="124">
        <v>0</v>
      </c>
      <c r="CX128" s="124">
        <v>0</v>
      </c>
      <c r="CY128" s="124">
        <v>0</v>
      </c>
      <c r="CZ128" s="124">
        <v>0</v>
      </c>
      <c r="DA128" s="124">
        <v>0</v>
      </c>
    </row>
    <row r="129" spans="2:105" x14ac:dyDescent="0.3"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</row>
    <row r="130" spans="2:105" s="131" customFormat="1" x14ac:dyDescent="0.3">
      <c r="C130" s="131" t="s">
        <v>128</v>
      </c>
      <c r="E130" s="171"/>
      <c r="F130" s="216">
        <f>F126-F128</f>
        <v>203643.62566815389</v>
      </c>
      <c r="G130" s="216">
        <f t="shared" ref="G130:BR130" si="2">G126-G128</f>
        <v>779345.21558612096</v>
      </c>
      <c r="H130" s="216">
        <f t="shared" si="2"/>
        <v>2215133.219355647</v>
      </c>
      <c r="I130" s="216">
        <f t="shared" si="2"/>
        <v>3707801.2215316212</v>
      </c>
      <c r="J130" s="216">
        <f t="shared" si="2"/>
        <v>5282935.6638508197</v>
      </c>
      <c r="K130" s="216">
        <f>K126-K128</f>
        <v>7380444.5620051716</v>
      </c>
      <c r="L130" s="216">
        <f t="shared" si="2"/>
        <v>9268860.8679425642</v>
      </c>
      <c r="M130" s="216">
        <f t="shared" si="2"/>
        <v>11093298.523465015</v>
      </c>
      <c r="N130" s="216">
        <f t="shared" si="2"/>
        <v>13008036.590381945</v>
      </c>
      <c r="O130" s="216">
        <f t="shared" si="2"/>
        <v>15152877.839256153</v>
      </c>
      <c r="P130" s="115">
        <f t="shared" si="2"/>
        <v>17478325.290893301</v>
      </c>
      <c r="Q130" s="115">
        <f t="shared" si="2"/>
        <v>13680197.568827555</v>
      </c>
      <c r="R130" s="115">
        <f t="shared" si="2"/>
        <v>11335714.245550931</v>
      </c>
      <c r="S130" s="115">
        <f t="shared" si="2"/>
        <v>9593136.5170539394</v>
      </c>
      <c r="T130" s="115">
        <f t="shared" si="2"/>
        <v>7258354.6500569526</v>
      </c>
      <c r="U130" s="115">
        <f t="shared" si="2"/>
        <v>5883977.1026306134</v>
      </c>
      <c r="V130" s="115">
        <f t="shared" si="2"/>
        <v>5153569.5086342786</v>
      </c>
      <c r="W130" s="115">
        <f t="shared" si="2"/>
        <v>5112398.4021528866</v>
      </c>
      <c r="X130" s="115">
        <f t="shared" si="2"/>
        <v>5610511.4414433558</v>
      </c>
      <c r="Y130" s="115">
        <f t="shared" si="2"/>
        <v>4786249.3629085291</v>
      </c>
      <c r="Z130" s="115">
        <f t="shared" si="2"/>
        <v>5410062.5288370522</v>
      </c>
      <c r="AA130" s="115">
        <f t="shared" si="2"/>
        <v>5816919.9190951362</v>
      </c>
      <c r="AB130" s="115">
        <f t="shared" si="2"/>
        <v>6142329.5750096096</v>
      </c>
      <c r="AC130" s="115">
        <f t="shared" si="2"/>
        <v>6474716.979146082</v>
      </c>
      <c r="AD130" s="115">
        <f t="shared" si="2"/>
        <v>5855449.5424251696</v>
      </c>
      <c r="AE130" s="115">
        <f t="shared" si="2"/>
        <v>5962741.0486278478</v>
      </c>
      <c r="AF130" s="115">
        <f t="shared" si="2"/>
        <v>5931236.16010038</v>
      </c>
      <c r="AG130" s="115">
        <f t="shared" si="2"/>
        <v>5868915.4686268689</v>
      </c>
      <c r="AH130" s="115">
        <f t="shared" si="2"/>
        <v>5809406.2681381619</v>
      </c>
      <c r="AI130" s="115">
        <f t="shared" si="2"/>
        <v>5211637.5912998207</v>
      </c>
      <c r="AJ130" s="115">
        <f t="shared" si="2"/>
        <v>5183487.7232213439</v>
      </c>
      <c r="AK130" s="115">
        <f t="shared" si="2"/>
        <v>5151497.1787968129</v>
      </c>
      <c r="AL130" s="115">
        <f t="shared" si="2"/>
        <v>5141222.0788263548</v>
      </c>
      <c r="AM130" s="115">
        <f t="shared" si="2"/>
        <v>5157386.8285509031</v>
      </c>
      <c r="AN130" s="115">
        <f t="shared" si="2"/>
        <v>4903091.1400028188</v>
      </c>
      <c r="AO130" s="115">
        <f t="shared" si="2"/>
        <v>4829125.8992135981</v>
      </c>
      <c r="AP130" s="115">
        <f t="shared" si="2"/>
        <v>4787518.3283223305</v>
      </c>
      <c r="AQ130" s="115">
        <f t="shared" si="2"/>
        <v>4728164.8041955624</v>
      </c>
      <c r="AR130" s="115">
        <f t="shared" si="2"/>
        <v>4667579.7345687924</v>
      </c>
      <c r="AS130" s="115">
        <f t="shared" si="2"/>
        <v>4450868.9301330401</v>
      </c>
      <c r="AT130" s="115">
        <f t="shared" si="2"/>
        <v>4351589.4333930453</v>
      </c>
      <c r="AU130" s="115">
        <f t="shared" si="2"/>
        <v>4226903.4783030599</v>
      </c>
      <c r="AV130" s="115">
        <f t="shared" si="2"/>
        <v>4078412.4158006236</v>
      </c>
      <c r="AW130" s="115">
        <f t="shared" si="2"/>
        <v>3910735.3567474196</v>
      </c>
      <c r="AX130" s="115">
        <f t="shared" si="2"/>
        <v>3643878.1860613562</v>
      </c>
      <c r="AY130" s="115">
        <f t="shared" si="2"/>
        <v>3411328.8605991611</v>
      </c>
      <c r="AZ130" s="115">
        <f t="shared" si="2"/>
        <v>3181896.8036616691</v>
      </c>
      <c r="BA130" s="115">
        <f t="shared" si="2"/>
        <v>2941791.6121815266</v>
      </c>
      <c r="BB130" s="115">
        <f t="shared" si="2"/>
        <v>2701998.4922097949</v>
      </c>
      <c r="BC130" s="115">
        <f t="shared" si="2"/>
        <v>2432345.3173278212</v>
      </c>
      <c r="BD130" s="115">
        <f t="shared" si="2"/>
        <v>2202578.4256119304</v>
      </c>
      <c r="BE130" s="115">
        <f t="shared" si="2"/>
        <v>1990654.614580838</v>
      </c>
      <c r="BF130" s="115">
        <f t="shared" si="2"/>
        <v>1794353.2882375563</v>
      </c>
      <c r="BG130" s="115">
        <f t="shared" si="2"/>
        <v>1612934.2773782401</v>
      </c>
      <c r="BH130" s="115">
        <f t="shared" si="2"/>
        <v>1429714.7924400917</v>
      </c>
      <c r="BI130" s="115">
        <f t="shared" si="2"/>
        <v>1262568.4090522113</v>
      </c>
      <c r="BJ130" s="115">
        <f t="shared" si="2"/>
        <v>1118587.9522190613</v>
      </c>
      <c r="BK130" s="115">
        <f t="shared" si="2"/>
        <v>984354.48833424633</v>
      </c>
      <c r="BL130" s="115">
        <f t="shared" si="2"/>
        <v>861869.53360954626</v>
      </c>
      <c r="BM130" s="115">
        <f t="shared" si="2"/>
        <v>745533.37685830309</v>
      </c>
      <c r="BN130" s="115">
        <f t="shared" si="2"/>
        <v>645297.70756355464</v>
      </c>
      <c r="BO130" s="115">
        <f t="shared" si="2"/>
        <v>554577.72063134366</v>
      </c>
      <c r="BP130" s="115">
        <f t="shared" si="2"/>
        <v>471547.94174738193</v>
      </c>
      <c r="BQ130" s="115">
        <f t="shared" si="2"/>
        <v>396439.89230932889</v>
      </c>
      <c r="BR130" s="115">
        <f t="shared" si="2"/>
        <v>327233.30160623818</v>
      </c>
      <c r="BS130" s="115">
        <f t="shared" ref="BS130:DA130" si="3">BS126-BS128</f>
        <v>266911.98332556221</v>
      </c>
      <c r="BT130" s="115">
        <f t="shared" si="3"/>
        <v>214983.8180269713</v>
      </c>
      <c r="BU130" s="115">
        <f t="shared" si="3"/>
        <v>169153.64268515518</v>
      </c>
      <c r="BV130" s="115">
        <f t="shared" si="3"/>
        <v>129887.13264903249</v>
      </c>
      <c r="BW130" s="115">
        <f t="shared" si="3"/>
        <v>96870.132106246368</v>
      </c>
      <c r="BX130" s="115">
        <f t="shared" si="3"/>
        <v>70310.63527267598</v>
      </c>
      <c r="BY130" s="115">
        <f t="shared" si="3"/>
        <v>50633.451277053784</v>
      </c>
      <c r="BZ130" s="115">
        <f t="shared" si="3"/>
        <v>35888.407591699957</v>
      </c>
      <c r="CA130" s="115">
        <f t="shared" si="3"/>
        <v>25090.646211547231</v>
      </c>
      <c r="CB130" s="115">
        <f t="shared" si="3"/>
        <v>17412.903917763098</v>
      </c>
      <c r="CC130" s="115">
        <f t="shared" si="3"/>
        <v>11177.339369036366</v>
      </c>
      <c r="CD130" s="115">
        <f t="shared" si="3"/>
        <v>8023.1434317990088</v>
      </c>
      <c r="CE130" s="115">
        <f t="shared" si="3"/>
        <v>5653.4243893079974</v>
      </c>
      <c r="CF130" s="115">
        <f t="shared" si="3"/>
        <v>3890.0802670800072</v>
      </c>
      <c r="CG130" s="115">
        <f t="shared" si="3"/>
        <v>2592.0941619380587</v>
      </c>
      <c r="CH130" s="115">
        <f t="shared" si="3"/>
        <v>1533.379099105048</v>
      </c>
      <c r="CI130" s="115">
        <f t="shared" si="3"/>
        <v>946.20505790104983</v>
      </c>
      <c r="CJ130" s="115">
        <f t="shared" si="3"/>
        <v>597.24785490210388</v>
      </c>
      <c r="CK130" s="115">
        <f t="shared" si="3"/>
        <v>378.21943733410222</v>
      </c>
      <c r="CL130" s="115">
        <f t="shared" si="3"/>
        <v>240.7532784576178</v>
      </c>
      <c r="CM130" s="115">
        <f t="shared" si="3"/>
        <v>9.6615053735149559E-9</v>
      </c>
      <c r="CN130" s="115">
        <f t="shared" si="3"/>
        <v>0</v>
      </c>
      <c r="CO130" s="115">
        <f t="shared" si="3"/>
        <v>0</v>
      </c>
      <c r="CP130" s="115">
        <f t="shared" si="3"/>
        <v>0</v>
      </c>
      <c r="CQ130" s="115">
        <f t="shared" si="3"/>
        <v>0</v>
      </c>
      <c r="CR130" s="115">
        <f t="shared" si="3"/>
        <v>0</v>
      </c>
      <c r="CS130" s="115">
        <f t="shared" si="3"/>
        <v>0</v>
      </c>
      <c r="CT130" s="115">
        <f t="shared" si="3"/>
        <v>0</v>
      </c>
      <c r="CU130" s="115">
        <f t="shared" si="3"/>
        <v>0</v>
      </c>
      <c r="CV130" s="115">
        <f t="shared" si="3"/>
        <v>0</v>
      </c>
      <c r="CW130" s="115">
        <f t="shared" si="3"/>
        <v>0</v>
      </c>
      <c r="CX130" s="115">
        <f t="shared" si="3"/>
        <v>0</v>
      </c>
      <c r="CY130" s="115">
        <f t="shared" si="3"/>
        <v>0</v>
      </c>
      <c r="CZ130" s="115">
        <f t="shared" si="3"/>
        <v>0</v>
      </c>
      <c r="DA130" s="115">
        <f t="shared" si="3"/>
        <v>0</v>
      </c>
    </row>
    <row r="132" spans="2:105" x14ac:dyDescent="0.3">
      <c r="C132" s="131" t="s">
        <v>129</v>
      </c>
      <c r="F132" s="217">
        <f>(F130-F126)/F126</f>
        <v>-0.44420946009269202</v>
      </c>
      <c r="G132" s="217">
        <f t="shared" ref="G132:BR132" si="4">(G130-G126)/G126</f>
        <v>-0.42432307160890675</v>
      </c>
      <c r="H132" s="217">
        <f t="shared" si="4"/>
        <v>-0.17912370866500332</v>
      </c>
      <c r="I132" s="217">
        <f t="shared" si="4"/>
        <v>-0.11538020337942115</v>
      </c>
      <c r="J132" s="217">
        <f t="shared" si="4"/>
        <v>-0.11769508564231838</v>
      </c>
      <c r="K132" s="217">
        <f t="shared" si="4"/>
        <v>-7.860337965528276E-2</v>
      </c>
      <c r="L132" s="217">
        <f t="shared" si="4"/>
        <v>-8.388708414429516E-2</v>
      </c>
      <c r="M132" s="217">
        <f t="shared" si="4"/>
        <v>-0.10706656033516965</v>
      </c>
      <c r="N132" s="217">
        <f t="shared" si="4"/>
        <v>-0.13356097982708129</v>
      </c>
      <c r="O132" s="217">
        <f t="shared" si="4"/>
        <v>-0.15808950709423467</v>
      </c>
      <c r="P132" s="217">
        <f t="shared" si="4"/>
        <v>-4.5787914635505321E-2</v>
      </c>
      <c r="Q132" s="217">
        <f t="shared" si="4"/>
        <v>-0.1732126455663528</v>
      </c>
      <c r="R132" s="217">
        <f t="shared" si="4"/>
        <v>-0.25996908673877478</v>
      </c>
      <c r="S132" s="217">
        <f t="shared" si="4"/>
        <v>-0.32385741841760141</v>
      </c>
      <c r="T132" s="217">
        <f t="shared" si="4"/>
        <v>-0.44802093478127392</v>
      </c>
      <c r="U132" s="217">
        <f t="shared" si="4"/>
        <v>-0.51749497990497784</v>
      </c>
      <c r="V132" s="217">
        <f t="shared" si="4"/>
        <v>-0.54297049494546434</v>
      </c>
      <c r="W132" s="217">
        <f t="shared" si="4"/>
        <v>-0.50827212777191422</v>
      </c>
      <c r="X132" s="217">
        <f t="shared" si="4"/>
        <v>-0.41221396863846516</v>
      </c>
      <c r="Y132" s="217">
        <f t="shared" si="4"/>
        <v>-0.45368016530549932</v>
      </c>
      <c r="Z132" s="217">
        <f t="shared" si="4"/>
        <v>-0.33300068315322845</v>
      </c>
      <c r="AA132" s="217">
        <f t="shared" si="4"/>
        <v>-0.22504236386692664</v>
      </c>
      <c r="AB132" s="217">
        <f t="shared" si="4"/>
        <v>-0.11509025333673548</v>
      </c>
      <c r="AC132" s="217">
        <f t="shared" si="4"/>
        <v>9.1086662249788529E-3</v>
      </c>
      <c r="AD132" s="217">
        <f t="shared" si="4"/>
        <v>-8.3212199459850953E-3</v>
      </c>
      <c r="AE132" s="217">
        <f t="shared" si="4"/>
        <v>9.6797433452871826E-2</v>
      </c>
      <c r="AF132" s="217">
        <f t="shared" si="4"/>
        <v>0.18531504212503686</v>
      </c>
      <c r="AG132" s="217">
        <f t="shared" si="4"/>
        <v>0.27645384475072976</v>
      </c>
      <c r="AH132" s="217">
        <f t="shared" si="4"/>
        <v>0.37662622146711916</v>
      </c>
      <c r="AI132" s="217">
        <f t="shared" si="4"/>
        <v>0.3575961549176872</v>
      </c>
      <c r="AJ132" s="217">
        <f t="shared" si="4"/>
        <v>0.44079568287204995</v>
      </c>
      <c r="AK132" s="217">
        <f t="shared" si="4"/>
        <v>0.5220901117482426</v>
      </c>
      <c r="AL132" s="217">
        <f t="shared" si="4"/>
        <v>0.61297651110648088</v>
      </c>
      <c r="AM132" s="217">
        <f t="shared" si="4"/>
        <v>0.71482901584383374</v>
      </c>
      <c r="AN132" s="217">
        <f t="shared" si="4"/>
        <v>0.74164621342434922</v>
      </c>
      <c r="AO132" s="217">
        <f t="shared" si="4"/>
        <v>0.8152579580503645</v>
      </c>
      <c r="AP132" s="217">
        <f t="shared" si="4"/>
        <v>0.90806003073805852</v>
      </c>
      <c r="AQ132" s="217">
        <f t="shared" si="4"/>
        <v>1.0001693820910562</v>
      </c>
      <c r="AR132" s="217">
        <f t="shared" si="4"/>
        <v>1.0957604822931113</v>
      </c>
      <c r="AS132" s="217">
        <f t="shared" si="4"/>
        <v>1.1401804133252691</v>
      </c>
      <c r="AT132" s="217">
        <f t="shared" si="4"/>
        <v>1.2278768183040301</v>
      </c>
      <c r="AU132" s="217">
        <f t="shared" si="4"/>
        <v>1.3082552828499754</v>
      </c>
      <c r="AV132" s="217">
        <f t="shared" si="4"/>
        <v>1.3857747968250391</v>
      </c>
      <c r="AW132" s="217">
        <f t="shared" si="4"/>
        <v>1.4605037041000049</v>
      </c>
      <c r="AX132" s="217">
        <f t="shared" si="4"/>
        <v>1.4959022330197398</v>
      </c>
      <c r="AY132" s="217">
        <f t="shared" si="4"/>
        <v>1.5407826405433531</v>
      </c>
      <c r="AZ132" s="217">
        <f t="shared" si="4"/>
        <v>1.590646311424329</v>
      </c>
      <c r="BA132" s="217">
        <f t="shared" si="4"/>
        <v>1.6324825879798592</v>
      </c>
      <c r="BB132" s="217">
        <f t="shared" si="4"/>
        <v>1.6696208962557357</v>
      </c>
      <c r="BC132" s="217">
        <f t="shared" si="4"/>
        <v>1.6812363866649269</v>
      </c>
      <c r="BD132" s="217">
        <f t="shared" si="4"/>
        <v>1.70669308448794</v>
      </c>
      <c r="BE132" s="217">
        <f t="shared" si="4"/>
        <v>1.7325249752991296</v>
      </c>
      <c r="BF132" s="217">
        <f t="shared" si="4"/>
        <v>1.7618469826324339</v>
      </c>
      <c r="BG132" s="217">
        <f t="shared" si="4"/>
        <v>1.7958036639296977</v>
      </c>
      <c r="BH132" s="217">
        <f t="shared" si="4"/>
        <v>1.8191959632001957</v>
      </c>
      <c r="BI132" s="217">
        <f t="shared" si="4"/>
        <v>1.8325765810592398</v>
      </c>
      <c r="BJ132" s="217">
        <f t="shared" si="4"/>
        <v>1.8775332977058761</v>
      </c>
      <c r="BK132" s="217">
        <f t="shared" si="4"/>
        <v>1.9230342382059717</v>
      </c>
      <c r="BL132" s="217">
        <f t="shared" si="4"/>
        <v>1.969468689601467</v>
      </c>
      <c r="BM132" s="217">
        <f t="shared" si="4"/>
        <v>2.0044863568084628</v>
      </c>
      <c r="BN132" s="217">
        <f t="shared" si="4"/>
        <v>2.0390621240414788</v>
      </c>
      <c r="BO132" s="217">
        <f t="shared" si="4"/>
        <v>2.0919074741401582</v>
      </c>
      <c r="BP132" s="217">
        <f t="shared" si="4"/>
        <v>2.153169004465715</v>
      </c>
      <c r="BQ132" s="217">
        <f t="shared" si="4"/>
        <v>2.2232607543529337</v>
      </c>
      <c r="BR132" s="217">
        <f t="shared" si="4"/>
        <v>2.2904559250410692</v>
      </c>
      <c r="BS132" s="217">
        <f t="shared" ref="BS132:DA132" si="5">(BS130-BS126)/BS126</f>
        <v>2.3159100453481631</v>
      </c>
      <c r="BT132" s="217">
        <f t="shared" si="5"/>
        <v>2.4200938407081631</v>
      </c>
      <c r="BU132" s="217">
        <f t="shared" si="5"/>
        <v>2.5564848159313867</v>
      </c>
      <c r="BV132" s="217">
        <f t="shared" si="5"/>
        <v>2.7362578298087366</v>
      </c>
      <c r="BW132" s="217">
        <f t="shared" si="5"/>
        <v>2.9568851099149431</v>
      </c>
      <c r="BX132" s="217">
        <f t="shared" si="5"/>
        <v>3.0592231465664597</v>
      </c>
      <c r="BY132" s="217">
        <f t="shared" si="5"/>
        <v>3.4263730617801262</v>
      </c>
      <c r="BZ132" s="217">
        <f t="shared" si="5"/>
        <v>3.967453983754937</v>
      </c>
      <c r="CA132" s="217">
        <f t="shared" si="5"/>
        <v>4.8023119282170263</v>
      </c>
      <c r="CB132" s="217">
        <f t="shared" si="5"/>
        <v>5.8887750707824278</v>
      </c>
      <c r="CC132" s="217">
        <f t="shared" si="5"/>
        <v>4.7700737883341358</v>
      </c>
      <c r="CD132" s="217">
        <f t="shared" si="5"/>
        <v>5.1856825262284882</v>
      </c>
      <c r="CE132" s="217">
        <f t="shared" si="5"/>
        <v>5.9267472764233515</v>
      </c>
      <c r="CF132" s="217">
        <f t="shared" si="5"/>
        <v>7.6044081640322414</v>
      </c>
      <c r="CG132" s="217">
        <f t="shared" si="5"/>
        <v>13.310670550246845</v>
      </c>
      <c r="CH132" s="217">
        <f t="shared" si="5"/>
        <v>11.17316702546205</v>
      </c>
      <c r="CI132" s="217">
        <f t="shared" si="5"/>
        <v>-44.546801990330891</v>
      </c>
      <c r="CJ132" s="217">
        <f t="shared" si="5"/>
        <v>-12.074490441686478</v>
      </c>
      <c r="CK132" s="217">
        <f t="shared" si="5"/>
        <v>-8.1041902905572378</v>
      </c>
      <c r="CL132" s="217">
        <f t="shared" si="5"/>
        <v>-6.354467692834679</v>
      </c>
      <c r="CM132" s="217" t="e">
        <f t="shared" si="5"/>
        <v>#DIV/0!</v>
      </c>
      <c r="CN132" s="217" t="e">
        <f t="shared" si="5"/>
        <v>#DIV/0!</v>
      </c>
      <c r="CO132" s="217" t="e">
        <f t="shared" si="5"/>
        <v>#DIV/0!</v>
      </c>
      <c r="CP132" s="217" t="e">
        <f t="shared" si="5"/>
        <v>#DIV/0!</v>
      </c>
      <c r="CQ132" s="217" t="e">
        <f t="shared" si="5"/>
        <v>#DIV/0!</v>
      </c>
      <c r="CR132" s="217" t="e">
        <f t="shared" si="5"/>
        <v>#DIV/0!</v>
      </c>
      <c r="CS132" s="217" t="e">
        <f t="shared" si="5"/>
        <v>#DIV/0!</v>
      </c>
      <c r="CT132" s="217" t="e">
        <f t="shared" si="5"/>
        <v>#DIV/0!</v>
      </c>
      <c r="CU132" s="217" t="e">
        <f t="shared" si="5"/>
        <v>#DIV/0!</v>
      </c>
      <c r="CV132" s="217" t="e">
        <f t="shared" si="5"/>
        <v>#DIV/0!</v>
      </c>
      <c r="CW132" s="217" t="e">
        <f t="shared" si="5"/>
        <v>#DIV/0!</v>
      </c>
      <c r="CX132" s="217" t="e">
        <f t="shared" si="5"/>
        <v>#DIV/0!</v>
      </c>
      <c r="CY132" s="217" t="e">
        <f t="shared" si="5"/>
        <v>#DIV/0!</v>
      </c>
      <c r="CZ132" s="217" t="e">
        <f t="shared" si="5"/>
        <v>#DIV/0!</v>
      </c>
      <c r="DA132" s="217" t="e">
        <f t="shared" si="5"/>
        <v>#DIV/0!</v>
      </c>
    </row>
    <row r="135" spans="2:105" x14ac:dyDescent="0.3">
      <c r="B135" s="165"/>
    </row>
    <row r="136" spans="2:105" x14ac:dyDescent="0.3">
      <c r="B136" s="166"/>
    </row>
    <row r="141" spans="2:105" x14ac:dyDescent="0.3">
      <c r="F141" s="167"/>
    </row>
    <row r="142" spans="2:105" x14ac:dyDescent="0.3">
      <c r="C142" s="168"/>
      <c r="F142" s="169"/>
    </row>
    <row r="143" spans="2:105" x14ac:dyDescent="0.3">
      <c r="F143" s="170"/>
      <c r="G143" s="170"/>
      <c r="H143" s="170"/>
      <c r="I143" s="170"/>
      <c r="J143" s="170"/>
      <c r="K143" s="170"/>
      <c r="L143" s="170"/>
      <c r="M143" s="170"/>
      <c r="N143" s="170"/>
      <c r="O143" s="170"/>
    </row>
    <row r="153" spans="2:15" x14ac:dyDescent="0.3">
      <c r="B153" s="131"/>
      <c r="C153" s="131"/>
      <c r="D153" s="131"/>
      <c r="E153" s="17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</row>
    <row r="154" spans="2:15" x14ac:dyDescent="0.3">
      <c r="C154" s="21"/>
    </row>
    <row r="160" spans="2:15" x14ac:dyDescent="0.3">
      <c r="B160" s="131"/>
      <c r="C160" s="131"/>
      <c r="D160" s="131"/>
      <c r="E160" s="17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</row>
    <row r="161" spans="3:3" x14ac:dyDescent="0.3">
      <c r="C161" s="21"/>
    </row>
    <row r="162" spans="3:3" x14ac:dyDescent="0.3">
      <c r="C162" s="21"/>
    </row>
    <row r="163" spans="3:3" x14ac:dyDescent="0.3">
      <c r="C163" s="21"/>
    </row>
    <row r="164" spans="3:3" x14ac:dyDescent="0.3">
      <c r="C164" s="21"/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63D6-96B2-4718-8374-63ACDF3EC43E}">
  <sheetPr codeName="Sheet3"/>
  <dimension ref="A2:CY55"/>
  <sheetViews>
    <sheetView workbookViewId="0">
      <selection activeCell="D12" sqref="D12:M12"/>
    </sheetView>
  </sheetViews>
  <sheetFormatPr defaultRowHeight="14.4" x14ac:dyDescent="0.3"/>
  <cols>
    <col min="1" max="1" width="17.109375" customWidth="1"/>
    <col min="2" max="2" width="35.33203125" customWidth="1"/>
    <col min="3" max="3" width="16.5546875" customWidth="1"/>
    <col min="4" max="4" width="13.88671875" bestFit="1" customWidth="1"/>
    <col min="5" max="7" width="14" bestFit="1" customWidth="1"/>
    <col min="8" max="13" width="14.88671875" bestFit="1" customWidth="1"/>
    <col min="14" max="103" width="13" customWidth="1"/>
  </cols>
  <sheetData>
    <row r="2" spans="1:103" x14ac:dyDescent="0.3">
      <c r="B2" s="254" t="s">
        <v>130</v>
      </c>
      <c r="C2" s="9"/>
      <c r="D2" s="255" t="s">
        <v>131</v>
      </c>
      <c r="E2" s="9" t="s">
        <v>132</v>
      </c>
      <c r="F2" s="9" t="s">
        <v>133</v>
      </c>
      <c r="G2" s="9" t="s">
        <v>134</v>
      </c>
      <c r="H2" s="9" t="s">
        <v>135</v>
      </c>
      <c r="I2" s="9" t="s">
        <v>136</v>
      </c>
      <c r="J2" s="9" t="s">
        <v>137</v>
      </c>
      <c r="K2" s="9" t="s">
        <v>138</v>
      </c>
      <c r="L2" s="9" t="s">
        <v>139</v>
      </c>
      <c r="M2" s="9" t="s">
        <v>140</v>
      </c>
    </row>
    <row r="3" spans="1:103" x14ac:dyDescent="0.3">
      <c r="A3" s="252"/>
      <c r="B3" s="249" t="s">
        <v>87</v>
      </c>
      <c r="C3" s="113"/>
      <c r="D3" s="250">
        <f>'Combined IFRS17 Cashflows'!F53</f>
        <v>23907515.074293591</v>
      </c>
      <c r="E3" s="123">
        <f>'Combined IFRS17 Cashflows'!G53</f>
        <v>44604731.122383676</v>
      </c>
      <c r="F3" s="123">
        <f>'Combined IFRS17 Cashflows'!H53</f>
        <v>57094055.836651072</v>
      </c>
      <c r="G3" s="123">
        <f>'Combined IFRS17 Cashflows'!I53</f>
        <v>66269886.238969967</v>
      </c>
      <c r="H3" s="123">
        <f>'Combined IFRS17 Cashflows'!J53</f>
        <v>86405736.28850314</v>
      </c>
      <c r="I3" s="123">
        <f>'Combined IFRS17 Cashflows'!K53</f>
        <v>94562029.979453325</v>
      </c>
      <c r="J3" s="123">
        <f>'Combined IFRS17 Cashflows'!L53</f>
        <v>105522049.62666768</v>
      </c>
      <c r="K3" s="123">
        <f>'Combined IFRS17 Cashflows'!M53</f>
        <v>119540679.40798831</v>
      </c>
      <c r="L3" s="123">
        <f>'Combined IFRS17 Cashflows'!N53</f>
        <v>137637456.03478408</v>
      </c>
      <c r="M3" s="123">
        <f>'Combined IFRS17 Cashflows'!O53</f>
        <v>161341684.57410812</v>
      </c>
    </row>
    <row r="4" spans="1:103" x14ac:dyDescent="0.3">
      <c r="A4" s="21"/>
      <c r="B4" s="251" t="s">
        <v>88</v>
      </c>
      <c r="C4" s="113"/>
      <c r="D4" s="250">
        <f>'Combined IFRS17 Cashflows'!F54</f>
        <v>-6168138.8891677484</v>
      </c>
      <c r="E4" s="123">
        <f>'Combined IFRS17 Cashflows'!G54</f>
        <v>-11508020.629574988</v>
      </c>
      <c r="F4" s="123">
        <f>'Combined IFRS17 Cashflows'!H54</f>
        <v>-14730266.405855995</v>
      </c>
      <c r="G4" s="123">
        <f>'Combined IFRS17 Cashflows'!I54</f>
        <v>-17097630.649654284</v>
      </c>
      <c r="H4" s="123">
        <f>'Combined IFRS17 Cashflows'!J54</f>
        <v>-22292679.962433837</v>
      </c>
      <c r="I4" s="123">
        <f>'Combined IFRS17 Cashflows'!K54</f>
        <v>-24397003.734698951</v>
      </c>
      <c r="J4" s="123">
        <f>'Combined IFRS17 Cashflows'!L54</f>
        <v>-27224688.803680241</v>
      </c>
      <c r="K4" s="123">
        <f>'Combined IFRS17 Cashflows'!M54</f>
        <v>-30841495.287261024</v>
      </c>
      <c r="L4" s="123">
        <f>'Combined IFRS17 Cashflows'!N54</f>
        <v>-35510463.656974256</v>
      </c>
      <c r="M4" s="123">
        <f>'Combined IFRS17 Cashflows'!O54</f>
        <v>-41626154.62011984</v>
      </c>
    </row>
    <row r="5" spans="1:103" x14ac:dyDescent="0.3">
      <c r="A5" s="21"/>
      <c r="B5" s="251" t="s">
        <v>89</v>
      </c>
      <c r="C5" s="113"/>
      <c r="D5" s="250">
        <f>'Combined IFRS17 Cashflows'!F55</f>
        <v>-2191829.7056285478</v>
      </c>
      <c r="E5" s="123">
        <f>'Combined IFRS17 Cashflows'!G55</f>
        <v>-4089267.6342011821</v>
      </c>
      <c r="F5" s="123">
        <f>'Combined IFRS17 Cashflows'!H55</f>
        <v>-5234262.5717775114</v>
      </c>
      <c r="G5" s="123">
        <f>'Combined IFRS17 Cashflows'!I55</f>
        <v>-6075483.342241751</v>
      </c>
      <c r="H5" s="123">
        <f>'Combined IFRS17 Cashflows'!J55</f>
        <v>-7921495.588538304</v>
      </c>
      <c r="I5" s="123">
        <f>'Combined IFRS17 Cashflows'!K55</f>
        <v>-8669247.3845065311</v>
      </c>
      <c r="J5" s="123">
        <f>'Combined IFRS17 Cashflows'!L55</f>
        <v>-9674038.8603387922</v>
      </c>
      <c r="K5" s="123">
        <f>'Combined IFRS17 Cashflows'!M55</f>
        <v>-10959237.259659171</v>
      </c>
      <c r="L5" s="123">
        <f>'Combined IFRS17 Cashflows'!N55</f>
        <v>-12618311.556963637</v>
      </c>
      <c r="M5" s="123">
        <f>'Combined IFRS17 Cashflows'!O55</f>
        <v>-14791465.213996306</v>
      </c>
    </row>
    <row r="6" spans="1:103" x14ac:dyDescent="0.3">
      <c r="A6" s="21"/>
      <c r="B6" s="251" t="s">
        <v>90</v>
      </c>
      <c r="C6" s="113"/>
      <c r="D6" s="250">
        <f>'Combined IFRS17 Cashflows'!F56</f>
        <v>-12002592.705199173</v>
      </c>
      <c r="E6" s="123">
        <f>'Combined IFRS17 Cashflows'!G56</f>
        <v>-22393556.651511729</v>
      </c>
      <c r="F6" s="123">
        <f>'Combined IFRS17 Cashflows'!H56</f>
        <v>-28663752.513935</v>
      </c>
      <c r="G6" s="123">
        <f>'Combined IFRS17 Cashflows'!I56</f>
        <v>-33270427.0251031</v>
      </c>
      <c r="H6" s="123">
        <f>'Combined IFRS17 Cashflows'!J56</f>
        <v>-43379518.313499838</v>
      </c>
      <c r="I6" s="123">
        <f>'Combined IFRS17 Cashflows'!K56</f>
        <v>-47474340.101204813</v>
      </c>
      <c r="J6" s="123">
        <f>'Combined IFRS17 Cashflows'!L56</f>
        <v>-52976756.878433466</v>
      </c>
      <c r="K6" s="123">
        <f>'Combined IFRS17 Cashflows'!M56</f>
        <v>-60014731.826051295</v>
      </c>
      <c r="L6" s="123">
        <f>'Combined IFRS17 Cashflows'!N56</f>
        <v>-69100117.667521954</v>
      </c>
      <c r="M6" s="123">
        <f>'Combined IFRS17 Cashflows'!O56</f>
        <v>-81000693.488039613</v>
      </c>
    </row>
    <row r="7" spans="1:103" x14ac:dyDescent="0.3">
      <c r="A7" s="21"/>
      <c r="B7" s="251" t="s">
        <v>91</v>
      </c>
      <c r="C7" s="113"/>
      <c r="D7" s="250">
        <f>'Combined IFRS17 Cashflows'!F57</f>
        <v>-43642.408594125962</v>
      </c>
      <c r="E7" s="123">
        <f>'Combined IFRS17 Cashflows'!G57</f>
        <v>-81411.314631389134</v>
      </c>
      <c r="F7" s="123">
        <f>'Combined IFRS17 Cashflows'!H57</f>
        <v>-104206.48272817809</v>
      </c>
      <c r="G7" s="123">
        <f>'Combined IFRS17 Cashflows'!I57</f>
        <v>-120953.95316663536</v>
      </c>
      <c r="H7" s="123">
        <f>'Combined IFRS17 Cashflows'!J57</f>
        <v>-157705.34662880533</v>
      </c>
      <c r="I7" s="123">
        <f>'Combined IFRS17 Cashflows'!K57</f>
        <v>-172591.98701854458</v>
      </c>
      <c r="J7" s="123">
        <f>'Combined IFRS17 Cashflows'!L57</f>
        <v>-192595.91004225763</v>
      </c>
      <c r="K7" s="123">
        <f>'Combined IFRS17 Cashflows'!M57</f>
        <v>-218182.32321212278</v>
      </c>
      <c r="L7" s="123">
        <f>'Combined IFRS17 Cashflows'!N57</f>
        <v>-251212.05657685758</v>
      </c>
      <c r="M7" s="123">
        <f>'Combined IFRS17 Cashflows'!O57</f>
        <v>-294476.35520953918</v>
      </c>
    </row>
    <row r="8" spans="1:103" x14ac:dyDescent="0.3">
      <c r="A8" s="21"/>
      <c r="B8" s="251" t="s">
        <v>92</v>
      </c>
      <c r="C8" s="113"/>
      <c r="D8" s="250">
        <f>'Combined IFRS17 Cashflows'!F58</f>
        <v>-739227.18492530822</v>
      </c>
      <c r="E8" s="123">
        <f>'Combined IFRS17 Cashflows'!G58</f>
        <v>-1497236.2768361985</v>
      </c>
      <c r="F8" s="123">
        <f>'Combined IFRS17 Cashflows'!H58</f>
        <v>-1916462.434350335</v>
      </c>
      <c r="G8" s="123">
        <f>'Combined IFRS17 Cashflows'!I58</f>
        <v>-2224465.3255852065</v>
      </c>
      <c r="H8" s="123">
        <f>'Combined IFRS17 Cashflows'!J58</f>
        <v>-2900360.5591284065</v>
      </c>
      <c r="I8" s="123">
        <f>'Combined IFRS17 Cashflows'!K58</f>
        <v>-3174140.9068927392</v>
      </c>
      <c r="J8" s="123">
        <f>'Combined IFRS17 Cashflows'!L58</f>
        <v>-3542033.2492010612</v>
      </c>
      <c r="K8" s="123">
        <f>'Combined IFRS17 Cashflows'!M58</f>
        <v>-4012593.2219210099</v>
      </c>
      <c r="L8" s="123">
        <f>'Combined IFRS17 Cashflows'!N58</f>
        <v>-4620043.3685231395</v>
      </c>
      <c r="M8" s="123">
        <f>'Combined IFRS17 Cashflows'!O58</f>
        <v>-5415717.5042132065</v>
      </c>
    </row>
    <row r="9" spans="1:103" x14ac:dyDescent="0.3">
      <c r="A9" s="21"/>
      <c r="B9" s="251" t="s">
        <v>46</v>
      </c>
      <c r="C9" s="113"/>
      <c r="D9" s="250">
        <f>'Combined IFRS17 Cashflows'!F59</f>
        <v>2762084.1807786906</v>
      </c>
      <c r="E9" s="123">
        <f>'Combined IFRS17 Cashflows'!G59</f>
        <v>5035238.6156281894</v>
      </c>
      <c r="F9" s="123">
        <f>'Combined IFRS17 Cashflows'!H59</f>
        <v>6445105.4280040897</v>
      </c>
      <c r="G9" s="123">
        <f>'Combined IFRS17 Cashflows'!I59</f>
        <v>7480925.9432190247</v>
      </c>
      <c r="H9" s="123">
        <f>'Combined IFRS17 Cashflows'!J59</f>
        <v>9753976.5182740465</v>
      </c>
      <c r="I9" s="123">
        <f>'Combined IFRS17 Cashflows'!K59</f>
        <v>10674705.865131788</v>
      </c>
      <c r="J9" s="123">
        <f>'Combined IFRS17 Cashflows'!L59</f>
        <v>11911935.924971856</v>
      </c>
      <c r="K9" s="123">
        <f>'Combined IFRS17 Cashflows'!M59</f>
        <v>13494439.489883572</v>
      </c>
      <c r="L9" s="123">
        <f>'Combined IFRS17 Cashflows'!N59</f>
        <v>15537307.728224173</v>
      </c>
      <c r="M9" s="123">
        <f>'Combined IFRS17 Cashflows'!O59</f>
        <v>18213177.392529383</v>
      </c>
    </row>
    <row r="10" spans="1:103" x14ac:dyDescent="0.3">
      <c r="A10" s="21"/>
      <c r="B10" s="251" t="s">
        <v>93</v>
      </c>
      <c r="C10" s="113"/>
      <c r="D10" s="250">
        <f>'Combined IFRS17 Cashflows'!F60</f>
        <v>3457246.8439934878</v>
      </c>
      <c r="E10" s="123">
        <f>'Combined IFRS17 Cashflows'!G60</f>
        <v>6380576.3295707228</v>
      </c>
      <c r="F10" s="123">
        <f>'Combined IFRS17 Cashflows'!H60</f>
        <v>8167137.7018505186</v>
      </c>
      <c r="G10" s="123">
        <f>'Combined IFRS17 Cashflows'!I60</f>
        <v>9479713.4039336294</v>
      </c>
      <c r="H10" s="123">
        <f>'Combined IFRS17 Cashflows'!J60</f>
        <v>12360087.861282736</v>
      </c>
      <c r="I10" s="123">
        <f>'Combined IFRS17 Cashflows'!K60</f>
        <v>13526821.818689935</v>
      </c>
      <c r="J10" s="123">
        <f>'Combined IFRS17 Cashflows'!L60</f>
        <v>15094620.573955886</v>
      </c>
      <c r="K10" s="123">
        <f>'Combined IFRS17 Cashflows'!M60</f>
        <v>17099944.563249558</v>
      </c>
      <c r="L10" s="123">
        <f>'Combined IFRS17 Cashflows'!N60</f>
        <v>19688635.531246841</v>
      </c>
      <c r="M10" s="123">
        <f>'Combined IFRS17 Cashflows'!O60</f>
        <v>23079456.094961509</v>
      </c>
    </row>
    <row r="11" spans="1:103" x14ac:dyDescent="0.3">
      <c r="A11" s="253"/>
      <c r="B11" s="249" t="s">
        <v>86</v>
      </c>
      <c r="C11" s="113"/>
      <c r="D11" s="250">
        <f>'Combined IFRS17 Cashflows'!F61</f>
        <v>695162.66321479692</v>
      </c>
      <c r="E11" s="123">
        <f>'Combined IFRS17 Cashflows'!G61</f>
        <v>1345337.713942531</v>
      </c>
      <c r="F11" s="123">
        <f>'Combined IFRS17 Cashflows'!H61</f>
        <v>1722032.273846437</v>
      </c>
      <c r="G11" s="123">
        <f>'Combined IFRS17 Cashflows'!I61</f>
        <v>1998787.4607146131</v>
      </c>
      <c r="H11" s="123">
        <f>'Combined IFRS17 Cashflows'!J61</f>
        <v>2606111.3430086728</v>
      </c>
      <c r="I11" s="123">
        <f>'Combined IFRS17 Cashflows'!K61</f>
        <v>2852115.9535581609</v>
      </c>
      <c r="J11" s="123">
        <f>'Combined IFRS17 Cashflows'!L61</f>
        <v>3182684.6489840373</v>
      </c>
      <c r="K11" s="123">
        <f>'Combined IFRS17 Cashflows'!M61</f>
        <v>3605505.0733659677</v>
      </c>
      <c r="L11" s="123">
        <f>'Combined IFRS17 Cashflows'!N61</f>
        <v>4151327.803022664</v>
      </c>
      <c r="M11" s="123">
        <f>'Combined IFRS17 Cashflows'!O61</f>
        <v>4866278.7024321146</v>
      </c>
    </row>
    <row r="12" spans="1:103" x14ac:dyDescent="0.3">
      <c r="D12" s="268">
        <f>D11*105%</f>
        <v>729920.79637553683</v>
      </c>
      <c r="E12" s="268">
        <f t="shared" ref="E12:M12" si="0">E11*105%</f>
        <v>1412604.5996396577</v>
      </c>
      <c r="F12" s="268">
        <f t="shared" si="0"/>
        <v>1808133.8875387588</v>
      </c>
      <c r="G12" s="268">
        <f t="shared" si="0"/>
        <v>2098726.8337503439</v>
      </c>
      <c r="H12" s="268">
        <f t="shared" si="0"/>
        <v>2736416.9101591064</v>
      </c>
      <c r="I12" s="268">
        <f t="shared" si="0"/>
        <v>2994721.751236069</v>
      </c>
      <c r="J12" s="268">
        <f t="shared" si="0"/>
        <v>3341818.8814332392</v>
      </c>
      <c r="K12" s="268">
        <f t="shared" si="0"/>
        <v>3785780.3270342662</v>
      </c>
      <c r="L12" s="268">
        <f t="shared" si="0"/>
        <v>4358894.1931737978</v>
      </c>
      <c r="M12" s="268">
        <f t="shared" si="0"/>
        <v>5109592.6375537207</v>
      </c>
    </row>
    <row r="13" spans="1:103" ht="15" thickBot="1" x14ac:dyDescent="0.35"/>
    <row r="14" spans="1:103" ht="15" thickBot="1" x14ac:dyDescent="0.35">
      <c r="B14" s="210" t="s">
        <v>141</v>
      </c>
      <c r="C14" s="221">
        <v>0</v>
      </c>
      <c r="D14" s="211">
        <v>1</v>
      </c>
      <c r="E14" s="211">
        <v>2</v>
      </c>
      <c r="F14" s="211">
        <v>3</v>
      </c>
      <c r="G14" s="211">
        <v>4</v>
      </c>
      <c r="H14" s="211">
        <v>5</v>
      </c>
      <c r="I14" s="211">
        <v>6</v>
      </c>
      <c r="J14" s="211">
        <v>7</v>
      </c>
      <c r="K14" s="211">
        <v>8</v>
      </c>
      <c r="L14" s="211">
        <v>9</v>
      </c>
      <c r="M14" s="211">
        <f>L14+1</f>
        <v>10</v>
      </c>
      <c r="N14" s="211">
        <f t="shared" ref="N14:BY14" si="1">M14+1</f>
        <v>11</v>
      </c>
      <c r="O14" s="211">
        <f t="shared" si="1"/>
        <v>12</v>
      </c>
      <c r="P14" s="211">
        <f t="shared" si="1"/>
        <v>13</v>
      </c>
      <c r="Q14" s="211">
        <f t="shared" si="1"/>
        <v>14</v>
      </c>
      <c r="R14" s="211">
        <f t="shared" si="1"/>
        <v>15</v>
      </c>
      <c r="S14" s="211">
        <f t="shared" si="1"/>
        <v>16</v>
      </c>
      <c r="T14" s="211">
        <f t="shared" si="1"/>
        <v>17</v>
      </c>
      <c r="U14" s="211">
        <f t="shared" si="1"/>
        <v>18</v>
      </c>
      <c r="V14" s="211">
        <f t="shared" si="1"/>
        <v>19</v>
      </c>
      <c r="W14" s="211">
        <f t="shared" si="1"/>
        <v>20</v>
      </c>
      <c r="X14" s="211">
        <f t="shared" si="1"/>
        <v>21</v>
      </c>
      <c r="Y14" s="211">
        <f t="shared" si="1"/>
        <v>22</v>
      </c>
      <c r="Z14" s="211">
        <f t="shared" si="1"/>
        <v>23</v>
      </c>
      <c r="AA14" s="211">
        <f t="shared" si="1"/>
        <v>24</v>
      </c>
      <c r="AB14" s="211">
        <f t="shared" si="1"/>
        <v>25</v>
      </c>
      <c r="AC14" s="211">
        <f t="shared" si="1"/>
        <v>26</v>
      </c>
      <c r="AD14" s="211">
        <f t="shared" si="1"/>
        <v>27</v>
      </c>
      <c r="AE14" s="211">
        <f t="shared" si="1"/>
        <v>28</v>
      </c>
      <c r="AF14" s="211">
        <f t="shared" si="1"/>
        <v>29</v>
      </c>
      <c r="AG14" s="211">
        <f t="shared" si="1"/>
        <v>30</v>
      </c>
      <c r="AH14" s="211">
        <f t="shared" si="1"/>
        <v>31</v>
      </c>
      <c r="AI14" s="211">
        <f t="shared" si="1"/>
        <v>32</v>
      </c>
      <c r="AJ14" s="211">
        <f t="shared" si="1"/>
        <v>33</v>
      </c>
      <c r="AK14" s="211">
        <f t="shared" si="1"/>
        <v>34</v>
      </c>
      <c r="AL14" s="211">
        <f t="shared" si="1"/>
        <v>35</v>
      </c>
      <c r="AM14" s="211">
        <f t="shared" si="1"/>
        <v>36</v>
      </c>
      <c r="AN14" s="211">
        <f t="shared" si="1"/>
        <v>37</v>
      </c>
      <c r="AO14" s="211">
        <f t="shared" si="1"/>
        <v>38</v>
      </c>
      <c r="AP14" s="211">
        <f t="shared" si="1"/>
        <v>39</v>
      </c>
      <c r="AQ14" s="211">
        <f t="shared" si="1"/>
        <v>40</v>
      </c>
      <c r="AR14" s="211">
        <f t="shared" si="1"/>
        <v>41</v>
      </c>
      <c r="AS14" s="211">
        <f t="shared" si="1"/>
        <v>42</v>
      </c>
      <c r="AT14" s="211">
        <f t="shared" si="1"/>
        <v>43</v>
      </c>
      <c r="AU14" s="211">
        <f t="shared" si="1"/>
        <v>44</v>
      </c>
      <c r="AV14" s="211">
        <f t="shared" si="1"/>
        <v>45</v>
      </c>
      <c r="AW14" s="211">
        <f t="shared" si="1"/>
        <v>46</v>
      </c>
      <c r="AX14" s="211">
        <f t="shared" si="1"/>
        <v>47</v>
      </c>
      <c r="AY14" s="211">
        <f t="shared" si="1"/>
        <v>48</v>
      </c>
      <c r="AZ14" s="211">
        <f t="shared" si="1"/>
        <v>49</v>
      </c>
      <c r="BA14" s="211">
        <f t="shared" si="1"/>
        <v>50</v>
      </c>
      <c r="BB14" s="211">
        <f t="shared" si="1"/>
        <v>51</v>
      </c>
      <c r="BC14" s="211">
        <f t="shared" si="1"/>
        <v>52</v>
      </c>
      <c r="BD14" s="211">
        <f t="shared" si="1"/>
        <v>53</v>
      </c>
      <c r="BE14" s="211">
        <f t="shared" si="1"/>
        <v>54</v>
      </c>
      <c r="BF14" s="211">
        <f t="shared" si="1"/>
        <v>55</v>
      </c>
      <c r="BG14" s="211">
        <f t="shared" si="1"/>
        <v>56</v>
      </c>
      <c r="BH14" s="211">
        <f t="shared" si="1"/>
        <v>57</v>
      </c>
      <c r="BI14" s="211">
        <f t="shared" si="1"/>
        <v>58</v>
      </c>
      <c r="BJ14" s="211">
        <f t="shared" si="1"/>
        <v>59</v>
      </c>
      <c r="BK14" s="211">
        <f t="shared" si="1"/>
        <v>60</v>
      </c>
      <c r="BL14" s="211">
        <f t="shared" si="1"/>
        <v>61</v>
      </c>
      <c r="BM14" s="211">
        <f t="shared" si="1"/>
        <v>62</v>
      </c>
      <c r="BN14" s="211">
        <f t="shared" si="1"/>
        <v>63</v>
      </c>
      <c r="BO14" s="211">
        <f t="shared" si="1"/>
        <v>64</v>
      </c>
      <c r="BP14" s="211">
        <f t="shared" si="1"/>
        <v>65</v>
      </c>
      <c r="BQ14" s="211">
        <f t="shared" si="1"/>
        <v>66</v>
      </c>
      <c r="BR14" s="211">
        <f t="shared" si="1"/>
        <v>67</v>
      </c>
      <c r="BS14" s="211">
        <f t="shared" si="1"/>
        <v>68</v>
      </c>
      <c r="BT14" s="211">
        <f t="shared" si="1"/>
        <v>69</v>
      </c>
      <c r="BU14" s="211">
        <f t="shared" si="1"/>
        <v>70</v>
      </c>
      <c r="BV14" s="211">
        <f t="shared" si="1"/>
        <v>71</v>
      </c>
      <c r="BW14" s="211">
        <f t="shared" si="1"/>
        <v>72</v>
      </c>
      <c r="BX14" s="211">
        <f t="shared" si="1"/>
        <v>73</v>
      </c>
      <c r="BY14" s="211">
        <f t="shared" si="1"/>
        <v>74</v>
      </c>
      <c r="BZ14" s="211">
        <f t="shared" ref="BZ14:CY14" si="2">BY14+1</f>
        <v>75</v>
      </c>
      <c r="CA14" s="211">
        <f t="shared" si="2"/>
        <v>76</v>
      </c>
      <c r="CB14" s="211">
        <f t="shared" si="2"/>
        <v>77</v>
      </c>
      <c r="CC14" s="211">
        <f t="shared" si="2"/>
        <v>78</v>
      </c>
      <c r="CD14" s="211">
        <f t="shared" si="2"/>
        <v>79</v>
      </c>
      <c r="CE14" s="211">
        <f t="shared" si="2"/>
        <v>80</v>
      </c>
      <c r="CF14" s="211">
        <f t="shared" si="2"/>
        <v>81</v>
      </c>
      <c r="CG14" s="211">
        <f t="shared" si="2"/>
        <v>82</v>
      </c>
      <c r="CH14" s="211">
        <f t="shared" si="2"/>
        <v>83</v>
      </c>
      <c r="CI14" s="211">
        <f t="shared" si="2"/>
        <v>84</v>
      </c>
      <c r="CJ14" s="211">
        <f t="shared" si="2"/>
        <v>85</v>
      </c>
      <c r="CK14" s="211">
        <f t="shared" si="2"/>
        <v>86</v>
      </c>
      <c r="CL14" s="211">
        <f t="shared" si="2"/>
        <v>87</v>
      </c>
      <c r="CM14" s="211">
        <f t="shared" si="2"/>
        <v>88</v>
      </c>
      <c r="CN14" s="211">
        <f t="shared" si="2"/>
        <v>89</v>
      </c>
      <c r="CO14" s="211">
        <f t="shared" si="2"/>
        <v>90</v>
      </c>
      <c r="CP14" s="211">
        <f t="shared" si="2"/>
        <v>91</v>
      </c>
      <c r="CQ14" s="211">
        <f t="shared" si="2"/>
        <v>92</v>
      </c>
      <c r="CR14" s="211">
        <f t="shared" si="2"/>
        <v>93</v>
      </c>
      <c r="CS14" s="211">
        <f t="shared" si="2"/>
        <v>94</v>
      </c>
      <c r="CT14" s="211">
        <f t="shared" si="2"/>
        <v>95</v>
      </c>
      <c r="CU14" s="211">
        <f t="shared" si="2"/>
        <v>96</v>
      </c>
      <c r="CV14" s="211">
        <f t="shared" si="2"/>
        <v>97</v>
      </c>
      <c r="CW14" s="211">
        <f t="shared" si="2"/>
        <v>98</v>
      </c>
      <c r="CX14" s="211">
        <f t="shared" si="2"/>
        <v>99</v>
      </c>
      <c r="CY14" s="211">
        <f t="shared" si="2"/>
        <v>100</v>
      </c>
    </row>
    <row r="15" spans="1:103" ht="15" thickBot="1" x14ac:dyDescent="0.35">
      <c r="B15" s="209" t="s">
        <v>57</v>
      </c>
      <c r="C15" s="222"/>
      <c r="D15" s="213">
        <f>'Combined IFRS17 Cashflows'!F14</f>
        <v>2659731.8270136411</v>
      </c>
      <c r="E15" s="213">
        <f>'Combined IFRS17 Cashflows'!G14</f>
        <v>9102158.3708133772</v>
      </c>
      <c r="F15" s="213">
        <f>'Combined IFRS17 Cashflows'!H14</f>
        <v>17499754.119359531</v>
      </c>
      <c r="G15" s="213">
        <f>'Combined IFRS17 Cashflows'!I14</f>
        <v>26675636.443888925</v>
      </c>
      <c r="H15" s="213">
        <f>'Combined IFRS17 Cashflows'!J14</f>
        <v>37839743.498056099</v>
      </c>
      <c r="I15" s="213">
        <f>'Combined IFRS17 Cashflows'!K14</f>
        <v>50037806.36000634</v>
      </c>
      <c r="J15" s="213">
        <f>'Combined IFRS17 Cashflows'!L14</f>
        <v>62671512.608169541</v>
      </c>
      <c r="K15" s="213">
        <f>'Combined IFRS17 Cashflows'!M14</f>
        <v>76425475.339635208</v>
      </c>
      <c r="L15" s="213">
        <f>'Combined IFRS17 Cashflows'!N14</f>
        <v>91851200.128553405</v>
      </c>
      <c r="M15" s="213">
        <f>'Combined IFRS17 Cashflows'!O14</f>
        <v>109663999.56107542</v>
      </c>
      <c r="N15" s="213">
        <f>'Combined IFRS17 Cashflows'!P14</f>
        <v>107536293.98469803</v>
      </c>
      <c r="O15" s="213">
        <f>'Combined IFRS17 Cashflows'!Q14</f>
        <v>95774587.167742401</v>
      </c>
      <c r="P15" s="213">
        <f>'Combined IFRS17 Cashflows'!R14</f>
        <v>87286148.599244907</v>
      </c>
      <c r="Q15" s="213">
        <f>'Combined IFRS17 Cashflows'!S14</f>
        <v>79585455.341938883</v>
      </c>
      <c r="R15" s="213">
        <f>'Combined IFRS17 Cashflows'!T14</f>
        <v>72459901.961855128</v>
      </c>
      <c r="S15" s="213">
        <f>'Combined IFRS17 Cashflows'!U14</f>
        <v>66137797.452245072</v>
      </c>
      <c r="T15" s="213">
        <f>'Combined IFRS17 Cashflows'!V14</f>
        <v>60264400.692231938</v>
      </c>
      <c r="U15" s="213">
        <f>'Combined IFRS17 Cashflows'!W14</f>
        <v>54755815.33761894</v>
      </c>
      <c r="V15" s="213">
        <f>'Combined IFRS17 Cashflows'!X14</f>
        <v>49574025.368581116</v>
      </c>
      <c r="W15" s="213">
        <f>'Combined IFRS17 Cashflows'!Y14</f>
        <v>44646395.825831003</v>
      </c>
      <c r="X15" s="213">
        <f>'Combined IFRS17 Cashflows'!Z14</f>
        <v>40433316.907348871</v>
      </c>
      <c r="Y15" s="213">
        <f>'Combined IFRS17 Cashflows'!AA14</f>
        <v>36566017.451880127</v>
      </c>
      <c r="Z15" s="213">
        <f>'Combined IFRS17 Cashflows'!AB14</f>
        <v>32930827.600326903</v>
      </c>
      <c r="AA15" s="213">
        <f>'Combined IFRS17 Cashflows'!AC14</f>
        <v>29538959.775273435</v>
      </c>
      <c r="AB15" s="213">
        <f>'Combined IFRS17 Cashflows'!AD14</f>
        <v>26369615.737467114</v>
      </c>
      <c r="AC15" s="213">
        <f>'Combined IFRS17 Cashflows'!AE14</f>
        <v>23436820.706184331</v>
      </c>
      <c r="AD15" s="213">
        <f>'Combined IFRS17 Cashflows'!AF14</f>
        <v>20829313.088538289</v>
      </c>
      <c r="AE15" s="213">
        <f>'Combined IFRS17 Cashflows'!AG14</f>
        <v>18438222.90562319</v>
      </c>
      <c r="AF15" s="213">
        <f>'Combined IFRS17 Cashflows'!AH14</f>
        <v>16244318.451280611</v>
      </c>
      <c r="AG15" s="213">
        <f>'Combined IFRS17 Cashflows'!AI14</f>
        <v>14220350.001527866</v>
      </c>
      <c r="AH15" s="213">
        <f>'Combined IFRS17 Cashflows'!AJ14</f>
        <v>12686952.763845788</v>
      </c>
      <c r="AI15" s="213">
        <f>'Combined IFRS17 Cashflows'!AK14</f>
        <v>11372887.895823285</v>
      </c>
      <c r="AJ15" s="213">
        <f>'Combined IFRS17 Cashflows'!AL14</f>
        <v>10193167.886224598</v>
      </c>
      <c r="AK15" s="213">
        <f>'Combined IFRS17 Cashflows'!AM14</f>
        <v>9127147.6628567204</v>
      </c>
      <c r="AL15" s="213">
        <f>'Combined IFRS17 Cashflows'!AN14</f>
        <v>8158411.6534801377</v>
      </c>
      <c r="AM15" s="213">
        <f>'Combined IFRS17 Cashflows'!AO14</f>
        <v>7273287.9751059851</v>
      </c>
      <c r="AN15" s="213">
        <f>'Combined IFRS17 Cashflows'!AP14</f>
        <v>6499637.8844095981</v>
      </c>
      <c r="AO15" s="213">
        <f>'Combined IFRS17 Cashflows'!AQ14</f>
        <v>5789551.7100359593</v>
      </c>
      <c r="AP15" s="213">
        <f>'Combined IFRS17 Cashflows'!AR14</f>
        <v>5139261.1468969258</v>
      </c>
      <c r="AQ15" s="213">
        <f>'Combined IFRS17 Cashflows'!AS14</f>
        <v>4544436.138942522</v>
      </c>
      <c r="AR15" s="213">
        <f>'Combined IFRS17 Cashflows'!AT14</f>
        <v>4000338.7702420466</v>
      </c>
      <c r="AS15" s="213">
        <f>'Combined IFRS17 Cashflows'!AU14</f>
        <v>3514691.9509921498</v>
      </c>
      <c r="AT15" s="213">
        <f>'Combined IFRS17 Cashflows'!AV14</f>
        <v>3074052.6198802935</v>
      </c>
      <c r="AU15" s="213">
        <f>'Combined IFRS17 Cashflows'!AW14</f>
        <v>2675917.0097324555</v>
      </c>
      <c r="AV15" s="213">
        <f>'Combined IFRS17 Cashflows'!AX14</f>
        <v>2318093.7436202862</v>
      </c>
      <c r="AW15" s="213">
        <f>'Combined IFRS17 Cashflows'!AY14</f>
        <v>1998503.3364601496</v>
      </c>
      <c r="AX15" s="213">
        <f>'Combined IFRS17 Cashflows'!AZ14</f>
        <v>1718804.2265448878</v>
      </c>
      <c r="AY15" s="213">
        <f>'Combined IFRS17 Cashflows'!BA14</f>
        <v>1472339.7850968633</v>
      </c>
      <c r="AZ15" s="213">
        <f>'Combined IFRS17 Cashflows'!BB14</f>
        <v>1257254.8777437508</v>
      </c>
      <c r="BA15" s="213">
        <f>'Combined IFRS17 Cashflows'!BC14</f>
        <v>1071137.7182516342</v>
      </c>
      <c r="BB15" s="213">
        <f>'Combined IFRS17 Cashflows'!BD14</f>
        <v>911098.65429128835</v>
      </c>
      <c r="BC15" s="213">
        <f>'Combined IFRS17 Cashflows'!BE14</f>
        <v>774303.13863869128</v>
      </c>
      <c r="BD15" s="213">
        <f>'Combined IFRS17 Cashflows'!BF14</f>
        <v>657126.85020557872</v>
      </c>
      <c r="BE15" s="213">
        <f>'Combined IFRS17 Cashflows'!BG14</f>
        <v>556494.78658220358</v>
      </c>
      <c r="BF15" s="213">
        <f>'Combined IFRS17 Cashflows'!BH14</f>
        <v>469876.48452540074</v>
      </c>
      <c r="BG15" s="213">
        <f>'Combined IFRS17 Cashflows'!BI14</f>
        <v>395187.70816053532</v>
      </c>
      <c r="BH15" s="213">
        <f>'Combined IFRS17 Cashflows'!BJ14</f>
        <v>332457.86043155188</v>
      </c>
      <c r="BI15" s="213">
        <f>'Combined IFRS17 Cashflows'!BK14</f>
        <v>278031.41262924252</v>
      </c>
      <c r="BJ15" s="213">
        <f>'Combined IFRS17 Cashflows'!BL14</f>
        <v>231014.57860289628</v>
      </c>
      <c r="BK15" s="213">
        <f>'Combined IFRS17 Cashflows'!BM14</f>
        <v>190544.61308948032</v>
      </c>
      <c r="BL15" s="213">
        <f>'Combined IFRS17 Cashflows'!BN14</f>
        <v>155810.91978383437</v>
      </c>
      <c r="BM15" s="213">
        <f>'Combined IFRS17 Cashflows'!BO14</f>
        <v>126155.89530194065</v>
      </c>
      <c r="BN15" s="213">
        <f>'Combined IFRS17 Cashflows'!BP14</f>
        <v>100939.31342436792</v>
      </c>
      <c r="BO15" s="213">
        <f>'Combined IFRS17 Cashflows'!BQ14</f>
        <v>79685.664879568707</v>
      </c>
      <c r="BP15" s="213">
        <f>'Combined IFRS17 Cashflows'!BR14</f>
        <v>61960.314315764939</v>
      </c>
      <c r="BQ15" s="213">
        <f>'Combined IFRS17 Cashflows'!BS14</f>
        <v>47357.557277355088</v>
      </c>
      <c r="BR15" s="213">
        <f>'Combined IFRS17 Cashflows'!BT14</f>
        <v>35585.227212415572</v>
      </c>
      <c r="BS15" s="213">
        <f>'Combined IFRS17 Cashflows'!BU14</f>
        <v>26170.731707203606</v>
      </c>
      <c r="BT15" s="213">
        <f>'Combined IFRS17 Cashflows'!BV14</f>
        <v>18812.601881560815</v>
      </c>
      <c r="BU15" s="213">
        <f>'Combined IFRS17 Cashflows'!BW14</f>
        <v>13210.27350007126</v>
      </c>
      <c r="BV15" s="213">
        <f>'Combined IFRS17 Cashflows'!BX14</f>
        <v>9062.7385827206781</v>
      </c>
      <c r="BW15" s="213">
        <f>'Combined IFRS17 Cashflows'!BY14</f>
        <v>6150.2336045755601</v>
      </c>
      <c r="BX15" s="213">
        <f>'Combined IFRS17 Cashflows'!BZ14</f>
        <v>4095.8954144594013</v>
      </c>
      <c r="BY15" s="213">
        <f>'Combined IFRS17 Cashflows'!CA14</f>
        <v>2667.2136772605218</v>
      </c>
      <c r="BZ15" s="213">
        <f>'Combined IFRS17 Cashflows'!CB14</f>
        <v>1685.167018002136</v>
      </c>
      <c r="CA15" s="213">
        <f>'Combined IFRS17 Cashflows'!CC14</f>
        <v>1014.6788296578926</v>
      </c>
      <c r="CB15" s="213">
        <f>'Combined IFRS17 Cashflows'!CD14</f>
        <v>675.19821566590417</v>
      </c>
      <c r="CC15" s="213">
        <f>'Combined IFRS17 Cashflows'!CE14</f>
        <v>439.13388014350852</v>
      </c>
      <c r="CD15" s="213">
        <f>'Combined IFRS17 Cashflows'!CF14</f>
        <v>277.18366589608019</v>
      </c>
      <c r="CE15" s="213">
        <f>'Combined IFRS17 Cashflows'!CG14</f>
        <v>167.65075695209697</v>
      </c>
      <c r="CF15" s="213">
        <f>'Combined IFRS17 Cashflows'!CH14</f>
        <v>94.429167849396293</v>
      </c>
      <c r="CG15" s="213">
        <f>'Combined IFRS17 Cashflows'!CI14</f>
        <v>57.332278886664334</v>
      </c>
      <c r="CH15" s="213">
        <f>'Combined IFRS17 Cashflows'!CJ14</f>
        <v>32.748546081101921</v>
      </c>
      <c r="CI15" s="213">
        <f>'Combined IFRS17 Cashflows'!CK14</f>
        <v>16.801962965845522</v>
      </c>
      <c r="CJ15" s="213">
        <f>'Combined IFRS17 Cashflows'!CL14</f>
        <v>6.5908525249837124</v>
      </c>
      <c r="CK15" s="213">
        <f>'Combined IFRS17 Cashflows'!CM14</f>
        <v>0</v>
      </c>
      <c r="CL15" s="213">
        <f>'Combined IFRS17 Cashflows'!CN14</f>
        <v>0</v>
      </c>
      <c r="CM15" s="213">
        <f>'Combined IFRS17 Cashflows'!CO14</f>
        <v>0</v>
      </c>
      <c r="CN15" s="213">
        <f>'Combined IFRS17 Cashflows'!CP14</f>
        <v>0</v>
      </c>
      <c r="CO15" s="213">
        <f>'Combined IFRS17 Cashflows'!CQ14</f>
        <v>0</v>
      </c>
      <c r="CP15" s="213">
        <f>'Combined IFRS17 Cashflows'!CR14</f>
        <v>0</v>
      </c>
      <c r="CQ15" s="213">
        <f>'Combined IFRS17 Cashflows'!CS14</f>
        <v>0</v>
      </c>
      <c r="CR15" s="213">
        <f>'Combined IFRS17 Cashflows'!CT14</f>
        <v>0</v>
      </c>
      <c r="CS15" s="213">
        <f>'Combined IFRS17 Cashflows'!CU14</f>
        <v>0</v>
      </c>
      <c r="CT15" s="213">
        <f>'Combined IFRS17 Cashflows'!CV14</f>
        <v>0</v>
      </c>
      <c r="CU15" s="213">
        <f>'Combined IFRS17 Cashflows'!CW14</f>
        <v>0</v>
      </c>
      <c r="CV15" s="213">
        <f>'Combined IFRS17 Cashflows'!CX14</f>
        <v>0</v>
      </c>
      <c r="CW15" s="213">
        <f>'Combined IFRS17 Cashflows'!CY14</f>
        <v>0</v>
      </c>
      <c r="CX15" s="213">
        <f>'Combined IFRS17 Cashflows'!CZ14</f>
        <v>0</v>
      </c>
      <c r="CY15" s="213">
        <f>'Combined IFRS17 Cashflows'!DA14</f>
        <v>0</v>
      </c>
    </row>
    <row r="16" spans="1:103" ht="15" thickBot="1" x14ac:dyDescent="0.35">
      <c r="B16" s="245" t="s">
        <v>142</v>
      </c>
      <c r="C16" s="222"/>
      <c r="D16" s="213">
        <f ca="1">OFFSET('Appraisal Calcs - IFRS 17'!$D$9,D14-1,0)</f>
        <v>-59000</v>
      </c>
      <c r="E16" s="213">
        <f ca="1">OFFSET('Appraisal Calcs - IFRS 17'!$D$9,E14-1,0)</f>
        <v>-59000</v>
      </c>
      <c r="F16" s="213">
        <f ca="1">OFFSET('Appraisal Calcs - IFRS 17'!$D$9,F14-1,0)</f>
        <v>-59000</v>
      </c>
      <c r="G16" s="213">
        <f ca="1">OFFSET('Appraisal Calcs - IFRS 17'!$D$9,G14-1,0)</f>
        <v>-59000</v>
      </c>
      <c r="H16" s="213">
        <f ca="1">OFFSET('Appraisal Calcs - IFRS 17'!$D$9,H14-1,0)</f>
        <v>-59000</v>
      </c>
      <c r="I16" s="213">
        <f ca="1">OFFSET('Appraisal Calcs - IFRS 17'!$D$9,I14-1,0)</f>
        <v>-59000</v>
      </c>
      <c r="J16" s="213">
        <f ca="1">OFFSET('Appraisal Calcs - IFRS 17'!$D$9,J14-1,0)</f>
        <v>-59000</v>
      </c>
      <c r="K16" s="213">
        <f ca="1">OFFSET('Appraisal Calcs - IFRS 17'!$D$9,K14-1,0)</f>
        <v>-59000</v>
      </c>
      <c r="L16" s="213">
        <f ca="1">OFFSET('Appraisal Calcs - IFRS 17'!$D$9,L14-1,0)</f>
        <v>-59000</v>
      </c>
      <c r="M16" s="213">
        <f ca="1">OFFSET('Appraisal Calcs - IFRS 17'!$D$9,M14-1,0)</f>
        <v>-59000</v>
      </c>
      <c r="N16" s="213">
        <f ca="1">OFFSET('Appraisal Calcs - IFRS 17'!$D$9,N14-1,0)</f>
        <v>0</v>
      </c>
      <c r="O16" s="213">
        <f ca="1">OFFSET('Appraisal Calcs - IFRS 17'!$D$9,O14-1,0)</f>
        <v>0</v>
      </c>
      <c r="P16" s="213">
        <f ca="1">OFFSET('Appraisal Calcs - IFRS 17'!$D$9,P14-1,0)</f>
        <v>0</v>
      </c>
      <c r="Q16" s="213">
        <f ca="1">OFFSET('Appraisal Calcs - IFRS 17'!$D$9,Q14-1,0)</f>
        <v>0</v>
      </c>
      <c r="R16" s="213">
        <f ca="1">OFFSET('Appraisal Calcs - IFRS 17'!$D$9,R14-1,0)</f>
        <v>0</v>
      </c>
      <c r="S16" s="213">
        <f ca="1">OFFSET('Appraisal Calcs - IFRS 17'!$D$9,S14-1,0)</f>
        <v>0</v>
      </c>
      <c r="T16" s="213">
        <f ca="1">OFFSET('Appraisal Calcs - IFRS 17'!$D$9,T14-1,0)</f>
        <v>0</v>
      </c>
      <c r="U16" s="213">
        <f ca="1">OFFSET('Appraisal Calcs - IFRS 17'!$D$9,U14-1,0)</f>
        <v>0</v>
      </c>
      <c r="V16" s="213">
        <f ca="1">OFFSET('Appraisal Calcs - IFRS 17'!$D$9,V14-1,0)</f>
        <v>0</v>
      </c>
      <c r="W16" s="213">
        <f ca="1">OFFSET('Appraisal Calcs - IFRS 17'!$D$9,W14-1,0)</f>
        <v>0</v>
      </c>
      <c r="X16" s="213">
        <f ca="1">OFFSET('Appraisal Calcs - IFRS 17'!$D$9,X14-1,0)</f>
        <v>0</v>
      </c>
      <c r="Y16" s="213">
        <f ca="1">OFFSET('Appraisal Calcs - IFRS 17'!$D$9,Y14-1,0)</f>
        <v>0</v>
      </c>
      <c r="Z16" s="213">
        <f ca="1">OFFSET('Appraisal Calcs - IFRS 17'!$D$9,Z14-1,0)</f>
        <v>0</v>
      </c>
      <c r="AA16" s="213">
        <f ca="1">OFFSET('Appraisal Calcs - IFRS 17'!$D$9,AA14-1,0)</f>
        <v>0</v>
      </c>
      <c r="AB16" s="213">
        <f ca="1">OFFSET('Appraisal Calcs - IFRS 17'!$D$9,AB14-1,0)</f>
        <v>0</v>
      </c>
      <c r="AC16" s="213">
        <f ca="1">OFFSET('Appraisal Calcs - IFRS 17'!$D$9,AC14-1,0)</f>
        <v>0</v>
      </c>
      <c r="AD16" s="213">
        <f ca="1">OFFSET('Appraisal Calcs - IFRS 17'!$D$9,AD14-1,0)</f>
        <v>0</v>
      </c>
      <c r="AE16" s="213">
        <f ca="1">OFFSET('Appraisal Calcs - IFRS 17'!$D$9,AE14-1,0)</f>
        <v>0</v>
      </c>
      <c r="AF16" s="213">
        <f ca="1">OFFSET('Appraisal Calcs - IFRS 17'!$D$9,AF14-1,0)</f>
        <v>0</v>
      </c>
      <c r="AG16" s="213">
        <f ca="1">OFFSET('Appraisal Calcs - IFRS 17'!$D$9,AG14-1,0)</f>
        <v>0</v>
      </c>
      <c r="AH16" s="213">
        <f ca="1">OFFSET('Appraisal Calcs - IFRS 17'!$D$9,AH14-1,0)</f>
        <v>0</v>
      </c>
      <c r="AI16" s="213">
        <f ca="1">OFFSET('Appraisal Calcs - IFRS 17'!$D$9,AI14-1,0)</f>
        <v>0</v>
      </c>
      <c r="AJ16" s="213">
        <f ca="1">OFFSET('Appraisal Calcs - IFRS 17'!$D$9,AJ14-1,0)</f>
        <v>0</v>
      </c>
      <c r="AK16" s="213">
        <f ca="1">OFFSET('Appraisal Calcs - IFRS 17'!$D$9,AK14-1,0)</f>
        <v>0</v>
      </c>
      <c r="AL16" s="213">
        <f ca="1">OFFSET('Appraisal Calcs - IFRS 17'!$D$9,AL14-1,0)</f>
        <v>0</v>
      </c>
      <c r="AM16" s="213">
        <f ca="1">OFFSET('Appraisal Calcs - IFRS 17'!$D$9,AM14-1,0)</f>
        <v>0</v>
      </c>
      <c r="AN16" s="213">
        <f ca="1">OFFSET('Appraisal Calcs - IFRS 17'!$D$9,AN14-1,0)</f>
        <v>0</v>
      </c>
      <c r="AO16" s="213">
        <f ca="1">OFFSET('Appraisal Calcs - IFRS 17'!$D$9,AO14-1,0)</f>
        <v>0</v>
      </c>
      <c r="AP16" s="213">
        <f ca="1">OFFSET('Appraisal Calcs - IFRS 17'!$D$9,AP14-1,0)</f>
        <v>0</v>
      </c>
      <c r="AQ16" s="213">
        <f ca="1">OFFSET('Appraisal Calcs - IFRS 17'!$D$9,AQ14-1,0)</f>
        <v>0</v>
      </c>
      <c r="AR16" s="213">
        <f ca="1">OFFSET('Appraisal Calcs - IFRS 17'!$D$9,AR14-1,0)</f>
        <v>0</v>
      </c>
      <c r="AS16" s="213">
        <f ca="1">OFFSET('Appraisal Calcs - IFRS 17'!$D$9,AS14-1,0)</f>
        <v>0</v>
      </c>
      <c r="AT16" s="213">
        <f ca="1">OFFSET('Appraisal Calcs - IFRS 17'!$D$9,AT14-1,0)</f>
        <v>0</v>
      </c>
      <c r="AU16" s="213">
        <f ca="1">OFFSET('Appraisal Calcs - IFRS 17'!$D$9,AU14-1,0)</f>
        <v>0</v>
      </c>
      <c r="AV16" s="213">
        <f ca="1">OFFSET('Appraisal Calcs - IFRS 17'!$D$9,AV14-1,0)</f>
        <v>0</v>
      </c>
      <c r="AW16" s="213">
        <f ca="1">OFFSET('Appraisal Calcs - IFRS 17'!$D$9,AW14-1,0)</f>
        <v>0</v>
      </c>
      <c r="AX16" s="213">
        <f ca="1">OFFSET('Appraisal Calcs - IFRS 17'!$D$9,AX14-1,0)</f>
        <v>0</v>
      </c>
      <c r="AY16" s="213">
        <f ca="1">OFFSET('Appraisal Calcs - IFRS 17'!$D$9,AY14-1,0)</f>
        <v>0</v>
      </c>
      <c r="AZ16" s="213">
        <f ca="1">OFFSET('Appraisal Calcs - IFRS 17'!$D$9,AZ14-1,0)</f>
        <v>0</v>
      </c>
      <c r="BA16" s="213">
        <f ca="1">OFFSET('Appraisal Calcs - IFRS 17'!$D$9,BA14-1,0)</f>
        <v>0</v>
      </c>
      <c r="BB16" s="213">
        <f ca="1">OFFSET('Appraisal Calcs - IFRS 17'!$D$9,BB14-1,0)</f>
        <v>0</v>
      </c>
      <c r="BC16" s="213">
        <f ca="1">OFFSET('Appraisal Calcs - IFRS 17'!$D$9,BC14-1,0)</f>
        <v>0</v>
      </c>
      <c r="BD16" s="213">
        <f ca="1">OFFSET('Appraisal Calcs - IFRS 17'!$D$9,BD14-1,0)</f>
        <v>0</v>
      </c>
      <c r="BE16" s="213">
        <f ca="1">OFFSET('Appraisal Calcs - IFRS 17'!$D$9,BE14-1,0)</f>
        <v>0</v>
      </c>
      <c r="BF16" s="213">
        <f ca="1">OFFSET('Appraisal Calcs - IFRS 17'!$D$9,BF14-1,0)</f>
        <v>0</v>
      </c>
      <c r="BG16" s="213">
        <f ca="1">OFFSET('Appraisal Calcs - IFRS 17'!$D$9,BG14-1,0)</f>
        <v>0</v>
      </c>
      <c r="BH16" s="213">
        <f ca="1">OFFSET('Appraisal Calcs - IFRS 17'!$D$9,BH14-1,0)</f>
        <v>0</v>
      </c>
      <c r="BI16" s="213">
        <f ca="1">OFFSET('Appraisal Calcs - IFRS 17'!$D$9,BI14-1,0)</f>
        <v>0</v>
      </c>
      <c r="BJ16" s="213">
        <f ca="1">OFFSET('Appraisal Calcs - IFRS 17'!$D$9,BJ14-1,0)</f>
        <v>0</v>
      </c>
      <c r="BK16" s="213">
        <f ca="1">OFFSET('Appraisal Calcs - IFRS 17'!$D$9,BK14-1,0)</f>
        <v>0</v>
      </c>
      <c r="BL16" s="213">
        <f ca="1">OFFSET('Appraisal Calcs - IFRS 17'!$D$9,BL14-1,0)</f>
        <v>0</v>
      </c>
      <c r="BM16" s="213">
        <f ca="1">OFFSET('Appraisal Calcs - IFRS 17'!$D$9,BM14-1,0)</f>
        <v>0</v>
      </c>
      <c r="BN16" s="213">
        <f ca="1">OFFSET('Appraisal Calcs - IFRS 17'!$D$9,BN14-1,0)</f>
        <v>0</v>
      </c>
      <c r="BO16" s="213">
        <f ca="1">OFFSET('Appraisal Calcs - IFRS 17'!$D$9,BO14-1,0)</f>
        <v>0</v>
      </c>
      <c r="BP16" s="213">
        <f ca="1">OFFSET('Appraisal Calcs - IFRS 17'!$D$9,BP14-1,0)</f>
        <v>0</v>
      </c>
      <c r="BQ16" s="213">
        <f ca="1">OFFSET('Appraisal Calcs - IFRS 17'!$D$9,BQ14-1,0)</f>
        <v>0</v>
      </c>
      <c r="BR16" s="213">
        <f ca="1">OFFSET('Appraisal Calcs - IFRS 17'!$D$9,BR14-1,0)</f>
        <v>0</v>
      </c>
      <c r="BS16" s="213">
        <f ca="1">OFFSET('Appraisal Calcs - IFRS 17'!$D$9,BS14-1,0)</f>
        <v>0</v>
      </c>
      <c r="BT16" s="213">
        <f ca="1">OFFSET('Appraisal Calcs - IFRS 17'!$D$9,BT14-1,0)</f>
        <v>0</v>
      </c>
      <c r="BU16" s="213">
        <f ca="1">OFFSET('Appraisal Calcs - IFRS 17'!$D$9,BU14-1,0)</f>
        <v>0</v>
      </c>
      <c r="BV16" s="213">
        <f ca="1">OFFSET('Appraisal Calcs - IFRS 17'!$D$9,BV14-1,0)</f>
        <v>0</v>
      </c>
      <c r="BW16" s="213">
        <f ca="1">OFFSET('Appraisal Calcs - IFRS 17'!$D$9,BW14-1,0)</f>
        <v>0</v>
      </c>
      <c r="BX16" s="213">
        <f ca="1">OFFSET('Appraisal Calcs - IFRS 17'!$D$9,BX14-1,0)</f>
        <v>0</v>
      </c>
      <c r="BY16" s="213">
        <f ca="1">OFFSET('Appraisal Calcs - IFRS 17'!$D$9,BY14-1,0)</f>
        <v>0</v>
      </c>
      <c r="BZ16" s="213">
        <f ca="1">OFFSET('Appraisal Calcs - IFRS 17'!$D$9,BZ14-1,0)</f>
        <v>0</v>
      </c>
      <c r="CA16" s="213">
        <f ca="1">OFFSET('Appraisal Calcs - IFRS 17'!$D$9,CA14-1,0)</f>
        <v>0</v>
      </c>
      <c r="CB16" s="213">
        <f ca="1">OFFSET('Appraisal Calcs - IFRS 17'!$D$9,CB14-1,0)</f>
        <v>0</v>
      </c>
      <c r="CC16" s="213">
        <f ca="1">OFFSET('Appraisal Calcs - IFRS 17'!$D$9,CC14-1,0)</f>
        <v>0</v>
      </c>
      <c r="CD16" s="213">
        <f ca="1">OFFSET('Appraisal Calcs - IFRS 17'!$D$9,CD14-1,0)</f>
        <v>0</v>
      </c>
      <c r="CE16" s="213">
        <f ca="1">OFFSET('Appraisal Calcs - IFRS 17'!$D$9,CE14-1,0)</f>
        <v>0</v>
      </c>
      <c r="CF16" s="213">
        <f ca="1">OFFSET('Appraisal Calcs - IFRS 17'!$D$9,CF14-1,0)</f>
        <v>0</v>
      </c>
      <c r="CG16" s="213">
        <f ca="1">OFFSET('Appraisal Calcs - IFRS 17'!$D$9,CG14-1,0)</f>
        <v>0</v>
      </c>
      <c r="CH16" s="213">
        <f ca="1">OFFSET('Appraisal Calcs - IFRS 17'!$D$9,CH14-1,0)</f>
        <v>0</v>
      </c>
      <c r="CI16" s="213">
        <f ca="1">OFFSET('Appraisal Calcs - IFRS 17'!$D$9,CI14-1,0)</f>
        <v>0</v>
      </c>
      <c r="CJ16" s="213">
        <f ca="1">OFFSET('Appraisal Calcs - IFRS 17'!$D$9,CJ14-1,0)</f>
        <v>0</v>
      </c>
      <c r="CK16" s="213">
        <f ca="1">OFFSET('Appraisal Calcs - IFRS 17'!$D$9,CK14-1,0)</f>
        <v>0</v>
      </c>
      <c r="CL16" s="213">
        <f ca="1">OFFSET('Appraisal Calcs - IFRS 17'!$D$9,CL14-1,0)</f>
        <v>0</v>
      </c>
      <c r="CM16" s="213">
        <f ca="1">OFFSET('Appraisal Calcs - IFRS 17'!$D$9,CM14-1,0)</f>
        <v>0</v>
      </c>
      <c r="CN16" s="213">
        <f ca="1">OFFSET('Appraisal Calcs - IFRS 17'!$D$9,CN14-1,0)</f>
        <v>0</v>
      </c>
      <c r="CO16" s="213">
        <f ca="1">OFFSET('Appraisal Calcs - IFRS 17'!$D$9,CO14-1,0)</f>
        <v>0</v>
      </c>
      <c r="CP16" s="213">
        <f ca="1">OFFSET('Appraisal Calcs - IFRS 17'!$D$9,CP14-1,0)</f>
        <v>0</v>
      </c>
      <c r="CQ16" s="213">
        <f ca="1">OFFSET('Appraisal Calcs - IFRS 17'!$D$9,CQ14-1,0)</f>
        <v>0</v>
      </c>
      <c r="CR16" s="213">
        <f ca="1">OFFSET('Appraisal Calcs - IFRS 17'!$D$9,CR14-1,0)</f>
        <v>0</v>
      </c>
      <c r="CS16" s="213">
        <f ca="1">OFFSET('Appraisal Calcs - IFRS 17'!$D$9,CS14-1,0)</f>
        <v>0</v>
      </c>
      <c r="CT16" s="213">
        <f ca="1">OFFSET('Appraisal Calcs - IFRS 17'!$D$9,CT14-1,0)</f>
        <v>0</v>
      </c>
      <c r="CU16" s="213">
        <f ca="1">OFFSET('Appraisal Calcs - IFRS 17'!$D$9,CU14-1,0)</f>
        <v>0</v>
      </c>
      <c r="CV16" s="213">
        <f ca="1">OFFSET('Appraisal Calcs - IFRS 17'!$D$9,CV14-1,0)</f>
        <v>0</v>
      </c>
      <c r="CW16" s="213">
        <f ca="1">OFFSET('Appraisal Calcs - IFRS 17'!$D$9,CW14-1,0)</f>
        <v>0</v>
      </c>
      <c r="CX16" s="213">
        <f ca="1">OFFSET('Appraisal Calcs - IFRS 17'!$D$9,CX14-1,0)</f>
        <v>0</v>
      </c>
      <c r="CY16" s="213">
        <f ca="1">OFFSET('Appraisal Calcs - IFRS 17'!$D$9,CY14-1,0)</f>
        <v>0</v>
      </c>
    </row>
    <row r="17" spans="2:103" ht="15" thickBot="1" x14ac:dyDescent="0.35">
      <c r="B17" s="209" t="s">
        <v>61</v>
      </c>
      <c r="C17" s="222"/>
      <c r="D17" s="213">
        <f>'Combined IFRS17 Cashflows'!F16</f>
        <v>-686210.81136951933</v>
      </c>
      <c r="E17" s="213">
        <f>'Combined IFRS17 Cashflows'!G16</f>
        <v>-2348356.859669853</v>
      </c>
      <c r="F17" s="213">
        <f>'Combined IFRS17 Cashflows'!H16</f>
        <v>-4514936.562794758</v>
      </c>
      <c r="G17" s="213">
        <f>'Combined IFRS17 Cashflows'!I16</f>
        <v>-6882314.202523347</v>
      </c>
      <c r="H17" s="213">
        <f>'Combined IFRS17 Cashflows'!J16</f>
        <v>-9762653.8224984761</v>
      </c>
      <c r="I17" s="213">
        <f>'Combined IFRS17 Cashflows'!K16</f>
        <v>-12909754.040881632</v>
      </c>
      <c r="J17" s="213">
        <f>'Combined IFRS17 Cashflows'!L16</f>
        <v>-16169250.252907751</v>
      </c>
      <c r="K17" s="213">
        <f>'Combined IFRS17 Cashflows'!M16</f>
        <v>-19717772.637625858</v>
      </c>
      <c r="L17" s="213">
        <f>'Combined IFRS17 Cashflows'!N16</f>
        <v>-23697609.633166794</v>
      </c>
      <c r="M17" s="213">
        <f>'Combined IFRS17 Cashflows'!O16</f>
        <v>-28293311.886757445</v>
      </c>
      <c r="N17" s="213">
        <f>'Combined IFRS17 Cashflows'!P16</f>
        <v>-27744363.848052081</v>
      </c>
      <c r="O17" s="213">
        <f>'Combined IFRS17 Cashflows'!Q16</f>
        <v>-24709843.489277519</v>
      </c>
      <c r="P17" s="213">
        <f>'Combined IFRS17 Cashflows'!R16</f>
        <v>-22519826.338605203</v>
      </c>
      <c r="Q17" s="213">
        <f>'Combined IFRS17 Cashflows'!S16</f>
        <v>-20533047.478220236</v>
      </c>
      <c r="R17" s="213">
        <f>'Combined IFRS17 Cashflows'!T16</f>
        <v>-18694654.706158604</v>
      </c>
      <c r="S17" s="213">
        <f>'Combined IFRS17 Cashflows'!U16</f>
        <v>-17063551.742679231</v>
      </c>
      <c r="T17" s="213">
        <f>'Combined IFRS17 Cashflows'!V16</f>
        <v>-15548215.378595827</v>
      </c>
      <c r="U17" s="213">
        <f>'Combined IFRS17 Cashflows'!W16</f>
        <v>-14127000.357105674</v>
      </c>
      <c r="V17" s="213">
        <f>'Combined IFRS17 Cashflows'!X16</f>
        <v>-12790098.545093916</v>
      </c>
      <c r="W17" s="213">
        <f>'Combined IFRS17 Cashflows'!Y16</f>
        <v>-11518770.123064404</v>
      </c>
      <c r="X17" s="213">
        <f>'Combined IFRS17 Cashflows'!Z16</f>
        <v>-10431795.762096014</v>
      </c>
      <c r="Y17" s="213">
        <f>'Combined IFRS17 Cashflows'!AA16</f>
        <v>-9434032.5025850702</v>
      </c>
      <c r="Z17" s="213">
        <f>'Combined IFRS17 Cashflows'!AB16</f>
        <v>-8496153.520884335</v>
      </c>
      <c r="AA17" s="213">
        <f>'Combined IFRS17 Cashflows'!AC16</f>
        <v>-7621051.6220205538</v>
      </c>
      <c r="AB17" s="213">
        <f>'Combined IFRS17 Cashflows'!AD16</f>
        <v>-6803360.8602665216</v>
      </c>
      <c r="AC17" s="213">
        <f>'Combined IFRS17 Cashflows'!AE16</f>
        <v>-6046699.7421955578</v>
      </c>
      <c r="AD17" s="213">
        <f>'Combined IFRS17 Cashflows'!AF16</f>
        <v>-5373962.7768428801</v>
      </c>
      <c r="AE17" s="213">
        <f>'Combined IFRS17 Cashflows'!AG16</f>
        <v>-4757061.5096507855</v>
      </c>
      <c r="AF17" s="213">
        <f>'Combined IFRS17 Cashflows'!AH16</f>
        <v>-4191034.1604303927</v>
      </c>
      <c r="AG17" s="213">
        <f>'Combined IFRS17 Cashflows'!AI16</f>
        <v>-3668850.3003941891</v>
      </c>
      <c r="AH17" s="213">
        <f>'Combined IFRS17 Cashflows'!AJ16</f>
        <v>-3273233.8130722153</v>
      </c>
      <c r="AI17" s="213">
        <f>'Combined IFRS17 Cashflows'!AK16</f>
        <v>-2934205.0771224066</v>
      </c>
      <c r="AJ17" s="213">
        <f>'Combined IFRS17 Cashflows'!AL16</f>
        <v>-2629837.314645947</v>
      </c>
      <c r="AK17" s="213">
        <f>'Combined IFRS17 Cashflows'!AM16</f>
        <v>-2354804.0970170344</v>
      </c>
      <c r="AL17" s="213">
        <f>'Combined IFRS17 Cashflows'!AN16</f>
        <v>-2104870.2065978758</v>
      </c>
      <c r="AM17" s="213">
        <f>'Combined IFRS17 Cashflows'!AO16</f>
        <v>-1876508.2975773446</v>
      </c>
      <c r="AN17" s="213">
        <f>'Combined IFRS17 Cashflows'!AP16</f>
        <v>-1676906.5741776754</v>
      </c>
      <c r="AO17" s="213">
        <f>'Combined IFRS17 Cashflows'!AQ16</f>
        <v>-1493704.3411892781</v>
      </c>
      <c r="AP17" s="213">
        <f>'Combined IFRS17 Cashflows'!AR16</f>
        <v>-1325929.3758994075</v>
      </c>
      <c r="AQ17" s="213">
        <f>'Combined IFRS17 Cashflows'!AS16</f>
        <v>-1172464.5238471709</v>
      </c>
      <c r="AR17" s="213">
        <f>'Combined IFRS17 Cashflows'!AT16</f>
        <v>-1032087.402722448</v>
      </c>
      <c r="AS17" s="213">
        <f>'Combined IFRS17 Cashflows'!AU16</f>
        <v>-906790.52335597435</v>
      </c>
      <c r="AT17" s="213">
        <f>'Combined IFRS17 Cashflows'!AV16</f>
        <v>-793105.57592911588</v>
      </c>
      <c r="AU17" s="213">
        <f>'Combined IFRS17 Cashflows'!AW16</f>
        <v>-690386.58851097384</v>
      </c>
      <c r="AV17" s="213">
        <f>'Combined IFRS17 Cashflows'!AX16</f>
        <v>-598068.18585403368</v>
      </c>
      <c r="AW17" s="213">
        <f>'Combined IFRS17 Cashflows'!AY16</f>
        <v>-515613.86080671859</v>
      </c>
      <c r="AX17" s="213">
        <f>'Combined IFRS17 Cashflows'!AZ16</f>
        <v>-443451.49044858123</v>
      </c>
      <c r="AY17" s="213">
        <f>'Combined IFRS17 Cashflows'!BA16</f>
        <v>-379863.66455499094</v>
      </c>
      <c r="AZ17" s="213">
        <f>'Combined IFRS17 Cashflows'!BB16</f>
        <v>-324371.75845788786</v>
      </c>
      <c r="BA17" s="213">
        <f>'Combined IFRS17 Cashflows'!BC16</f>
        <v>-276353.53130892169</v>
      </c>
      <c r="BB17" s="213">
        <f>'Combined IFRS17 Cashflows'!BD16</f>
        <v>-235063.45280715232</v>
      </c>
      <c r="BC17" s="213">
        <f>'Combined IFRS17 Cashflows'!BE16</f>
        <v>-199770.2097687824</v>
      </c>
      <c r="BD17" s="213">
        <f>'Combined IFRS17 Cashflows'!BF16</f>
        <v>-169538.72735303934</v>
      </c>
      <c r="BE17" s="213">
        <f>'Combined IFRS17 Cashflows'!BG16</f>
        <v>-143575.65493820864</v>
      </c>
      <c r="BF17" s="213">
        <f>'Combined IFRS17 Cashflows'!BH16</f>
        <v>-121228.13300755333</v>
      </c>
      <c r="BG17" s="213">
        <f>'Combined IFRS17 Cashflows'!BI16</f>
        <v>-101958.42870541816</v>
      </c>
      <c r="BH17" s="213">
        <f>'Combined IFRS17 Cashflows'!BJ16</f>
        <v>-85774.1279913404</v>
      </c>
      <c r="BI17" s="213">
        <f>'Combined IFRS17 Cashflows'!BK16</f>
        <v>-71732.104458344547</v>
      </c>
      <c r="BJ17" s="213">
        <f>'Combined IFRS17 Cashflows'!BL16</f>
        <v>-59601.761279547245</v>
      </c>
      <c r="BK17" s="213">
        <f>'Combined IFRS17 Cashflows'!BM16</f>
        <v>-49160.510177085918</v>
      </c>
      <c r="BL17" s="213">
        <f>'Combined IFRS17 Cashflows'!BN16</f>
        <v>-40199.217304229249</v>
      </c>
      <c r="BM17" s="213">
        <f>'Combined IFRS17 Cashflows'!BO16</f>
        <v>-32548.220987900677</v>
      </c>
      <c r="BN17" s="213">
        <f>'Combined IFRS17 Cashflows'!BP16</f>
        <v>-26042.342863486909</v>
      </c>
      <c r="BO17" s="213">
        <f>'Combined IFRS17 Cashflows'!BQ16</f>
        <v>-20558.90153892872</v>
      </c>
      <c r="BP17" s="213">
        <f>'Combined IFRS17 Cashflows'!BR16</f>
        <v>-15985.761093467352</v>
      </c>
      <c r="BQ17" s="213">
        <f>'Combined IFRS17 Cashflows'!BS16</f>
        <v>-12218.249777557618</v>
      </c>
      <c r="BR17" s="213">
        <f>'Combined IFRS17 Cashflows'!BT16</f>
        <v>-9180.9886208032221</v>
      </c>
      <c r="BS17" s="213">
        <f>'Combined IFRS17 Cashflows'!BU16</f>
        <v>-6752.0487804585309</v>
      </c>
      <c r="BT17" s="213">
        <f>'Combined IFRS17 Cashflows'!BV16</f>
        <v>-4853.6512854426919</v>
      </c>
      <c r="BU17" s="213">
        <f>'Combined IFRS17 Cashflows'!BW16</f>
        <v>-3408.2505630183859</v>
      </c>
      <c r="BV17" s="213">
        <f>'Combined IFRS17 Cashflows'!BX16</f>
        <v>-2338.1865543419344</v>
      </c>
      <c r="BW17" s="213">
        <f>'Combined IFRS17 Cashflows'!BY16</f>
        <v>-1586.7602699804945</v>
      </c>
      <c r="BX17" s="213">
        <f>'Combined IFRS17 Cashflows'!BZ16</f>
        <v>-1056.7410169305256</v>
      </c>
      <c r="BY17" s="213">
        <f>'Combined IFRS17 Cashflows'!CA16</f>
        <v>-688.14112873321471</v>
      </c>
      <c r="BZ17" s="213">
        <f>'Combined IFRS17 Cashflows'!CB16</f>
        <v>-434.77309064455108</v>
      </c>
      <c r="CA17" s="213">
        <f>'Combined IFRS17 Cashflows'!CC16</f>
        <v>-261.78713805173629</v>
      </c>
      <c r="CB17" s="213">
        <f>'Combined IFRS17 Cashflows'!CD16</f>
        <v>-174.20113964180328</v>
      </c>
      <c r="CC17" s="213">
        <f>'Combined IFRS17 Cashflows'!CE16</f>
        <v>-113.2965410770252</v>
      </c>
      <c r="CD17" s="213">
        <f>'Combined IFRS17 Cashflows'!CF16</f>
        <v>-71.51338580118869</v>
      </c>
      <c r="CE17" s="213">
        <f>'Combined IFRS17 Cashflows'!CG16</f>
        <v>-43.253895293641023</v>
      </c>
      <c r="CF17" s="213">
        <f>'Combined IFRS17 Cashflows'!CH16</f>
        <v>-24.362725305144242</v>
      </c>
      <c r="CG17" s="213">
        <f>'Combined IFRS17 Cashflows'!CI16</f>
        <v>-14.791727952759397</v>
      </c>
      <c r="CH17" s="213">
        <f>'Combined IFRS17 Cashflows'!CJ16</f>
        <v>-8.4491248889242971</v>
      </c>
      <c r="CI17" s="213">
        <f>'Combined IFRS17 Cashflows'!CK16</f>
        <v>-4.3349064451881443</v>
      </c>
      <c r="CJ17" s="213">
        <f>'Combined IFRS17 Cashflows'!CL16</f>
        <v>-1.700439951445798</v>
      </c>
      <c r="CK17" s="213">
        <f>'Combined IFRS17 Cashflows'!CM16</f>
        <v>0</v>
      </c>
      <c r="CL17" s="213">
        <f>'Combined IFRS17 Cashflows'!CN16</f>
        <v>0</v>
      </c>
      <c r="CM17" s="213">
        <f>'Combined IFRS17 Cashflows'!CO16</f>
        <v>0</v>
      </c>
      <c r="CN17" s="213">
        <f>'Combined IFRS17 Cashflows'!CP16</f>
        <v>0</v>
      </c>
      <c r="CO17" s="213">
        <f>'Combined IFRS17 Cashflows'!CQ16</f>
        <v>0</v>
      </c>
      <c r="CP17" s="213">
        <f>'Combined IFRS17 Cashflows'!CR16</f>
        <v>0</v>
      </c>
      <c r="CQ17" s="213">
        <f>'Combined IFRS17 Cashflows'!CS16</f>
        <v>0</v>
      </c>
      <c r="CR17" s="213">
        <f>'Combined IFRS17 Cashflows'!CT16</f>
        <v>0</v>
      </c>
      <c r="CS17" s="213">
        <f>'Combined IFRS17 Cashflows'!CU16</f>
        <v>0</v>
      </c>
      <c r="CT17" s="213">
        <f>'Combined IFRS17 Cashflows'!CV16</f>
        <v>0</v>
      </c>
      <c r="CU17" s="213">
        <f>'Combined IFRS17 Cashflows'!CW16</f>
        <v>0</v>
      </c>
      <c r="CV17" s="213">
        <f>'Combined IFRS17 Cashflows'!CX16</f>
        <v>0</v>
      </c>
      <c r="CW17" s="213">
        <f>'Combined IFRS17 Cashflows'!CY16</f>
        <v>0</v>
      </c>
      <c r="CX17" s="213">
        <f>'Combined IFRS17 Cashflows'!CZ16</f>
        <v>0</v>
      </c>
      <c r="CY17" s="213">
        <f>'Combined IFRS17 Cashflows'!DA16</f>
        <v>0</v>
      </c>
    </row>
    <row r="18" spans="2:103" ht="15" thickBot="1" x14ac:dyDescent="0.35">
      <c r="B18" s="209" t="s">
        <v>63</v>
      </c>
      <c r="C18" s="222"/>
      <c r="D18" s="213">
        <f>'Combined IFRS17 Cashflows'!F17</f>
        <v>-43642.408594125962</v>
      </c>
      <c r="E18" s="213">
        <f>'Combined IFRS17 Cashflows'!G17</f>
        <v>-88379.331898911114</v>
      </c>
      <c r="F18" s="213">
        <f>'Combined IFRS17 Cashflows'!H17</f>
        <v>-113125.54483060626</v>
      </c>
      <c r="G18" s="213">
        <f>'Combined IFRS17 Cashflows'!I17</f>
        <v>-131306.43596409654</v>
      </c>
      <c r="H18" s="213">
        <f>'Combined IFRS17 Cashflows'!J17</f>
        <v>-171203.39150703355</v>
      </c>
      <c r="I18" s="213">
        <f>'Combined IFRS17 Cashflows'!K17</f>
        <v>-187364.1836256916</v>
      </c>
      <c r="J18" s="213">
        <f>'Combined IFRS17 Cashflows'!L17</f>
        <v>-209080.24803513833</v>
      </c>
      <c r="K18" s="213">
        <f>'Combined IFRS17 Cashflows'!M17</f>
        <v>-236856.60948908186</v>
      </c>
      <c r="L18" s="213">
        <f>'Combined IFRS17 Cashflows'!N17</f>
        <v>-272713.36700235435</v>
      </c>
      <c r="M18" s="213">
        <f>'Combined IFRS17 Cashflows'!O17</f>
        <v>-319680.66909720429</v>
      </c>
      <c r="N18" s="213">
        <f>'Combined IFRS17 Cashflows'!P17</f>
        <v>0</v>
      </c>
      <c r="O18" s="213">
        <f>'Combined IFRS17 Cashflows'!Q17</f>
        <v>0</v>
      </c>
      <c r="P18" s="213">
        <f>'Combined IFRS17 Cashflows'!R17</f>
        <v>0</v>
      </c>
      <c r="Q18" s="213">
        <f>'Combined IFRS17 Cashflows'!S17</f>
        <v>0</v>
      </c>
      <c r="R18" s="213">
        <f>'Combined IFRS17 Cashflows'!T17</f>
        <v>0</v>
      </c>
      <c r="S18" s="213">
        <f>'Combined IFRS17 Cashflows'!U17</f>
        <v>0</v>
      </c>
      <c r="T18" s="213">
        <f>'Combined IFRS17 Cashflows'!V17</f>
        <v>0</v>
      </c>
      <c r="U18" s="213">
        <f>'Combined IFRS17 Cashflows'!W17</f>
        <v>0</v>
      </c>
      <c r="V18" s="213">
        <f>'Combined IFRS17 Cashflows'!X17</f>
        <v>0</v>
      </c>
      <c r="W18" s="213">
        <f>'Combined IFRS17 Cashflows'!Y17</f>
        <v>0</v>
      </c>
      <c r="X18" s="213">
        <f>'Combined IFRS17 Cashflows'!Z17</f>
        <v>0</v>
      </c>
      <c r="Y18" s="213">
        <f>'Combined IFRS17 Cashflows'!AA17</f>
        <v>0</v>
      </c>
      <c r="Z18" s="213">
        <f>'Combined IFRS17 Cashflows'!AB17</f>
        <v>0</v>
      </c>
      <c r="AA18" s="213">
        <f>'Combined IFRS17 Cashflows'!AC17</f>
        <v>0</v>
      </c>
      <c r="AB18" s="213">
        <f>'Combined IFRS17 Cashflows'!AD17</f>
        <v>0</v>
      </c>
      <c r="AC18" s="213">
        <f>'Combined IFRS17 Cashflows'!AE17</f>
        <v>0</v>
      </c>
      <c r="AD18" s="213">
        <f>'Combined IFRS17 Cashflows'!AF17</f>
        <v>0</v>
      </c>
      <c r="AE18" s="213">
        <f>'Combined IFRS17 Cashflows'!AG17</f>
        <v>0</v>
      </c>
      <c r="AF18" s="213">
        <f>'Combined IFRS17 Cashflows'!AH17</f>
        <v>0</v>
      </c>
      <c r="AG18" s="213">
        <f>'Combined IFRS17 Cashflows'!AI17</f>
        <v>0</v>
      </c>
      <c r="AH18" s="213">
        <f>'Combined IFRS17 Cashflows'!AJ17</f>
        <v>0</v>
      </c>
      <c r="AI18" s="213">
        <f>'Combined IFRS17 Cashflows'!AK17</f>
        <v>0</v>
      </c>
      <c r="AJ18" s="213">
        <f>'Combined IFRS17 Cashflows'!AL17</f>
        <v>0</v>
      </c>
      <c r="AK18" s="213">
        <f>'Combined IFRS17 Cashflows'!AM17</f>
        <v>0</v>
      </c>
      <c r="AL18" s="213">
        <f>'Combined IFRS17 Cashflows'!AN17</f>
        <v>0</v>
      </c>
      <c r="AM18" s="213">
        <f>'Combined IFRS17 Cashflows'!AO17</f>
        <v>0</v>
      </c>
      <c r="AN18" s="213">
        <f>'Combined IFRS17 Cashflows'!AP17</f>
        <v>0</v>
      </c>
      <c r="AO18" s="213">
        <f>'Combined IFRS17 Cashflows'!AQ17</f>
        <v>0</v>
      </c>
      <c r="AP18" s="213">
        <f>'Combined IFRS17 Cashflows'!AR17</f>
        <v>0</v>
      </c>
      <c r="AQ18" s="213">
        <f>'Combined IFRS17 Cashflows'!AS17</f>
        <v>0</v>
      </c>
      <c r="AR18" s="213">
        <f>'Combined IFRS17 Cashflows'!AT17</f>
        <v>0</v>
      </c>
      <c r="AS18" s="213">
        <f>'Combined IFRS17 Cashflows'!AU17</f>
        <v>0</v>
      </c>
      <c r="AT18" s="213">
        <f>'Combined IFRS17 Cashflows'!AV17</f>
        <v>0</v>
      </c>
      <c r="AU18" s="213">
        <f>'Combined IFRS17 Cashflows'!AW17</f>
        <v>0</v>
      </c>
      <c r="AV18" s="213">
        <f>'Combined IFRS17 Cashflows'!AX17</f>
        <v>0</v>
      </c>
      <c r="AW18" s="213">
        <f>'Combined IFRS17 Cashflows'!AY17</f>
        <v>0</v>
      </c>
      <c r="AX18" s="213">
        <f>'Combined IFRS17 Cashflows'!AZ17</f>
        <v>0</v>
      </c>
      <c r="AY18" s="213">
        <f>'Combined IFRS17 Cashflows'!BA17</f>
        <v>0</v>
      </c>
      <c r="AZ18" s="213">
        <f>'Combined IFRS17 Cashflows'!BB17</f>
        <v>0</v>
      </c>
      <c r="BA18" s="213">
        <f>'Combined IFRS17 Cashflows'!BC17</f>
        <v>0</v>
      </c>
      <c r="BB18" s="213">
        <f>'Combined IFRS17 Cashflows'!BD17</f>
        <v>0</v>
      </c>
      <c r="BC18" s="213">
        <f>'Combined IFRS17 Cashflows'!BE17</f>
        <v>0</v>
      </c>
      <c r="BD18" s="213">
        <f>'Combined IFRS17 Cashflows'!BF17</f>
        <v>0</v>
      </c>
      <c r="BE18" s="213">
        <f>'Combined IFRS17 Cashflows'!BG17</f>
        <v>0</v>
      </c>
      <c r="BF18" s="213">
        <f>'Combined IFRS17 Cashflows'!BH17</f>
        <v>0</v>
      </c>
      <c r="BG18" s="213">
        <f>'Combined IFRS17 Cashflows'!BI17</f>
        <v>0</v>
      </c>
      <c r="BH18" s="213">
        <f>'Combined IFRS17 Cashflows'!BJ17</f>
        <v>0</v>
      </c>
      <c r="BI18" s="213">
        <f>'Combined IFRS17 Cashflows'!BK17</f>
        <v>0</v>
      </c>
      <c r="BJ18" s="213">
        <f>'Combined IFRS17 Cashflows'!BL17</f>
        <v>0</v>
      </c>
      <c r="BK18" s="213">
        <f>'Combined IFRS17 Cashflows'!BM17</f>
        <v>0</v>
      </c>
      <c r="BL18" s="213">
        <f>'Combined IFRS17 Cashflows'!BN17</f>
        <v>0</v>
      </c>
      <c r="BM18" s="213">
        <f>'Combined IFRS17 Cashflows'!BO17</f>
        <v>0</v>
      </c>
      <c r="BN18" s="213">
        <f>'Combined IFRS17 Cashflows'!BP17</f>
        <v>0</v>
      </c>
      <c r="BO18" s="213">
        <f>'Combined IFRS17 Cashflows'!BQ17</f>
        <v>0</v>
      </c>
      <c r="BP18" s="213">
        <f>'Combined IFRS17 Cashflows'!BR17</f>
        <v>0</v>
      </c>
      <c r="BQ18" s="213">
        <f>'Combined IFRS17 Cashflows'!BS17</f>
        <v>0</v>
      </c>
      <c r="BR18" s="213">
        <f>'Combined IFRS17 Cashflows'!BT17</f>
        <v>0</v>
      </c>
      <c r="BS18" s="213">
        <f>'Combined IFRS17 Cashflows'!BU17</f>
        <v>0</v>
      </c>
      <c r="BT18" s="213">
        <f>'Combined IFRS17 Cashflows'!BV17</f>
        <v>0</v>
      </c>
      <c r="BU18" s="213">
        <f>'Combined IFRS17 Cashflows'!BW17</f>
        <v>0</v>
      </c>
      <c r="BV18" s="213">
        <f>'Combined IFRS17 Cashflows'!BX17</f>
        <v>0</v>
      </c>
      <c r="BW18" s="213">
        <f>'Combined IFRS17 Cashflows'!BY17</f>
        <v>0</v>
      </c>
      <c r="BX18" s="213">
        <f>'Combined IFRS17 Cashflows'!BZ17</f>
        <v>0</v>
      </c>
      <c r="BY18" s="213">
        <f>'Combined IFRS17 Cashflows'!CA17</f>
        <v>0</v>
      </c>
      <c r="BZ18" s="213">
        <f>'Combined IFRS17 Cashflows'!CB17</f>
        <v>0</v>
      </c>
      <c r="CA18" s="213">
        <f>'Combined IFRS17 Cashflows'!CC17</f>
        <v>0</v>
      </c>
      <c r="CB18" s="213">
        <f>'Combined IFRS17 Cashflows'!CD17</f>
        <v>0</v>
      </c>
      <c r="CC18" s="213">
        <f>'Combined IFRS17 Cashflows'!CE17</f>
        <v>0</v>
      </c>
      <c r="CD18" s="213">
        <f>'Combined IFRS17 Cashflows'!CF17</f>
        <v>0</v>
      </c>
      <c r="CE18" s="213">
        <f>'Combined IFRS17 Cashflows'!CG17</f>
        <v>0</v>
      </c>
      <c r="CF18" s="213">
        <f>'Combined IFRS17 Cashflows'!CH17</f>
        <v>0</v>
      </c>
      <c r="CG18" s="213">
        <f>'Combined IFRS17 Cashflows'!CI17</f>
        <v>0</v>
      </c>
      <c r="CH18" s="213">
        <f>'Combined IFRS17 Cashflows'!CJ17</f>
        <v>0</v>
      </c>
      <c r="CI18" s="213">
        <f>'Combined IFRS17 Cashflows'!CK17</f>
        <v>0</v>
      </c>
      <c r="CJ18" s="213">
        <f>'Combined IFRS17 Cashflows'!CL17</f>
        <v>0</v>
      </c>
      <c r="CK18" s="213">
        <f>'Combined IFRS17 Cashflows'!CM17</f>
        <v>0</v>
      </c>
      <c r="CL18" s="213">
        <f>'Combined IFRS17 Cashflows'!CN17</f>
        <v>0</v>
      </c>
      <c r="CM18" s="213">
        <f>'Combined IFRS17 Cashflows'!CO17</f>
        <v>0</v>
      </c>
      <c r="CN18" s="213">
        <f>'Combined IFRS17 Cashflows'!CP17</f>
        <v>0</v>
      </c>
      <c r="CO18" s="213">
        <f>'Combined IFRS17 Cashflows'!CQ17</f>
        <v>0</v>
      </c>
      <c r="CP18" s="213">
        <f>'Combined IFRS17 Cashflows'!CR17</f>
        <v>0</v>
      </c>
      <c r="CQ18" s="213">
        <f>'Combined IFRS17 Cashflows'!CS17</f>
        <v>0</v>
      </c>
      <c r="CR18" s="213">
        <f>'Combined IFRS17 Cashflows'!CT17</f>
        <v>0</v>
      </c>
      <c r="CS18" s="213">
        <f>'Combined IFRS17 Cashflows'!CU17</f>
        <v>0</v>
      </c>
      <c r="CT18" s="213">
        <f>'Combined IFRS17 Cashflows'!CV17</f>
        <v>0</v>
      </c>
      <c r="CU18" s="213">
        <f>'Combined IFRS17 Cashflows'!CW17</f>
        <v>0</v>
      </c>
      <c r="CV18" s="213">
        <f>'Combined IFRS17 Cashflows'!CX17</f>
        <v>0</v>
      </c>
      <c r="CW18" s="213">
        <f>'Combined IFRS17 Cashflows'!CY17</f>
        <v>0</v>
      </c>
      <c r="CX18" s="213">
        <f>'Combined IFRS17 Cashflows'!CZ17</f>
        <v>0</v>
      </c>
      <c r="CY18" s="213">
        <f>'Combined IFRS17 Cashflows'!DA17</f>
        <v>0</v>
      </c>
    </row>
    <row r="19" spans="2:103" ht="15" thickBot="1" x14ac:dyDescent="0.35">
      <c r="B19" s="209" t="s">
        <v>65</v>
      </c>
      <c r="C19" s="222"/>
      <c r="D19" s="213">
        <f>'Combined IFRS17 Cashflows'!F18</f>
        <v>-158215.38980407998</v>
      </c>
      <c r="E19" s="213">
        <f>'Combined IFRS17 Cashflows'!G18</f>
        <v>-569017.2654266844</v>
      </c>
      <c r="F19" s="213">
        <f>'Combined IFRS17 Cashflows'!H18</f>
        <v>-1138313.3519714645</v>
      </c>
      <c r="G19" s="213">
        <f>'Combined IFRS17 Cashflows'!I18</f>
        <v>-1795119.3066266589</v>
      </c>
      <c r="H19" s="213">
        <f>'Combined IFRS17 Cashflows'!J18</f>
        <v>-2610133.217989787</v>
      </c>
      <c r="I19" s="213">
        <f>'Combined IFRS17 Cashflows'!K18</f>
        <v>-3528003.8167609493</v>
      </c>
      <c r="J19" s="213">
        <f>'Combined IFRS17 Cashflows'!L18</f>
        <v>-4505677.9796842635</v>
      </c>
      <c r="K19" s="213">
        <f>'Combined IFRS17 Cashflows'!M18</f>
        <v>-5592358.110868061</v>
      </c>
      <c r="L19" s="213">
        <f>'Combined IFRS17 Cashflows'!N18</f>
        <v>-6827668.4324959069</v>
      </c>
      <c r="M19" s="213">
        <f>'Combined IFRS17 Cashflows'!O18</f>
        <v>-8255973.8540653335</v>
      </c>
      <c r="N19" s="213">
        <f>'Combined IFRS17 Cashflows'!P18</f>
        <v>-8543126.3059022166</v>
      </c>
      <c r="O19" s="213">
        <f>'Combined IFRS17 Cashflows'!Q18</f>
        <v>-8076800.855862271</v>
      </c>
      <c r="P19" s="213">
        <f>'Combined IFRS17 Cashflows'!R18</f>
        <v>-7725912.1159404581</v>
      </c>
      <c r="Q19" s="213">
        <f>'Combined IFRS17 Cashflows'!S18</f>
        <v>-7355701.0823393539</v>
      </c>
      <c r="R19" s="213">
        <f>'Combined IFRS17 Cashflows'!T18</f>
        <v>-6949397.109848775</v>
      </c>
      <c r="S19" s="213">
        <f>'Combined IFRS17 Cashflows'!U18</f>
        <v>-6648193.6326142475</v>
      </c>
      <c r="T19" s="213">
        <f>'Combined IFRS17 Cashflows'!V18</f>
        <v>-6337032.4657467306</v>
      </c>
      <c r="U19" s="213">
        <f>'Combined IFRS17 Cashflows'!W18</f>
        <v>-6010312.6899172673</v>
      </c>
      <c r="V19" s="213">
        <f>'Combined IFRS17 Cashflows'!X18</f>
        <v>-5662909.898431764</v>
      </c>
      <c r="W19" s="213">
        <f>'Combined IFRS17 Cashflows'!Y18</f>
        <v>-5286069.5406774767</v>
      </c>
      <c r="X19" s="213">
        <f>'Combined IFRS17 Cashflows'!Z18</f>
        <v>-5095683.2744554719</v>
      </c>
      <c r="Y19" s="213">
        <f>'Combined IFRS17 Cashflows'!AA18</f>
        <v>-4879034.3817402637</v>
      </c>
      <c r="Z19" s="213">
        <f>'Combined IFRS17 Cashflows'!AB18</f>
        <v>-4647957.3115761541</v>
      </c>
      <c r="AA19" s="213">
        <f>'Combined IFRS17 Cashflows'!AC18</f>
        <v>-4407620.6225327328</v>
      </c>
      <c r="AB19" s="213">
        <f>'Combined IFRS17 Cashflows'!AD18</f>
        <v>-4145660.3083397625</v>
      </c>
      <c r="AC19" s="213">
        <f>'Combined IFRS17 Cashflows'!AE18</f>
        <v>-3877569.7946786527</v>
      </c>
      <c r="AD19" s="213">
        <f>'Combined IFRS17 Cashflows'!AF18</f>
        <v>-3603319.7942016185</v>
      </c>
      <c r="AE19" s="213">
        <f>'Combined IFRS17 Cashflows'!AG18</f>
        <v>-3316706.0617676442</v>
      </c>
      <c r="AF19" s="213">
        <f>'Combined IFRS17 Cashflows'!AH18</f>
        <v>-3013332.5253028241</v>
      </c>
      <c r="AG19" s="213">
        <f>'Combined IFRS17 Cashflows'!AI18</f>
        <v>-2686592.9572359035</v>
      </c>
      <c r="AH19" s="213">
        <f>'Combined IFRS17 Cashflows'!AJ18</f>
        <v>-2561944.2819940844</v>
      </c>
      <c r="AI19" s="213">
        <f>'Combined IFRS17 Cashflows'!AK18</f>
        <v>-2442225.9467257103</v>
      </c>
      <c r="AJ19" s="213">
        <f>'Combined IFRS17 Cashflows'!AL18</f>
        <v>-2325413.1097550113</v>
      </c>
      <c r="AK19" s="213">
        <f>'Combined IFRS17 Cashflows'!AM18</f>
        <v>-2210938.3554319688</v>
      </c>
      <c r="AL19" s="213">
        <f>'Combined IFRS17 Cashflows'!AN18</f>
        <v>-2098389.3938947925</v>
      </c>
      <c r="AM19" s="213">
        <f>'Combined IFRS17 Cashflows'!AO18</f>
        <v>-1987462.0014858828</v>
      </c>
      <c r="AN19" s="213">
        <f>'Combined IFRS17 Cashflows'!AP18</f>
        <v>-1880836.7526234868</v>
      </c>
      <c r="AO19" s="213">
        <f>'Combined IFRS17 Cashflows'!AQ18</f>
        <v>-1775215.0236339427</v>
      </c>
      <c r="AP19" s="213">
        <f>'Combined IFRS17 Cashflows'!AR18</f>
        <v>-1670818.3235762659</v>
      </c>
      <c r="AQ19" s="213">
        <f>'Combined IFRS17 Cashflows'!AS18</f>
        <v>-1567767.9767761435</v>
      </c>
      <c r="AR19" s="213">
        <f>'Combined IFRS17 Cashflows'!AT18</f>
        <v>-1466106.7635299875</v>
      </c>
      <c r="AS19" s="213">
        <f>'Combined IFRS17 Cashflows'!AU18</f>
        <v>-1366589.7484545822</v>
      </c>
      <c r="AT19" s="213">
        <f>'Combined IFRS17 Cashflows'!AV18</f>
        <v>-1269014.8917492507</v>
      </c>
      <c r="AU19" s="213">
        <f>'Combined IFRS17 Cashflows'!AW18</f>
        <v>-1173843.2915773338</v>
      </c>
      <c r="AV19" s="213">
        <f>'Combined IFRS17 Cashflows'!AX18</f>
        <v>-1081588.1901862444</v>
      </c>
      <c r="AW19" s="213">
        <f>'Combined IFRS17 Cashflows'!AY18</f>
        <v>-992769.53810078895</v>
      </c>
      <c r="AX19" s="213">
        <f>'Combined IFRS17 Cashflows'!AZ18</f>
        <v>-908575.37872690265</v>
      </c>
      <c r="AY19" s="213">
        <f>'Combined IFRS17 Cashflows'!BA18</f>
        <v>-828539.32826698676</v>
      </c>
      <c r="AZ19" s="213">
        <f>'Combined IFRS17 Cashflows'!BB18</f>
        <v>-753127.10461317899</v>
      </c>
      <c r="BA19" s="213">
        <f>'Combined IFRS17 Cashflows'!BC18</f>
        <v>-682583.2703456349</v>
      </c>
      <c r="BB19" s="213">
        <f>'Combined IFRS17 Cashflows'!BD18</f>
        <v>-616920.77867444966</v>
      </c>
      <c r="BC19" s="213">
        <f>'Combined IFRS17 Cashflows'!BE18</f>
        <v>-556107.87312501622</v>
      </c>
      <c r="BD19" s="213">
        <f>'Combined IFRS17 Cashflows'!BF18</f>
        <v>-499755.75704901025</v>
      </c>
      <c r="BE19" s="213">
        <f>'Combined IFRS17 Cashflows'!BG18</f>
        <v>-447515.34549795545</v>
      </c>
      <c r="BF19" s="213">
        <f>'Combined IFRS17 Cashflows'!BH18</f>
        <v>-399095.34118805738</v>
      </c>
      <c r="BG19" s="213">
        <f>'Combined IFRS17 Cashflows'!BI18</f>
        <v>-354247.2051549562</v>
      </c>
      <c r="BH19" s="213">
        <f>'Combined IFRS17 Cashflows'!BJ18</f>
        <v>-313531.16423653357</v>
      </c>
      <c r="BI19" s="213">
        <f>'Combined IFRS17 Cashflows'!BK18</f>
        <v>-275777.61173560045</v>
      </c>
      <c r="BJ19" s="213">
        <f>'Combined IFRS17 Cashflows'!BL18</f>
        <v>-240941.68314068249</v>
      </c>
      <c r="BK19" s="213">
        <f>'Combined IFRS17 Cashflows'!BM18</f>
        <v>-208917.40550417575</v>
      </c>
      <c r="BL19" s="213">
        <f>'Combined IFRS17 Cashflows'!BN18</f>
        <v>-179557.41809847322</v>
      </c>
      <c r="BM19" s="213">
        <f>'Combined IFRS17 Cashflows'!BO18</f>
        <v>-152773.55864945744</v>
      </c>
      <c r="BN19" s="213">
        <f>'Combined IFRS17 Cashflows'!BP18</f>
        <v>-128464.3313216691</v>
      </c>
      <c r="BO19" s="213">
        <f>'Combined IFRS17 Cashflows'!BQ18</f>
        <v>-106617.20154810137</v>
      </c>
      <c r="BP19" s="213">
        <f>'Combined IFRS17 Cashflows'!BR18</f>
        <v>-87214.629727174426</v>
      </c>
      <c r="BQ19" s="213">
        <f>'Combined IFRS17 Cashflows'!BS18</f>
        <v>-70217.243764969768</v>
      </c>
      <c r="BR19" s="213">
        <f>'Combined IFRS17 Cashflows'!BT18</f>
        <v>-55715.680946772634</v>
      </c>
      <c r="BS19" s="213">
        <f>'Combined IFRS17 Cashflows'!BU18</f>
        <v>-43400.504039533247</v>
      </c>
      <c r="BT19" s="213">
        <f>'Combined IFRS17 Cashflows'!BV18</f>
        <v>-33195.416696840141</v>
      </c>
      <c r="BU19" s="213">
        <f>'Combined IFRS17 Cashflows'!BW18</f>
        <v>-24954.462303572953</v>
      </c>
      <c r="BV19" s="213">
        <f>'Combined IFRS17 Cashflows'!BX18</f>
        <v>-18463.857415149516</v>
      </c>
      <c r="BW19" s="213">
        <f>'Combined IFRS17 Cashflows'!BY18</f>
        <v>-13574.294220398879</v>
      </c>
      <c r="BX19" s="213">
        <f>'Combined IFRS17 Cashflows'!BZ18</f>
        <v>-9867.9951604640301</v>
      </c>
      <c r="BY19" s="213">
        <f>'Combined IFRS17 Cashflows'!CA18</f>
        <v>-7077.9847940602822</v>
      </c>
      <c r="BZ19" s="213">
        <f>'Combined IFRS17 Cashflows'!CB18</f>
        <v>-4985.85761000006</v>
      </c>
      <c r="CA19" s="213">
        <f>'Combined IFRS17 Cashflows'!CC18</f>
        <v>-3416.2079819321452</v>
      </c>
      <c r="CB19" s="213">
        <f>'Combined IFRS17 Cashflows'!CD18</f>
        <v>-2492.6060073630692</v>
      </c>
      <c r="CC19" s="213">
        <f>'Combined IFRS17 Cashflows'!CE18</f>
        <v>-1774.7776730299904</v>
      </c>
      <c r="CD19" s="213">
        <f>'Combined IFRS17 Cashflows'!CF18</f>
        <v>-1226.6326553881427</v>
      </c>
      <c r="CE19" s="213">
        <f>'Combined IFRS17 Cashflows'!CG18</f>
        <v>-816.2408674669274</v>
      </c>
      <c r="CF19" s="213">
        <f>'Combined IFRS17 Cashflows'!CH18</f>
        <v>-514.19840925957146</v>
      </c>
      <c r="CG19" s="213">
        <f>'Combined IFRS17 Cashflows'!CI18</f>
        <v>-329.07123926480313</v>
      </c>
      <c r="CH19" s="213">
        <f>'Combined IFRS17 Cashflows'!CJ18</f>
        <v>-197.72992848575512</v>
      </c>
      <c r="CI19" s="213">
        <f>'Combined IFRS17 Cashflows'!CK18</f>
        <v>-106.37580054031571</v>
      </c>
      <c r="CJ19" s="213">
        <f>'Combined IFRS17 Cashflows'!CL18</f>
        <v>-43.552058446997627</v>
      </c>
      <c r="CK19" s="213">
        <f>'Combined IFRS17 Cashflows'!CM18</f>
        <v>0</v>
      </c>
      <c r="CL19" s="213">
        <f>'Combined IFRS17 Cashflows'!CN18</f>
        <v>0</v>
      </c>
      <c r="CM19" s="213">
        <f>'Combined IFRS17 Cashflows'!CO18</f>
        <v>0</v>
      </c>
      <c r="CN19" s="213">
        <f>'Combined IFRS17 Cashflows'!CP18</f>
        <v>0</v>
      </c>
      <c r="CO19" s="213">
        <f>'Combined IFRS17 Cashflows'!CQ18</f>
        <v>0</v>
      </c>
      <c r="CP19" s="213">
        <f>'Combined IFRS17 Cashflows'!CR18</f>
        <v>0</v>
      </c>
      <c r="CQ19" s="213">
        <f>'Combined IFRS17 Cashflows'!CS18</f>
        <v>0</v>
      </c>
      <c r="CR19" s="213">
        <f>'Combined IFRS17 Cashflows'!CT18</f>
        <v>0</v>
      </c>
      <c r="CS19" s="213">
        <f>'Combined IFRS17 Cashflows'!CU18</f>
        <v>0</v>
      </c>
      <c r="CT19" s="213">
        <f>'Combined IFRS17 Cashflows'!CV18</f>
        <v>0</v>
      </c>
      <c r="CU19" s="213">
        <f>'Combined IFRS17 Cashflows'!CW18</f>
        <v>0</v>
      </c>
      <c r="CV19" s="213">
        <f>'Combined IFRS17 Cashflows'!CX18</f>
        <v>0</v>
      </c>
      <c r="CW19" s="213">
        <f>'Combined IFRS17 Cashflows'!CY18</f>
        <v>0</v>
      </c>
      <c r="CX19" s="213">
        <f>'Combined IFRS17 Cashflows'!CZ18</f>
        <v>0</v>
      </c>
      <c r="CY19" s="213">
        <f>'Combined IFRS17 Cashflows'!DA18</f>
        <v>0</v>
      </c>
    </row>
    <row r="20" spans="2:103" ht="15" thickBot="1" x14ac:dyDescent="0.35">
      <c r="B20" s="209" t="s">
        <v>67</v>
      </c>
      <c r="C20" s="222"/>
      <c r="D20" s="213">
        <f>'Combined IFRS17 Cashflows'!F19</f>
        <v>-1447.4829458505019</v>
      </c>
      <c r="E20" s="213">
        <f>'Combined IFRS17 Cashflows'!G19</f>
        <v>-2931.2500000000032</v>
      </c>
      <c r="F20" s="213">
        <f>'Combined IFRS17 Cashflows'!H19</f>
        <v>-3752.0000000000041</v>
      </c>
      <c r="G20" s="213">
        <f>'Combined IFRS17 Cashflows'!I19</f>
        <v>-4355.0000000000045</v>
      </c>
      <c r="H20" s="213">
        <f>'Combined IFRS17 Cashflows'!J19</f>
        <v>-5678.2500000000064</v>
      </c>
      <c r="I20" s="213">
        <f>'Combined IFRS17 Cashflows'!K19</f>
        <v>-6214.2500000000064</v>
      </c>
      <c r="J20" s="213">
        <f>'Combined IFRS17 Cashflows'!L19</f>
        <v>-6934.5000000000064</v>
      </c>
      <c r="K20" s="213">
        <f>'Combined IFRS17 Cashflows'!M19</f>
        <v>-7855.7500000000082</v>
      </c>
      <c r="L20" s="213">
        <f>'Combined IFRS17 Cashflows'!N19</f>
        <v>-9045.0000000000091</v>
      </c>
      <c r="M20" s="213">
        <f>'Combined IFRS17 Cashflows'!O19</f>
        <v>-10602.750000000009</v>
      </c>
      <c r="N20" s="213">
        <f>'Combined IFRS17 Cashflows'!P19</f>
        <v>0</v>
      </c>
      <c r="O20" s="213">
        <f>'Combined IFRS17 Cashflows'!Q19</f>
        <v>0</v>
      </c>
      <c r="P20" s="213">
        <f>'Combined IFRS17 Cashflows'!R19</f>
        <v>0</v>
      </c>
      <c r="Q20" s="213">
        <f>'Combined IFRS17 Cashflows'!S19</f>
        <v>0</v>
      </c>
      <c r="R20" s="213">
        <f>'Combined IFRS17 Cashflows'!T19</f>
        <v>0</v>
      </c>
      <c r="S20" s="213">
        <f>'Combined IFRS17 Cashflows'!U19</f>
        <v>0</v>
      </c>
      <c r="T20" s="213">
        <f>'Combined IFRS17 Cashflows'!V19</f>
        <v>0</v>
      </c>
      <c r="U20" s="213">
        <f>'Combined IFRS17 Cashflows'!W19</f>
        <v>0</v>
      </c>
      <c r="V20" s="213">
        <f>'Combined IFRS17 Cashflows'!X19</f>
        <v>0</v>
      </c>
      <c r="W20" s="213">
        <f>'Combined IFRS17 Cashflows'!Y19</f>
        <v>0</v>
      </c>
      <c r="X20" s="213">
        <f>'Combined IFRS17 Cashflows'!Z19</f>
        <v>0</v>
      </c>
      <c r="Y20" s="213">
        <f>'Combined IFRS17 Cashflows'!AA19</f>
        <v>0</v>
      </c>
      <c r="Z20" s="213">
        <f>'Combined IFRS17 Cashflows'!AB19</f>
        <v>0</v>
      </c>
      <c r="AA20" s="213">
        <f>'Combined IFRS17 Cashflows'!AC19</f>
        <v>0</v>
      </c>
      <c r="AB20" s="213">
        <f>'Combined IFRS17 Cashflows'!AD19</f>
        <v>0</v>
      </c>
      <c r="AC20" s="213">
        <f>'Combined IFRS17 Cashflows'!AE19</f>
        <v>0</v>
      </c>
      <c r="AD20" s="213">
        <f>'Combined IFRS17 Cashflows'!AF19</f>
        <v>0</v>
      </c>
      <c r="AE20" s="213">
        <f>'Combined IFRS17 Cashflows'!AG19</f>
        <v>0</v>
      </c>
      <c r="AF20" s="213">
        <f>'Combined IFRS17 Cashflows'!AH19</f>
        <v>0</v>
      </c>
      <c r="AG20" s="213">
        <f>'Combined IFRS17 Cashflows'!AI19</f>
        <v>0</v>
      </c>
      <c r="AH20" s="213">
        <f>'Combined IFRS17 Cashflows'!AJ19</f>
        <v>0</v>
      </c>
      <c r="AI20" s="213">
        <f>'Combined IFRS17 Cashflows'!AK19</f>
        <v>0</v>
      </c>
      <c r="AJ20" s="213">
        <f>'Combined IFRS17 Cashflows'!AL19</f>
        <v>0</v>
      </c>
      <c r="AK20" s="213">
        <f>'Combined IFRS17 Cashflows'!AM19</f>
        <v>0</v>
      </c>
      <c r="AL20" s="213">
        <f>'Combined IFRS17 Cashflows'!AN19</f>
        <v>0</v>
      </c>
      <c r="AM20" s="213">
        <f>'Combined IFRS17 Cashflows'!AO19</f>
        <v>0</v>
      </c>
      <c r="AN20" s="213">
        <f>'Combined IFRS17 Cashflows'!AP19</f>
        <v>0</v>
      </c>
      <c r="AO20" s="213">
        <f>'Combined IFRS17 Cashflows'!AQ19</f>
        <v>0</v>
      </c>
      <c r="AP20" s="213">
        <f>'Combined IFRS17 Cashflows'!AR19</f>
        <v>0</v>
      </c>
      <c r="AQ20" s="213">
        <f>'Combined IFRS17 Cashflows'!AS19</f>
        <v>0</v>
      </c>
      <c r="AR20" s="213">
        <f>'Combined IFRS17 Cashflows'!AT19</f>
        <v>0</v>
      </c>
      <c r="AS20" s="213">
        <f>'Combined IFRS17 Cashflows'!AU19</f>
        <v>0</v>
      </c>
      <c r="AT20" s="213">
        <f>'Combined IFRS17 Cashflows'!AV19</f>
        <v>0</v>
      </c>
      <c r="AU20" s="213">
        <f>'Combined IFRS17 Cashflows'!AW19</f>
        <v>0</v>
      </c>
      <c r="AV20" s="213">
        <f>'Combined IFRS17 Cashflows'!AX19</f>
        <v>0</v>
      </c>
      <c r="AW20" s="213">
        <f>'Combined IFRS17 Cashflows'!AY19</f>
        <v>0</v>
      </c>
      <c r="AX20" s="213">
        <f>'Combined IFRS17 Cashflows'!AZ19</f>
        <v>0</v>
      </c>
      <c r="AY20" s="213">
        <f>'Combined IFRS17 Cashflows'!BA19</f>
        <v>0</v>
      </c>
      <c r="AZ20" s="213">
        <f>'Combined IFRS17 Cashflows'!BB19</f>
        <v>0</v>
      </c>
      <c r="BA20" s="213">
        <f>'Combined IFRS17 Cashflows'!BC19</f>
        <v>0</v>
      </c>
      <c r="BB20" s="213">
        <f>'Combined IFRS17 Cashflows'!BD19</f>
        <v>0</v>
      </c>
      <c r="BC20" s="213">
        <f>'Combined IFRS17 Cashflows'!BE19</f>
        <v>0</v>
      </c>
      <c r="BD20" s="213">
        <f>'Combined IFRS17 Cashflows'!BF19</f>
        <v>0</v>
      </c>
      <c r="BE20" s="213">
        <f>'Combined IFRS17 Cashflows'!BG19</f>
        <v>0</v>
      </c>
      <c r="BF20" s="213">
        <f>'Combined IFRS17 Cashflows'!BH19</f>
        <v>0</v>
      </c>
      <c r="BG20" s="213">
        <f>'Combined IFRS17 Cashflows'!BI19</f>
        <v>0</v>
      </c>
      <c r="BH20" s="213">
        <f>'Combined IFRS17 Cashflows'!BJ19</f>
        <v>0</v>
      </c>
      <c r="BI20" s="213">
        <f>'Combined IFRS17 Cashflows'!BK19</f>
        <v>0</v>
      </c>
      <c r="BJ20" s="213">
        <f>'Combined IFRS17 Cashflows'!BL19</f>
        <v>0</v>
      </c>
      <c r="BK20" s="213">
        <f>'Combined IFRS17 Cashflows'!BM19</f>
        <v>0</v>
      </c>
      <c r="BL20" s="213">
        <f>'Combined IFRS17 Cashflows'!BN19</f>
        <v>0</v>
      </c>
      <c r="BM20" s="213">
        <f>'Combined IFRS17 Cashflows'!BO19</f>
        <v>0</v>
      </c>
      <c r="BN20" s="213">
        <f>'Combined IFRS17 Cashflows'!BP19</f>
        <v>0</v>
      </c>
      <c r="BO20" s="213">
        <f>'Combined IFRS17 Cashflows'!BQ19</f>
        <v>0</v>
      </c>
      <c r="BP20" s="213">
        <f>'Combined IFRS17 Cashflows'!BR19</f>
        <v>0</v>
      </c>
      <c r="BQ20" s="213">
        <f>'Combined IFRS17 Cashflows'!BS19</f>
        <v>0</v>
      </c>
      <c r="BR20" s="213">
        <f>'Combined IFRS17 Cashflows'!BT19</f>
        <v>0</v>
      </c>
      <c r="BS20" s="213">
        <f>'Combined IFRS17 Cashflows'!BU19</f>
        <v>0</v>
      </c>
      <c r="BT20" s="213">
        <f>'Combined IFRS17 Cashflows'!BV19</f>
        <v>0</v>
      </c>
      <c r="BU20" s="213">
        <f>'Combined IFRS17 Cashflows'!BW19</f>
        <v>0</v>
      </c>
      <c r="BV20" s="213">
        <f>'Combined IFRS17 Cashflows'!BX19</f>
        <v>0</v>
      </c>
      <c r="BW20" s="213">
        <f>'Combined IFRS17 Cashflows'!BY19</f>
        <v>0</v>
      </c>
      <c r="BX20" s="213">
        <f>'Combined IFRS17 Cashflows'!BZ19</f>
        <v>0</v>
      </c>
      <c r="BY20" s="213">
        <f>'Combined IFRS17 Cashflows'!CA19</f>
        <v>0</v>
      </c>
      <c r="BZ20" s="213">
        <f>'Combined IFRS17 Cashflows'!CB19</f>
        <v>0</v>
      </c>
      <c r="CA20" s="213">
        <f>'Combined IFRS17 Cashflows'!CC19</f>
        <v>0</v>
      </c>
      <c r="CB20" s="213">
        <f>'Combined IFRS17 Cashflows'!CD19</f>
        <v>0</v>
      </c>
      <c r="CC20" s="213">
        <f>'Combined IFRS17 Cashflows'!CE19</f>
        <v>0</v>
      </c>
      <c r="CD20" s="213">
        <f>'Combined IFRS17 Cashflows'!CF19</f>
        <v>0</v>
      </c>
      <c r="CE20" s="213">
        <f>'Combined IFRS17 Cashflows'!CG19</f>
        <v>0</v>
      </c>
      <c r="CF20" s="213">
        <f>'Combined IFRS17 Cashflows'!CH19</f>
        <v>0</v>
      </c>
      <c r="CG20" s="213">
        <f>'Combined IFRS17 Cashflows'!CI19</f>
        <v>0</v>
      </c>
      <c r="CH20" s="213">
        <f>'Combined IFRS17 Cashflows'!CJ19</f>
        <v>0</v>
      </c>
      <c r="CI20" s="213">
        <f>'Combined IFRS17 Cashflows'!CK19</f>
        <v>0</v>
      </c>
      <c r="CJ20" s="213">
        <f>'Combined IFRS17 Cashflows'!CL19</f>
        <v>0</v>
      </c>
      <c r="CK20" s="213">
        <f>'Combined IFRS17 Cashflows'!CM19</f>
        <v>0</v>
      </c>
      <c r="CL20" s="213">
        <f>'Combined IFRS17 Cashflows'!CN19</f>
        <v>0</v>
      </c>
      <c r="CM20" s="213">
        <f>'Combined IFRS17 Cashflows'!CO19</f>
        <v>0</v>
      </c>
      <c r="CN20" s="213">
        <f>'Combined IFRS17 Cashflows'!CP19</f>
        <v>0</v>
      </c>
      <c r="CO20" s="213">
        <f>'Combined IFRS17 Cashflows'!CQ19</f>
        <v>0</v>
      </c>
      <c r="CP20" s="213">
        <f>'Combined IFRS17 Cashflows'!CR19</f>
        <v>0</v>
      </c>
      <c r="CQ20" s="213">
        <f>'Combined IFRS17 Cashflows'!CS19</f>
        <v>0</v>
      </c>
      <c r="CR20" s="213">
        <f>'Combined IFRS17 Cashflows'!CT19</f>
        <v>0</v>
      </c>
      <c r="CS20" s="213">
        <f>'Combined IFRS17 Cashflows'!CU19</f>
        <v>0</v>
      </c>
      <c r="CT20" s="213">
        <f>'Combined IFRS17 Cashflows'!CV19</f>
        <v>0</v>
      </c>
      <c r="CU20" s="213">
        <f>'Combined IFRS17 Cashflows'!CW19</f>
        <v>0</v>
      </c>
      <c r="CV20" s="213">
        <f>'Combined IFRS17 Cashflows'!CX19</f>
        <v>0</v>
      </c>
      <c r="CW20" s="213">
        <f>'Combined IFRS17 Cashflows'!CY19</f>
        <v>0</v>
      </c>
      <c r="CX20" s="213">
        <f>'Combined IFRS17 Cashflows'!CZ19</f>
        <v>0</v>
      </c>
      <c r="CY20" s="213">
        <f>'Combined IFRS17 Cashflows'!DA19</f>
        <v>0</v>
      </c>
    </row>
    <row r="21" spans="2:103" ht="15" thickBot="1" x14ac:dyDescent="0.35">
      <c r="B21" s="209" t="s">
        <v>69</v>
      </c>
      <c r="C21" s="222"/>
      <c r="D21" s="213">
        <f>'Combined IFRS17 Cashflows'!F20</f>
        <v>-8327.1257791621138</v>
      </c>
      <c r="E21" s="213">
        <f>'Combined IFRS17 Cashflows'!G20</f>
        <v>-29948.277127720256</v>
      </c>
      <c r="F21" s="213">
        <f>'Combined IFRS17 Cashflows'!H20</f>
        <v>-59911.229051129762</v>
      </c>
      <c r="G21" s="213">
        <f>'Combined IFRS17 Cashflows'!I20</f>
        <v>-94479.963506666405</v>
      </c>
      <c r="H21" s="213">
        <f>'Combined IFRS17 Cashflows'!J20</f>
        <v>-137375.43252577831</v>
      </c>
      <c r="I21" s="213">
        <f>'Combined IFRS17 Cashflows'!K20</f>
        <v>-185684.41140847118</v>
      </c>
      <c r="J21" s="213">
        <f>'Combined IFRS17 Cashflows'!L20</f>
        <v>-237140.9462991718</v>
      </c>
      <c r="K21" s="213">
        <f>'Combined IFRS17 Cashflows'!M20</f>
        <v>-294334.63741410885</v>
      </c>
      <c r="L21" s="213">
        <f>'Combined IFRS17 Cashflows'!N20</f>
        <v>-359350.97013136331</v>
      </c>
      <c r="M21" s="213">
        <f>'Combined IFRS17 Cashflows'!O20</f>
        <v>-434524.9396876492</v>
      </c>
      <c r="N21" s="213">
        <f>'Combined IFRS17 Cashflows'!P20</f>
        <v>-449638.22662643285</v>
      </c>
      <c r="O21" s="213">
        <f>'Combined IFRS17 Cashflows'!Q20</f>
        <v>-425094.78188748786</v>
      </c>
      <c r="P21" s="213">
        <f>'Combined IFRS17 Cashflows'!R20</f>
        <v>-406626.95347055083</v>
      </c>
      <c r="Q21" s="213">
        <f>'Combined IFRS17 Cashflows'!S20</f>
        <v>-387142.16222838691</v>
      </c>
      <c r="R21" s="213">
        <f>'Combined IFRS17 Cashflows'!T20</f>
        <v>-365757.74262361991</v>
      </c>
      <c r="S21" s="213">
        <f>'Combined IFRS17 Cashflows'!U20</f>
        <v>-349904.92803232896</v>
      </c>
      <c r="T21" s="213">
        <f>'Combined IFRS17 Cashflows'!V20</f>
        <v>-333528.02451298578</v>
      </c>
      <c r="U21" s="213">
        <f>'Combined IFRS17 Cashflows'!W20</f>
        <v>-316332.24683775072</v>
      </c>
      <c r="V21" s="213">
        <f>'Combined IFRS17 Cashflows'!X20</f>
        <v>-298047.88939114584</v>
      </c>
      <c r="W21" s="213">
        <f>'Combined IFRS17 Cashflows'!Y20</f>
        <v>-278214.18635144626</v>
      </c>
      <c r="X21" s="213">
        <f>'Combined IFRS17 Cashflows'!Z20</f>
        <v>-268193.85655028839</v>
      </c>
      <c r="Y21" s="213">
        <f>'Combined IFRS17 Cashflows'!AA20</f>
        <v>-256791.28324948775</v>
      </c>
      <c r="Z21" s="213">
        <f>'Combined IFRS17 Cashflows'!AB20</f>
        <v>-244629.33218821869</v>
      </c>
      <c r="AA21" s="213">
        <f>'Combined IFRS17 Cashflows'!AC20</f>
        <v>-231980.03276488083</v>
      </c>
      <c r="AB21" s="213">
        <f>'Combined IFRS17 Cashflows'!AD20</f>
        <v>-218192.64780735609</v>
      </c>
      <c r="AC21" s="213">
        <f>'Combined IFRS17 Cashflows'!AE20</f>
        <v>-204082.620772561</v>
      </c>
      <c r="AD21" s="213">
        <f>'Combined IFRS17 Cashflows'!AF20</f>
        <v>-189648.4102211378</v>
      </c>
      <c r="AE21" s="213">
        <f>'Combined IFRS17 Cashflows'!AG20</f>
        <v>-174563.47693513942</v>
      </c>
      <c r="AF21" s="213">
        <f>'Combined IFRS17 Cashflows'!AH20</f>
        <v>-158596.44870014873</v>
      </c>
      <c r="AG21" s="213">
        <f>'Combined IFRS17 Cashflows'!AI20</f>
        <v>-141399.62932820548</v>
      </c>
      <c r="AH21" s="213">
        <f>'Combined IFRS17 Cashflows'!AJ20</f>
        <v>-134839.17273653077</v>
      </c>
      <c r="AI21" s="213">
        <f>'Combined IFRS17 Cashflows'!AK20</f>
        <v>-128538.20772240583</v>
      </c>
      <c r="AJ21" s="213">
        <f>'Combined IFRS17 Cashflows'!AL20</f>
        <v>-122390.1636713164</v>
      </c>
      <c r="AK21" s="213">
        <f>'Combined IFRS17 Cashflows'!AM20</f>
        <v>-116365.1766016827</v>
      </c>
      <c r="AL21" s="213">
        <f>'Combined IFRS17 Cashflows'!AN20</f>
        <v>-110441.5470470944</v>
      </c>
      <c r="AM21" s="213">
        <f>'Combined IFRS17 Cashflows'!AO20</f>
        <v>-104603.2632360992</v>
      </c>
      <c r="AN21" s="213">
        <f>'Combined IFRS17 Cashflows'!AP20</f>
        <v>-98991.408032815336</v>
      </c>
      <c r="AO21" s="213">
        <f>'Combined IFRS17 Cashflows'!AQ20</f>
        <v>-93432.369664944476</v>
      </c>
      <c r="AP21" s="213">
        <f>'Combined IFRS17 Cashflows'!AR20</f>
        <v>-87937.806504014065</v>
      </c>
      <c r="AQ21" s="213">
        <f>'Combined IFRS17 Cashflows'!AS20</f>
        <v>-82514.10404084975</v>
      </c>
      <c r="AR21" s="213">
        <f>'Combined IFRS17 Cashflows'!AT20</f>
        <v>-77163.513869999457</v>
      </c>
      <c r="AS21" s="213">
        <f>'Combined IFRS17 Cashflows'!AU20</f>
        <v>-71925.776234451769</v>
      </c>
      <c r="AT21" s="213">
        <f>'Combined IFRS17 Cashflows'!AV20</f>
        <v>-66790.257460486901</v>
      </c>
      <c r="AU21" s="213">
        <f>'Combined IFRS17 Cashflows'!AW20</f>
        <v>-61781.225872491268</v>
      </c>
      <c r="AV21" s="213">
        <f>'Combined IFRS17 Cashflows'!AX20</f>
        <v>-56925.694220328696</v>
      </c>
      <c r="AW21" s="213">
        <f>'Combined IFRS17 Cashflows'!AY20</f>
        <v>-52251.028321094156</v>
      </c>
      <c r="AX21" s="213">
        <f>'Combined IFRS17 Cashflows'!AZ20</f>
        <v>-47819.75677510017</v>
      </c>
      <c r="AY21" s="213">
        <f>'Combined IFRS17 Cashflows'!BA20</f>
        <v>-43607.333066683539</v>
      </c>
      <c r="AZ21" s="213">
        <f>'Combined IFRS17 Cashflows'!BB20</f>
        <v>-39638.268663851573</v>
      </c>
      <c r="BA21" s="213">
        <f>'Combined IFRS17 Cashflows'!BC20</f>
        <v>-35925.435281349222</v>
      </c>
      <c r="BB21" s="213">
        <f>'Combined IFRS17 Cashflows'!BD20</f>
        <v>-32469.514667076299</v>
      </c>
      <c r="BC21" s="213">
        <f>'Combined IFRS17 Cashflows'!BE20</f>
        <v>-29268.835427632468</v>
      </c>
      <c r="BD21" s="213">
        <f>'Combined IFRS17 Cashflows'!BF20</f>
        <v>-26302.934581526864</v>
      </c>
      <c r="BE21" s="213">
        <f>'Combined IFRS17 Cashflows'!BG20</f>
        <v>-23553.439236734517</v>
      </c>
      <c r="BF21" s="213">
        <f>'Combined IFRS17 Cashflows'!BH20</f>
        <v>-21005.017957266191</v>
      </c>
      <c r="BG21" s="213">
        <f>'Combined IFRS17 Cashflows'!BI20</f>
        <v>-18644.589744997687</v>
      </c>
      <c r="BH21" s="213">
        <f>'Combined IFRS17 Cashflows'!BJ20</f>
        <v>-16501.640222975475</v>
      </c>
      <c r="BI21" s="213">
        <f>'Combined IFRS17 Cashflows'!BK20</f>
        <v>-14514.61114397898</v>
      </c>
      <c r="BJ21" s="213">
        <f>'Combined IFRS17 Cashflows'!BL20</f>
        <v>-12681.141217930675</v>
      </c>
      <c r="BK21" s="213">
        <f>'Combined IFRS17 Cashflows'!BM20</f>
        <v>-10995.652921272418</v>
      </c>
      <c r="BL21" s="213">
        <f>'Combined IFRS17 Cashflows'!BN20</f>
        <v>-9450.3904262354426</v>
      </c>
      <c r="BM21" s="213">
        <f>'Combined IFRS17 Cashflows'!BO20</f>
        <v>-8040.7136131293482</v>
      </c>
      <c r="BN21" s="213">
        <f>'Combined IFRS17 Cashflows'!BP20</f>
        <v>-6761.280595877327</v>
      </c>
      <c r="BO21" s="213">
        <f>'Combined IFRS17 Cashflows'!BQ20</f>
        <v>-5611.4316604263913</v>
      </c>
      <c r="BP21" s="213">
        <f>'Combined IFRS17 Cashflows'!BR20</f>
        <v>-4590.2436698512911</v>
      </c>
      <c r="BQ21" s="213">
        <f>'Combined IFRS17 Cashflows'!BS20</f>
        <v>-3695.6444086826223</v>
      </c>
      <c r="BR21" s="213">
        <f>'Combined IFRS17 Cashflows'!BT20</f>
        <v>-2932.4042603564594</v>
      </c>
      <c r="BS21" s="213">
        <f>'Combined IFRS17 Cashflows'!BU20</f>
        <v>-2284.2370547122782</v>
      </c>
      <c r="BT21" s="213">
        <f>'Combined IFRS17 Cashflows'!BV20</f>
        <v>-1747.127194570535</v>
      </c>
      <c r="BU21" s="213">
        <f>'Combined IFRS17 Cashflows'!BW20</f>
        <v>-1313.3927528196295</v>
      </c>
      <c r="BV21" s="213">
        <f>'Combined IFRS17 Cashflows'!BX20</f>
        <v>-971.78196921839617</v>
      </c>
      <c r="BW21" s="213">
        <f>'Combined IFRS17 Cashflows'!BY20</f>
        <v>-714.43653791573115</v>
      </c>
      <c r="BX21" s="213">
        <f>'Combined IFRS17 Cashflows'!BZ20</f>
        <v>-519.36816634021272</v>
      </c>
      <c r="BY21" s="213">
        <f>'Combined IFRS17 Cashflows'!CA20</f>
        <v>-372.52551547685727</v>
      </c>
      <c r="BZ21" s="213">
        <f>'Combined IFRS17 Cashflows'!CB20</f>
        <v>-262.413558421056</v>
      </c>
      <c r="CA21" s="213">
        <f>'Combined IFRS17 Cashflows'!CC20</f>
        <v>-179.80042010169205</v>
      </c>
      <c r="CB21" s="213">
        <f>'Combined IFRS17 Cashflows'!CD20</f>
        <v>-131.18978986121431</v>
      </c>
      <c r="CC21" s="213">
        <f>'Combined IFRS17 Cashflows'!CE20</f>
        <v>-93.409351212104866</v>
      </c>
      <c r="CD21" s="213">
        <f>'Combined IFRS17 Cashflows'!CF20</f>
        <v>-64.559613441481261</v>
      </c>
      <c r="CE21" s="213">
        <f>'Combined IFRS17 Cashflows'!CG20</f>
        <v>-42.960045656154108</v>
      </c>
      <c r="CF21" s="213">
        <f>'Combined IFRS17 Cashflows'!CH20</f>
        <v>-27.063074171556416</v>
      </c>
      <c r="CG21" s="213">
        <f>'Combined IFRS17 Cashflows'!CI20</f>
        <v>-17.319538908673859</v>
      </c>
      <c r="CH21" s="213">
        <f>'Combined IFRS17 Cashflows'!CJ20</f>
        <v>-10.406838341355542</v>
      </c>
      <c r="CI21" s="213">
        <f>'Combined IFRS17 Cashflows'!CK20</f>
        <v>-5.5987263442271473</v>
      </c>
      <c r="CJ21" s="213">
        <f>'Combined IFRS17 Cashflows'!CL20</f>
        <v>-2.2922136024735615</v>
      </c>
      <c r="CK21" s="213">
        <f>'Combined IFRS17 Cashflows'!CM20</f>
        <v>0</v>
      </c>
      <c r="CL21" s="213">
        <f>'Combined IFRS17 Cashflows'!CN20</f>
        <v>0</v>
      </c>
      <c r="CM21" s="213">
        <f>'Combined IFRS17 Cashflows'!CO20</f>
        <v>0</v>
      </c>
      <c r="CN21" s="213">
        <f>'Combined IFRS17 Cashflows'!CP20</f>
        <v>0</v>
      </c>
      <c r="CO21" s="213">
        <f>'Combined IFRS17 Cashflows'!CQ20</f>
        <v>0</v>
      </c>
      <c r="CP21" s="213">
        <f>'Combined IFRS17 Cashflows'!CR20</f>
        <v>0</v>
      </c>
      <c r="CQ21" s="213">
        <f>'Combined IFRS17 Cashflows'!CS20</f>
        <v>0</v>
      </c>
      <c r="CR21" s="213">
        <f>'Combined IFRS17 Cashflows'!CT20</f>
        <v>0</v>
      </c>
      <c r="CS21" s="213">
        <f>'Combined IFRS17 Cashflows'!CU20</f>
        <v>0</v>
      </c>
      <c r="CT21" s="213">
        <f>'Combined IFRS17 Cashflows'!CV20</f>
        <v>0</v>
      </c>
      <c r="CU21" s="213">
        <f>'Combined IFRS17 Cashflows'!CW20</f>
        <v>0</v>
      </c>
      <c r="CV21" s="213">
        <f>'Combined IFRS17 Cashflows'!CX20</f>
        <v>0</v>
      </c>
      <c r="CW21" s="213">
        <f>'Combined IFRS17 Cashflows'!CY20</f>
        <v>0</v>
      </c>
      <c r="CX21" s="213">
        <f>'Combined IFRS17 Cashflows'!CZ20</f>
        <v>0</v>
      </c>
      <c r="CY21" s="213">
        <f>'Combined IFRS17 Cashflows'!DA20</f>
        <v>0</v>
      </c>
    </row>
    <row r="22" spans="2:103" ht="15" thickBot="1" x14ac:dyDescent="0.35">
      <c r="B22" s="209" t="s">
        <v>72</v>
      </c>
      <c r="C22" s="222"/>
      <c r="D22" s="213">
        <f>'Combined IFRS17 Cashflows'!F21</f>
        <v>-1860168.1917347617</v>
      </c>
      <c r="E22" s="213">
        <f>'Combined IFRS17 Cashflows'!G21</f>
        <v>-5843916.917150856</v>
      </c>
      <c r="F22" s="213">
        <f>'Combined IFRS17 Cashflows'!H21</f>
        <v>-10429292.308507152</v>
      </c>
      <c r="G22" s="213">
        <f>'Combined IFRS17 Cashflows'!I21</f>
        <v>-14968324.354879815</v>
      </c>
      <c r="H22" s="213">
        <f>'Combined IFRS17 Cashflows'!J21</f>
        <v>-20888814.822152406</v>
      </c>
      <c r="I22" s="213">
        <f>'Combined IFRS17 Cashflows'!K21</f>
        <v>-27039221.678781562</v>
      </c>
      <c r="J22" s="213">
        <f>'Combined IFRS17 Cashflows'!L21</f>
        <v>-33024318.447121594</v>
      </c>
      <c r="K22" s="213">
        <f>'Combined IFRS17 Cashflows'!M21</f>
        <v>-39507318.839896642</v>
      </c>
      <c r="L22" s="213">
        <f>'Combined IFRS17 Cashflows'!N21</f>
        <v>-47065996.904050723</v>
      </c>
      <c r="M22" s="213">
        <f>'Combined IFRS17 Cashflows'!O21</f>
        <v>-55973978.007754698</v>
      </c>
      <c r="N22" s="213">
        <f>'Combined IFRS17 Cashflows'!P21</f>
        <v>-50486000.383804061</v>
      </c>
      <c r="O22" s="213">
        <f>'Combined IFRS17 Cashflows'!Q21</f>
        <v>-42101357.536889412</v>
      </c>
      <c r="P22" s="213">
        <f>'Combined IFRS17 Cashflows'!R21</f>
        <v>-38053881.658243909</v>
      </c>
      <c r="Q22" s="213">
        <f>'Combined IFRS17 Cashflows'!S21</f>
        <v>-35653414.513269417</v>
      </c>
      <c r="R22" s="213">
        <f>'Combined IFRS17 Cashflows'!T21</f>
        <v>-30829326.262735762</v>
      </c>
      <c r="S22" s="213">
        <f>'Combined IFRS17 Cashflows'!U21</f>
        <v>-29211918.484078348</v>
      </c>
      <c r="T22" s="213">
        <f>'Combined IFRS17 Cashflows'!V21</f>
        <v>-28065630.832630862</v>
      </c>
      <c r="U22" s="213">
        <f>'Combined IFRS17 Cashflows'!W21</f>
        <v>-27034949.779752389</v>
      </c>
      <c r="V22" s="213">
        <f>'Combined IFRS17 Cashflows'!X21</f>
        <v>-26540353.387359135</v>
      </c>
      <c r="W22" s="213">
        <f>'Combined IFRS17 Cashflows'!Y21</f>
        <v>-24055422.804054439</v>
      </c>
      <c r="X22" s="213">
        <f>'Combined IFRS17 Cashflows'!Z21</f>
        <v>-23601168.127810918</v>
      </c>
      <c r="Y22" s="213">
        <f>'Combined IFRS17 Cashflows'!AA21</f>
        <v>-23010803.598301675</v>
      </c>
      <c r="Z22" s="213">
        <f>'Combined IFRS17 Cashflows'!AB21</f>
        <v>-22322755.378806151</v>
      </c>
      <c r="AA22" s="213">
        <f>'Combined IFRS17 Cashflows'!AC21</f>
        <v>-21619991.356593274</v>
      </c>
      <c r="AB22" s="213">
        <f>'Combined IFRS17 Cashflows'!AD21</f>
        <v>-19606075.32394753</v>
      </c>
      <c r="AC22" s="213">
        <f>'Combined IFRS17 Cashflows'!AE21</f>
        <v>-18667881.902288035</v>
      </c>
      <c r="AD22" s="213">
        <f>'Combined IFRS17 Cashflows'!AF21</f>
        <v>-17704034.169271041</v>
      </c>
      <c r="AE22" s="213">
        <f>'Combined IFRS17 Cashflows'!AG21</f>
        <v>-16755412.787585223</v>
      </c>
      <c r="AF22" s="213">
        <f>'Combined IFRS17 Cashflows'!AH21</f>
        <v>-15893292.410063637</v>
      </c>
      <c r="AG22" s="213">
        <f>'Combined IFRS17 Cashflows'!AI21</f>
        <v>-14380556.886869702</v>
      </c>
      <c r="AH22" s="213">
        <f>'Combined IFRS17 Cashflows'!AJ21</f>
        <v>-13615328.688290017</v>
      </c>
      <c r="AI22" s="213">
        <f>'Combined IFRS17 Cashflows'!AK21</f>
        <v>-12962615.387022085</v>
      </c>
      <c r="AJ22" s="213">
        <f>'Combined IFRS17 Cashflows'!AL21</f>
        <v>-12407627.786387272</v>
      </c>
      <c r="AK22" s="213">
        <f>'Combined IFRS17 Cashflows'!AM21</f>
        <v>-11943450.022506163</v>
      </c>
      <c r="AL22" s="213">
        <f>'Combined IFRS17 Cashflows'!AN21</f>
        <v>-11135911.190637385</v>
      </c>
      <c r="AM22" s="213">
        <f>'Combined IFRS17 Cashflows'!AO21</f>
        <v>-10577677.970757609</v>
      </c>
      <c r="AN22" s="213">
        <f>'Combined IFRS17 Cashflows'!AP21</f>
        <v>-10191657.496041223</v>
      </c>
      <c r="AO22" s="213">
        <f>'Combined IFRS17 Cashflows'!AQ21</f>
        <v>-9802250.3328988776</v>
      </c>
      <c r="AP22" s="213">
        <f>'Combined IFRS17 Cashflows'!AR21</f>
        <v>-9429673.0369061977</v>
      </c>
      <c r="AQ22" s="213">
        <f>'Combined IFRS17 Cashflows'!AS21</f>
        <v>-8840852.3466530666</v>
      </c>
      <c r="AR22" s="213">
        <f>'Combined IFRS17 Cashflows'!AT21</f>
        <v>-8450701.5965841208</v>
      </c>
      <c r="AS22" s="213">
        <f>'Combined IFRS17 Cashflows'!AU21</f>
        <v>-8047770.281715001</v>
      </c>
      <c r="AT22" s="213">
        <f>'Combined IFRS17 Cashflows'!AV21</f>
        <v>-7630888.5866414998</v>
      </c>
      <c r="AU22" s="213">
        <f>'Combined IFRS17 Cashflows'!AW21</f>
        <v>-7204527.5808235845</v>
      </c>
      <c r="AV22" s="213">
        <f>'Combined IFRS17 Cashflows'!AX21</f>
        <v>-6639219.675156597</v>
      </c>
      <c r="AW22" s="213">
        <f>'Combined IFRS17 Cashflows'!AY21</f>
        <v>-6134356.0582223199</v>
      </c>
      <c r="AX22" s="213">
        <f>'Combined IFRS17 Cashflows'!AZ21</f>
        <v>-5670669.8133630501</v>
      </c>
      <c r="AY22" s="213">
        <f>'Combined IFRS17 Cashflows'!BA21</f>
        <v>-5201822.5837462554</v>
      </c>
      <c r="AZ22" s="213">
        <f>'Combined IFRS17 Cashflows'!BB21</f>
        <v>-4743605.1370342178</v>
      </c>
      <c r="BA22" s="213">
        <f>'Combined IFRS17 Cashflows'!BC21</f>
        <v>-4244551.0871360525</v>
      </c>
      <c r="BB22" s="213">
        <f>'Combined IFRS17 Cashflows'!BD21</f>
        <v>-3821604.1311072353</v>
      </c>
      <c r="BC22" s="213">
        <f>'Combined IFRS17 Cashflows'!BE21</f>
        <v>-3437489.9245000663</v>
      </c>
      <c r="BD22" s="213">
        <f>'Combined IFRS17 Cashflows'!BF21</f>
        <v>-3088827.8462360026</v>
      </c>
      <c r="BE22" s="213">
        <f>'Combined IFRS17 Cashflows'!BG21</f>
        <v>-2772728.2611124236</v>
      </c>
      <c r="BF22" s="213">
        <f>'Combined IFRS17 Cashflows'!BH21</f>
        <v>-2457487.4442682271</v>
      </c>
      <c r="BG22" s="213">
        <f>'Combined IFRS17 Cashflows'!BI21</f>
        <v>-2158705.639309526</v>
      </c>
      <c r="BH22" s="213">
        <f>'Combined IFRS17 Cashflows'!BJ21</f>
        <v>-1923003.3274582534</v>
      </c>
      <c r="BI22" s="213">
        <f>'Combined IFRS17 Cashflows'!BK21</f>
        <v>-1703087.3999035188</v>
      </c>
      <c r="BJ22" s="213">
        <f>'Combined IFRS17 Cashflows'!BL21</f>
        <v>-1501365.2609077175</v>
      </c>
      <c r="BK22" s="213">
        <f>'Combined IFRS17 Cashflows'!BM21</f>
        <v>-1306395.9978907467</v>
      </c>
      <c r="BL22" s="213">
        <f>'Combined IFRS17 Cashflows'!BN21</f>
        <v>-1136768.876465179</v>
      </c>
      <c r="BM22" s="213">
        <f>'Combined IFRS17 Cashflows'!BO21</f>
        <v>-985499.17889078904</v>
      </c>
      <c r="BN22" s="213">
        <f>'Combined IFRS17 Cashflows'!BP21</f>
        <v>-846908.87285804213</v>
      </c>
      <c r="BO22" s="213">
        <f>'Combined IFRS17 Cashflows'!BQ21</f>
        <v>-720837.06780175969</v>
      </c>
      <c r="BP22" s="213">
        <f>'Combined IFRS17 Cashflows'!BR21</f>
        <v>-602415.57479274797</v>
      </c>
      <c r="BQ22" s="213">
        <f>'Combined IFRS17 Cashflows'!BS21</f>
        <v>-494775.42511355365</v>
      </c>
      <c r="BR22" s="213">
        <f>'Combined IFRS17 Cashflows'!BT21</f>
        <v>-405674.30153083638</v>
      </c>
      <c r="BS22" s="213">
        <f>'Combined IFRS17 Cashflows'!BU21</f>
        <v>-326221.04450166668</v>
      </c>
      <c r="BT22" s="213">
        <f>'Combined IFRS17 Cashflows'!BV21</f>
        <v>-256832.53547474876</v>
      </c>
      <c r="BU22" s="213">
        <f>'Combined IFRS17 Cashflows'!BW21</f>
        <v>-196589.09860757133</v>
      </c>
      <c r="BV22" s="213">
        <f>'Combined IFRS17 Cashflows'!BX21</f>
        <v>-143840.53671588365</v>
      </c>
      <c r="BW22" s="213">
        <f>'Combined IFRS17 Cashflows'!BY21</f>
        <v>-106619.02826800702</v>
      </c>
      <c r="BX22" s="213">
        <f>'Combined IFRS17 Cashflows'!BZ21</f>
        <v>-77937.671221033583</v>
      </c>
      <c r="BY22" s="213">
        <f>'Combined IFRS17 Cashflows'!CA21</f>
        <v>-56258.259640492688</v>
      </c>
      <c r="BZ22" s="213">
        <f>'Combined IFRS17 Cashflows'!CB21</f>
        <v>-40034.203928154348</v>
      </c>
      <c r="CA22" s="213">
        <f>'Combined IFRS17 Cashflows'!CC21</f>
        <v>-23368.59296981752</v>
      </c>
      <c r="CB22" s="213">
        <f>'Combined IFRS17 Cashflows'!CD21</f>
        <v>-16680.270325309793</v>
      </c>
      <c r="CC22" s="213">
        <f>'Combined IFRS17 Cashflows'!CE21</f>
        <v>-11757.907853683617</v>
      </c>
      <c r="CD22" s="213">
        <f>'Combined IFRS17 Cashflows'!CF21</f>
        <v>-8186.6581493239073</v>
      </c>
      <c r="CE22" s="213">
        <f>'Combined IFRS17 Cashflows'!CG21</f>
        <v>-5633.0428071984306</v>
      </c>
      <c r="CF22" s="213">
        <f>'Combined IFRS17 Cashflows'!CH21</f>
        <v>-2852.7139550370985</v>
      </c>
      <c r="CG22" s="213">
        <f>'Combined IFRS17 Cashflows'!CI21</f>
        <v>-1956.2766430776105</v>
      </c>
      <c r="CH22" s="213">
        <f>'Combined IFRS17 Cashflows'!CJ21</f>
        <v>-1316.82650663094</v>
      </c>
      <c r="CI22" s="213">
        <f>'Combined IFRS17 Cashflows'!CK21</f>
        <v>-878.89410145171223</v>
      </c>
      <c r="CJ22" s="213">
        <f>'Combined IFRS17 Cashflows'!CL21</f>
        <v>-593.0357067787229</v>
      </c>
      <c r="CK22" s="213">
        <f>'Combined IFRS17 Cashflows'!CM21</f>
        <v>0</v>
      </c>
      <c r="CL22" s="213">
        <f>'Combined IFRS17 Cashflows'!CN21</f>
        <v>0</v>
      </c>
      <c r="CM22" s="213">
        <f>'Combined IFRS17 Cashflows'!CO21</f>
        <v>0</v>
      </c>
      <c r="CN22" s="213">
        <f>'Combined IFRS17 Cashflows'!CP21</f>
        <v>0</v>
      </c>
      <c r="CO22" s="213">
        <f>'Combined IFRS17 Cashflows'!CQ21</f>
        <v>0</v>
      </c>
      <c r="CP22" s="213">
        <f>'Combined IFRS17 Cashflows'!CR21</f>
        <v>0</v>
      </c>
      <c r="CQ22" s="213">
        <f>'Combined IFRS17 Cashflows'!CS21</f>
        <v>0</v>
      </c>
      <c r="CR22" s="213">
        <f>'Combined IFRS17 Cashflows'!CT21</f>
        <v>0</v>
      </c>
      <c r="CS22" s="213">
        <f>'Combined IFRS17 Cashflows'!CU21</f>
        <v>0</v>
      </c>
      <c r="CT22" s="213">
        <f>'Combined IFRS17 Cashflows'!CV21</f>
        <v>0</v>
      </c>
      <c r="CU22" s="213">
        <f>'Combined IFRS17 Cashflows'!CW21</f>
        <v>0</v>
      </c>
      <c r="CV22" s="213">
        <f>'Combined IFRS17 Cashflows'!CX21</f>
        <v>0</v>
      </c>
      <c r="CW22" s="213">
        <f>'Combined IFRS17 Cashflows'!CY21</f>
        <v>0</v>
      </c>
      <c r="CX22" s="213">
        <f>'Combined IFRS17 Cashflows'!CZ21</f>
        <v>0</v>
      </c>
      <c r="CY22" s="213">
        <f>'Combined IFRS17 Cashflows'!DA21</f>
        <v>0</v>
      </c>
    </row>
    <row r="23" spans="2:103" ht="15" thickBot="1" x14ac:dyDescent="0.35">
      <c r="B23" s="212" t="s">
        <v>74</v>
      </c>
      <c r="C23" s="223"/>
      <c r="D23" s="214">
        <f ca="1">SUM(D15:D22)</f>
        <v>-157279.58321385831</v>
      </c>
      <c r="E23" s="214">
        <f t="shared" ref="E23:M23" ca="1" si="3">SUM(E15:E22)</f>
        <v>160608.46953935269</v>
      </c>
      <c r="F23" s="214">
        <f t="shared" ca="1" si="3"/>
        <v>1181423.1222044211</v>
      </c>
      <c r="G23" s="214">
        <f t="shared" ca="1" si="3"/>
        <v>2740737.1803883426</v>
      </c>
      <c r="H23" s="214">
        <f t="shared" ca="1" si="3"/>
        <v>4204884.5613826141</v>
      </c>
      <c r="I23" s="214">
        <f t="shared" ca="1" si="3"/>
        <v>6122563.9785480313</v>
      </c>
      <c r="J23" s="214">
        <f t="shared" ca="1" si="3"/>
        <v>8460110.2341216169</v>
      </c>
      <c r="K23" s="214">
        <f t="shared" ca="1" si="3"/>
        <v>11009978.754341461</v>
      </c>
      <c r="L23" s="214">
        <f t="shared" ca="1" si="3"/>
        <v>13559815.821706273</v>
      </c>
      <c r="M23" s="214">
        <f t="shared" ca="1" si="3"/>
        <v>16316927.453713089</v>
      </c>
      <c r="N23" s="214">
        <f t="shared" ref="N23:BY23" ca="1" si="4">SUM(N15:N22)</f>
        <v>20313165.220313244</v>
      </c>
      <c r="O23" s="214">
        <f t="shared" ca="1" si="4"/>
        <v>20461490.503825717</v>
      </c>
      <c r="P23" s="214">
        <f t="shared" ca="1" si="4"/>
        <v>18579901.532984786</v>
      </c>
      <c r="Q23" s="214">
        <f t="shared" ca="1" si="4"/>
        <v>15656150.105881482</v>
      </c>
      <c r="R23" s="214">
        <f t="shared" ca="1" si="4"/>
        <v>15620766.140488364</v>
      </c>
      <c r="S23" s="214">
        <f t="shared" ca="1" si="4"/>
        <v>12864228.664840914</v>
      </c>
      <c r="T23" s="214">
        <f t="shared" ca="1" si="4"/>
        <v>9979993.9907455333</v>
      </c>
      <c r="U23" s="214">
        <f t="shared" ca="1" si="4"/>
        <v>7267220.2640058622</v>
      </c>
      <c r="V23" s="214">
        <f t="shared" ca="1" si="4"/>
        <v>4282615.6483051553</v>
      </c>
      <c r="W23" s="214">
        <f t="shared" ca="1" si="4"/>
        <v>3507919.171683237</v>
      </c>
      <c r="X23" s="214">
        <f t="shared" ca="1" si="4"/>
        <v>1036475.8864361793</v>
      </c>
      <c r="Y23" s="214">
        <f t="shared" ca="1" si="4"/>
        <v>-1014644.3139963672</v>
      </c>
      <c r="Z23" s="214">
        <f t="shared" ca="1" si="4"/>
        <v>-2780667.9431279562</v>
      </c>
      <c r="AA23" s="214">
        <f t="shared" ca="1" si="4"/>
        <v>-4341683.8586380072</v>
      </c>
      <c r="AB23" s="214">
        <f t="shared" ca="1" si="4"/>
        <v>-4403673.4028940573</v>
      </c>
      <c r="AC23" s="214">
        <f t="shared" ca="1" si="4"/>
        <v>-5359413.3537504748</v>
      </c>
      <c r="AD23" s="214">
        <f t="shared" ca="1" si="4"/>
        <v>-6041652.0619983878</v>
      </c>
      <c r="AE23" s="214">
        <f t="shared" ca="1" si="4"/>
        <v>-6565520.9303156026</v>
      </c>
      <c r="AF23" s="214">
        <f t="shared" ca="1" si="4"/>
        <v>-7011937.0932163913</v>
      </c>
      <c r="AG23" s="214">
        <f t="shared" ca="1" si="4"/>
        <v>-6657049.7723001335</v>
      </c>
      <c r="AH23" s="214">
        <f t="shared" ca="1" si="4"/>
        <v>-6898393.1922470592</v>
      </c>
      <c r="AI23" s="214">
        <f t="shared" ca="1" si="4"/>
        <v>-7094696.7227693237</v>
      </c>
      <c r="AJ23" s="214">
        <f t="shared" ca="1" si="4"/>
        <v>-7292100.4882349493</v>
      </c>
      <c r="AK23" s="214">
        <f t="shared" ca="1" si="4"/>
        <v>-7498409.9887001282</v>
      </c>
      <c r="AL23" s="214">
        <f t="shared" ca="1" si="4"/>
        <v>-7291200.6846970106</v>
      </c>
      <c r="AM23" s="214">
        <f t="shared" ca="1" si="4"/>
        <v>-7272963.5579509512</v>
      </c>
      <c r="AN23" s="214">
        <f t="shared" ca="1" si="4"/>
        <v>-7348754.3464656034</v>
      </c>
      <c r="AO23" s="214">
        <f t="shared" ca="1" si="4"/>
        <v>-7375050.3573510842</v>
      </c>
      <c r="AP23" s="214">
        <f t="shared" ca="1" si="4"/>
        <v>-7375097.3959889598</v>
      </c>
      <c r="AQ23" s="214">
        <f t="shared" ca="1" si="4"/>
        <v>-7119162.8123747092</v>
      </c>
      <c r="AR23" s="214">
        <f t="shared" ca="1" si="4"/>
        <v>-7025720.5064645093</v>
      </c>
      <c r="AS23" s="214">
        <f t="shared" ca="1" si="4"/>
        <v>-6878384.3787678592</v>
      </c>
      <c r="AT23" s="214">
        <f t="shared" ca="1" si="4"/>
        <v>-6685746.6919000596</v>
      </c>
      <c r="AU23" s="214">
        <f t="shared" ca="1" si="4"/>
        <v>-6454621.6770519279</v>
      </c>
      <c r="AV23" s="214">
        <f t="shared" ca="1" si="4"/>
        <v>-6057708.001796918</v>
      </c>
      <c r="AW23" s="214">
        <f t="shared" ca="1" si="4"/>
        <v>-5696487.1489907717</v>
      </c>
      <c r="AX23" s="214">
        <f t="shared" ca="1" si="4"/>
        <v>-5351712.2127687465</v>
      </c>
      <c r="AY23" s="214">
        <f t="shared" ca="1" si="4"/>
        <v>-4981493.1245380528</v>
      </c>
      <c r="AZ23" s="214">
        <f t="shared" ca="1" si="4"/>
        <v>-4603487.3910253858</v>
      </c>
      <c r="BA23" s="214">
        <f t="shared" ca="1" si="4"/>
        <v>-4168275.6058203243</v>
      </c>
      <c r="BB23" s="214">
        <f t="shared" ca="1" si="4"/>
        <v>-3794959.2229646253</v>
      </c>
      <c r="BC23" s="214">
        <f t="shared" ca="1" si="4"/>
        <v>-3448333.704182806</v>
      </c>
      <c r="BD23" s="214">
        <f t="shared" ca="1" si="4"/>
        <v>-3127298.4150140001</v>
      </c>
      <c r="BE23" s="214">
        <f t="shared" ca="1" si="4"/>
        <v>-2830877.9142031185</v>
      </c>
      <c r="BF23" s="214">
        <f t="shared" ca="1" si="4"/>
        <v>-2528939.4518957031</v>
      </c>
      <c r="BG23" s="214">
        <f t="shared" ca="1" si="4"/>
        <v>-2238368.1547543625</v>
      </c>
      <c r="BH23" s="214">
        <f t="shared" ca="1" si="4"/>
        <v>-2006352.399477551</v>
      </c>
      <c r="BI23" s="214">
        <f t="shared" ca="1" si="4"/>
        <v>-1787080.3146122003</v>
      </c>
      <c r="BJ23" s="214">
        <f t="shared" ca="1" si="4"/>
        <v>-1583575.2679429816</v>
      </c>
      <c r="BK23" s="214">
        <f t="shared" ca="1" si="4"/>
        <v>-1384924.9534038005</v>
      </c>
      <c r="BL23" s="214">
        <f t="shared" ca="1" si="4"/>
        <v>-1210164.9825102827</v>
      </c>
      <c r="BM23" s="214">
        <f t="shared" ca="1" si="4"/>
        <v>-1052705.7768393359</v>
      </c>
      <c r="BN23" s="214">
        <f t="shared" ca="1" si="4"/>
        <v>-907237.51421470754</v>
      </c>
      <c r="BO23" s="214">
        <f t="shared" ca="1" si="4"/>
        <v>-773938.93766964751</v>
      </c>
      <c r="BP23" s="214">
        <f t="shared" ca="1" si="4"/>
        <v>-648245.89496747614</v>
      </c>
      <c r="BQ23" s="214">
        <f t="shared" ca="1" si="4"/>
        <v>-533549.00578740856</v>
      </c>
      <c r="BR23" s="214">
        <f t="shared" ca="1" si="4"/>
        <v>-437918.14814635314</v>
      </c>
      <c r="BS23" s="214">
        <f t="shared" ca="1" si="4"/>
        <v>-352487.1026691671</v>
      </c>
      <c r="BT23" s="214">
        <f t="shared" ca="1" si="4"/>
        <v>-277816.12877004128</v>
      </c>
      <c r="BU23" s="214">
        <f t="shared" ca="1" si="4"/>
        <v>-213054.93072691103</v>
      </c>
      <c r="BV23" s="214">
        <f t="shared" ca="1" si="4"/>
        <v>-156551.62407187282</v>
      </c>
      <c r="BW23" s="214">
        <f t="shared" ca="1" si="4"/>
        <v>-116344.28569172657</v>
      </c>
      <c r="BX23" s="214">
        <f t="shared" ca="1" si="4"/>
        <v>-85285.880150308949</v>
      </c>
      <c r="BY23" s="214">
        <f t="shared" ca="1" si="4"/>
        <v>-61729.697401502519</v>
      </c>
      <c r="BZ23" s="214">
        <f t="shared" ref="BZ23:CY23" ca="1" si="5">SUM(BZ15:BZ22)</f>
        <v>-44032.081169217876</v>
      </c>
      <c r="CA23" s="214">
        <f t="shared" ca="1" si="5"/>
        <v>-26211.7096802452</v>
      </c>
      <c r="CB23" s="214">
        <f t="shared" ca="1" si="5"/>
        <v>-18803.069046509976</v>
      </c>
      <c r="CC23" s="214">
        <f t="shared" ca="1" si="5"/>
        <v>-13300.257538859229</v>
      </c>
      <c r="CD23" s="214">
        <f t="shared" ca="1" si="5"/>
        <v>-9272.1801380586403</v>
      </c>
      <c r="CE23" s="214">
        <f t="shared" ca="1" si="5"/>
        <v>-6367.8468586630561</v>
      </c>
      <c r="CF23" s="214">
        <f t="shared" ca="1" si="5"/>
        <v>-3323.9089959239745</v>
      </c>
      <c r="CG23" s="214">
        <f t="shared" ca="1" si="5"/>
        <v>-2260.1268703171827</v>
      </c>
      <c r="CH23" s="214">
        <f t="shared" ca="1" si="5"/>
        <v>-1500.6638522658732</v>
      </c>
      <c r="CI23" s="214">
        <f t="shared" ca="1" si="5"/>
        <v>-978.40157181559766</v>
      </c>
      <c r="CJ23" s="214">
        <f t="shared" ca="1" si="5"/>
        <v>-633.98956625465621</v>
      </c>
      <c r="CK23" s="214">
        <f t="shared" ca="1" si="5"/>
        <v>0</v>
      </c>
      <c r="CL23" s="214">
        <f t="shared" ca="1" si="5"/>
        <v>0</v>
      </c>
      <c r="CM23" s="214">
        <f t="shared" ca="1" si="5"/>
        <v>0</v>
      </c>
      <c r="CN23" s="214">
        <f t="shared" ca="1" si="5"/>
        <v>0</v>
      </c>
      <c r="CO23" s="214">
        <f t="shared" ca="1" si="5"/>
        <v>0</v>
      </c>
      <c r="CP23" s="214">
        <f t="shared" ca="1" si="5"/>
        <v>0</v>
      </c>
      <c r="CQ23" s="214">
        <f t="shared" ca="1" si="5"/>
        <v>0</v>
      </c>
      <c r="CR23" s="214">
        <f t="shared" ca="1" si="5"/>
        <v>0</v>
      </c>
      <c r="CS23" s="214">
        <f t="shared" ca="1" si="5"/>
        <v>0</v>
      </c>
      <c r="CT23" s="214">
        <f t="shared" ca="1" si="5"/>
        <v>0</v>
      </c>
      <c r="CU23" s="214">
        <f t="shared" ca="1" si="5"/>
        <v>0</v>
      </c>
      <c r="CV23" s="214">
        <f t="shared" ca="1" si="5"/>
        <v>0</v>
      </c>
      <c r="CW23" s="214">
        <f t="shared" ca="1" si="5"/>
        <v>0</v>
      </c>
      <c r="CX23" s="214">
        <f t="shared" ca="1" si="5"/>
        <v>0</v>
      </c>
      <c r="CY23" s="214">
        <f t="shared" ca="1" si="5"/>
        <v>0</v>
      </c>
    </row>
    <row r="24" spans="2:103" ht="15" thickBot="1" x14ac:dyDescent="0.35">
      <c r="B24" s="209"/>
      <c r="C24" s="222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3"/>
      <c r="BI24" s="213"/>
      <c r="BJ24" s="213"/>
      <c r="BK24" s="213"/>
      <c r="BL24" s="213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  <c r="CF24" s="213"/>
      <c r="CG24" s="213"/>
      <c r="CH24" s="213"/>
      <c r="CI24" s="213"/>
      <c r="CJ24" s="213"/>
      <c r="CK24" s="213"/>
      <c r="CL24" s="213"/>
      <c r="CM24" s="213"/>
      <c r="CN24" s="213"/>
      <c r="CO24" s="213"/>
      <c r="CP24" s="213"/>
      <c r="CQ24" s="213"/>
      <c r="CR24" s="213"/>
      <c r="CS24" s="213"/>
      <c r="CT24" s="213"/>
      <c r="CU24" s="213"/>
      <c r="CV24" s="213"/>
      <c r="CW24" s="213"/>
      <c r="CX24" s="213"/>
      <c r="CY24" s="213"/>
    </row>
    <row r="25" spans="2:103" ht="15" thickBot="1" x14ac:dyDescent="0.35">
      <c r="B25" s="209" t="s">
        <v>143</v>
      </c>
      <c r="C25" s="222"/>
      <c r="D25" s="213">
        <f>-'Combined IFRS17 Cashflows'!F128</f>
        <v>-162759.92215422643</v>
      </c>
      <c r="E25" s="213">
        <f>-'Combined IFRS17 Cashflows'!G128</f>
        <v>-574443.99699226324</v>
      </c>
      <c r="F25" s="213">
        <f>-'Combined IFRS17 Cashflows'!H128</f>
        <v>-483365.01081392064</v>
      </c>
      <c r="G25" s="213">
        <f>-'Combined IFRS17 Cashflows'!I128</f>
        <v>-483605.34171300568</v>
      </c>
      <c r="H25" s="213">
        <f>-'Combined IFRS17 Cashflows'!J128</f>
        <v>-704717.33216224122</v>
      </c>
      <c r="I25" s="213">
        <f>-'Combined IFRS17 Cashflows'!K128</f>
        <v>-629617.98765337327</v>
      </c>
      <c r="J25" s="213">
        <f>-'Combined IFRS17 Cashflows'!L128</f>
        <v>-848735.67231021542</v>
      </c>
      <c r="K25" s="213">
        <f>-'Combined IFRS17 Cashflows'!M128</f>
        <v>-1330134.2103667161</v>
      </c>
      <c r="L25" s="213">
        <f>-'Combined IFRS17 Cashflows'!N128</f>
        <v>-2005179.9055531975</v>
      </c>
      <c r="M25" s="213">
        <f>-'Combined IFRS17 Cashflows'!O128</f>
        <v>-2845327.3938887538</v>
      </c>
      <c r="N25" s="213">
        <f>-'Combined IFRS17 Cashflows'!P128</f>
        <v>-838698.31315887719</v>
      </c>
      <c r="O25" s="213">
        <f>-'Combined IFRS17 Cashflows'!Q128</f>
        <v>-2866012.8871832862</v>
      </c>
      <c r="P25" s="213">
        <f>-'Combined IFRS17 Cashflows'!R128</f>
        <v>-3982178.6186752841</v>
      </c>
      <c r="Q25" s="213">
        <f>-'Combined IFRS17 Cashflows'!S128</f>
        <v>-4594901.2997668982</v>
      </c>
      <c r="R25" s="213">
        <f>-'Combined IFRS17 Cashflows'!T128</f>
        <v>-5891337.2629520521</v>
      </c>
      <c r="S25" s="213">
        <f>-'Combined IFRS17 Cashflows'!U128</f>
        <v>-6310667.2172810249</v>
      </c>
      <c r="T25" s="213">
        <f>-'Combined IFRS17 Cashflows'!V128</f>
        <v>-6122659.8193153962</v>
      </c>
      <c r="U25" s="213">
        <f>-'Combined IFRS17 Cashflows'!W128</f>
        <v>-5284405.7875057459</v>
      </c>
      <c r="V25" s="213">
        <f>-'Combined IFRS17 Cashflows'!X128</f>
        <v>-3934648.0929662809</v>
      </c>
      <c r="W25" s="213">
        <f>-'Combined IFRS17 Cashflows'!Y128</f>
        <v>-3974643.1746742874</v>
      </c>
      <c r="X25" s="213">
        <f>-'Combined IFRS17 Cashflows'!Z128</f>
        <v>-2700984.0527592152</v>
      </c>
      <c r="Y25" s="213">
        <f>-'Combined IFRS17 Cashflows'!AA128</f>
        <v>-1689193.509402357</v>
      </c>
      <c r="Z25" s="213">
        <f>-'Combined IFRS17 Cashflows'!AB128</f>
        <v>-798863.69150207192</v>
      </c>
      <c r="AA25" s="213">
        <f>-'Combined IFRS17 Cashflows'!AC128</f>
        <v>58443.691782839596</v>
      </c>
      <c r="AB25" s="213">
        <f>-'Combined IFRS17 Cashflows'!AD128</f>
        <v>-49133.332793995738</v>
      </c>
      <c r="AC25" s="213">
        <f>-'Combined IFRS17 Cashflows'!AE128</f>
        <v>526239.40597146004</v>
      </c>
      <c r="AD25" s="213">
        <f>-'Combined IFRS17 Cashflows'!AF128</f>
        <v>927303.91482418776</v>
      </c>
      <c r="AE25" s="213">
        <f>-'Combined IFRS17 Cashflows'!AG128</f>
        <v>1271087.2801952139</v>
      </c>
      <c r="AF25" s="213">
        <f>-'Combined IFRS17 Cashflows'!AH128</f>
        <v>1589374.5866648331</v>
      </c>
      <c r="AG25" s="213">
        <f>-'Combined IFRS17 Cashflows'!AI128</f>
        <v>1372765.7939531282</v>
      </c>
      <c r="AH25" s="213">
        <f>-'Combined IFRS17 Cashflows'!AJ128</f>
        <v>1585831.3831574321</v>
      </c>
      <c r="AI25" s="213">
        <f>-'Combined IFRS17 Cashflows'!AK128</f>
        <v>1767008.2191517726</v>
      </c>
      <c r="AJ25" s="213">
        <f>-'Combined IFRS17 Cashflows'!AL128</f>
        <v>1953809.2160689533</v>
      </c>
      <c r="AK25" s="213">
        <f>-'Combined IFRS17 Cashflows'!AM128</f>
        <v>2149864.3403609917</v>
      </c>
      <c r="AL25" s="213">
        <f>-'Combined IFRS17 Cashflows'!AN128</f>
        <v>2087886.1332623437</v>
      </c>
      <c r="AM25" s="213">
        <f>-'Combined IFRS17 Cashflows'!AO128</f>
        <v>2168828.5691304356</v>
      </c>
      <c r="AN25" s="213">
        <f>-'Combined IFRS17 Cashflows'!AP128</f>
        <v>2278415.7575450018</v>
      </c>
      <c r="AO25" s="213">
        <f>-'Combined IFRS17 Cashflows'!AQ128</f>
        <v>2364282.6017530113</v>
      </c>
      <c r="AP25" s="213">
        <f>-'Combined IFRS17 Cashflows'!AR128</f>
        <v>2440426.5011698678</v>
      </c>
      <c r="AQ25" s="213">
        <f>-'Combined IFRS17 Cashflows'!AS128</f>
        <v>2371198.962862581</v>
      </c>
      <c r="AR25" s="213">
        <f>-'Combined IFRS17 Cashflows'!AT128</f>
        <v>2398344.3537545353</v>
      </c>
      <c r="AS25" s="213">
        <f>-'Combined IFRS17 Cashflows'!AU128</f>
        <v>2395692.0392094813</v>
      </c>
      <c r="AT25" s="213">
        <f>-'Combined IFRS17 Cashflows'!AV128</f>
        <v>2368941.5884500593</v>
      </c>
      <c r="AU25" s="213">
        <f>-'Combined IFRS17 Cashflows'!AW128</f>
        <v>2321330.9798180722</v>
      </c>
      <c r="AV25" s="213">
        <f>-'Combined IFRS17 Cashflows'!AX128</f>
        <v>2183933.9070529975</v>
      </c>
      <c r="AW25" s="213">
        <f>-'Combined IFRS17 Cashflows'!AY128</f>
        <v>2068699.7013139576</v>
      </c>
      <c r="AX25" s="213">
        <f>-'Combined IFRS17 Cashflows'!AZ128</f>
        <v>1953671.7118650693</v>
      </c>
      <c r="AY25" s="213">
        <f>-'Combined IFRS17 Cashflows'!BA128</f>
        <v>1824294.5295364223</v>
      </c>
      <c r="AZ25" s="213">
        <f>-'Combined IFRS17 Cashflows'!BB128</f>
        <v>1689870.3297431804</v>
      </c>
      <c r="BA25" s="213">
        <f>-'Combined IFRS17 Cashflows'!BC128</f>
        <v>1525172.2946786284</v>
      </c>
      <c r="BB25" s="213">
        <f>-'Combined IFRS17 Cashflows'!BD128</f>
        <v>1388825.8659904096</v>
      </c>
      <c r="BC25" s="213">
        <f>-'Combined IFRS17 Cashflows'!BE128</f>
        <v>1262150.8927208316</v>
      </c>
      <c r="BD25" s="213">
        <f>-'Combined IFRS17 Cashflows'!BF128</f>
        <v>1144660.0577576831</v>
      </c>
      <c r="BE25" s="213">
        <f>-'Combined IFRS17 Cashflows'!BG128</f>
        <v>1036021.7072333293</v>
      </c>
      <c r="BF25" s="213">
        <f>-'Combined IFRS17 Cashflows'!BH128</f>
        <v>922579.13706083316</v>
      </c>
      <c r="BG25" s="213">
        <f>-'Combined IFRS17 Cashflows'!BI128</f>
        <v>816836.9794080127</v>
      </c>
      <c r="BH25" s="213">
        <f>-'Combined IFRS17 Cashflows'!BJ128</f>
        <v>729856.41152382083</v>
      </c>
      <c r="BI25" s="213">
        <f>-'Combined IFRS17 Cashflows'!BK128</f>
        <v>647596.71948293131</v>
      </c>
      <c r="BJ25" s="213">
        <f>-'Combined IFRS17 Cashflows'!BL128</f>
        <v>571625.84906501649</v>
      </c>
      <c r="BK25" s="213">
        <f>-'Combined IFRS17 Cashflows'!BM128</f>
        <v>497393.33283086028</v>
      </c>
      <c r="BL25" s="213">
        <f>-'Combined IFRS17 Cashflows'!BN128</f>
        <v>432963.21711049043</v>
      </c>
      <c r="BM25" s="213">
        <f>-'Combined IFRS17 Cashflows'!BO128</f>
        <v>375213.45269329078</v>
      </c>
      <c r="BN25" s="213">
        <f>-'Combined IFRS17 Cashflows'!BP128</f>
        <v>322000.63201563386</v>
      </c>
      <c r="BO25" s="213">
        <f>-'Combined IFRS17 Cashflows'!BQ128</f>
        <v>273446.46344263025</v>
      </c>
      <c r="BP25" s="213">
        <f>-'Combined IFRS17 Cashflows'!BR128</f>
        <v>227784.07357801171</v>
      </c>
      <c r="BQ25" s="213">
        <f>-'Combined IFRS17 Cashflows'!BS128</f>
        <v>186417.64551926113</v>
      </c>
      <c r="BR25" s="213">
        <f>-'Combined IFRS17 Cashflows'!BT128</f>
        <v>152124.77729887923</v>
      </c>
      <c r="BS25" s="213">
        <f>-'Combined IFRS17 Cashflows'!BU128</f>
        <v>121591.61122998741</v>
      </c>
      <c r="BT25" s="213">
        <f>-'Combined IFRS17 Cashflows'!BV128</f>
        <v>95123.16866004793</v>
      </c>
      <c r="BU25" s="213">
        <f>-'Combined IFRS17 Cashflows'!BW128</f>
        <v>72388.720739635144</v>
      </c>
      <c r="BV25" s="213">
        <f>-'Combined IFRS17 Cashflows'!BX128</f>
        <v>52989.430516502616</v>
      </c>
      <c r="BW25" s="213">
        <f>-'Combined IFRS17 Cashflows'!BY128</f>
        <v>39194.412910800296</v>
      </c>
      <c r="BX25" s="213">
        <f>-'Combined IFRS17 Cashflows'!BZ128</f>
        <v>28663.698976569183</v>
      </c>
      <c r="BY25" s="213">
        <f>-'Combined IFRS17 Cashflows'!CA128</f>
        <v>20766.396408717817</v>
      </c>
      <c r="BZ25" s="213">
        <f>-'Combined IFRS17 Cashflows'!CB128</f>
        <v>14885.182553827588</v>
      </c>
      <c r="CA25" s="213">
        <f>-'Combined IFRS17 Cashflows'!CC128</f>
        <v>9240.2169371474411</v>
      </c>
      <c r="CB25" s="213">
        <f>-'Combined IFRS17 Cashflows'!CD128</f>
        <v>6726.0927995075308</v>
      </c>
      <c r="CC25" s="213">
        <f>-'Combined IFRS17 Cashflows'!CE128</f>
        <v>4837.2513482399881</v>
      </c>
      <c r="CD25" s="213">
        <f>-'Combined IFRS17 Cashflows'!CF128</f>
        <v>3437.9770900897356</v>
      </c>
      <c r="CE25" s="213">
        <f>-'Combined IFRS17 Cashflows'!CG128</f>
        <v>2410.9639938696346</v>
      </c>
      <c r="CF25" s="213">
        <f>-'Combined IFRS17 Cashflows'!CH128</f>
        <v>1407.4152397496518</v>
      </c>
      <c r="CG25" s="213">
        <f>-'Combined IFRS17 Cashflows'!CI128</f>
        <v>967.93352048967222</v>
      </c>
      <c r="CH25" s="213">
        <f>-'Combined IFRS17 Cashflows'!CJ128</f>
        <v>651.1779077606941</v>
      </c>
      <c r="CI25" s="213">
        <f>-'Combined IFRS17 Cashflows'!CK128</f>
        <v>431.4583599790692</v>
      </c>
      <c r="CJ25" s="213">
        <f>-'Combined IFRS17 Cashflows'!CL128</f>
        <v>285.71634337250981</v>
      </c>
      <c r="CK25" s="213">
        <f>-'Combined IFRS17 Cashflows'!CM128</f>
        <v>9.6615053735149559E-9</v>
      </c>
      <c r="CL25" s="213">
        <f>-'Combined IFRS17 Cashflows'!CN128</f>
        <v>0</v>
      </c>
      <c r="CM25" s="213">
        <f>-'Combined IFRS17 Cashflows'!CO128</f>
        <v>0</v>
      </c>
      <c r="CN25" s="213">
        <f>-'Combined IFRS17 Cashflows'!CP128</f>
        <v>0</v>
      </c>
      <c r="CO25" s="213">
        <f>-'Combined IFRS17 Cashflows'!CQ128</f>
        <v>0</v>
      </c>
      <c r="CP25" s="213">
        <f>-'Combined IFRS17 Cashflows'!CR128</f>
        <v>0</v>
      </c>
      <c r="CQ25" s="213">
        <f>-'Combined IFRS17 Cashflows'!CS128</f>
        <v>0</v>
      </c>
      <c r="CR25" s="213">
        <f>-'Combined IFRS17 Cashflows'!CT128</f>
        <v>0</v>
      </c>
      <c r="CS25" s="213">
        <f>-'Combined IFRS17 Cashflows'!CU128</f>
        <v>0</v>
      </c>
      <c r="CT25" s="213">
        <f>-'Combined IFRS17 Cashflows'!CV128</f>
        <v>0</v>
      </c>
      <c r="CU25" s="213">
        <f>-'Combined IFRS17 Cashflows'!CW128</f>
        <v>0</v>
      </c>
      <c r="CV25" s="213">
        <f>-'Combined IFRS17 Cashflows'!CX128</f>
        <v>0</v>
      </c>
      <c r="CW25" s="213">
        <f>-'Combined IFRS17 Cashflows'!CY128</f>
        <v>0</v>
      </c>
      <c r="CX25" s="213">
        <f>-'Combined IFRS17 Cashflows'!CZ128</f>
        <v>0</v>
      </c>
      <c r="CY25" s="213">
        <f>-'Combined IFRS17 Cashflows'!DA128</f>
        <v>0</v>
      </c>
    </row>
    <row r="26" spans="2:103" ht="15" thickBot="1" x14ac:dyDescent="0.35">
      <c r="B26" s="212" t="s">
        <v>144</v>
      </c>
      <c r="C26" s="223"/>
      <c r="D26" s="214">
        <f ca="1">D23+D25</f>
        <v>-320039.50536808476</v>
      </c>
      <c r="E26" s="214">
        <f t="shared" ref="E26:M26" ca="1" si="6">E23+E25</f>
        <v>-413835.52745291055</v>
      </c>
      <c r="F26" s="214">
        <f t="shared" ca="1" si="6"/>
        <v>698058.11139050045</v>
      </c>
      <c r="G26" s="214">
        <f t="shared" ca="1" si="6"/>
        <v>2257131.8386753369</v>
      </c>
      <c r="H26" s="214">
        <f t="shared" ca="1" si="6"/>
        <v>3500167.2292203726</v>
      </c>
      <c r="I26" s="214">
        <f t="shared" ca="1" si="6"/>
        <v>5492945.9908946585</v>
      </c>
      <c r="J26" s="214">
        <f t="shared" ca="1" si="6"/>
        <v>7611374.5618114015</v>
      </c>
      <c r="K26" s="214">
        <f t="shared" ca="1" si="6"/>
        <v>9679844.5439747442</v>
      </c>
      <c r="L26" s="214">
        <f t="shared" ca="1" si="6"/>
        <v>11554635.916153075</v>
      </c>
      <c r="M26" s="214">
        <f t="shared" ca="1" si="6"/>
        <v>13471600.059824336</v>
      </c>
      <c r="N26" s="214">
        <f t="shared" ref="N26:BY26" ca="1" si="7">N23+N25</f>
        <v>19474466.907154366</v>
      </c>
      <c r="O26" s="214">
        <f t="shared" ca="1" si="7"/>
        <v>17595477.61664243</v>
      </c>
      <c r="P26" s="214">
        <f t="shared" ca="1" si="7"/>
        <v>14597722.914309502</v>
      </c>
      <c r="Q26" s="214">
        <f t="shared" ca="1" si="7"/>
        <v>11061248.806114584</v>
      </c>
      <c r="R26" s="214">
        <f t="shared" ca="1" si="7"/>
        <v>9729428.8775363117</v>
      </c>
      <c r="S26" s="214">
        <f t="shared" ca="1" si="7"/>
        <v>6553561.4475598894</v>
      </c>
      <c r="T26" s="214">
        <f t="shared" ca="1" si="7"/>
        <v>3857334.171430137</v>
      </c>
      <c r="U26" s="214">
        <f t="shared" ca="1" si="7"/>
        <v>1982814.4765001163</v>
      </c>
      <c r="V26" s="214">
        <f t="shared" ca="1" si="7"/>
        <v>347967.55533887446</v>
      </c>
      <c r="W26" s="214">
        <f t="shared" ca="1" si="7"/>
        <v>-466724.00299105048</v>
      </c>
      <c r="X26" s="214">
        <f t="shared" ca="1" si="7"/>
        <v>-1664508.166323036</v>
      </c>
      <c r="Y26" s="214">
        <f t="shared" ca="1" si="7"/>
        <v>-2703837.8233987242</v>
      </c>
      <c r="Z26" s="214">
        <f t="shared" ca="1" si="7"/>
        <v>-3579531.6346300282</v>
      </c>
      <c r="AA26" s="214">
        <f t="shared" ca="1" si="7"/>
        <v>-4283240.1668551676</v>
      </c>
      <c r="AB26" s="214">
        <f t="shared" ca="1" si="7"/>
        <v>-4452806.7356880531</v>
      </c>
      <c r="AC26" s="214">
        <f t="shared" ca="1" si="7"/>
        <v>-4833173.9477790147</v>
      </c>
      <c r="AD26" s="214">
        <f t="shared" ca="1" si="7"/>
        <v>-5114348.1471742</v>
      </c>
      <c r="AE26" s="214">
        <f t="shared" ca="1" si="7"/>
        <v>-5294433.6501203887</v>
      </c>
      <c r="AF26" s="214">
        <f t="shared" ca="1" si="7"/>
        <v>-5422562.5065515582</v>
      </c>
      <c r="AG26" s="214">
        <f t="shared" ca="1" si="7"/>
        <v>-5284283.9783470053</v>
      </c>
      <c r="AH26" s="214">
        <f t="shared" ca="1" si="7"/>
        <v>-5312561.8090896271</v>
      </c>
      <c r="AI26" s="214">
        <f t="shared" ca="1" si="7"/>
        <v>-5327688.5036175512</v>
      </c>
      <c r="AJ26" s="214">
        <f t="shared" ca="1" si="7"/>
        <v>-5338291.272165996</v>
      </c>
      <c r="AK26" s="214">
        <f t="shared" ca="1" si="7"/>
        <v>-5348545.6483391365</v>
      </c>
      <c r="AL26" s="214">
        <f t="shared" ca="1" si="7"/>
        <v>-5203314.5514346668</v>
      </c>
      <c r="AM26" s="214">
        <f t="shared" ca="1" si="7"/>
        <v>-5104134.9888205156</v>
      </c>
      <c r="AN26" s="214">
        <f t="shared" ca="1" si="7"/>
        <v>-5070338.5889206016</v>
      </c>
      <c r="AO26" s="214">
        <f t="shared" ca="1" si="7"/>
        <v>-5010767.7555980729</v>
      </c>
      <c r="AP26" s="214">
        <f t="shared" ca="1" si="7"/>
        <v>-4934670.894819092</v>
      </c>
      <c r="AQ26" s="214">
        <f t="shared" ca="1" si="7"/>
        <v>-4747963.8495121282</v>
      </c>
      <c r="AR26" s="214">
        <f t="shared" ca="1" si="7"/>
        <v>-4627376.152709974</v>
      </c>
      <c r="AS26" s="214">
        <f t="shared" ca="1" si="7"/>
        <v>-4482692.3395583779</v>
      </c>
      <c r="AT26" s="214">
        <f t="shared" ca="1" si="7"/>
        <v>-4316805.1034500003</v>
      </c>
      <c r="AU26" s="214">
        <f t="shared" ca="1" si="7"/>
        <v>-4133290.6972338557</v>
      </c>
      <c r="AV26" s="214">
        <f t="shared" ca="1" si="7"/>
        <v>-3873774.0947439205</v>
      </c>
      <c r="AW26" s="214">
        <f t="shared" ca="1" si="7"/>
        <v>-3627787.4476768142</v>
      </c>
      <c r="AX26" s="214">
        <f t="shared" ca="1" si="7"/>
        <v>-3398040.5009036772</v>
      </c>
      <c r="AY26" s="214">
        <f t="shared" ca="1" si="7"/>
        <v>-3157198.5950016305</v>
      </c>
      <c r="AZ26" s="214">
        <f t="shared" ca="1" si="7"/>
        <v>-2913617.0612822054</v>
      </c>
      <c r="BA26" s="214">
        <f t="shared" ca="1" si="7"/>
        <v>-2643103.3111416958</v>
      </c>
      <c r="BB26" s="214">
        <f t="shared" ca="1" si="7"/>
        <v>-2406133.3569742157</v>
      </c>
      <c r="BC26" s="214">
        <f t="shared" ca="1" si="7"/>
        <v>-2186182.8114619744</v>
      </c>
      <c r="BD26" s="214">
        <f t="shared" ca="1" si="7"/>
        <v>-1982638.357256317</v>
      </c>
      <c r="BE26" s="214">
        <f t="shared" ca="1" si="7"/>
        <v>-1794856.2069697892</v>
      </c>
      <c r="BF26" s="214">
        <f t="shared" ca="1" si="7"/>
        <v>-1606360.3148348699</v>
      </c>
      <c r="BG26" s="214">
        <f t="shared" ca="1" si="7"/>
        <v>-1421531.1753463498</v>
      </c>
      <c r="BH26" s="214">
        <f t="shared" ca="1" si="7"/>
        <v>-1276495.9879537302</v>
      </c>
      <c r="BI26" s="214">
        <f t="shared" ca="1" si="7"/>
        <v>-1139483.5951292689</v>
      </c>
      <c r="BJ26" s="214">
        <f t="shared" ca="1" si="7"/>
        <v>-1011949.4188779651</v>
      </c>
      <c r="BK26" s="214">
        <f t="shared" ca="1" si="7"/>
        <v>-887531.62057294021</v>
      </c>
      <c r="BL26" s="214">
        <f t="shared" ca="1" si="7"/>
        <v>-777201.76539979223</v>
      </c>
      <c r="BM26" s="214">
        <f t="shared" ca="1" si="7"/>
        <v>-677492.32414604514</v>
      </c>
      <c r="BN26" s="214">
        <f t="shared" ca="1" si="7"/>
        <v>-585236.88219907368</v>
      </c>
      <c r="BO26" s="214">
        <f t="shared" ca="1" si="7"/>
        <v>-500492.47422701726</v>
      </c>
      <c r="BP26" s="214">
        <f t="shared" ca="1" si="7"/>
        <v>-420461.82138946443</v>
      </c>
      <c r="BQ26" s="214">
        <f t="shared" ca="1" si="7"/>
        <v>-347131.36026814743</v>
      </c>
      <c r="BR26" s="214">
        <f t="shared" ca="1" si="7"/>
        <v>-285793.37084747391</v>
      </c>
      <c r="BS26" s="214">
        <f t="shared" ca="1" si="7"/>
        <v>-230895.49143917969</v>
      </c>
      <c r="BT26" s="214">
        <f t="shared" ca="1" si="7"/>
        <v>-182692.96010999335</v>
      </c>
      <c r="BU26" s="214">
        <f t="shared" ca="1" si="7"/>
        <v>-140666.20998727588</v>
      </c>
      <c r="BV26" s="214">
        <f t="shared" ca="1" si="7"/>
        <v>-103562.19355537021</v>
      </c>
      <c r="BW26" s="214">
        <f t="shared" ca="1" si="7"/>
        <v>-77149.872780926278</v>
      </c>
      <c r="BX26" s="214">
        <f t="shared" ca="1" si="7"/>
        <v>-56622.181173739766</v>
      </c>
      <c r="BY26" s="214">
        <f t="shared" ca="1" si="7"/>
        <v>-40963.300992784702</v>
      </c>
      <c r="BZ26" s="214">
        <f t="shared" ref="BZ26:CY26" ca="1" si="8">BZ23+BZ25</f>
        <v>-29146.898615390288</v>
      </c>
      <c r="CA26" s="214">
        <f t="shared" ca="1" si="8"/>
        <v>-16971.492743097759</v>
      </c>
      <c r="CB26" s="214">
        <f t="shared" ca="1" si="8"/>
        <v>-12076.976247002445</v>
      </c>
      <c r="CC26" s="214">
        <f t="shared" ca="1" si="8"/>
        <v>-8463.0061906192404</v>
      </c>
      <c r="CD26" s="214">
        <f t="shared" ca="1" si="8"/>
        <v>-5834.2030479689047</v>
      </c>
      <c r="CE26" s="214">
        <f t="shared" ca="1" si="8"/>
        <v>-3956.8828647934215</v>
      </c>
      <c r="CF26" s="214">
        <f t="shared" ca="1" si="8"/>
        <v>-1916.4937561743227</v>
      </c>
      <c r="CG26" s="214">
        <f t="shared" ca="1" si="8"/>
        <v>-1292.1933498275105</v>
      </c>
      <c r="CH26" s="214">
        <f t="shared" ca="1" si="8"/>
        <v>-849.48594450517908</v>
      </c>
      <c r="CI26" s="214">
        <f t="shared" ca="1" si="8"/>
        <v>-546.94321183652846</v>
      </c>
      <c r="CJ26" s="214">
        <f t="shared" ca="1" si="8"/>
        <v>-348.2732228821464</v>
      </c>
      <c r="CK26" s="214">
        <f t="shared" ca="1" si="8"/>
        <v>9.6615053735149559E-9</v>
      </c>
      <c r="CL26" s="214">
        <f t="shared" ca="1" si="8"/>
        <v>0</v>
      </c>
      <c r="CM26" s="214">
        <f t="shared" ca="1" si="8"/>
        <v>0</v>
      </c>
      <c r="CN26" s="214">
        <f t="shared" ca="1" si="8"/>
        <v>0</v>
      </c>
      <c r="CO26" s="214">
        <f t="shared" ca="1" si="8"/>
        <v>0</v>
      </c>
      <c r="CP26" s="214">
        <f t="shared" ca="1" si="8"/>
        <v>0</v>
      </c>
      <c r="CQ26" s="214">
        <f t="shared" ca="1" si="8"/>
        <v>0</v>
      </c>
      <c r="CR26" s="214">
        <f t="shared" ca="1" si="8"/>
        <v>0</v>
      </c>
      <c r="CS26" s="214">
        <f t="shared" ca="1" si="8"/>
        <v>0</v>
      </c>
      <c r="CT26" s="214">
        <f t="shared" ca="1" si="8"/>
        <v>0</v>
      </c>
      <c r="CU26" s="214">
        <f t="shared" ca="1" si="8"/>
        <v>0</v>
      </c>
      <c r="CV26" s="214">
        <f t="shared" ca="1" si="8"/>
        <v>0</v>
      </c>
      <c r="CW26" s="214">
        <f t="shared" ca="1" si="8"/>
        <v>0</v>
      </c>
      <c r="CX26" s="214">
        <f t="shared" ca="1" si="8"/>
        <v>0</v>
      </c>
      <c r="CY26" s="214">
        <f t="shared" ca="1" si="8"/>
        <v>0</v>
      </c>
    </row>
    <row r="27" spans="2:103" ht="15" thickBot="1" x14ac:dyDescent="0.35">
      <c r="B27" s="220" t="s">
        <v>145</v>
      </c>
      <c r="C27" s="224"/>
      <c r="D27" s="213">
        <f ca="1">IF(D26&lt;0,D26*105%,95%*D26)</f>
        <v>-336041.480636489</v>
      </c>
      <c r="E27" s="213">
        <f t="shared" ref="E27:M27" ca="1" si="9">IF(E26&lt;0,E26*105%,95%*E26)</f>
        <v>-434527.30382555613</v>
      </c>
      <c r="F27" s="213">
        <f t="shared" ca="1" si="9"/>
        <v>663155.20582097536</v>
      </c>
      <c r="G27" s="213">
        <f t="shared" ca="1" si="9"/>
        <v>2144275.2467415701</v>
      </c>
      <c r="H27" s="213">
        <f t="shared" ca="1" si="9"/>
        <v>3325158.8677593539</v>
      </c>
      <c r="I27" s="213">
        <f t="shared" ca="1" si="9"/>
        <v>5218298.6913499255</v>
      </c>
      <c r="J27" s="213">
        <f t="shared" ca="1" si="9"/>
        <v>7230805.8337208312</v>
      </c>
      <c r="K27" s="213">
        <f t="shared" ca="1" si="9"/>
        <v>9195852.3167760074</v>
      </c>
      <c r="L27" s="213">
        <f t="shared" ca="1" si="9"/>
        <v>10976904.120345421</v>
      </c>
      <c r="M27" s="213">
        <f t="shared" ca="1" si="9"/>
        <v>12798020.056833118</v>
      </c>
      <c r="N27" s="213">
        <f t="shared" ref="N27:BY27" ca="1" si="10">IF(N26&lt;0,N26*105%,95%*N26)</f>
        <v>18500743.561796647</v>
      </c>
      <c r="O27" s="213">
        <f t="shared" ca="1" si="10"/>
        <v>16715703.735810308</v>
      </c>
      <c r="P27" s="213">
        <f t="shared" ca="1" si="10"/>
        <v>13867836.768594027</v>
      </c>
      <c r="Q27" s="213">
        <f t="shared" ca="1" si="10"/>
        <v>10508186.365808854</v>
      </c>
      <c r="R27" s="213">
        <f t="shared" ca="1" si="10"/>
        <v>9242957.4336594958</v>
      </c>
      <c r="S27" s="213">
        <f t="shared" ca="1" si="10"/>
        <v>6225883.3751818947</v>
      </c>
      <c r="T27" s="213">
        <f t="shared" ca="1" si="10"/>
        <v>3664467.4628586299</v>
      </c>
      <c r="U27" s="213">
        <f t="shared" ca="1" si="10"/>
        <v>1883673.7526751105</v>
      </c>
      <c r="V27" s="213">
        <f t="shared" ca="1" si="10"/>
        <v>330569.17757193075</v>
      </c>
      <c r="W27" s="213">
        <f t="shared" ca="1" si="10"/>
        <v>-490060.20314060303</v>
      </c>
      <c r="X27" s="213">
        <f t="shared" ca="1" si="10"/>
        <v>-1747733.5746391879</v>
      </c>
      <c r="Y27" s="213">
        <f t="shared" ca="1" si="10"/>
        <v>-2839029.7145686606</v>
      </c>
      <c r="Z27" s="213">
        <f t="shared" ca="1" si="10"/>
        <v>-3758508.2163615297</v>
      </c>
      <c r="AA27" s="213">
        <f t="shared" ca="1" si="10"/>
        <v>-4497402.1751979263</v>
      </c>
      <c r="AB27" s="213">
        <f t="shared" ca="1" si="10"/>
        <v>-4675447.0724724559</v>
      </c>
      <c r="AC27" s="213">
        <f t="shared" ca="1" si="10"/>
        <v>-5074832.6451679654</v>
      </c>
      <c r="AD27" s="213">
        <f t="shared" ca="1" si="10"/>
        <v>-5370065.5545329107</v>
      </c>
      <c r="AE27" s="213">
        <f t="shared" ca="1" si="10"/>
        <v>-5559155.332626408</v>
      </c>
      <c r="AF27" s="213">
        <f t="shared" ca="1" si="10"/>
        <v>-5693690.631879136</v>
      </c>
      <c r="AG27" s="213">
        <f t="shared" ca="1" si="10"/>
        <v>-5548498.1772643561</v>
      </c>
      <c r="AH27" s="213">
        <f t="shared" ca="1" si="10"/>
        <v>-5578189.8995441087</v>
      </c>
      <c r="AI27" s="213">
        <f t="shared" ca="1" si="10"/>
        <v>-5594072.9287984287</v>
      </c>
      <c r="AJ27" s="213">
        <f t="shared" ca="1" si="10"/>
        <v>-5605205.835774296</v>
      </c>
      <c r="AK27" s="213">
        <f t="shared" ca="1" si="10"/>
        <v>-5615972.9307560939</v>
      </c>
      <c r="AL27" s="213">
        <f t="shared" ca="1" si="10"/>
        <v>-5463480.2790064001</v>
      </c>
      <c r="AM27" s="213">
        <f t="shared" ca="1" si="10"/>
        <v>-5359341.7382615414</v>
      </c>
      <c r="AN27" s="213">
        <f t="shared" ca="1" si="10"/>
        <v>-5323855.5183666321</v>
      </c>
      <c r="AO27" s="213">
        <f t="shared" ca="1" si="10"/>
        <v>-5261306.1433779765</v>
      </c>
      <c r="AP27" s="213">
        <f t="shared" ca="1" si="10"/>
        <v>-5181404.4395600464</v>
      </c>
      <c r="AQ27" s="213">
        <f t="shared" ca="1" si="10"/>
        <v>-4985362.0419877348</v>
      </c>
      <c r="AR27" s="213">
        <f t="shared" ca="1" si="10"/>
        <v>-4858744.9603454731</v>
      </c>
      <c r="AS27" s="213">
        <f t="shared" ca="1" si="10"/>
        <v>-4706826.9565362968</v>
      </c>
      <c r="AT27" s="213">
        <f t="shared" ca="1" si="10"/>
        <v>-4532645.3586225007</v>
      </c>
      <c r="AU27" s="213">
        <f t="shared" ca="1" si="10"/>
        <v>-4339955.2320955489</v>
      </c>
      <c r="AV27" s="213">
        <f t="shared" ca="1" si="10"/>
        <v>-4067462.7994811167</v>
      </c>
      <c r="AW27" s="213">
        <f t="shared" ca="1" si="10"/>
        <v>-3809176.820060655</v>
      </c>
      <c r="AX27" s="213">
        <f t="shared" ca="1" si="10"/>
        <v>-3567942.5259488611</v>
      </c>
      <c r="AY27" s="213">
        <f t="shared" ca="1" si="10"/>
        <v>-3315058.5247517121</v>
      </c>
      <c r="AZ27" s="213">
        <f t="shared" ca="1" si="10"/>
        <v>-3059297.9143463159</v>
      </c>
      <c r="BA27" s="213">
        <f t="shared" ca="1" si="10"/>
        <v>-2775258.4766987809</v>
      </c>
      <c r="BB27" s="213">
        <f t="shared" ca="1" si="10"/>
        <v>-2526440.0248229266</v>
      </c>
      <c r="BC27" s="213">
        <f t="shared" ca="1" si="10"/>
        <v>-2295491.9520350732</v>
      </c>
      <c r="BD27" s="213">
        <f t="shared" ca="1" si="10"/>
        <v>-2081770.2751191331</v>
      </c>
      <c r="BE27" s="213">
        <f t="shared" ca="1" si="10"/>
        <v>-1884599.0173182788</v>
      </c>
      <c r="BF27" s="213">
        <f t="shared" ca="1" si="10"/>
        <v>-1686678.3305766135</v>
      </c>
      <c r="BG27" s="213">
        <f t="shared" ca="1" si="10"/>
        <v>-1492607.7341136674</v>
      </c>
      <c r="BH27" s="213">
        <f t="shared" ca="1" si="10"/>
        <v>-1340320.7873514167</v>
      </c>
      <c r="BI27" s="213">
        <f t="shared" ca="1" si="10"/>
        <v>-1196457.7748857324</v>
      </c>
      <c r="BJ27" s="213">
        <f t="shared" ca="1" si="10"/>
        <v>-1062546.8898218633</v>
      </c>
      <c r="BK27" s="213">
        <f t="shared" ca="1" si="10"/>
        <v>-931908.20160158724</v>
      </c>
      <c r="BL27" s="213">
        <f t="shared" ca="1" si="10"/>
        <v>-816061.85366978182</v>
      </c>
      <c r="BM27" s="213">
        <f t="shared" ca="1" si="10"/>
        <v>-711366.94035334745</v>
      </c>
      <c r="BN27" s="213">
        <f t="shared" ca="1" si="10"/>
        <v>-614498.72630902741</v>
      </c>
      <c r="BO27" s="213">
        <f t="shared" ca="1" si="10"/>
        <v>-525517.0979383681</v>
      </c>
      <c r="BP27" s="213">
        <f t="shared" ca="1" si="10"/>
        <v>-441484.91245893767</v>
      </c>
      <c r="BQ27" s="213">
        <f t="shared" ca="1" si="10"/>
        <v>-364487.92828155484</v>
      </c>
      <c r="BR27" s="213">
        <f t="shared" ca="1" si="10"/>
        <v>-300083.0393898476</v>
      </c>
      <c r="BS27" s="213">
        <f t="shared" ca="1" si="10"/>
        <v>-242440.26601113868</v>
      </c>
      <c r="BT27" s="213">
        <f t="shared" ca="1" si="10"/>
        <v>-191827.60811549303</v>
      </c>
      <c r="BU27" s="213">
        <f t="shared" ca="1" si="10"/>
        <v>-147699.5204866397</v>
      </c>
      <c r="BV27" s="213">
        <f t="shared" ca="1" si="10"/>
        <v>-108740.30323313872</v>
      </c>
      <c r="BW27" s="213">
        <f t="shared" ca="1" si="10"/>
        <v>-81007.36641997259</v>
      </c>
      <c r="BX27" s="213">
        <f t="shared" ca="1" si="10"/>
        <v>-59453.290232426756</v>
      </c>
      <c r="BY27" s="213">
        <f t="shared" ca="1" si="10"/>
        <v>-43011.466042423941</v>
      </c>
      <c r="BZ27" s="213">
        <f t="shared" ref="BZ27:CY27" ca="1" si="11">IF(BZ26&lt;0,BZ26*105%,95%*BZ26)</f>
        <v>-30604.243546159803</v>
      </c>
      <c r="CA27" s="213">
        <f t="shared" ca="1" si="11"/>
        <v>-17820.067380252647</v>
      </c>
      <c r="CB27" s="213">
        <f t="shared" ca="1" si="11"/>
        <v>-12680.825059352568</v>
      </c>
      <c r="CC27" s="213">
        <f t="shared" ca="1" si="11"/>
        <v>-8886.1565001502022</v>
      </c>
      <c r="CD27" s="213">
        <f t="shared" ca="1" si="11"/>
        <v>-6125.9132003673503</v>
      </c>
      <c r="CE27" s="213">
        <f t="shared" ca="1" si="11"/>
        <v>-4154.7270080330927</v>
      </c>
      <c r="CF27" s="213">
        <f t="shared" ca="1" si="11"/>
        <v>-2012.3184439830388</v>
      </c>
      <c r="CG27" s="213">
        <f t="shared" ca="1" si="11"/>
        <v>-1356.8030173188861</v>
      </c>
      <c r="CH27" s="213">
        <f t="shared" ca="1" si="11"/>
        <v>-891.96024173043804</v>
      </c>
      <c r="CI27" s="213">
        <f t="shared" ca="1" si="11"/>
        <v>-574.29037242835489</v>
      </c>
      <c r="CJ27" s="213">
        <f t="shared" ca="1" si="11"/>
        <v>-365.68688402625372</v>
      </c>
      <c r="CK27" s="213">
        <f t="shared" ca="1" si="11"/>
        <v>9.1784301048392077E-9</v>
      </c>
      <c r="CL27" s="213">
        <f t="shared" ca="1" si="11"/>
        <v>0</v>
      </c>
      <c r="CM27" s="213">
        <f t="shared" ca="1" si="11"/>
        <v>0</v>
      </c>
      <c r="CN27" s="213">
        <f t="shared" ca="1" si="11"/>
        <v>0</v>
      </c>
      <c r="CO27" s="213">
        <f t="shared" ca="1" si="11"/>
        <v>0</v>
      </c>
      <c r="CP27" s="213">
        <f t="shared" ca="1" si="11"/>
        <v>0</v>
      </c>
      <c r="CQ27" s="213">
        <f t="shared" ca="1" si="11"/>
        <v>0</v>
      </c>
      <c r="CR27" s="213">
        <f t="shared" ca="1" si="11"/>
        <v>0</v>
      </c>
      <c r="CS27" s="213">
        <f t="shared" ca="1" si="11"/>
        <v>0</v>
      </c>
      <c r="CT27" s="213">
        <f t="shared" ca="1" si="11"/>
        <v>0</v>
      </c>
      <c r="CU27" s="213">
        <f t="shared" ca="1" si="11"/>
        <v>0</v>
      </c>
      <c r="CV27" s="213">
        <f t="shared" ca="1" si="11"/>
        <v>0</v>
      </c>
      <c r="CW27" s="213">
        <f t="shared" ca="1" si="11"/>
        <v>0</v>
      </c>
      <c r="CX27" s="213">
        <f t="shared" ca="1" si="11"/>
        <v>0</v>
      </c>
      <c r="CY27" s="213">
        <f t="shared" ca="1" si="11"/>
        <v>0</v>
      </c>
    </row>
    <row r="28" spans="2:103" ht="15" thickBot="1" x14ac:dyDescent="0.35">
      <c r="B28" s="220" t="s">
        <v>146</v>
      </c>
      <c r="C28" s="224"/>
      <c r="D28" s="213">
        <f t="shared" ref="D28:M28" si="12">D40*Required_Return_On_CAR</f>
        <v>84813.443478401517</v>
      </c>
      <c r="E28" s="213">
        <f t="shared" si="12"/>
        <v>227417.68673012845</v>
      </c>
      <c r="F28" s="213">
        <f t="shared" si="12"/>
        <v>406769.66448033653</v>
      </c>
      <c r="G28" s="213">
        <f t="shared" si="12"/>
        <v>586448.69691123371</v>
      </c>
      <c r="H28" s="213">
        <f t="shared" si="12"/>
        <v>801810.59042351146</v>
      </c>
      <c r="I28" s="213">
        <f t="shared" si="12"/>
        <v>1009896.7573107707</v>
      </c>
      <c r="J28" s="213">
        <f t="shared" si="12"/>
        <v>1211356.6614798016</v>
      </c>
      <c r="K28" s="213">
        <f t="shared" si="12"/>
        <v>1417505.900296188</v>
      </c>
      <c r="L28" s="213">
        <f t="shared" si="12"/>
        <v>1646802.6087461784</v>
      </c>
      <c r="M28" s="213">
        <f t="shared" si="12"/>
        <v>1913530.1238047304</v>
      </c>
      <c r="N28" s="213">
        <f t="shared" ref="N28:BY28" si="13">N40*Required_Return_On_CAR</f>
        <v>1558832.8870258583</v>
      </c>
      <c r="O28" s="213">
        <f t="shared" si="13"/>
        <v>1226798.1200648618</v>
      </c>
      <c r="P28" s="213">
        <f t="shared" si="13"/>
        <v>960173.43365320249</v>
      </c>
      <c r="Q28" s="213">
        <f t="shared" si="13"/>
        <v>770391.5809538007</v>
      </c>
      <c r="R28" s="213">
        <f t="shared" si="13"/>
        <v>621146.34973823419</v>
      </c>
      <c r="S28" s="213">
        <f t="shared" si="13"/>
        <v>544835.65733176575</v>
      </c>
      <c r="T28" s="213">
        <f t="shared" si="13"/>
        <v>518929.26788966864</v>
      </c>
      <c r="U28" s="213">
        <f t="shared" si="13"/>
        <v>515698.43872769497</v>
      </c>
      <c r="V28" s="213">
        <f t="shared" si="13"/>
        <v>519716.42728804046</v>
      </c>
      <c r="W28" s="213">
        <f t="shared" si="13"/>
        <v>531981.34594635374</v>
      </c>
      <c r="X28" s="213">
        <f t="shared" si="13"/>
        <v>538679.43425639009</v>
      </c>
      <c r="Y28" s="213">
        <f t="shared" si="13"/>
        <v>541897.45464111597</v>
      </c>
      <c r="Z28" s="213">
        <f t="shared" si="13"/>
        <v>540230.74787166889</v>
      </c>
      <c r="AA28" s="213">
        <f t="shared" si="13"/>
        <v>533155.3522721132</v>
      </c>
      <c r="AB28" s="213">
        <f t="shared" si="13"/>
        <v>527499.73337225534</v>
      </c>
      <c r="AC28" s="213">
        <f t="shared" si="13"/>
        <v>518071.67051191174</v>
      </c>
      <c r="AD28" s="213">
        <f t="shared" si="13"/>
        <v>506446.40629552305</v>
      </c>
      <c r="AE28" s="213">
        <f t="shared" si="13"/>
        <v>492735.13755272585</v>
      </c>
      <c r="AF28" s="213">
        <f t="shared" si="13"/>
        <v>477173.39361594227</v>
      </c>
      <c r="AG28" s="213">
        <f t="shared" si="13"/>
        <v>463927.37886537355</v>
      </c>
      <c r="AH28" s="213">
        <f t="shared" si="13"/>
        <v>447905.28969536856</v>
      </c>
      <c r="AI28" s="213">
        <f t="shared" si="13"/>
        <v>431133.88853321393</v>
      </c>
      <c r="AJ28" s="213">
        <f t="shared" si="13"/>
        <v>413190.21394726797</v>
      </c>
      <c r="AK28" s="213">
        <f t="shared" si="13"/>
        <v>393943.14085684996</v>
      </c>
      <c r="AL28" s="213">
        <f t="shared" si="13"/>
        <v>375315.29147274606</v>
      </c>
      <c r="AM28" s="213">
        <f t="shared" si="13"/>
        <v>356162.85425704531</v>
      </c>
      <c r="AN28" s="213">
        <f t="shared" si="13"/>
        <v>336458.12381196069</v>
      </c>
      <c r="AO28" s="213">
        <f t="shared" si="13"/>
        <v>316171.87928931502</v>
      </c>
      <c r="AP28" s="213">
        <f t="shared" si="13"/>
        <v>295377.40991258505</v>
      </c>
      <c r="AQ28" s="213">
        <f t="shared" si="13"/>
        <v>275183.71837516112</v>
      </c>
      <c r="AR28" s="213">
        <f t="shared" si="13"/>
        <v>254845.56661513291</v>
      </c>
      <c r="AS28" s="213">
        <f t="shared" si="13"/>
        <v>234665.16405772453</v>
      </c>
      <c r="AT28" s="213">
        <f t="shared" si="13"/>
        <v>214763.93948454561</v>
      </c>
      <c r="AU28" s="213">
        <f t="shared" si="13"/>
        <v>195303.18926178856</v>
      </c>
      <c r="AV28" s="213">
        <f t="shared" si="13"/>
        <v>176968.21760273457</v>
      </c>
      <c r="AW28" s="213">
        <f t="shared" si="13"/>
        <v>159584.00338145319</v>
      </c>
      <c r="AX28" s="213">
        <f t="shared" si="13"/>
        <v>143205.19238905222</v>
      </c>
      <c r="AY28" s="213">
        <f t="shared" si="13"/>
        <v>127903.15771826402</v>
      </c>
      <c r="AZ28" s="213">
        <f t="shared" si="13"/>
        <v>113725.5834722383</v>
      </c>
      <c r="BA28" s="213">
        <f t="shared" si="13"/>
        <v>100905.0091266589</v>
      </c>
      <c r="BB28" s="213">
        <f t="shared" si="13"/>
        <v>89229.808132851991</v>
      </c>
      <c r="BC28" s="213">
        <f t="shared" si="13"/>
        <v>78634.290590954944</v>
      </c>
      <c r="BD28" s="213">
        <f t="shared" si="13"/>
        <v>69038.428354470117</v>
      </c>
      <c r="BE28" s="213">
        <f t="shared" si="13"/>
        <v>60364.323809711663</v>
      </c>
      <c r="BF28" s="213">
        <f t="shared" si="13"/>
        <v>52632.364424865518</v>
      </c>
      <c r="BG28" s="213">
        <f t="shared" si="13"/>
        <v>45751.744452280749</v>
      </c>
      <c r="BH28" s="213">
        <f t="shared" si="13"/>
        <v>39653.119439070724</v>
      </c>
      <c r="BI28" s="213">
        <f t="shared" si="13"/>
        <v>34229.110552937949</v>
      </c>
      <c r="BJ28" s="213">
        <f t="shared" si="13"/>
        <v>29428.846954182787</v>
      </c>
      <c r="BK28" s="213">
        <f t="shared" si="13"/>
        <v>25229.896550857226</v>
      </c>
      <c r="BL28" s="213">
        <f t="shared" si="13"/>
        <v>21552.775972757765</v>
      </c>
      <c r="BM28" s="213">
        <f t="shared" si="13"/>
        <v>18344.158648639786</v>
      </c>
      <c r="BN28" s="213">
        <f t="shared" si="13"/>
        <v>15556.202985814154</v>
      </c>
      <c r="BO28" s="213">
        <f t="shared" si="13"/>
        <v>13146.077882441836</v>
      </c>
      <c r="BP28" s="213">
        <f t="shared" si="13"/>
        <v>11080.070672615424</v>
      </c>
      <c r="BQ28" s="213">
        <f t="shared" si="13"/>
        <v>9308.2407753794232</v>
      </c>
      <c r="BR28" s="213">
        <f t="shared" si="13"/>
        <v>7801.010899602974</v>
      </c>
      <c r="BS28" s="213">
        <f t="shared" si="13"/>
        <v>6505.8615693361753</v>
      </c>
      <c r="BT28" s="213">
        <f t="shared" si="13"/>
        <v>5393.0309186132336</v>
      </c>
      <c r="BU28" s="213">
        <f t="shared" si="13"/>
        <v>4439.4893545762652</v>
      </c>
      <c r="BV28" s="213">
        <f t="shared" si="13"/>
        <v>3609.6998147433223</v>
      </c>
      <c r="BW28" s="213">
        <f t="shared" si="13"/>
        <v>2936.3377743937162</v>
      </c>
      <c r="BX28" s="213">
        <f t="shared" si="13"/>
        <v>2374.6036713510871</v>
      </c>
      <c r="BY28" s="213">
        <f t="shared" si="13"/>
        <v>1907.2014822787069</v>
      </c>
      <c r="BZ28" s="213">
        <f t="shared" ref="BZ28:CY28" si="14">BZ40*Required_Return_On_CAR</f>
        <v>1519.6840487095196</v>
      </c>
      <c r="CA28" s="213">
        <f t="shared" si="14"/>
        <v>1111.472657770378</v>
      </c>
      <c r="CB28" s="213">
        <f t="shared" si="14"/>
        <v>906.65304727267221</v>
      </c>
      <c r="CC28" s="213">
        <f t="shared" si="14"/>
        <v>734.49570266319188</v>
      </c>
      <c r="CD28" s="213">
        <f t="shared" si="14"/>
        <v>590.43324845240443</v>
      </c>
      <c r="CE28" s="213">
        <f t="shared" si="14"/>
        <v>471.77733329632542</v>
      </c>
      <c r="CF28" s="213">
        <f t="shared" si="14"/>
        <v>337.75816161045725</v>
      </c>
      <c r="CG28" s="213">
        <f t="shared" si="14"/>
        <v>268.69485186048496</v>
      </c>
      <c r="CH28" s="213">
        <f t="shared" si="14"/>
        <v>212.33852521108821</v>
      </c>
      <c r="CI28" s="213">
        <f t="shared" si="14"/>
        <v>172.52631947601637</v>
      </c>
      <c r="CJ28" s="213">
        <f t="shared" si="14"/>
        <v>0.79288792951840659</v>
      </c>
      <c r="CK28" s="213">
        <f t="shared" si="14"/>
        <v>0.30723867669936872</v>
      </c>
      <c r="CL28" s="213">
        <f t="shared" si="14"/>
        <v>0</v>
      </c>
      <c r="CM28" s="213">
        <f t="shared" si="14"/>
        <v>0</v>
      </c>
      <c r="CN28" s="213">
        <f t="shared" si="14"/>
        <v>0</v>
      </c>
      <c r="CO28" s="213">
        <f t="shared" si="14"/>
        <v>0</v>
      </c>
      <c r="CP28" s="213">
        <f t="shared" si="14"/>
        <v>0</v>
      </c>
      <c r="CQ28" s="213">
        <f t="shared" si="14"/>
        <v>0</v>
      </c>
      <c r="CR28" s="213">
        <f t="shared" si="14"/>
        <v>0</v>
      </c>
      <c r="CS28" s="213">
        <f t="shared" si="14"/>
        <v>0</v>
      </c>
      <c r="CT28" s="213">
        <f t="shared" si="14"/>
        <v>0</v>
      </c>
      <c r="CU28" s="213">
        <f t="shared" si="14"/>
        <v>0</v>
      </c>
      <c r="CV28" s="213">
        <f t="shared" si="14"/>
        <v>0</v>
      </c>
      <c r="CW28" s="213">
        <f t="shared" si="14"/>
        <v>0</v>
      </c>
      <c r="CX28" s="213">
        <f t="shared" si="14"/>
        <v>0</v>
      </c>
      <c r="CY28" s="213">
        <f t="shared" si="14"/>
        <v>0</v>
      </c>
    </row>
    <row r="29" spans="2:103" ht="15" thickBot="1" x14ac:dyDescent="0.35">
      <c r="B29" s="212" t="s">
        <v>147</v>
      </c>
      <c r="C29" s="230"/>
      <c r="D29" s="214">
        <f ca="1">SUM(D27:D28)</f>
        <v>-251228.03715808748</v>
      </c>
      <c r="E29" s="214">
        <f t="shared" ref="E29:M29" ca="1" si="15">SUM(E27:E28)</f>
        <v>-207109.61709542767</v>
      </c>
      <c r="F29" s="214">
        <f t="shared" ca="1" si="15"/>
        <v>1069924.8703013118</v>
      </c>
      <c r="G29" s="214">
        <f t="shared" ca="1" si="15"/>
        <v>2730723.943652804</v>
      </c>
      <c r="H29" s="214">
        <f t="shared" ca="1" si="15"/>
        <v>4126969.4581828653</v>
      </c>
      <c r="I29" s="214">
        <f t="shared" ca="1" si="15"/>
        <v>6228195.4486606959</v>
      </c>
      <c r="J29" s="214">
        <f t="shared" ca="1" si="15"/>
        <v>8442162.4952006321</v>
      </c>
      <c r="K29" s="214">
        <f t="shared" ca="1" si="15"/>
        <v>10613358.217072196</v>
      </c>
      <c r="L29" s="214">
        <f t="shared" ca="1" si="15"/>
        <v>12623706.7290916</v>
      </c>
      <c r="M29" s="214">
        <f t="shared" ca="1" si="15"/>
        <v>14711550.180637848</v>
      </c>
      <c r="N29" s="214">
        <f t="shared" ref="N29:BY29" ca="1" si="16">SUM(N27:N28)</f>
        <v>20059576.448822506</v>
      </c>
      <c r="O29" s="214">
        <f t="shared" ca="1" si="16"/>
        <v>17942501.855875168</v>
      </c>
      <c r="P29" s="214">
        <f t="shared" ca="1" si="16"/>
        <v>14828010.202247228</v>
      </c>
      <c r="Q29" s="214">
        <f t="shared" ca="1" si="16"/>
        <v>11278577.946762655</v>
      </c>
      <c r="R29" s="214">
        <f t="shared" ca="1" si="16"/>
        <v>9864103.7833977304</v>
      </c>
      <c r="S29" s="214">
        <f t="shared" ca="1" si="16"/>
        <v>6770719.0325136604</v>
      </c>
      <c r="T29" s="214">
        <f t="shared" ca="1" si="16"/>
        <v>4183396.7307482986</v>
      </c>
      <c r="U29" s="214">
        <f t="shared" ca="1" si="16"/>
        <v>2399372.1914028055</v>
      </c>
      <c r="V29" s="214">
        <f t="shared" ca="1" si="16"/>
        <v>850285.60485997121</v>
      </c>
      <c r="W29" s="214">
        <f t="shared" ca="1" si="16"/>
        <v>41921.142805750715</v>
      </c>
      <c r="X29" s="214">
        <f t="shared" ca="1" si="16"/>
        <v>-1209054.1403827979</v>
      </c>
      <c r="Y29" s="214">
        <f t="shared" ca="1" si="16"/>
        <v>-2297132.2599275447</v>
      </c>
      <c r="Z29" s="214">
        <f t="shared" ca="1" si="16"/>
        <v>-3218277.4684898607</v>
      </c>
      <c r="AA29" s="214">
        <f t="shared" ca="1" si="16"/>
        <v>-3964246.822925813</v>
      </c>
      <c r="AB29" s="214">
        <f t="shared" ca="1" si="16"/>
        <v>-4147947.3391002007</v>
      </c>
      <c r="AC29" s="214">
        <f t="shared" ca="1" si="16"/>
        <v>-4556760.9746560538</v>
      </c>
      <c r="AD29" s="214">
        <f t="shared" ca="1" si="16"/>
        <v>-4863619.1482373876</v>
      </c>
      <c r="AE29" s="214">
        <f t="shared" ca="1" si="16"/>
        <v>-5066420.1950736819</v>
      </c>
      <c r="AF29" s="214">
        <f t="shared" ca="1" si="16"/>
        <v>-5216517.2382631935</v>
      </c>
      <c r="AG29" s="214">
        <f t="shared" ca="1" si="16"/>
        <v>-5084570.7983989827</v>
      </c>
      <c r="AH29" s="214">
        <f t="shared" ca="1" si="16"/>
        <v>-5130284.6098487405</v>
      </c>
      <c r="AI29" s="214">
        <f t="shared" ca="1" si="16"/>
        <v>-5162939.0402652146</v>
      </c>
      <c r="AJ29" s="214">
        <f t="shared" ca="1" si="16"/>
        <v>-5192015.6218270278</v>
      </c>
      <c r="AK29" s="214">
        <f t="shared" ca="1" si="16"/>
        <v>-5222029.789899244</v>
      </c>
      <c r="AL29" s="214">
        <f t="shared" ca="1" si="16"/>
        <v>-5088164.9875336541</v>
      </c>
      <c r="AM29" s="214">
        <f t="shared" ca="1" si="16"/>
        <v>-5003178.884004496</v>
      </c>
      <c r="AN29" s="214">
        <f t="shared" ca="1" si="16"/>
        <v>-4987397.3945546709</v>
      </c>
      <c r="AO29" s="214">
        <f t="shared" ca="1" si="16"/>
        <v>-4945134.2640886614</v>
      </c>
      <c r="AP29" s="214">
        <f t="shared" ca="1" si="16"/>
        <v>-4886027.0296474611</v>
      </c>
      <c r="AQ29" s="214">
        <f t="shared" ca="1" si="16"/>
        <v>-4710178.3236125736</v>
      </c>
      <c r="AR29" s="214">
        <f t="shared" ca="1" si="16"/>
        <v>-4603899.3937303405</v>
      </c>
      <c r="AS29" s="214">
        <f t="shared" ca="1" si="16"/>
        <v>-4472161.7924785726</v>
      </c>
      <c r="AT29" s="214">
        <f t="shared" ca="1" si="16"/>
        <v>-4317881.4191379547</v>
      </c>
      <c r="AU29" s="214">
        <f t="shared" ca="1" si="16"/>
        <v>-4144652.0428337604</v>
      </c>
      <c r="AV29" s="214">
        <f t="shared" ca="1" si="16"/>
        <v>-3890494.5818783822</v>
      </c>
      <c r="AW29" s="214">
        <f t="shared" ca="1" si="16"/>
        <v>-3649592.816679202</v>
      </c>
      <c r="AX29" s="214">
        <f t="shared" ca="1" si="16"/>
        <v>-3424737.3335598088</v>
      </c>
      <c r="AY29" s="214">
        <f t="shared" ca="1" si="16"/>
        <v>-3187155.3670334481</v>
      </c>
      <c r="AZ29" s="214">
        <f t="shared" ca="1" si="16"/>
        <v>-2945572.3308740775</v>
      </c>
      <c r="BA29" s="214">
        <f t="shared" ca="1" si="16"/>
        <v>-2674353.4675721219</v>
      </c>
      <c r="BB29" s="214">
        <f t="shared" ca="1" si="16"/>
        <v>-2437210.2166900747</v>
      </c>
      <c r="BC29" s="214">
        <f t="shared" ca="1" si="16"/>
        <v>-2216857.6614441182</v>
      </c>
      <c r="BD29" s="214">
        <f t="shared" ca="1" si="16"/>
        <v>-2012731.846764663</v>
      </c>
      <c r="BE29" s="214">
        <f t="shared" ca="1" si="16"/>
        <v>-1824234.6935085671</v>
      </c>
      <c r="BF29" s="214">
        <f t="shared" ca="1" si="16"/>
        <v>-1634045.9661517481</v>
      </c>
      <c r="BG29" s="214">
        <f t="shared" ca="1" si="16"/>
        <v>-1446855.9896613867</v>
      </c>
      <c r="BH29" s="214">
        <f t="shared" ca="1" si="16"/>
        <v>-1300667.6679123458</v>
      </c>
      <c r="BI29" s="214">
        <f t="shared" ca="1" si="16"/>
        <v>-1162228.6643327945</v>
      </c>
      <c r="BJ29" s="214">
        <f t="shared" ca="1" si="16"/>
        <v>-1033118.0428676804</v>
      </c>
      <c r="BK29" s="214">
        <f t="shared" ca="1" si="16"/>
        <v>-906678.30505073001</v>
      </c>
      <c r="BL29" s="214">
        <f t="shared" ca="1" si="16"/>
        <v>-794509.0776970241</v>
      </c>
      <c r="BM29" s="214">
        <f t="shared" ca="1" si="16"/>
        <v>-693022.78170470765</v>
      </c>
      <c r="BN29" s="214">
        <f t="shared" ca="1" si="16"/>
        <v>-598942.52332321322</v>
      </c>
      <c r="BO29" s="214">
        <f t="shared" ca="1" si="16"/>
        <v>-512371.02005592629</v>
      </c>
      <c r="BP29" s="214">
        <f t="shared" ca="1" si="16"/>
        <v>-430404.84178632224</v>
      </c>
      <c r="BQ29" s="214">
        <f t="shared" ca="1" si="16"/>
        <v>-355179.68750617543</v>
      </c>
      <c r="BR29" s="214">
        <f t="shared" ca="1" si="16"/>
        <v>-292282.02849024464</v>
      </c>
      <c r="BS29" s="214">
        <f t="shared" ca="1" si="16"/>
        <v>-235934.4044418025</v>
      </c>
      <c r="BT29" s="214">
        <f t="shared" ca="1" si="16"/>
        <v>-186434.57719687981</v>
      </c>
      <c r="BU29" s="214">
        <f t="shared" ca="1" si="16"/>
        <v>-143260.03113206342</v>
      </c>
      <c r="BV29" s="214">
        <f t="shared" ca="1" si="16"/>
        <v>-105130.6034183954</v>
      </c>
      <c r="BW29" s="214">
        <f t="shared" ca="1" si="16"/>
        <v>-78071.028645578874</v>
      </c>
      <c r="BX29" s="214">
        <f t="shared" ca="1" si="16"/>
        <v>-57078.686561075672</v>
      </c>
      <c r="BY29" s="214">
        <f t="shared" ca="1" si="16"/>
        <v>-41104.264560145231</v>
      </c>
      <c r="BZ29" s="214">
        <f t="shared" ref="BZ29:CY29" ca="1" si="17">SUM(BZ27:BZ28)</f>
        <v>-29084.559497450282</v>
      </c>
      <c r="CA29" s="214">
        <f t="shared" ca="1" si="17"/>
        <v>-16708.59472248227</v>
      </c>
      <c r="CB29" s="214">
        <f t="shared" ca="1" si="17"/>
        <v>-11774.172012079896</v>
      </c>
      <c r="CC29" s="214">
        <f t="shared" ca="1" si="17"/>
        <v>-8151.6607974870103</v>
      </c>
      <c r="CD29" s="214">
        <f t="shared" ca="1" si="17"/>
        <v>-5535.4799519149456</v>
      </c>
      <c r="CE29" s="214">
        <f t="shared" ca="1" si="17"/>
        <v>-3682.9496747367675</v>
      </c>
      <c r="CF29" s="214">
        <f t="shared" ca="1" si="17"/>
        <v>-1674.5602823725817</v>
      </c>
      <c r="CG29" s="214">
        <f t="shared" ca="1" si="17"/>
        <v>-1088.1081654584011</v>
      </c>
      <c r="CH29" s="214">
        <f t="shared" ca="1" si="17"/>
        <v>-679.62171651934977</v>
      </c>
      <c r="CI29" s="214">
        <f t="shared" ca="1" si="17"/>
        <v>-401.76405295233849</v>
      </c>
      <c r="CJ29" s="214">
        <f t="shared" ca="1" si="17"/>
        <v>-364.89399609673529</v>
      </c>
      <c r="CK29" s="214">
        <f t="shared" ca="1" si="17"/>
        <v>0.30723868587779884</v>
      </c>
      <c r="CL29" s="214">
        <f t="shared" ca="1" si="17"/>
        <v>0</v>
      </c>
      <c r="CM29" s="214">
        <f t="shared" ca="1" si="17"/>
        <v>0</v>
      </c>
      <c r="CN29" s="214">
        <f t="shared" ca="1" si="17"/>
        <v>0</v>
      </c>
      <c r="CO29" s="214">
        <f t="shared" ca="1" si="17"/>
        <v>0</v>
      </c>
      <c r="CP29" s="214">
        <f t="shared" ca="1" si="17"/>
        <v>0</v>
      </c>
      <c r="CQ29" s="214">
        <f t="shared" ca="1" si="17"/>
        <v>0</v>
      </c>
      <c r="CR29" s="214">
        <f t="shared" ca="1" si="17"/>
        <v>0</v>
      </c>
      <c r="CS29" s="214">
        <f t="shared" ca="1" si="17"/>
        <v>0</v>
      </c>
      <c r="CT29" s="214">
        <f t="shared" ca="1" si="17"/>
        <v>0</v>
      </c>
      <c r="CU29" s="214">
        <f t="shared" ca="1" si="17"/>
        <v>0</v>
      </c>
      <c r="CV29" s="214">
        <f t="shared" ca="1" si="17"/>
        <v>0</v>
      </c>
      <c r="CW29" s="214">
        <f t="shared" ca="1" si="17"/>
        <v>0</v>
      </c>
      <c r="CX29" s="214">
        <f t="shared" ca="1" si="17"/>
        <v>0</v>
      </c>
      <c r="CY29" s="214">
        <f t="shared" ca="1" si="17"/>
        <v>0</v>
      </c>
    </row>
    <row r="30" spans="2:103" ht="15" thickBot="1" x14ac:dyDescent="0.35">
      <c r="B30" s="209" t="s">
        <v>148</v>
      </c>
      <c r="C30" s="222"/>
      <c r="D30" s="213">
        <f t="shared" ref="D30:M30" ca="1" si="18">-IF(D29&lt;0,0,D29*Corporate_Tax_Rate)</f>
        <v>0</v>
      </c>
      <c r="E30" s="213">
        <f t="shared" ca="1" si="18"/>
        <v>0</v>
      </c>
      <c r="F30" s="213">
        <f t="shared" ca="1" si="18"/>
        <v>-235383.47146628861</v>
      </c>
      <c r="G30" s="213">
        <f t="shared" ca="1" si="18"/>
        <v>-600759.26760361693</v>
      </c>
      <c r="H30" s="213">
        <f t="shared" ca="1" si="18"/>
        <v>-907933.28080023034</v>
      </c>
      <c r="I30" s="213">
        <f t="shared" ca="1" si="18"/>
        <v>-1370202.9987053531</v>
      </c>
      <c r="J30" s="213">
        <f t="shared" ca="1" si="18"/>
        <v>-1857275.7489441391</v>
      </c>
      <c r="K30" s="213">
        <f t="shared" ca="1" si="18"/>
        <v>-2334938.8077558833</v>
      </c>
      <c r="L30" s="213">
        <f t="shared" ca="1" si="18"/>
        <v>-2777215.480400152</v>
      </c>
      <c r="M30" s="213">
        <f t="shared" ca="1" si="18"/>
        <v>-3236541.0397403263</v>
      </c>
      <c r="N30" s="213">
        <f t="shared" ref="N30:BY30" ca="1" si="19">-IF(N29&lt;0,0,N29*Corporate_Tax_Rate)</f>
        <v>-4413106.8187409509</v>
      </c>
      <c r="O30" s="213">
        <f t="shared" ca="1" si="19"/>
        <v>-3947350.4082925371</v>
      </c>
      <c r="P30" s="213">
        <f t="shared" ca="1" si="19"/>
        <v>-3262162.2444943902</v>
      </c>
      <c r="Q30" s="213">
        <f t="shared" ca="1" si="19"/>
        <v>-2481287.1482877843</v>
      </c>
      <c r="R30" s="213">
        <f t="shared" ca="1" si="19"/>
        <v>-2170102.8323475006</v>
      </c>
      <c r="S30" s="213">
        <f t="shared" ca="1" si="19"/>
        <v>-1489558.1871530053</v>
      </c>
      <c r="T30" s="213">
        <f t="shared" ca="1" si="19"/>
        <v>-920347.28076462564</v>
      </c>
      <c r="U30" s="213">
        <f t="shared" ca="1" si="19"/>
        <v>-527861.88210861722</v>
      </c>
      <c r="V30" s="213">
        <f t="shared" ca="1" si="19"/>
        <v>-187062.83306919367</v>
      </c>
      <c r="W30" s="213">
        <f t="shared" ca="1" si="19"/>
        <v>-9222.6514172651569</v>
      </c>
      <c r="X30" s="213">
        <f t="shared" ca="1" si="19"/>
        <v>0</v>
      </c>
      <c r="Y30" s="213">
        <f t="shared" ca="1" si="19"/>
        <v>0</v>
      </c>
      <c r="Z30" s="213">
        <f t="shared" ca="1" si="19"/>
        <v>0</v>
      </c>
      <c r="AA30" s="213">
        <f t="shared" ca="1" si="19"/>
        <v>0</v>
      </c>
      <c r="AB30" s="213">
        <f t="shared" ca="1" si="19"/>
        <v>0</v>
      </c>
      <c r="AC30" s="213">
        <f t="shared" ca="1" si="19"/>
        <v>0</v>
      </c>
      <c r="AD30" s="213">
        <f t="shared" ca="1" si="19"/>
        <v>0</v>
      </c>
      <c r="AE30" s="213">
        <f t="shared" ca="1" si="19"/>
        <v>0</v>
      </c>
      <c r="AF30" s="213">
        <f t="shared" ca="1" si="19"/>
        <v>0</v>
      </c>
      <c r="AG30" s="213">
        <f t="shared" ca="1" si="19"/>
        <v>0</v>
      </c>
      <c r="AH30" s="213">
        <f t="shared" ca="1" si="19"/>
        <v>0</v>
      </c>
      <c r="AI30" s="213">
        <f t="shared" ca="1" si="19"/>
        <v>0</v>
      </c>
      <c r="AJ30" s="213">
        <f t="shared" ca="1" si="19"/>
        <v>0</v>
      </c>
      <c r="AK30" s="213">
        <f t="shared" ca="1" si="19"/>
        <v>0</v>
      </c>
      <c r="AL30" s="213">
        <f t="shared" ca="1" si="19"/>
        <v>0</v>
      </c>
      <c r="AM30" s="213">
        <f t="shared" ca="1" si="19"/>
        <v>0</v>
      </c>
      <c r="AN30" s="213">
        <f t="shared" ca="1" si="19"/>
        <v>0</v>
      </c>
      <c r="AO30" s="213">
        <f t="shared" ca="1" si="19"/>
        <v>0</v>
      </c>
      <c r="AP30" s="213">
        <f t="shared" ca="1" si="19"/>
        <v>0</v>
      </c>
      <c r="AQ30" s="213">
        <f t="shared" ca="1" si="19"/>
        <v>0</v>
      </c>
      <c r="AR30" s="213">
        <f t="shared" ca="1" si="19"/>
        <v>0</v>
      </c>
      <c r="AS30" s="213">
        <f t="shared" ca="1" si="19"/>
        <v>0</v>
      </c>
      <c r="AT30" s="213">
        <f t="shared" ca="1" si="19"/>
        <v>0</v>
      </c>
      <c r="AU30" s="213">
        <f t="shared" ca="1" si="19"/>
        <v>0</v>
      </c>
      <c r="AV30" s="213">
        <f t="shared" ca="1" si="19"/>
        <v>0</v>
      </c>
      <c r="AW30" s="213">
        <f t="shared" ca="1" si="19"/>
        <v>0</v>
      </c>
      <c r="AX30" s="213">
        <f t="shared" ca="1" si="19"/>
        <v>0</v>
      </c>
      <c r="AY30" s="213">
        <f t="shared" ca="1" si="19"/>
        <v>0</v>
      </c>
      <c r="AZ30" s="213">
        <f t="shared" ca="1" si="19"/>
        <v>0</v>
      </c>
      <c r="BA30" s="213">
        <f t="shared" ca="1" si="19"/>
        <v>0</v>
      </c>
      <c r="BB30" s="213">
        <f t="shared" ca="1" si="19"/>
        <v>0</v>
      </c>
      <c r="BC30" s="213">
        <f t="shared" ca="1" si="19"/>
        <v>0</v>
      </c>
      <c r="BD30" s="213">
        <f t="shared" ca="1" si="19"/>
        <v>0</v>
      </c>
      <c r="BE30" s="213">
        <f t="shared" ca="1" si="19"/>
        <v>0</v>
      </c>
      <c r="BF30" s="213">
        <f t="shared" ca="1" si="19"/>
        <v>0</v>
      </c>
      <c r="BG30" s="213">
        <f t="shared" ca="1" si="19"/>
        <v>0</v>
      </c>
      <c r="BH30" s="213">
        <f t="shared" ca="1" si="19"/>
        <v>0</v>
      </c>
      <c r="BI30" s="213">
        <f t="shared" ca="1" si="19"/>
        <v>0</v>
      </c>
      <c r="BJ30" s="213">
        <f t="shared" ca="1" si="19"/>
        <v>0</v>
      </c>
      <c r="BK30" s="213">
        <f t="shared" ca="1" si="19"/>
        <v>0</v>
      </c>
      <c r="BL30" s="213">
        <f t="shared" ca="1" si="19"/>
        <v>0</v>
      </c>
      <c r="BM30" s="213">
        <f t="shared" ca="1" si="19"/>
        <v>0</v>
      </c>
      <c r="BN30" s="213">
        <f t="shared" ca="1" si="19"/>
        <v>0</v>
      </c>
      <c r="BO30" s="213">
        <f t="shared" ca="1" si="19"/>
        <v>0</v>
      </c>
      <c r="BP30" s="213">
        <f t="shared" ca="1" si="19"/>
        <v>0</v>
      </c>
      <c r="BQ30" s="213">
        <f t="shared" ca="1" si="19"/>
        <v>0</v>
      </c>
      <c r="BR30" s="213">
        <f t="shared" ca="1" si="19"/>
        <v>0</v>
      </c>
      <c r="BS30" s="213">
        <f t="shared" ca="1" si="19"/>
        <v>0</v>
      </c>
      <c r="BT30" s="213">
        <f t="shared" ca="1" si="19"/>
        <v>0</v>
      </c>
      <c r="BU30" s="213">
        <f t="shared" ca="1" si="19"/>
        <v>0</v>
      </c>
      <c r="BV30" s="213">
        <f t="shared" ca="1" si="19"/>
        <v>0</v>
      </c>
      <c r="BW30" s="213">
        <f t="shared" ca="1" si="19"/>
        <v>0</v>
      </c>
      <c r="BX30" s="213">
        <f t="shared" ca="1" si="19"/>
        <v>0</v>
      </c>
      <c r="BY30" s="213">
        <f t="shared" ca="1" si="19"/>
        <v>0</v>
      </c>
      <c r="BZ30" s="213">
        <f t="shared" ref="BZ30:CY30" ca="1" si="20">-IF(BZ29&lt;0,0,BZ29*Corporate_Tax_Rate)</f>
        <v>0</v>
      </c>
      <c r="CA30" s="213">
        <f t="shared" ca="1" si="20"/>
        <v>0</v>
      </c>
      <c r="CB30" s="213">
        <f t="shared" ca="1" si="20"/>
        <v>0</v>
      </c>
      <c r="CC30" s="213">
        <f t="shared" ca="1" si="20"/>
        <v>0</v>
      </c>
      <c r="CD30" s="213">
        <f t="shared" ca="1" si="20"/>
        <v>0</v>
      </c>
      <c r="CE30" s="213">
        <f t="shared" ca="1" si="20"/>
        <v>0</v>
      </c>
      <c r="CF30" s="213">
        <f t="shared" ca="1" si="20"/>
        <v>0</v>
      </c>
      <c r="CG30" s="213">
        <f t="shared" ca="1" si="20"/>
        <v>0</v>
      </c>
      <c r="CH30" s="213">
        <f t="shared" ca="1" si="20"/>
        <v>0</v>
      </c>
      <c r="CI30" s="213">
        <f t="shared" ca="1" si="20"/>
        <v>0</v>
      </c>
      <c r="CJ30" s="213">
        <f t="shared" ca="1" si="20"/>
        <v>0</v>
      </c>
      <c r="CK30" s="213">
        <f t="shared" ca="1" si="20"/>
        <v>-6.7592510893115743E-2</v>
      </c>
      <c r="CL30" s="213">
        <f t="shared" ca="1" si="20"/>
        <v>0</v>
      </c>
      <c r="CM30" s="213">
        <f t="shared" ca="1" si="20"/>
        <v>0</v>
      </c>
      <c r="CN30" s="213">
        <f t="shared" ca="1" si="20"/>
        <v>0</v>
      </c>
      <c r="CO30" s="213">
        <f t="shared" ca="1" si="20"/>
        <v>0</v>
      </c>
      <c r="CP30" s="213">
        <f t="shared" ca="1" si="20"/>
        <v>0</v>
      </c>
      <c r="CQ30" s="213">
        <f t="shared" ca="1" si="20"/>
        <v>0</v>
      </c>
      <c r="CR30" s="213">
        <f t="shared" ca="1" si="20"/>
        <v>0</v>
      </c>
      <c r="CS30" s="213">
        <f t="shared" ca="1" si="20"/>
        <v>0</v>
      </c>
      <c r="CT30" s="213">
        <f t="shared" ca="1" si="20"/>
        <v>0</v>
      </c>
      <c r="CU30" s="213">
        <f t="shared" ca="1" si="20"/>
        <v>0</v>
      </c>
      <c r="CV30" s="213">
        <f t="shared" ca="1" si="20"/>
        <v>0</v>
      </c>
      <c r="CW30" s="213">
        <f t="shared" ca="1" si="20"/>
        <v>0</v>
      </c>
      <c r="CX30" s="213">
        <f t="shared" ca="1" si="20"/>
        <v>0</v>
      </c>
      <c r="CY30" s="213">
        <f t="shared" ca="1" si="20"/>
        <v>0</v>
      </c>
    </row>
    <row r="31" spans="2:103" ht="15" thickBot="1" x14ac:dyDescent="0.35">
      <c r="B31" s="209" t="s">
        <v>149</v>
      </c>
      <c r="C31" s="222"/>
      <c r="D31" s="213">
        <f ca="1">D29+D30</f>
        <v>-251228.03715808748</v>
      </c>
      <c r="E31" s="213">
        <f t="shared" ref="E31:M31" ca="1" si="21">E29+E30</f>
        <v>-207109.61709542767</v>
      </c>
      <c r="F31" s="213">
        <f t="shared" ca="1" si="21"/>
        <v>834541.39883502317</v>
      </c>
      <c r="G31" s="213">
        <f t="shared" ca="1" si="21"/>
        <v>2129964.6760491868</v>
      </c>
      <c r="H31" s="213">
        <f t="shared" ca="1" si="21"/>
        <v>3219036.177382635</v>
      </c>
      <c r="I31" s="213">
        <f t="shared" ca="1" si="21"/>
        <v>4857992.4499553423</v>
      </c>
      <c r="J31" s="213">
        <f t="shared" ca="1" si="21"/>
        <v>6584886.746256493</v>
      </c>
      <c r="K31" s="213">
        <f t="shared" ca="1" si="21"/>
        <v>8278419.4093163125</v>
      </c>
      <c r="L31" s="213">
        <f t="shared" ca="1" si="21"/>
        <v>9846491.2486914471</v>
      </c>
      <c r="M31" s="213">
        <f t="shared" ca="1" si="21"/>
        <v>11475009.140897522</v>
      </c>
      <c r="N31" s="213">
        <f t="shared" ref="N31:BY31" ca="1" si="22">N29+N30</f>
        <v>15646469.630081555</v>
      </c>
      <c r="O31" s="213">
        <f t="shared" ca="1" si="22"/>
        <v>13995151.44758263</v>
      </c>
      <c r="P31" s="213">
        <f t="shared" ca="1" si="22"/>
        <v>11565847.957752839</v>
      </c>
      <c r="Q31" s="213">
        <f t="shared" ca="1" si="22"/>
        <v>8797290.7984748706</v>
      </c>
      <c r="R31" s="213">
        <f t="shared" ca="1" si="22"/>
        <v>7694000.9510502294</v>
      </c>
      <c r="S31" s="213">
        <f t="shared" ca="1" si="22"/>
        <v>5281160.8453606553</v>
      </c>
      <c r="T31" s="213">
        <f t="shared" ca="1" si="22"/>
        <v>3263049.4499836732</v>
      </c>
      <c r="U31" s="213">
        <f t="shared" ca="1" si="22"/>
        <v>1871510.3092941884</v>
      </c>
      <c r="V31" s="213">
        <f t="shared" ca="1" si="22"/>
        <v>663222.77179077757</v>
      </c>
      <c r="W31" s="213">
        <f t="shared" ca="1" si="22"/>
        <v>32698.491388485556</v>
      </c>
      <c r="X31" s="213">
        <f t="shared" ca="1" si="22"/>
        <v>-1209054.1403827979</v>
      </c>
      <c r="Y31" s="213">
        <f t="shared" ca="1" si="22"/>
        <v>-2297132.2599275447</v>
      </c>
      <c r="Z31" s="213">
        <f t="shared" ca="1" si="22"/>
        <v>-3218277.4684898607</v>
      </c>
      <c r="AA31" s="213">
        <f t="shared" ca="1" si="22"/>
        <v>-3964246.822925813</v>
      </c>
      <c r="AB31" s="213">
        <f t="shared" ca="1" si="22"/>
        <v>-4147947.3391002007</v>
      </c>
      <c r="AC31" s="213">
        <f t="shared" ca="1" si="22"/>
        <v>-4556760.9746560538</v>
      </c>
      <c r="AD31" s="213">
        <f t="shared" ca="1" si="22"/>
        <v>-4863619.1482373876</v>
      </c>
      <c r="AE31" s="213">
        <f t="shared" ca="1" si="22"/>
        <v>-5066420.1950736819</v>
      </c>
      <c r="AF31" s="213">
        <f t="shared" ca="1" si="22"/>
        <v>-5216517.2382631935</v>
      </c>
      <c r="AG31" s="213">
        <f t="shared" ca="1" si="22"/>
        <v>-5084570.7983989827</v>
      </c>
      <c r="AH31" s="213">
        <f t="shared" ca="1" si="22"/>
        <v>-5130284.6098487405</v>
      </c>
      <c r="AI31" s="213">
        <f t="shared" ca="1" si="22"/>
        <v>-5162939.0402652146</v>
      </c>
      <c r="AJ31" s="213">
        <f t="shared" ca="1" si="22"/>
        <v>-5192015.6218270278</v>
      </c>
      <c r="AK31" s="213">
        <f t="shared" ca="1" si="22"/>
        <v>-5222029.789899244</v>
      </c>
      <c r="AL31" s="213">
        <f t="shared" ca="1" si="22"/>
        <v>-5088164.9875336541</v>
      </c>
      <c r="AM31" s="213">
        <f t="shared" ca="1" si="22"/>
        <v>-5003178.884004496</v>
      </c>
      <c r="AN31" s="213">
        <f t="shared" ca="1" si="22"/>
        <v>-4987397.3945546709</v>
      </c>
      <c r="AO31" s="213">
        <f t="shared" ca="1" si="22"/>
        <v>-4945134.2640886614</v>
      </c>
      <c r="AP31" s="213">
        <f t="shared" ca="1" si="22"/>
        <v>-4886027.0296474611</v>
      </c>
      <c r="AQ31" s="213">
        <f t="shared" ca="1" si="22"/>
        <v>-4710178.3236125736</v>
      </c>
      <c r="AR31" s="213">
        <f t="shared" ca="1" si="22"/>
        <v>-4603899.3937303405</v>
      </c>
      <c r="AS31" s="213">
        <f t="shared" ca="1" si="22"/>
        <v>-4472161.7924785726</v>
      </c>
      <c r="AT31" s="213">
        <f t="shared" ca="1" si="22"/>
        <v>-4317881.4191379547</v>
      </c>
      <c r="AU31" s="213">
        <f t="shared" ca="1" si="22"/>
        <v>-4144652.0428337604</v>
      </c>
      <c r="AV31" s="213">
        <f t="shared" ca="1" si="22"/>
        <v>-3890494.5818783822</v>
      </c>
      <c r="AW31" s="213">
        <f t="shared" ca="1" si="22"/>
        <v>-3649592.816679202</v>
      </c>
      <c r="AX31" s="213">
        <f t="shared" ca="1" si="22"/>
        <v>-3424737.3335598088</v>
      </c>
      <c r="AY31" s="213">
        <f t="shared" ca="1" si="22"/>
        <v>-3187155.3670334481</v>
      </c>
      <c r="AZ31" s="213">
        <f t="shared" ca="1" si="22"/>
        <v>-2945572.3308740775</v>
      </c>
      <c r="BA31" s="213">
        <f t="shared" ca="1" si="22"/>
        <v>-2674353.4675721219</v>
      </c>
      <c r="BB31" s="213">
        <f t="shared" ca="1" si="22"/>
        <v>-2437210.2166900747</v>
      </c>
      <c r="BC31" s="213">
        <f t="shared" ca="1" si="22"/>
        <v>-2216857.6614441182</v>
      </c>
      <c r="BD31" s="213">
        <f t="shared" ca="1" si="22"/>
        <v>-2012731.846764663</v>
      </c>
      <c r="BE31" s="213">
        <f t="shared" ca="1" si="22"/>
        <v>-1824234.6935085671</v>
      </c>
      <c r="BF31" s="213">
        <f t="shared" ca="1" si="22"/>
        <v>-1634045.9661517481</v>
      </c>
      <c r="BG31" s="213">
        <f t="shared" ca="1" si="22"/>
        <v>-1446855.9896613867</v>
      </c>
      <c r="BH31" s="213">
        <f t="shared" ca="1" si="22"/>
        <v>-1300667.6679123458</v>
      </c>
      <c r="BI31" s="213">
        <f t="shared" ca="1" si="22"/>
        <v>-1162228.6643327945</v>
      </c>
      <c r="BJ31" s="213">
        <f t="shared" ca="1" si="22"/>
        <v>-1033118.0428676804</v>
      </c>
      <c r="BK31" s="213">
        <f t="shared" ca="1" si="22"/>
        <v>-906678.30505073001</v>
      </c>
      <c r="BL31" s="213">
        <f t="shared" ca="1" si="22"/>
        <v>-794509.0776970241</v>
      </c>
      <c r="BM31" s="213">
        <f t="shared" ca="1" si="22"/>
        <v>-693022.78170470765</v>
      </c>
      <c r="BN31" s="213">
        <f t="shared" ca="1" si="22"/>
        <v>-598942.52332321322</v>
      </c>
      <c r="BO31" s="213">
        <f t="shared" ca="1" si="22"/>
        <v>-512371.02005592629</v>
      </c>
      <c r="BP31" s="213">
        <f t="shared" ca="1" si="22"/>
        <v>-430404.84178632224</v>
      </c>
      <c r="BQ31" s="213">
        <f t="shared" ca="1" si="22"/>
        <v>-355179.68750617543</v>
      </c>
      <c r="BR31" s="213">
        <f t="shared" ca="1" si="22"/>
        <v>-292282.02849024464</v>
      </c>
      <c r="BS31" s="213">
        <f t="shared" ca="1" si="22"/>
        <v>-235934.4044418025</v>
      </c>
      <c r="BT31" s="213">
        <f t="shared" ca="1" si="22"/>
        <v>-186434.57719687981</v>
      </c>
      <c r="BU31" s="213">
        <f t="shared" ca="1" si="22"/>
        <v>-143260.03113206342</v>
      </c>
      <c r="BV31" s="213">
        <f t="shared" ca="1" si="22"/>
        <v>-105130.6034183954</v>
      </c>
      <c r="BW31" s="213">
        <f t="shared" ca="1" si="22"/>
        <v>-78071.028645578874</v>
      </c>
      <c r="BX31" s="213">
        <f t="shared" ca="1" si="22"/>
        <v>-57078.686561075672</v>
      </c>
      <c r="BY31" s="213">
        <f t="shared" ca="1" si="22"/>
        <v>-41104.264560145231</v>
      </c>
      <c r="BZ31" s="213">
        <f t="shared" ref="BZ31:CY31" ca="1" si="23">BZ29+BZ30</f>
        <v>-29084.559497450282</v>
      </c>
      <c r="CA31" s="213">
        <f t="shared" ca="1" si="23"/>
        <v>-16708.59472248227</v>
      </c>
      <c r="CB31" s="213">
        <f t="shared" ca="1" si="23"/>
        <v>-11774.172012079896</v>
      </c>
      <c r="CC31" s="213">
        <f t="shared" ca="1" si="23"/>
        <v>-8151.6607974870103</v>
      </c>
      <c r="CD31" s="213">
        <f t="shared" ca="1" si="23"/>
        <v>-5535.4799519149456</v>
      </c>
      <c r="CE31" s="213">
        <f t="shared" ca="1" si="23"/>
        <v>-3682.9496747367675</v>
      </c>
      <c r="CF31" s="213">
        <f t="shared" ca="1" si="23"/>
        <v>-1674.5602823725817</v>
      </c>
      <c r="CG31" s="213">
        <f t="shared" ca="1" si="23"/>
        <v>-1088.1081654584011</v>
      </c>
      <c r="CH31" s="213">
        <f t="shared" ca="1" si="23"/>
        <v>-679.62171651934977</v>
      </c>
      <c r="CI31" s="213">
        <f t="shared" ca="1" si="23"/>
        <v>-401.76405295233849</v>
      </c>
      <c r="CJ31" s="213">
        <f t="shared" ca="1" si="23"/>
        <v>-364.89399609673529</v>
      </c>
      <c r="CK31" s="213">
        <f t="shared" ca="1" si="23"/>
        <v>0.2396461749846831</v>
      </c>
      <c r="CL31" s="213">
        <f t="shared" ca="1" si="23"/>
        <v>0</v>
      </c>
      <c r="CM31" s="213">
        <f t="shared" ca="1" si="23"/>
        <v>0</v>
      </c>
      <c r="CN31" s="213">
        <f t="shared" ca="1" si="23"/>
        <v>0</v>
      </c>
      <c r="CO31" s="213">
        <f t="shared" ca="1" si="23"/>
        <v>0</v>
      </c>
      <c r="CP31" s="213">
        <f t="shared" ca="1" si="23"/>
        <v>0</v>
      </c>
      <c r="CQ31" s="213">
        <f t="shared" ca="1" si="23"/>
        <v>0</v>
      </c>
      <c r="CR31" s="213">
        <f t="shared" ca="1" si="23"/>
        <v>0</v>
      </c>
      <c r="CS31" s="213">
        <f t="shared" ca="1" si="23"/>
        <v>0</v>
      </c>
      <c r="CT31" s="213">
        <f t="shared" ca="1" si="23"/>
        <v>0</v>
      </c>
      <c r="CU31" s="213">
        <f t="shared" ca="1" si="23"/>
        <v>0</v>
      </c>
      <c r="CV31" s="213">
        <f t="shared" ca="1" si="23"/>
        <v>0</v>
      </c>
      <c r="CW31" s="213">
        <f t="shared" ca="1" si="23"/>
        <v>0</v>
      </c>
      <c r="CX31" s="213">
        <f t="shared" ca="1" si="23"/>
        <v>0</v>
      </c>
      <c r="CY31" s="213">
        <f t="shared" ca="1" si="23"/>
        <v>0</v>
      </c>
    </row>
    <row r="32" spans="2:103" ht="15" thickBot="1" x14ac:dyDescent="0.35">
      <c r="B32" s="209" t="s">
        <v>150</v>
      </c>
      <c r="C32" s="222"/>
      <c r="D32" s="213">
        <f t="shared" ref="D32:M32" si="24">-D40*Cost_of_Capital</f>
        <v>-240870.17947866025</v>
      </c>
      <c r="E32" s="213">
        <f t="shared" si="24"/>
        <v>-645866.23031356465</v>
      </c>
      <c r="F32" s="213">
        <f t="shared" si="24"/>
        <v>-1155225.8471241556</v>
      </c>
      <c r="G32" s="213">
        <f t="shared" si="24"/>
        <v>-1665514.2992279034</v>
      </c>
      <c r="H32" s="213">
        <f t="shared" si="24"/>
        <v>-2277142.0768027725</v>
      </c>
      <c r="I32" s="213">
        <f t="shared" si="24"/>
        <v>-2868106.7907625884</v>
      </c>
      <c r="J32" s="213">
        <f t="shared" si="24"/>
        <v>-3440252.9186026365</v>
      </c>
      <c r="K32" s="213">
        <f t="shared" si="24"/>
        <v>-4025716.7568411729</v>
      </c>
      <c r="L32" s="213">
        <f t="shared" si="24"/>
        <v>-4676919.4088391457</v>
      </c>
      <c r="M32" s="213">
        <f t="shared" si="24"/>
        <v>-5434425.5516054332</v>
      </c>
      <c r="N32" s="213">
        <f t="shared" ref="N32:BY32" si="25">-N40*Cost_of_Capital</f>
        <v>-4427085.3991534375</v>
      </c>
      <c r="O32" s="213">
        <f t="shared" si="25"/>
        <v>-3484106.6609842069</v>
      </c>
      <c r="P32" s="213">
        <f t="shared" si="25"/>
        <v>-2726892.5515750949</v>
      </c>
      <c r="Q32" s="213">
        <f t="shared" si="25"/>
        <v>-2187912.0899087936</v>
      </c>
      <c r="R32" s="213">
        <f t="shared" si="25"/>
        <v>-1764055.6332565849</v>
      </c>
      <c r="S32" s="213">
        <f t="shared" si="25"/>
        <v>-1547333.2668222145</v>
      </c>
      <c r="T32" s="213">
        <f t="shared" si="25"/>
        <v>-1473759.1208066586</v>
      </c>
      <c r="U32" s="213">
        <f t="shared" si="25"/>
        <v>-1464583.5659866536</v>
      </c>
      <c r="V32" s="213">
        <f t="shared" si="25"/>
        <v>-1475994.6534980347</v>
      </c>
      <c r="W32" s="213">
        <f t="shared" si="25"/>
        <v>-1510827.0224876443</v>
      </c>
      <c r="X32" s="213">
        <f t="shared" si="25"/>
        <v>-1529849.5932881478</v>
      </c>
      <c r="Y32" s="213">
        <f t="shared" si="25"/>
        <v>-1538988.7711807692</v>
      </c>
      <c r="Z32" s="213">
        <f t="shared" si="25"/>
        <v>-1534255.3239555394</v>
      </c>
      <c r="AA32" s="213">
        <f t="shared" si="25"/>
        <v>-1514161.2004528015</v>
      </c>
      <c r="AB32" s="213">
        <f t="shared" si="25"/>
        <v>-1498099.2427772051</v>
      </c>
      <c r="AC32" s="213">
        <f t="shared" si="25"/>
        <v>-1471323.5442538292</v>
      </c>
      <c r="AD32" s="213">
        <f t="shared" si="25"/>
        <v>-1438307.7938792852</v>
      </c>
      <c r="AE32" s="213">
        <f t="shared" si="25"/>
        <v>-1399367.7906497412</v>
      </c>
      <c r="AF32" s="213">
        <f t="shared" si="25"/>
        <v>-1355172.4378692759</v>
      </c>
      <c r="AG32" s="213">
        <f t="shared" si="25"/>
        <v>-1317553.7559776607</v>
      </c>
      <c r="AH32" s="213">
        <f t="shared" si="25"/>
        <v>-1272051.0227348465</v>
      </c>
      <c r="AI32" s="213">
        <f t="shared" si="25"/>
        <v>-1224420.2434343274</v>
      </c>
      <c r="AJ32" s="213">
        <f t="shared" si="25"/>
        <v>-1173460.2076102409</v>
      </c>
      <c r="AK32" s="213">
        <f t="shared" si="25"/>
        <v>-1118798.5200334538</v>
      </c>
      <c r="AL32" s="213">
        <f t="shared" si="25"/>
        <v>-1065895.4277825987</v>
      </c>
      <c r="AM32" s="213">
        <f t="shared" si="25"/>
        <v>-1011502.5060900087</v>
      </c>
      <c r="AN32" s="213">
        <f t="shared" si="25"/>
        <v>-955541.07162596809</v>
      </c>
      <c r="AO32" s="213">
        <f t="shared" si="25"/>
        <v>-897928.13718165446</v>
      </c>
      <c r="AP32" s="213">
        <f t="shared" si="25"/>
        <v>-838871.84415174148</v>
      </c>
      <c r="AQ32" s="213">
        <f t="shared" si="25"/>
        <v>-781521.76018545742</v>
      </c>
      <c r="AR32" s="213">
        <f t="shared" si="25"/>
        <v>-723761.40918697731</v>
      </c>
      <c r="AS32" s="213">
        <f t="shared" si="25"/>
        <v>-666449.06592393748</v>
      </c>
      <c r="AT32" s="213">
        <f t="shared" si="25"/>
        <v>-609929.58813610941</v>
      </c>
      <c r="AU32" s="213">
        <f t="shared" si="25"/>
        <v>-554661.05750347942</v>
      </c>
      <c r="AV32" s="213">
        <f t="shared" si="25"/>
        <v>-502589.73799176613</v>
      </c>
      <c r="AW32" s="213">
        <f t="shared" si="25"/>
        <v>-453218.56960332696</v>
      </c>
      <c r="AX32" s="213">
        <f t="shared" si="25"/>
        <v>-406702.74638490827</v>
      </c>
      <c r="AY32" s="213">
        <f t="shared" si="25"/>
        <v>-363244.96791986976</v>
      </c>
      <c r="AZ32" s="213">
        <f t="shared" si="25"/>
        <v>-322980.6570611567</v>
      </c>
      <c r="BA32" s="213">
        <f t="shared" si="25"/>
        <v>-286570.22591971123</v>
      </c>
      <c r="BB32" s="213">
        <f t="shared" si="25"/>
        <v>-253412.6550972996</v>
      </c>
      <c r="BC32" s="213">
        <f t="shared" si="25"/>
        <v>-223321.38527831199</v>
      </c>
      <c r="BD32" s="213">
        <f t="shared" si="25"/>
        <v>-196069.1365266951</v>
      </c>
      <c r="BE32" s="213">
        <f t="shared" si="25"/>
        <v>-171434.67961958109</v>
      </c>
      <c r="BF32" s="213">
        <f t="shared" si="25"/>
        <v>-149475.91496661806</v>
      </c>
      <c r="BG32" s="213">
        <f t="shared" si="25"/>
        <v>-129934.95424447731</v>
      </c>
      <c r="BH32" s="213">
        <f t="shared" si="25"/>
        <v>-112614.85920696084</v>
      </c>
      <c r="BI32" s="213">
        <f t="shared" si="25"/>
        <v>-97210.673970343749</v>
      </c>
      <c r="BJ32" s="213">
        <f t="shared" si="25"/>
        <v>-83577.925349879108</v>
      </c>
      <c r="BK32" s="213">
        <f t="shared" si="25"/>
        <v>-71652.906204434505</v>
      </c>
      <c r="BL32" s="213">
        <f t="shared" si="25"/>
        <v>-61209.883762632046</v>
      </c>
      <c r="BM32" s="213">
        <f t="shared" si="25"/>
        <v>-52097.410562136989</v>
      </c>
      <c r="BN32" s="213">
        <f t="shared" si="25"/>
        <v>-44179.616479712189</v>
      </c>
      <c r="BO32" s="213">
        <f t="shared" si="25"/>
        <v>-37334.861186134804</v>
      </c>
      <c r="BP32" s="213">
        <f t="shared" si="25"/>
        <v>-31467.400710227797</v>
      </c>
      <c r="BQ32" s="213">
        <f t="shared" si="25"/>
        <v>-26435.403802077559</v>
      </c>
      <c r="BR32" s="213">
        <f t="shared" si="25"/>
        <v>-22154.870954872444</v>
      </c>
      <c r="BS32" s="213">
        <f t="shared" si="25"/>
        <v>-18476.646856914733</v>
      </c>
      <c r="BT32" s="213">
        <f t="shared" si="25"/>
        <v>-15316.207808861582</v>
      </c>
      <c r="BU32" s="213">
        <f t="shared" si="25"/>
        <v>-12608.149766996592</v>
      </c>
      <c r="BV32" s="213">
        <f t="shared" si="25"/>
        <v>-10251.547473871035</v>
      </c>
      <c r="BW32" s="213">
        <f t="shared" si="25"/>
        <v>-8339.199279278153</v>
      </c>
      <c r="BX32" s="213">
        <f t="shared" si="25"/>
        <v>-6743.8744266370859</v>
      </c>
      <c r="BY32" s="213">
        <f t="shared" si="25"/>
        <v>-5416.4522096715264</v>
      </c>
      <c r="BZ32" s="213">
        <f t="shared" ref="BZ32:CY32" si="26">-BZ40*Cost_of_Capital</f>
        <v>-4315.902698335035</v>
      </c>
      <c r="CA32" s="213">
        <f t="shared" si="26"/>
        <v>-3156.5823480678732</v>
      </c>
      <c r="CB32" s="213">
        <f t="shared" si="26"/>
        <v>-2574.8946542543886</v>
      </c>
      <c r="CC32" s="213">
        <f t="shared" si="26"/>
        <v>-2085.9677955634643</v>
      </c>
      <c r="CD32" s="213">
        <f t="shared" si="26"/>
        <v>-1676.8304256048284</v>
      </c>
      <c r="CE32" s="213">
        <f t="shared" si="26"/>
        <v>-1339.8476265615639</v>
      </c>
      <c r="CF32" s="213">
        <f t="shared" si="26"/>
        <v>-959.23317897369839</v>
      </c>
      <c r="CG32" s="213">
        <f t="shared" si="26"/>
        <v>-763.09337928377727</v>
      </c>
      <c r="CH32" s="213">
        <f t="shared" si="26"/>
        <v>-603.0414115994904</v>
      </c>
      <c r="CI32" s="213">
        <f t="shared" si="26"/>
        <v>-489.9747473118864</v>
      </c>
      <c r="CJ32" s="213">
        <f t="shared" si="26"/>
        <v>-2.2518017198322742</v>
      </c>
      <c r="CK32" s="213">
        <f t="shared" si="26"/>
        <v>-0.8725578418262071</v>
      </c>
      <c r="CL32" s="213">
        <f t="shared" si="26"/>
        <v>0</v>
      </c>
      <c r="CM32" s="213">
        <f t="shared" si="26"/>
        <v>0</v>
      </c>
      <c r="CN32" s="213">
        <f t="shared" si="26"/>
        <v>0</v>
      </c>
      <c r="CO32" s="213">
        <f t="shared" si="26"/>
        <v>0</v>
      </c>
      <c r="CP32" s="213">
        <f t="shared" si="26"/>
        <v>0</v>
      </c>
      <c r="CQ32" s="213">
        <f t="shared" si="26"/>
        <v>0</v>
      </c>
      <c r="CR32" s="213">
        <f t="shared" si="26"/>
        <v>0</v>
      </c>
      <c r="CS32" s="213">
        <f t="shared" si="26"/>
        <v>0</v>
      </c>
      <c r="CT32" s="213">
        <f t="shared" si="26"/>
        <v>0</v>
      </c>
      <c r="CU32" s="213">
        <f t="shared" si="26"/>
        <v>0</v>
      </c>
      <c r="CV32" s="213">
        <f t="shared" si="26"/>
        <v>0</v>
      </c>
      <c r="CW32" s="213">
        <f t="shared" si="26"/>
        <v>0</v>
      </c>
      <c r="CX32" s="213">
        <f t="shared" si="26"/>
        <v>0</v>
      </c>
      <c r="CY32" s="213">
        <f t="shared" si="26"/>
        <v>0</v>
      </c>
    </row>
    <row r="33" spans="2:103" ht="15" thickBot="1" x14ac:dyDescent="0.35">
      <c r="B33" s="209" t="s">
        <v>151</v>
      </c>
      <c r="C33" s="222"/>
      <c r="D33" s="213">
        <f ca="1">D31+D32</f>
        <v>-492098.2166367477</v>
      </c>
      <c r="E33" s="213">
        <f t="shared" ref="E33:M33" ca="1" si="27">E31+E32</f>
        <v>-852975.84740899235</v>
      </c>
      <c r="F33" s="213">
        <f t="shared" ca="1" si="27"/>
        <v>-320684.44828913244</v>
      </c>
      <c r="G33" s="213">
        <f t="shared" ca="1" si="27"/>
        <v>464450.37682128348</v>
      </c>
      <c r="H33" s="213">
        <f t="shared" ca="1" si="27"/>
        <v>941894.10057986248</v>
      </c>
      <c r="I33" s="213">
        <f t="shared" ca="1" si="27"/>
        <v>1989885.659192754</v>
      </c>
      <c r="J33" s="213">
        <f t="shared" ca="1" si="27"/>
        <v>3144633.8276538565</v>
      </c>
      <c r="K33" s="213">
        <f t="shared" ca="1" si="27"/>
        <v>4252702.6524751391</v>
      </c>
      <c r="L33" s="213">
        <f t="shared" ca="1" si="27"/>
        <v>5169571.8398523014</v>
      </c>
      <c r="M33" s="213">
        <f t="shared" ca="1" si="27"/>
        <v>6040583.5892920885</v>
      </c>
      <c r="N33" s="213">
        <f t="shared" ref="N33:BY33" ca="1" si="28">N31+N32</f>
        <v>11219384.230928117</v>
      </c>
      <c r="O33" s="213">
        <f t="shared" ca="1" si="28"/>
        <v>10511044.786598423</v>
      </c>
      <c r="P33" s="213">
        <f t="shared" ca="1" si="28"/>
        <v>8838955.4061777443</v>
      </c>
      <c r="Q33" s="213">
        <f t="shared" ca="1" si="28"/>
        <v>6609378.7085660771</v>
      </c>
      <c r="R33" s="213">
        <f t="shared" ca="1" si="28"/>
        <v>5929945.317793645</v>
      </c>
      <c r="S33" s="213">
        <f t="shared" ca="1" si="28"/>
        <v>3733827.5785384411</v>
      </c>
      <c r="T33" s="213">
        <f t="shared" ca="1" si="28"/>
        <v>1789290.3291770145</v>
      </c>
      <c r="U33" s="213">
        <f t="shared" ca="1" si="28"/>
        <v>406926.74330753484</v>
      </c>
      <c r="V33" s="213">
        <f t="shared" ca="1" si="28"/>
        <v>-812771.88170725713</v>
      </c>
      <c r="W33" s="213">
        <f t="shared" ca="1" si="28"/>
        <v>-1478128.5310991588</v>
      </c>
      <c r="X33" s="213">
        <f t="shared" ca="1" si="28"/>
        <v>-2738903.7336709457</v>
      </c>
      <c r="Y33" s="213">
        <f t="shared" ca="1" si="28"/>
        <v>-3836121.0311083142</v>
      </c>
      <c r="Z33" s="213">
        <f t="shared" ca="1" si="28"/>
        <v>-4752532.7924453998</v>
      </c>
      <c r="AA33" s="213">
        <f t="shared" ca="1" si="28"/>
        <v>-5478408.0233786143</v>
      </c>
      <c r="AB33" s="213">
        <f t="shared" ca="1" si="28"/>
        <v>-5646046.5818774058</v>
      </c>
      <c r="AC33" s="213">
        <f t="shared" ca="1" si="28"/>
        <v>-6028084.5189098828</v>
      </c>
      <c r="AD33" s="213">
        <f t="shared" ca="1" si="28"/>
        <v>-6301926.9421166731</v>
      </c>
      <c r="AE33" s="213">
        <f t="shared" ca="1" si="28"/>
        <v>-6465787.9857234228</v>
      </c>
      <c r="AF33" s="213">
        <f t="shared" ca="1" si="28"/>
        <v>-6571689.6761324694</v>
      </c>
      <c r="AG33" s="213">
        <f t="shared" ca="1" si="28"/>
        <v>-6402124.5543766432</v>
      </c>
      <c r="AH33" s="213">
        <f t="shared" ca="1" si="28"/>
        <v>-6402335.6325835865</v>
      </c>
      <c r="AI33" s="213">
        <f t="shared" ca="1" si="28"/>
        <v>-6387359.2836995423</v>
      </c>
      <c r="AJ33" s="213">
        <f t="shared" ca="1" si="28"/>
        <v>-6365475.8294372689</v>
      </c>
      <c r="AK33" s="213">
        <f t="shared" ca="1" si="28"/>
        <v>-6340828.3099326976</v>
      </c>
      <c r="AL33" s="213">
        <f t="shared" ca="1" si="28"/>
        <v>-6154060.415316253</v>
      </c>
      <c r="AM33" s="213">
        <f t="shared" ca="1" si="28"/>
        <v>-6014681.3900945047</v>
      </c>
      <c r="AN33" s="213">
        <f t="shared" ca="1" si="28"/>
        <v>-5942938.4661806393</v>
      </c>
      <c r="AO33" s="213">
        <f t="shared" ca="1" si="28"/>
        <v>-5843062.401270316</v>
      </c>
      <c r="AP33" s="213">
        <f t="shared" ca="1" si="28"/>
        <v>-5724898.873799203</v>
      </c>
      <c r="AQ33" s="213">
        <f t="shared" ca="1" si="28"/>
        <v>-5491700.0837980313</v>
      </c>
      <c r="AR33" s="213">
        <f t="shared" ca="1" si="28"/>
        <v>-5327660.8029173175</v>
      </c>
      <c r="AS33" s="213">
        <f t="shared" ca="1" si="28"/>
        <v>-5138610.8584025102</v>
      </c>
      <c r="AT33" s="213">
        <f t="shared" ca="1" si="28"/>
        <v>-4927811.0072740642</v>
      </c>
      <c r="AU33" s="213">
        <f t="shared" ca="1" si="28"/>
        <v>-4699313.1003372399</v>
      </c>
      <c r="AV33" s="213">
        <f t="shared" ca="1" si="28"/>
        <v>-4393084.3198701488</v>
      </c>
      <c r="AW33" s="213">
        <f t="shared" ca="1" si="28"/>
        <v>-4102811.3862825288</v>
      </c>
      <c r="AX33" s="213">
        <f t="shared" ca="1" si="28"/>
        <v>-3831440.0799447172</v>
      </c>
      <c r="AY33" s="213">
        <f t="shared" ca="1" si="28"/>
        <v>-3550400.3349533179</v>
      </c>
      <c r="AZ33" s="213">
        <f t="shared" ca="1" si="28"/>
        <v>-3268552.9879352343</v>
      </c>
      <c r="BA33" s="213">
        <f t="shared" ca="1" si="28"/>
        <v>-2960923.6934918333</v>
      </c>
      <c r="BB33" s="213">
        <f t="shared" ca="1" si="28"/>
        <v>-2690622.8717873744</v>
      </c>
      <c r="BC33" s="213">
        <f t="shared" ca="1" si="28"/>
        <v>-2440179.0467224303</v>
      </c>
      <c r="BD33" s="213">
        <f t="shared" ca="1" si="28"/>
        <v>-2208800.9832913582</v>
      </c>
      <c r="BE33" s="213">
        <f t="shared" ca="1" si="28"/>
        <v>-1995669.3731281483</v>
      </c>
      <c r="BF33" s="213">
        <f t="shared" ca="1" si="28"/>
        <v>-1783521.881118366</v>
      </c>
      <c r="BG33" s="213">
        <f t="shared" ca="1" si="28"/>
        <v>-1576790.9439058639</v>
      </c>
      <c r="BH33" s="213">
        <f t="shared" ca="1" si="28"/>
        <v>-1413282.5271193066</v>
      </c>
      <c r="BI33" s="213">
        <f t="shared" ca="1" si="28"/>
        <v>-1259439.3383031383</v>
      </c>
      <c r="BJ33" s="213">
        <f t="shared" ca="1" si="28"/>
        <v>-1116695.9682175596</v>
      </c>
      <c r="BK33" s="213">
        <f t="shared" ca="1" si="28"/>
        <v>-978331.21125516447</v>
      </c>
      <c r="BL33" s="213">
        <f t="shared" ca="1" si="28"/>
        <v>-855718.96145965613</v>
      </c>
      <c r="BM33" s="213">
        <f t="shared" ca="1" si="28"/>
        <v>-745120.19226684468</v>
      </c>
      <c r="BN33" s="213">
        <f t="shared" ca="1" si="28"/>
        <v>-643122.13980292541</v>
      </c>
      <c r="BO33" s="213">
        <f t="shared" ca="1" si="28"/>
        <v>-549705.88124206103</v>
      </c>
      <c r="BP33" s="213">
        <f t="shared" ca="1" si="28"/>
        <v>-461872.24249655002</v>
      </c>
      <c r="BQ33" s="213">
        <f t="shared" ca="1" si="28"/>
        <v>-381615.091308253</v>
      </c>
      <c r="BR33" s="213">
        <f t="shared" ca="1" si="28"/>
        <v>-314436.8994451171</v>
      </c>
      <c r="BS33" s="213">
        <f t="shared" ca="1" si="28"/>
        <v>-254411.05129871724</v>
      </c>
      <c r="BT33" s="213">
        <f t="shared" ca="1" si="28"/>
        <v>-201750.7850057414</v>
      </c>
      <c r="BU33" s="213">
        <f t="shared" ca="1" si="28"/>
        <v>-155868.18089906001</v>
      </c>
      <c r="BV33" s="213">
        <f t="shared" ca="1" si="28"/>
        <v>-115382.15089226644</v>
      </c>
      <c r="BW33" s="213">
        <f t="shared" ca="1" si="28"/>
        <v>-86410.227924857027</v>
      </c>
      <c r="BX33" s="213">
        <f t="shared" ca="1" si="28"/>
        <v>-63822.560987712757</v>
      </c>
      <c r="BY33" s="213">
        <f t="shared" ca="1" si="28"/>
        <v>-46520.716769816761</v>
      </c>
      <c r="BZ33" s="213">
        <f t="shared" ref="BZ33:CY33" ca="1" si="29">BZ31+BZ32</f>
        <v>-33400.462195785316</v>
      </c>
      <c r="CA33" s="213">
        <f t="shared" ca="1" si="29"/>
        <v>-19865.177070550144</v>
      </c>
      <c r="CB33" s="213">
        <f t="shared" ca="1" si="29"/>
        <v>-14349.066666334285</v>
      </c>
      <c r="CC33" s="213">
        <f t="shared" ca="1" si="29"/>
        <v>-10237.628593050475</v>
      </c>
      <c r="CD33" s="213">
        <f t="shared" ca="1" si="29"/>
        <v>-7212.3103775197742</v>
      </c>
      <c r="CE33" s="213">
        <f t="shared" ca="1" si="29"/>
        <v>-5022.7973012983311</v>
      </c>
      <c r="CF33" s="213">
        <f t="shared" ca="1" si="29"/>
        <v>-2633.7934613462803</v>
      </c>
      <c r="CG33" s="213">
        <f t="shared" ca="1" si="29"/>
        <v>-1851.2015447421784</v>
      </c>
      <c r="CH33" s="213">
        <f t="shared" ca="1" si="29"/>
        <v>-1282.6631281188402</v>
      </c>
      <c r="CI33" s="213">
        <f t="shared" ca="1" si="29"/>
        <v>-891.73880026422489</v>
      </c>
      <c r="CJ33" s="213">
        <f t="shared" ca="1" si="29"/>
        <v>-367.14579781656755</v>
      </c>
      <c r="CK33" s="213">
        <f t="shared" ca="1" si="29"/>
        <v>-0.632911666841524</v>
      </c>
      <c r="CL33" s="213">
        <f t="shared" ca="1" si="29"/>
        <v>0</v>
      </c>
      <c r="CM33" s="213">
        <f t="shared" ca="1" si="29"/>
        <v>0</v>
      </c>
      <c r="CN33" s="213">
        <f t="shared" ca="1" si="29"/>
        <v>0</v>
      </c>
      <c r="CO33" s="213">
        <f t="shared" ca="1" si="29"/>
        <v>0</v>
      </c>
      <c r="CP33" s="213">
        <f t="shared" ca="1" si="29"/>
        <v>0</v>
      </c>
      <c r="CQ33" s="213">
        <f t="shared" ca="1" si="29"/>
        <v>0</v>
      </c>
      <c r="CR33" s="213">
        <f t="shared" ca="1" si="29"/>
        <v>0</v>
      </c>
      <c r="CS33" s="213">
        <f t="shared" ca="1" si="29"/>
        <v>0</v>
      </c>
      <c r="CT33" s="213">
        <f t="shared" ca="1" si="29"/>
        <v>0</v>
      </c>
      <c r="CU33" s="213">
        <f t="shared" ca="1" si="29"/>
        <v>0</v>
      </c>
      <c r="CV33" s="213">
        <f t="shared" ca="1" si="29"/>
        <v>0</v>
      </c>
      <c r="CW33" s="213">
        <f t="shared" ca="1" si="29"/>
        <v>0</v>
      </c>
      <c r="CX33" s="213">
        <f t="shared" ca="1" si="29"/>
        <v>0</v>
      </c>
      <c r="CY33" s="213">
        <f t="shared" ca="1" si="29"/>
        <v>0</v>
      </c>
    </row>
    <row r="34" spans="2:103" ht="15" thickBot="1" x14ac:dyDescent="0.35">
      <c r="B34" s="209" t="s">
        <v>152</v>
      </c>
      <c r="C34" s="222"/>
      <c r="D34" s="218">
        <f>(1+Risk_Discount_Rate)^D14</f>
        <v>1.1419999999999999</v>
      </c>
      <c r="E34" s="218">
        <f t="shared" ref="E34:M34" si="30">(1+Risk_Discount_Rate)^E14</f>
        <v>1.3041639999999999</v>
      </c>
      <c r="F34" s="218">
        <f t="shared" si="30"/>
        <v>1.4893552879999998</v>
      </c>
      <c r="G34" s="218">
        <f t="shared" si="30"/>
        <v>1.7008437388959996</v>
      </c>
      <c r="H34" s="218">
        <f t="shared" si="30"/>
        <v>1.9423635498192313</v>
      </c>
      <c r="I34" s="218">
        <f t="shared" si="30"/>
        <v>2.2181791738935623</v>
      </c>
      <c r="J34" s="218">
        <f t="shared" si="30"/>
        <v>2.5331606165864482</v>
      </c>
      <c r="K34" s="218">
        <f t="shared" si="30"/>
        <v>2.8928694241417232</v>
      </c>
      <c r="L34" s="218">
        <f t="shared" si="30"/>
        <v>3.3036568823698476</v>
      </c>
      <c r="M34" s="218">
        <f t="shared" si="30"/>
        <v>3.7727761596663658</v>
      </c>
      <c r="N34" s="218">
        <f t="shared" ref="N34:BY34" si="31">(1+Risk_Discount_Rate)^N14</f>
        <v>4.3085103743389901</v>
      </c>
      <c r="O34" s="218">
        <f t="shared" si="31"/>
        <v>4.9203188474951256</v>
      </c>
      <c r="P34" s="218">
        <f t="shared" si="31"/>
        <v>5.6190041238394333</v>
      </c>
      <c r="Q34" s="218">
        <f t="shared" si="31"/>
        <v>6.4169027094246331</v>
      </c>
      <c r="R34" s="218">
        <f t="shared" si="31"/>
        <v>7.3281028941629307</v>
      </c>
      <c r="S34" s="218">
        <f t="shared" si="31"/>
        <v>8.3686935051340647</v>
      </c>
      <c r="T34" s="218">
        <f t="shared" si="31"/>
        <v>9.5570479828631019</v>
      </c>
      <c r="U34" s="218">
        <f t="shared" si="31"/>
        <v>10.914148796429661</v>
      </c>
      <c r="V34" s="218">
        <f t="shared" si="31"/>
        <v>12.463957925522672</v>
      </c>
      <c r="W34" s="218">
        <f t="shared" si="31"/>
        <v>14.233839950946891</v>
      </c>
      <c r="X34" s="218">
        <f t="shared" si="31"/>
        <v>16.255045223981348</v>
      </c>
      <c r="Y34" s="218">
        <f t="shared" si="31"/>
        <v>18.563261645786699</v>
      </c>
      <c r="Z34" s="218">
        <f t="shared" si="31"/>
        <v>21.199244799488412</v>
      </c>
      <c r="AA34" s="218">
        <f t="shared" si="31"/>
        <v>24.209537561015761</v>
      </c>
      <c r="AB34" s="218">
        <f t="shared" si="31"/>
        <v>27.647291894679995</v>
      </c>
      <c r="AC34" s="218">
        <f t="shared" si="31"/>
        <v>31.573207343724555</v>
      </c>
      <c r="AD34" s="218">
        <f t="shared" si="31"/>
        <v>36.056602786533446</v>
      </c>
      <c r="AE34" s="218">
        <f t="shared" si="31"/>
        <v>41.176640382221187</v>
      </c>
      <c r="AF34" s="218">
        <f t="shared" si="31"/>
        <v>47.023723316496593</v>
      </c>
      <c r="AG34" s="218">
        <f t="shared" si="31"/>
        <v>53.70109202743911</v>
      </c>
      <c r="AH34" s="218">
        <f t="shared" si="31"/>
        <v>61.32664709533546</v>
      </c>
      <c r="AI34" s="218">
        <f t="shared" si="31"/>
        <v>70.035030982873081</v>
      </c>
      <c r="AJ34" s="218">
        <f t="shared" si="31"/>
        <v>79.98000538244105</v>
      </c>
      <c r="AK34" s="218">
        <f t="shared" si="31"/>
        <v>91.337166146747677</v>
      </c>
      <c r="AL34" s="218">
        <f t="shared" si="31"/>
        <v>104.30704373958585</v>
      </c>
      <c r="AM34" s="218">
        <f t="shared" si="31"/>
        <v>119.11864395060702</v>
      </c>
      <c r="AN34" s="218">
        <f t="shared" si="31"/>
        <v>136.0334913915932</v>
      </c>
      <c r="AO34" s="218">
        <f t="shared" si="31"/>
        <v>155.35024716919946</v>
      </c>
      <c r="AP34" s="218">
        <f t="shared" si="31"/>
        <v>177.40998226722579</v>
      </c>
      <c r="AQ34" s="218">
        <f t="shared" si="31"/>
        <v>202.6021997491718</v>
      </c>
      <c r="AR34" s="218">
        <f t="shared" si="31"/>
        <v>231.37171211355417</v>
      </c>
      <c r="AS34" s="218">
        <f t="shared" si="31"/>
        <v>264.22649523367886</v>
      </c>
      <c r="AT34" s="218">
        <f t="shared" si="31"/>
        <v>301.74665755686129</v>
      </c>
      <c r="AU34" s="218">
        <f t="shared" si="31"/>
        <v>344.59468292993552</v>
      </c>
      <c r="AV34" s="218">
        <f t="shared" si="31"/>
        <v>393.52712790598633</v>
      </c>
      <c r="AW34" s="218">
        <f t="shared" si="31"/>
        <v>449.40798006863639</v>
      </c>
      <c r="AX34" s="218">
        <f t="shared" si="31"/>
        <v>513.22391323838281</v>
      </c>
      <c r="AY34" s="218">
        <f t="shared" si="31"/>
        <v>586.10170891823293</v>
      </c>
      <c r="AZ34" s="218">
        <f t="shared" si="31"/>
        <v>669.32815158462199</v>
      </c>
      <c r="BA34" s="218">
        <f t="shared" si="31"/>
        <v>764.37274910963822</v>
      </c>
      <c r="BB34" s="218">
        <f t="shared" si="31"/>
        <v>872.91367948320692</v>
      </c>
      <c r="BC34" s="218">
        <f t="shared" si="31"/>
        <v>996.8674219698222</v>
      </c>
      <c r="BD34" s="218">
        <f t="shared" si="31"/>
        <v>1138.4225958895368</v>
      </c>
      <c r="BE34" s="218">
        <f t="shared" si="31"/>
        <v>1300.078604505851</v>
      </c>
      <c r="BF34" s="218">
        <f t="shared" si="31"/>
        <v>1484.6897663456818</v>
      </c>
      <c r="BG34" s="218">
        <f t="shared" si="31"/>
        <v>1695.5157131667684</v>
      </c>
      <c r="BH34" s="218">
        <f t="shared" si="31"/>
        <v>1936.2789444364494</v>
      </c>
      <c r="BI34" s="218">
        <f t="shared" si="31"/>
        <v>2211.2305545464251</v>
      </c>
      <c r="BJ34" s="218">
        <f t="shared" si="31"/>
        <v>2525.2252932920178</v>
      </c>
      <c r="BK34" s="218">
        <f t="shared" si="31"/>
        <v>2883.8072849394839</v>
      </c>
      <c r="BL34" s="218">
        <f t="shared" si="31"/>
        <v>3293.3079194008901</v>
      </c>
      <c r="BM34" s="218">
        <f t="shared" si="31"/>
        <v>3760.9576439558168</v>
      </c>
      <c r="BN34" s="218">
        <f t="shared" si="31"/>
        <v>4295.013629397542</v>
      </c>
      <c r="BO34" s="218">
        <f t="shared" si="31"/>
        <v>4904.9055647719924</v>
      </c>
      <c r="BP34" s="218">
        <f t="shared" si="31"/>
        <v>5601.4021549696145</v>
      </c>
      <c r="BQ34" s="218">
        <f t="shared" si="31"/>
        <v>6396.8012609753005</v>
      </c>
      <c r="BR34" s="218">
        <f t="shared" si="31"/>
        <v>7305.147040033793</v>
      </c>
      <c r="BS34" s="218">
        <f t="shared" si="31"/>
        <v>8342.4779197185908</v>
      </c>
      <c r="BT34" s="218">
        <f t="shared" si="31"/>
        <v>9527.109784318629</v>
      </c>
      <c r="BU34" s="218">
        <f t="shared" si="31"/>
        <v>10879.959373691874</v>
      </c>
      <c r="BV34" s="218">
        <f t="shared" si="31"/>
        <v>12424.913604756121</v>
      </c>
      <c r="BW34" s="218">
        <f t="shared" si="31"/>
        <v>14189.251336631487</v>
      </c>
      <c r="BX34" s="218">
        <f t="shared" si="31"/>
        <v>16204.125026433157</v>
      </c>
      <c r="BY34" s="218">
        <f t="shared" si="31"/>
        <v>18505.110780186664</v>
      </c>
      <c r="BZ34" s="218">
        <f t="shared" ref="BZ34:CY34" si="32">(1+Risk_Discount_Rate)^BZ14</f>
        <v>21132.836510973171</v>
      </c>
      <c r="CA34" s="218">
        <f t="shared" si="32"/>
        <v>24133.699295531358</v>
      </c>
      <c r="CB34" s="218">
        <f t="shared" si="32"/>
        <v>27560.684595496808</v>
      </c>
      <c r="CC34" s="218">
        <f t="shared" si="32"/>
        <v>31474.30180805736</v>
      </c>
      <c r="CD34" s="218">
        <f t="shared" si="32"/>
        <v>35943.652664801499</v>
      </c>
      <c r="CE34" s="218">
        <f t="shared" si="32"/>
        <v>41047.651343203303</v>
      </c>
      <c r="CF34" s="218">
        <f t="shared" si="32"/>
        <v>46876.417833938176</v>
      </c>
      <c r="CG34" s="218">
        <f t="shared" si="32"/>
        <v>53532.869166357385</v>
      </c>
      <c r="CH34" s="218">
        <f t="shared" si="32"/>
        <v>61134.536587980132</v>
      </c>
      <c r="CI34" s="218">
        <f t="shared" si="32"/>
        <v>69815.640783473311</v>
      </c>
      <c r="CJ34" s="218">
        <f t="shared" si="32"/>
        <v>79729.461774726515</v>
      </c>
      <c r="CK34" s="218">
        <f t="shared" si="32"/>
        <v>91051.045346737679</v>
      </c>
      <c r="CL34" s="218">
        <f t="shared" si="32"/>
        <v>103980.29378597443</v>
      </c>
      <c r="CM34" s="218">
        <f t="shared" si="32"/>
        <v>118745.49550358277</v>
      </c>
      <c r="CN34" s="218">
        <f t="shared" si="32"/>
        <v>135607.35586509152</v>
      </c>
      <c r="CO34" s="218">
        <f t="shared" si="32"/>
        <v>154863.6003979345</v>
      </c>
      <c r="CP34" s="218">
        <f t="shared" si="32"/>
        <v>176854.23165444122</v>
      </c>
      <c r="CQ34" s="218">
        <f t="shared" si="32"/>
        <v>201967.53254937186</v>
      </c>
      <c r="CR34" s="218">
        <f t="shared" si="32"/>
        <v>230646.92217138264</v>
      </c>
      <c r="CS34" s="218">
        <f t="shared" si="32"/>
        <v>263398.78511971899</v>
      </c>
      <c r="CT34" s="218">
        <f t="shared" si="32"/>
        <v>300801.41260671907</v>
      </c>
      <c r="CU34" s="218">
        <f t="shared" si="32"/>
        <v>343515.21319687308</v>
      </c>
      <c r="CV34" s="218">
        <f t="shared" si="32"/>
        <v>392294.37347082898</v>
      </c>
      <c r="CW34" s="218">
        <f t="shared" si="32"/>
        <v>448000.17450368672</v>
      </c>
      <c r="CX34" s="218">
        <f t="shared" si="32"/>
        <v>511616.19928321027</v>
      </c>
      <c r="CY34" s="218">
        <f t="shared" si="32"/>
        <v>584265.69958142599</v>
      </c>
    </row>
    <row r="35" spans="2:103" ht="15" thickBot="1" x14ac:dyDescent="0.35">
      <c r="B35" s="212" t="s">
        <v>153</v>
      </c>
      <c r="C35" s="223"/>
      <c r="D35" s="214">
        <f ca="1">(D31+D32)/D34</f>
        <v>-430909.1213982029</v>
      </c>
      <c r="E35" s="214">
        <f t="shared" ref="E35:M35" ca="1" si="33">(E31+E32)/E34</f>
        <v>-654040.32576347177</v>
      </c>
      <c r="F35" s="214">
        <f t="shared" ca="1" si="33"/>
        <v>-215317.62828718172</v>
      </c>
      <c r="G35" s="214">
        <f t="shared" ca="1" si="33"/>
        <v>273070.57444486552</v>
      </c>
      <c r="H35" s="214">
        <f t="shared" ca="1" si="33"/>
        <v>484921.63100338302</v>
      </c>
      <c r="I35" s="214">
        <f t="shared" ca="1" si="33"/>
        <v>897080.66986307257</v>
      </c>
      <c r="J35" s="214">
        <f t="shared" ca="1" si="33"/>
        <v>1241387.4616017821</v>
      </c>
      <c r="K35" s="214">
        <f t="shared" ca="1" si="33"/>
        <v>1470063.811724534</v>
      </c>
      <c r="L35" s="214">
        <f t="shared" ca="1" si="33"/>
        <v>1564802.8908328873</v>
      </c>
      <c r="M35" s="214">
        <f t="shared" ca="1" si="33"/>
        <v>1601097.7947406955</v>
      </c>
      <c r="N35" s="214">
        <f t="shared" ref="N35:BY35" ca="1" si="34">(N31+N32)/N34</f>
        <v>2604005.3884399408</v>
      </c>
      <c r="O35" s="214">
        <f t="shared" ca="1" si="34"/>
        <v>2136252.7739334349</v>
      </c>
      <c r="P35" s="214">
        <f t="shared" ca="1" si="34"/>
        <v>1573046.6131315343</v>
      </c>
      <c r="Q35" s="214">
        <f t="shared" ca="1" si="34"/>
        <v>1029995.1562081112</v>
      </c>
      <c r="R35" s="214">
        <f t="shared" ca="1" si="34"/>
        <v>809206.06648646225</v>
      </c>
      <c r="S35" s="214">
        <f t="shared" ca="1" si="34"/>
        <v>446166.12811160967</v>
      </c>
      <c r="T35" s="214">
        <f t="shared" ca="1" si="34"/>
        <v>187222.07237898358</v>
      </c>
      <c r="U35" s="214">
        <f t="shared" ca="1" si="34"/>
        <v>37284.331641204357</v>
      </c>
      <c r="V35" s="214">
        <f t="shared" ca="1" si="34"/>
        <v>-65209.774179591011</v>
      </c>
      <c r="W35" s="214">
        <f t="shared" ca="1" si="34"/>
        <v>-103846.08343167635</v>
      </c>
      <c r="X35" s="214">
        <f t="shared" ca="1" si="34"/>
        <v>-168495.608343814</v>
      </c>
      <c r="Y35" s="214">
        <f t="shared" ca="1" si="34"/>
        <v>-206651.23965318874</v>
      </c>
      <c r="Z35" s="214">
        <f t="shared" ca="1" si="34"/>
        <v>-224184.06114920138</v>
      </c>
      <c r="AA35" s="214">
        <f t="shared" ca="1" si="34"/>
        <v>-226291.31223887601</v>
      </c>
      <c r="AB35" s="214">
        <f t="shared" ca="1" si="34"/>
        <v>-204216.9845562285</v>
      </c>
      <c r="AC35" s="214">
        <f t="shared" ca="1" si="34"/>
        <v>-190924.04687571331</v>
      </c>
      <c r="AD35" s="214">
        <f t="shared" ca="1" si="34"/>
        <v>-174778.72165123498</v>
      </c>
      <c r="AE35" s="214">
        <f t="shared" ca="1" si="34"/>
        <v>-157025.63214737529</v>
      </c>
      <c r="AF35" s="214">
        <f t="shared" ca="1" si="34"/>
        <v>-139752.64425365115</v>
      </c>
      <c r="AG35" s="214">
        <f t="shared" ca="1" si="34"/>
        <v>-119217.7721657022</v>
      </c>
      <c r="AH35" s="214">
        <f t="shared" ca="1" si="34"/>
        <v>-104397.28789723043</v>
      </c>
      <c r="AI35" s="214">
        <f t="shared" ca="1" si="34"/>
        <v>-91202.348225726601</v>
      </c>
      <c r="AJ35" s="214">
        <f t="shared" ca="1" si="34"/>
        <v>-79588.339598121063</v>
      </c>
      <c r="AK35" s="214">
        <f t="shared" ca="1" si="34"/>
        <v>-69422.214170134743</v>
      </c>
      <c r="AL35" s="214">
        <f t="shared" ca="1" si="34"/>
        <v>-58999.471125656193</v>
      </c>
      <c r="AM35" s="214">
        <f t="shared" ca="1" si="34"/>
        <v>-50493.198970503006</v>
      </c>
      <c r="AN35" s="214">
        <f t="shared" ca="1" si="34"/>
        <v>-43687.318508006108</v>
      </c>
      <c r="AO35" s="214">
        <f t="shared" ca="1" si="34"/>
        <v>-37612.186061772751</v>
      </c>
      <c r="AP35" s="214">
        <f t="shared" ca="1" si="34"/>
        <v>-32269.316532459878</v>
      </c>
      <c r="AQ35" s="214">
        <f t="shared" ca="1" si="34"/>
        <v>-27105.826543823005</v>
      </c>
      <c r="AR35" s="214">
        <f t="shared" ca="1" si="34"/>
        <v>-23026.413878558207</v>
      </c>
      <c r="AS35" s="214">
        <f t="shared" ca="1" si="34"/>
        <v>-19447.750135193604</v>
      </c>
      <c r="AT35" s="214">
        <f t="shared" ca="1" si="34"/>
        <v>-16330.95473922678</v>
      </c>
      <c r="AU35" s="214">
        <f t="shared" ca="1" si="34"/>
        <v>-13637.218834548079</v>
      </c>
      <c r="AV35" s="214">
        <f t="shared" ca="1" si="34"/>
        <v>-11163.358275314777</v>
      </c>
      <c r="AW35" s="214">
        <f t="shared" ca="1" si="34"/>
        <v>-9129.3692329538117</v>
      </c>
      <c r="AX35" s="214">
        <f t="shared" ca="1" si="34"/>
        <v>-7465.4356141918233</v>
      </c>
      <c r="AY35" s="214">
        <f t="shared" ca="1" si="34"/>
        <v>-6057.6522486281201</v>
      </c>
      <c r="AZ35" s="214">
        <f t="shared" ca="1" si="34"/>
        <v>-4883.3341018108913</v>
      </c>
      <c r="BA35" s="214">
        <f t="shared" ca="1" si="34"/>
        <v>-3873.6646445609113</v>
      </c>
      <c r="BB35" s="214">
        <f t="shared" ca="1" si="34"/>
        <v>-3082.3470121127098</v>
      </c>
      <c r="BC35" s="214">
        <f t="shared" ca="1" si="34"/>
        <v>-2447.8471188281051</v>
      </c>
      <c r="BD35" s="214">
        <f t="shared" ca="1" si="34"/>
        <v>-1940.2293939584472</v>
      </c>
      <c r="BE35" s="214">
        <f t="shared" ca="1" si="34"/>
        <v>-1535.0374709740613</v>
      </c>
      <c r="BF35" s="214">
        <f t="shared" ca="1" si="34"/>
        <v>-1201.2757961605744</v>
      </c>
      <c r="BG35" s="214">
        <f t="shared" ca="1" si="34"/>
        <v>-929.97719316964719</v>
      </c>
      <c r="BH35" s="214">
        <f t="shared" ca="1" si="34"/>
        <v>-729.89613979954731</v>
      </c>
      <c r="BI35" s="214">
        <f t="shared" ca="1" si="34"/>
        <v>-569.56491294571435</v>
      </c>
      <c r="BJ35" s="214">
        <f t="shared" ca="1" si="34"/>
        <v>-442.216372211992</v>
      </c>
      <c r="BK35" s="214">
        <f t="shared" ca="1" si="34"/>
        <v>-339.24985777116331</v>
      </c>
      <c r="BL35" s="214">
        <f t="shared" ca="1" si="34"/>
        <v>-259.8356978461116</v>
      </c>
      <c r="BM35" s="214">
        <f t="shared" ca="1" si="34"/>
        <v>-198.11980426429878</v>
      </c>
      <c r="BN35" s="214">
        <f t="shared" ca="1" si="34"/>
        <v>-149.7369264211475</v>
      </c>
      <c r="BO35" s="214">
        <f t="shared" ca="1" si="34"/>
        <v>-112.07267377177617</v>
      </c>
      <c r="BP35" s="214">
        <f t="shared" ca="1" si="34"/>
        <v>-82.456540294428393</v>
      </c>
      <c r="BQ35" s="214">
        <f t="shared" ca="1" si="34"/>
        <v>-59.657174850242157</v>
      </c>
      <c r="BR35" s="214">
        <f t="shared" ca="1" si="34"/>
        <v>-43.043199229520582</v>
      </c>
      <c r="BS35" s="214">
        <f t="shared" ca="1" si="34"/>
        <v>-30.495861511048393</v>
      </c>
      <c r="BT35" s="214">
        <f t="shared" ca="1" si="34"/>
        <v>-21.176494191115324</v>
      </c>
      <c r="BU35" s="214">
        <f t="shared" ca="1" si="34"/>
        <v>-14.326173062369588</v>
      </c>
      <c r="BV35" s="214">
        <f t="shared" ca="1" si="34"/>
        <v>-9.2863543814179454</v>
      </c>
      <c r="BW35" s="214">
        <f t="shared" ca="1" si="34"/>
        <v>-6.0898370093549081</v>
      </c>
      <c r="BX35" s="214">
        <f t="shared" ca="1" si="34"/>
        <v>-3.9386613521928213</v>
      </c>
      <c r="BY35" s="214">
        <f t="shared" ca="1" si="34"/>
        <v>-2.5139388422157558</v>
      </c>
      <c r="BZ35" s="214">
        <f t="shared" ref="BZ35:CY35" ca="1" si="35">(BZ31+BZ32)/BZ34</f>
        <v>-1.5805006667440129</v>
      </c>
      <c r="CA35" s="214">
        <f t="shared" ca="1" si="35"/>
        <v>-0.82313021419921384</v>
      </c>
      <c r="CB35" s="214">
        <f t="shared" ca="1" si="35"/>
        <v>-0.52063534984464088</v>
      </c>
      <c r="CC35" s="214">
        <f t="shared" ca="1" si="35"/>
        <v>-0.32526944220982407</v>
      </c>
      <c r="CD35" s="214">
        <f t="shared" ca="1" si="35"/>
        <v>-0.20065602249107437</v>
      </c>
      <c r="CE35" s="214">
        <f t="shared" ca="1" si="35"/>
        <v>-0.12236503519536956</v>
      </c>
      <c r="CF35" s="214">
        <f t="shared" ca="1" si="35"/>
        <v>-5.6185894380338795E-2</v>
      </c>
      <c r="CG35" s="214">
        <f t="shared" ca="1" si="35"/>
        <v>-3.4580652477068465E-2</v>
      </c>
      <c r="CH35" s="214">
        <f t="shared" ca="1" si="35"/>
        <v>-2.0980990446749028E-2</v>
      </c>
      <c r="CI35" s="214">
        <f t="shared" ca="1" si="35"/>
        <v>-1.2772765389776619E-2</v>
      </c>
      <c r="CJ35" s="214">
        <f t="shared" ca="1" si="35"/>
        <v>-4.604894974130495E-3</v>
      </c>
      <c r="CK35" s="214">
        <f t="shared" ca="1" si="35"/>
        <v>-6.9511740851660739E-6</v>
      </c>
      <c r="CL35" s="214">
        <f t="shared" ca="1" si="35"/>
        <v>0</v>
      </c>
      <c r="CM35" s="214">
        <f t="shared" ca="1" si="35"/>
        <v>0</v>
      </c>
      <c r="CN35" s="214">
        <f t="shared" ca="1" si="35"/>
        <v>0</v>
      </c>
      <c r="CO35" s="214">
        <f t="shared" ca="1" si="35"/>
        <v>0</v>
      </c>
      <c r="CP35" s="214">
        <f t="shared" ca="1" si="35"/>
        <v>0</v>
      </c>
      <c r="CQ35" s="214">
        <f t="shared" ca="1" si="35"/>
        <v>0</v>
      </c>
      <c r="CR35" s="214">
        <f t="shared" ca="1" si="35"/>
        <v>0</v>
      </c>
      <c r="CS35" s="214">
        <f t="shared" ca="1" si="35"/>
        <v>0</v>
      </c>
      <c r="CT35" s="214">
        <f t="shared" ca="1" si="35"/>
        <v>0</v>
      </c>
      <c r="CU35" s="214">
        <f t="shared" ca="1" si="35"/>
        <v>0</v>
      </c>
      <c r="CV35" s="214">
        <f t="shared" ca="1" si="35"/>
        <v>0</v>
      </c>
      <c r="CW35" s="214">
        <f t="shared" ca="1" si="35"/>
        <v>0</v>
      </c>
      <c r="CX35" s="214">
        <f t="shared" ca="1" si="35"/>
        <v>0</v>
      </c>
      <c r="CY35" s="214">
        <f t="shared" ca="1" si="35"/>
        <v>0</v>
      </c>
    </row>
    <row r="36" spans="2:103" ht="15" thickBot="1" x14ac:dyDescent="0.35">
      <c r="B36" s="212"/>
      <c r="C36" s="223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214"/>
      <c r="BK36" s="214"/>
      <c r="BL36" s="214"/>
      <c r="BM36" s="214"/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4"/>
      <c r="CM36" s="214"/>
      <c r="CN36" s="214"/>
      <c r="CO36" s="214"/>
      <c r="CP36" s="214"/>
      <c r="CQ36" s="214"/>
      <c r="CR36" s="214"/>
      <c r="CS36" s="214"/>
      <c r="CT36" s="214"/>
      <c r="CU36" s="214"/>
      <c r="CV36" s="214"/>
      <c r="CW36" s="214"/>
      <c r="CX36" s="214"/>
      <c r="CY36" s="214"/>
    </row>
    <row r="37" spans="2:103" ht="15" thickBot="1" x14ac:dyDescent="0.35">
      <c r="B37" s="209" t="s">
        <v>154</v>
      </c>
      <c r="C37" s="223"/>
      <c r="D37" s="234">
        <v>9054.1159505591531</v>
      </c>
      <c r="E37" s="234">
        <v>18338.434373160686</v>
      </c>
      <c r="F37" s="234">
        <v>23473.195997645675</v>
      </c>
      <c r="G37" s="234">
        <v>27245.673925838732</v>
      </c>
      <c r="H37" s="234">
        <v>35524.167157151263</v>
      </c>
      <c r="I37" s="234">
        <v>38877.480871100648</v>
      </c>
      <c r="J37" s="234">
        <v>43383.496174220127</v>
      </c>
      <c r="K37" s="234">
        <v>49147.004120070633</v>
      </c>
      <c r="L37" s="234">
        <v>56587.168922895828</v>
      </c>
      <c r="M37" s="234">
        <v>66332.736904061225</v>
      </c>
      <c r="N37" s="234">
        <v>0</v>
      </c>
      <c r="O37" s="234">
        <v>0</v>
      </c>
      <c r="P37" s="234">
        <v>0</v>
      </c>
      <c r="Q37" s="234">
        <v>0</v>
      </c>
      <c r="R37" s="234">
        <v>0</v>
      </c>
      <c r="S37" s="234">
        <v>0</v>
      </c>
      <c r="T37" s="234">
        <v>0</v>
      </c>
      <c r="U37" s="234">
        <v>0</v>
      </c>
      <c r="V37" s="234">
        <v>0</v>
      </c>
      <c r="W37" s="234">
        <v>0</v>
      </c>
      <c r="X37" s="234">
        <v>0</v>
      </c>
      <c r="Y37" s="234">
        <v>0</v>
      </c>
      <c r="Z37" s="234">
        <v>0</v>
      </c>
      <c r="AA37" s="234">
        <v>0</v>
      </c>
      <c r="AB37" s="234">
        <v>0</v>
      </c>
      <c r="AC37" s="234">
        <v>0</v>
      </c>
      <c r="AD37" s="234">
        <v>0</v>
      </c>
      <c r="AE37" s="234">
        <v>0</v>
      </c>
      <c r="AF37" s="234">
        <v>0</v>
      </c>
      <c r="AG37" s="234">
        <v>0</v>
      </c>
      <c r="AH37" s="234">
        <v>0</v>
      </c>
      <c r="AI37" s="234">
        <v>0</v>
      </c>
      <c r="AJ37" s="234">
        <v>0</v>
      </c>
      <c r="AK37" s="234">
        <v>0</v>
      </c>
      <c r="AL37" s="234">
        <v>0</v>
      </c>
      <c r="AM37" s="234">
        <v>0</v>
      </c>
      <c r="AN37" s="234">
        <v>0</v>
      </c>
      <c r="AO37" s="234">
        <v>0</v>
      </c>
      <c r="AP37" s="234">
        <v>0</v>
      </c>
      <c r="AQ37" s="234">
        <v>0</v>
      </c>
      <c r="AR37" s="234">
        <v>0</v>
      </c>
      <c r="AS37" s="234">
        <v>0</v>
      </c>
      <c r="AT37" s="234">
        <v>0</v>
      </c>
      <c r="AU37" s="234">
        <v>0</v>
      </c>
      <c r="AV37" s="234">
        <v>0</v>
      </c>
      <c r="AW37" s="234">
        <v>0</v>
      </c>
      <c r="AX37" s="234">
        <v>0</v>
      </c>
      <c r="AY37" s="234">
        <v>0</v>
      </c>
      <c r="AZ37" s="234">
        <v>0</v>
      </c>
      <c r="BA37" s="234">
        <v>0</v>
      </c>
      <c r="BB37" s="234">
        <v>0</v>
      </c>
      <c r="BC37" s="234">
        <v>0</v>
      </c>
      <c r="BD37" s="234">
        <v>0</v>
      </c>
      <c r="BE37" s="234">
        <v>0</v>
      </c>
      <c r="BF37" s="234">
        <v>0</v>
      </c>
      <c r="BG37" s="234">
        <v>0</v>
      </c>
      <c r="BH37" s="234">
        <v>0</v>
      </c>
      <c r="BI37" s="234">
        <v>0</v>
      </c>
      <c r="BJ37" s="234">
        <v>0</v>
      </c>
      <c r="BK37" s="234">
        <v>0</v>
      </c>
      <c r="BL37" s="234">
        <v>0</v>
      </c>
      <c r="BM37" s="234">
        <v>0</v>
      </c>
      <c r="BN37" s="234">
        <v>0</v>
      </c>
      <c r="BO37" s="234">
        <v>0</v>
      </c>
      <c r="BP37" s="234">
        <v>0</v>
      </c>
      <c r="BQ37" s="234">
        <v>0</v>
      </c>
      <c r="BR37" s="234">
        <v>0</v>
      </c>
      <c r="BS37" s="234">
        <v>0</v>
      </c>
      <c r="BT37" s="234">
        <v>0</v>
      </c>
      <c r="BU37" s="234">
        <v>0</v>
      </c>
      <c r="BV37" s="234">
        <v>0</v>
      </c>
      <c r="BW37" s="234">
        <v>0</v>
      </c>
      <c r="BX37" s="234">
        <v>0</v>
      </c>
      <c r="BY37" s="234">
        <v>0</v>
      </c>
      <c r="BZ37" s="234">
        <v>0</v>
      </c>
      <c r="CA37" s="234">
        <v>0</v>
      </c>
      <c r="CB37" s="234">
        <v>0</v>
      </c>
      <c r="CC37" s="234">
        <v>0</v>
      </c>
      <c r="CD37" s="234">
        <v>0</v>
      </c>
      <c r="CE37" s="234">
        <v>0</v>
      </c>
      <c r="CF37" s="234">
        <v>0</v>
      </c>
      <c r="CG37" s="234">
        <v>0</v>
      </c>
      <c r="CH37" s="234">
        <v>0</v>
      </c>
      <c r="CI37" s="234">
        <v>0</v>
      </c>
      <c r="CJ37" s="234">
        <v>0</v>
      </c>
      <c r="CK37" s="234">
        <v>0</v>
      </c>
      <c r="CL37" s="234">
        <v>0</v>
      </c>
      <c r="CM37" s="234">
        <v>0</v>
      </c>
      <c r="CN37" s="234">
        <v>0</v>
      </c>
      <c r="CO37" s="234">
        <v>0</v>
      </c>
      <c r="CP37" s="234">
        <v>0</v>
      </c>
      <c r="CQ37" s="234">
        <v>0</v>
      </c>
      <c r="CR37" s="234">
        <v>0</v>
      </c>
      <c r="CS37" s="234">
        <v>0</v>
      </c>
      <c r="CT37" s="234">
        <v>0</v>
      </c>
      <c r="CU37" s="234">
        <v>0</v>
      </c>
      <c r="CV37" s="234">
        <v>0</v>
      </c>
      <c r="CW37" s="234">
        <v>0</v>
      </c>
      <c r="CX37" s="234">
        <v>0</v>
      </c>
      <c r="CY37" s="234">
        <v>0</v>
      </c>
    </row>
    <row r="38" spans="2:103" ht="15" thickBot="1" x14ac:dyDescent="0.35">
      <c r="B38" s="209" t="s">
        <v>155</v>
      </c>
      <c r="C38" s="223"/>
      <c r="D38" s="213">
        <f>'Combined IFRS17 Cashflows'!F48</f>
        <v>3262.1397086800048</v>
      </c>
      <c r="E38" s="213">
        <f>'Combined IFRS17 Cashflows'!G48</f>
        <v>15983.623572048631</v>
      </c>
      <c r="F38" s="213">
        <f>'Combined IFRS17 Cashflows'!H48</f>
        <v>30700.66256035004</v>
      </c>
      <c r="G38" s="213">
        <f>'Combined IFRS17 Cashflows'!I48</f>
        <v>46785.999860253789</v>
      </c>
      <c r="H38" s="213">
        <f>'Combined IFRS17 Cashflows'!J48</f>
        <v>67488.684850067075</v>
      </c>
      <c r="I38" s="213">
        <f>'Combined IFRS17 Cashflows'!K48</f>
        <v>88519.424112235632</v>
      </c>
      <c r="J38" s="213">
        <f>'Combined IFRS17 Cashflows'!L48</f>
        <v>110630.29721034988</v>
      </c>
      <c r="K38" s="213">
        <f>'Combined IFRS17 Cashflows'!M48</f>
        <v>134912.12211707223</v>
      </c>
      <c r="L38" s="213">
        <f>'Combined IFRS17 Cashflows'!N48</f>
        <v>162401.25526815248</v>
      </c>
      <c r="M38" s="213">
        <f>'Combined IFRS17 Cashflows'!O48</f>
        <v>194274.40277664879</v>
      </c>
      <c r="N38" s="213">
        <f>'Combined IFRS17 Cashflows'!P48</f>
        <v>175191.30883552812</v>
      </c>
      <c r="O38" s="213">
        <f>'Combined IFRS17 Cashflows'!Q48</f>
        <v>160388.67087599612</v>
      </c>
      <c r="P38" s="213">
        <f>'Combined IFRS17 Cashflows'!R48</f>
        <v>146237.48445964383</v>
      </c>
      <c r="Q38" s="213">
        <f>'Combined IFRS17 Cashflows'!S48</f>
        <v>132592.3880533787</v>
      </c>
      <c r="R38" s="213">
        <f>'Combined IFRS17 Cashflows'!T48</f>
        <v>119021.32322873751</v>
      </c>
      <c r="S38" s="213">
        <f>'Combined IFRS17 Cashflows'!U48</f>
        <v>108572.29516924442</v>
      </c>
      <c r="T38" s="213">
        <f>'Combined IFRS17 Cashflows'!V48</f>
        <v>98525.182694890871</v>
      </c>
      <c r="U38" s="213">
        <f>'Combined IFRS17 Cashflows'!W48</f>
        <v>88780.423061236143</v>
      </c>
      <c r="V38" s="213">
        <f>'Combined IFRS17 Cashflows'!X48</f>
        <v>79190.131938178631</v>
      </c>
      <c r="W38" s="213">
        <f>'Combined IFRS17 Cashflows'!Y48</f>
        <v>69613.777066438619</v>
      </c>
      <c r="X38" s="213">
        <f>'Combined IFRS17 Cashflows'!Z48</f>
        <v>64205.67869998578</v>
      </c>
      <c r="Y38" s="213">
        <f>'Combined IFRS17 Cashflows'!AA48</f>
        <v>58676.6106923302</v>
      </c>
      <c r="Z38" s="213">
        <f>'Combined IFRS17 Cashflows'!AB48</f>
        <v>53336.531227641477</v>
      </c>
      <c r="AA38" s="213">
        <f>'Combined IFRS17 Cashflows'!AC48</f>
        <v>48231.142356776625</v>
      </c>
      <c r="AB38" s="213">
        <f>'Combined IFRS17 Cashflows'!AD48</f>
        <v>43203.734072915795</v>
      </c>
      <c r="AC38" s="213">
        <f>'Combined IFRS17 Cashflows'!AE48</f>
        <v>38419.886391919354</v>
      </c>
      <c r="AD38" s="213">
        <f>'Combined IFRS17 Cashflows'!AF48</f>
        <v>33823.635923702896</v>
      </c>
      <c r="AE38" s="213">
        <f>'Combined IFRS17 Cashflows'!AG48</f>
        <v>29363.487882451664</v>
      </c>
      <c r="AF38" s="213">
        <f>'Combined IFRS17 Cashflows'!AH48</f>
        <v>24971.721627631279</v>
      </c>
      <c r="AG38" s="213">
        <f>'Combined IFRS17 Cashflows'!AI48</f>
        <v>20559.772543843079</v>
      </c>
      <c r="AH38" s="213">
        <f>'Combined IFRS17 Cashflows'!AJ48</f>
        <v>18685.358372135692</v>
      </c>
      <c r="AI38" s="213">
        <f>'Combined IFRS17 Cashflows'!AK48</f>
        <v>16968.686179303666</v>
      </c>
      <c r="AJ38" s="213">
        <f>'Combined IFRS17 Cashflows'!AL48</f>
        <v>15392.472551535771</v>
      </c>
      <c r="AK38" s="213">
        <f>'Combined IFRS17 Cashflows'!AM48</f>
        <v>13942.717088676418</v>
      </c>
      <c r="AL38" s="213">
        <f>'Combined IFRS17 Cashflows'!AN48</f>
        <v>12608.076347996672</v>
      </c>
      <c r="AM38" s="213">
        <f>'Combined IFRS17 Cashflows'!AO48</f>
        <v>11390.796837579044</v>
      </c>
      <c r="AN38" s="213">
        <f>'Combined IFRS17 Cashflows'!AP48</f>
        <v>10265.666986676353</v>
      </c>
      <c r="AO38" s="213">
        <f>'Combined IFRS17 Cashflows'!AQ48</f>
        <v>9227.8852364189406</v>
      </c>
      <c r="AP38" s="213">
        <f>'Combined IFRS17 Cashflows'!AR48</f>
        <v>8271.7526942433142</v>
      </c>
      <c r="AQ38" s="213">
        <f>'Combined IFRS17 Cashflows'!AS48</f>
        <v>7391.3639946860958</v>
      </c>
      <c r="AR38" s="213">
        <f>'Combined IFRS17 Cashflows'!AT48</f>
        <v>6581.934752228578</v>
      </c>
      <c r="AS38" s="213">
        <f>'Combined IFRS17 Cashflows'!AU48</f>
        <v>5839.0525401993864</v>
      </c>
      <c r="AT38" s="213">
        <f>'Combined IFRS17 Cashflows'!AV48</f>
        <v>5159.9430862433483</v>
      </c>
      <c r="AU38" s="213">
        <f>'Combined IFRS17 Cashflows'!AW48</f>
        <v>4542.1937990476899</v>
      </c>
      <c r="AV38" s="213">
        <f>'Combined IFRS17 Cashflows'!AX48</f>
        <v>3983.4513507694501</v>
      </c>
      <c r="AW38" s="213">
        <f>'Combined IFRS17 Cashflows'!AY48</f>
        <v>3484.8219557633097</v>
      </c>
      <c r="AX38" s="213">
        <f>'Combined IFRS17 Cashflows'!AZ48</f>
        <v>3038.5052531700544</v>
      </c>
      <c r="AY38" s="213">
        <f>'Combined IFRS17 Cashflows'!BA48</f>
        <v>2642.3368365121255</v>
      </c>
      <c r="AZ38" s="213">
        <f>'Combined IFRS17 Cashflows'!BB48</f>
        <v>2292.9536937199296</v>
      </c>
      <c r="BA38" s="213">
        <f>'Combined IFRS17 Cashflows'!BC48</f>
        <v>1986.2121941416099</v>
      </c>
      <c r="BB38" s="213">
        <f>'Combined IFRS17 Cashflows'!BD48</f>
        <v>1718.0306816086718</v>
      </c>
      <c r="BC38" s="213">
        <f>'Combined IFRS17 Cashflows'!BE48</f>
        <v>1483.0761425062669</v>
      </c>
      <c r="BD38" s="213">
        <f>'Combined IFRS17 Cashflows'!BF48</f>
        <v>1276.7984603158795</v>
      </c>
      <c r="BE38" s="213">
        <f>'Combined IFRS17 Cashflows'!BG48</f>
        <v>1095.4096294900783</v>
      </c>
      <c r="BF38" s="213">
        <f>'Combined IFRS17 Cashflows'!BH48</f>
        <v>935.74851104355218</v>
      </c>
      <c r="BG38" s="213">
        <f>'Combined IFRS17 Cashflows'!BI48</f>
        <v>798.04056926375927</v>
      </c>
      <c r="BH38" s="213">
        <f>'Combined IFRS17 Cashflows'!BJ48</f>
        <v>676.38035586046237</v>
      </c>
      <c r="BI38" s="213">
        <f>'Combined IFRS17 Cashflows'!BK48</f>
        <v>569.37289101701822</v>
      </c>
      <c r="BJ38" s="213">
        <f>'Combined IFRS17 Cashflows'!BL48</f>
        <v>475.59102399176328</v>
      </c>
      <c r="BK38" s="213">
        <f>'Combined IFRS17 Cashflows'!BM48</f>
        <v>393.65337912386752</v>
      </c>
      <c r="BL38" s="213">
        <f>'Combined IFRS17 Cashflows'!BN48</f>
        <v>322.45949120560067</v>
      </c>
      <c r="BM38" s="213">
        <f>'Combined IFRS17 Cashflows'!BO48</f>
        <v>260.90591102519585</v>
      </c>
      <c r="BN38" s="213">
        <f>'Combined IFRS17 Cashflows'!BP48</f>
        <v>208.22279457088035</v>
      </c>
      <c r="BO38" s="213">
        <f>'Combined IFRS17 Cashflows'!BQ48</f>
        <v>163.65259421905637</v>
      </c>
      <c r="BP38" s="213">
        <f>'Combined IFRS17 Cashflows'!BR48</f>
        <v>126.44131883541525</v>
      </c>
      <c r="BQ38" s="213">
        <f>'Combined IFRS17 Cashflows'!BS48</f>
        <v>96.074414349502902</v>
      </c>
      <c r="BR38" s="213">
        <f>'Combined IFRS17 Cashflows'!BT48</f>
        <v>71.479060702517884</v>
      </c>
      <c r="BS38" s="213">
        <f>'Combined IFRS17 Cashflows'!BU48</f>
        <v>52.037107691442763</v>
      </c>
      <c r="BT38" s="213">
        <f>'Combined IFRS17 Cashflows'!BV48</f>
        <v>37.061523780230182</v>
      </c>
      <c r="BU38" s="213">
        <f>'Combined IFRS17 Cashflows'!BW48</f>
        <v>25.83478677383302</v>
      </c>
      <c r="BV38" s="213">
        <f>'Combined IFRS17 Cashflows'!BX48</f>
        <v>17.834311806657674</v>
      </c>
      <c r="BW38" s="213">
        <f>'Combined IFRS17 Cashflows'!BY48</f>
        <v>12.098786774929245</v>
      </c>
      <c r="BX38" s="213">
        <f>'Combined IFRS17 Cashflows'!BZ48</f>
        <v>8.0422261237582973</v>
      </c>
      <c r="BY38" s="213">
        <f>'Combined IFRS17 Cashflows'!CA48</f>
        <v>5.2043288333751354</v>
      </c>
      <c r="BZ38" s="213">
        <f>'Combined IFRS17 Cashflows'!CB48</f>
        <v>3.232147685519954</v>
      </c>
      <c r="CA38" s="213">
        <f>'Combined IFRS17 Cashflows'!CC48</f>
        <v>2.1838521299604019</v>
      </c>
      <c r="CB38" s="213">
        <f>'Combined IFRS17 Cashflows'!CD48</f>
        <v>1.4413110098665372</v>
      </c>
      <c r="CC38" s="213">
        <f>'Combined IFRS17 Cashflows'!CE48</f>
        <v>0.92311168011682898</v>
      </c>
      <c r="CD38" s="213">
        <f>'Combined IFRS17 Cashflows'!CF48</f>
        <v>0.56637807705160992</v>
      </c>
      <c r="CE38" s="213">
        <f>'Combined IFRS17 Cashflows'!CG48</f>
        <v>0.32329096801083196</v>
      </c>
      <c r="CF38" s="213">
        <f>'Combined IFRS17 Cashflows'!CH48</f>
        <v>0.19981258500604146</v>
      </c>
      <c r="CG38" s="213">
        <f>'Combined IFRS17 Cashflows'!CI48</f>
        <v>0.11613894308217844</v>
      </c>
      <c r="CH38" s="213">
        <f>'Combined IFRS17 Cashflows'!CJ48</f>
        <v>6.0580836392991333E-2</v>
      </c>
      <c r="CI38" s="213">
        <f>'Combined IFRS17 Cashflows'!CK48</f>
        <v>2.4125804027299441E-2</v>
      </c>
      <c r="CJ38" s="213">
        <f>'Combined IFRS17 Cashflows'!CL48</f>
        <v>0</v>
      </c>
      <c r="CK38" s="213">
        <f>'Combined IFRS17 Cashflows'!CM48</f>
        <v>0</v>
      </c>
      <c r="CL38" s="213">
        <f>'Combined IFRS17 Cashflows'!CN48</f>
        <v>0</v>
      </c>
      <c r="CM38" s="213">
        <f>'Combined IFRS17 Cashflows'!CO48</f>
        <v>0</v>
      </c>
      <c r="CN38" s="213">
        <f>'Combined IFRS17 Cashflows'!CP48</f>
        <v>0</v>
      </c>
      <c r="CO38" s="213">
        <f>'Combined IFRS17 Cashflows'!CQ48</f>
        <v>0</v>
      </c>
      <c r="CP38" s="213">
        <f>'Combined IFRS17 Cashflows'!CR48</f>
        <v>0</v>
      </c>
      <c r="CQ38" s="213">
        <f>'Combined IFRS17 Cashflows'!CS48</f>
        <v>0</v>
      </c>
      <c r="CR38" s="213">
        <f>'Combined IFRS17 Cashflows'!CT48</f>
        <v>0</v>
      </c>
      <c r="CS38" s="213">
        <f>'Combined IFRS17 Cashflows'!CU48</f>
        <v>0</v>
      </c>
      <c r="CT38" s="213">
        <f>'Combined IFRS17 Cashflows'!CV48</f>
        <v>0</v>
      </c>
      <c r="CU38" s="213">
        <f>'Combined IFRS17 Cashflows'!CW48</f>
        <v>0</v>
      </c>
      <c r="CV38" s="213">
        <f>'Combined IFRS17 Cashflows'!CX48</f>
        <v>0</v>
      </c>
      <c r="CW38" s="213">
        <f>'Combined IFRS17 Cashflows'!CY48</f>
        <v>0</v>
      </c>
      <c r="CX38" s="213">
        <f>'Combined IFRS17 Cashflows'!CZ48</f>
        <v>0</v>
      </c>
      <c r="CY38" s="213">
        <f>'Combined IFRS17 Cashflows'!DA48</f>
        <v>0</v>
      </c>
    </row>
    <row r="39" spans="2:103" ht="15" thickBot="1" x14ac:dyDescent="0.35">
      <c r="B39" s="209" t="s">
        <v>156</v>
      </c>
      <c r="C39" s="223"/>
      <c r="D39" s="234">
        <v>5194078.5432546362</v>
      </c>
      <c r="E39" s="234">
        <v>10520166.001947016</v>
      </c>
      <c r="F39" s="234">
        <v>13465812.482492181</v>
      </c>
      <c r="G39" s="234">
        <v>15629960.917178422</v>
      </c>
      <c r="H39" s="234">
        <v>20379064.426628791</v>
      </c>
      <c r="I39" s="234">
        <v>22302751.924127672</v>
      </c>
      <c r="J39" s="234">
        <v>24887706.998891793</v>
      </c>
      <c r="K39" s="234">
        <v>28194044.885218002</v>
      </c>
      <c r="L39" s="234">
        <v>32462226.520293664</v>
      </c>
      <c r="M39" s="234">
        <v>38052943.309899777</v>
      </c>
      <c r="N39" s="234">
        <v>38052944.3098998</v>
      </c>
      <c r="O39" s="234">
        <v>38052945.3098998</v>
      </c>
      <c r="P39" s="234">
        <v>38052946.3098998</v>
      </c>
      <c r="Q39" s="234">
        <v>38052947.3098998</v>
      </c>
      <c r="R39" s="234">
        <v>38052948.3098998</v>
      </c>
      <c r="S39" s="234">
        <v>38052949.3098998</v>
      </c>
      <c r="T39" s="234">
        <v>38052950.3098998</v>
      </c>
      <c r="U39" s="234">
        <v>38052951.3098998</v>
      </c>
      <c r="V39" s="234">
        <v>38052952.3098998</v>
      </c>
      <c r="W39" s="234">
        <v>38052953.3098998</v>
      </c>
      <c r="X39" s="234">
        <v>38052954.3098998</v>
      </c>
      <c r="Y39" s="234">
        <v>38052955.3098998</v>
      </c>
      <c r="Z39" s="234">
        <v>38052956.3098998</v>
      </c>
      <c r="AA39" s="234">
        <v>38052957.3098998</v>
      </c>
      <c r="AB39" s="234">
        <v>38052958.3098998</v>
      </c>
      <c r="AC39" s="234">
        <v>38052959.3098998</v>
      </c>
      <c r="AD39" s="234">
        <v>38052960.3098998</v>
      </c>
      <c r="AE39" s="234">
        <v>38052961.3098998</v>
      </c>
      <c r="AF39" s="234">
        <v>38052962.3098998</v>
      </c>
      <c r="AG39" s="234">
        <v>38052963.3098998</v>
      </c>
      <c r="AH39" s="234">
        <v>38052964.3098998</v>
      </c>
      <c r="AI39" s="234">
        <v>38052965.3098998</v>
      </c>
      <c r="AJ39" s="234">
        <v>38052966.3098998</v>
      </c>
      <c r="AK39" s="234">
        <v>38052967.3098998</v>
      </c>
      <c r="AL39" s="234">
        <v>38052968.3098998</v>
      </c>
      <c r="AM39" s="234">
        <v>38052969.3098998</v>
      </c>
      <c r="AN39" s="234">
        <v>38052970.3098998</v>
      </c>
      <c r="AO39" s="234">
        <v>38052971.3098998</v>
      </c>
      <c r="AP39" s="234">
        <v>38052972.3098998</v>
      </c>
      <c r="AQ39" s="234">
        <v>38052973.3098998</v>
      </c>
      <c r="AR39" s="234">
        <v>38052974.3098998</v>
      </c>
      <c r="AS39" s="234">
        <v>38052975.3098998</v>
      </c>
      <c r="AT39" s="234">
        <v>38052976.3098998</v>
      </c>
      <c r="AU39" s="234">
        <v>38052977.3098998</v>
      </c>
      <c r="AV39" s="234">
        <v>38052978.3098998</v>
      </c>
      <c r="AW39" s="234">
        <v>38052979.3098998</v>
      </c>
      <c r="AX39" s="234">
        <v>38052980.3098998</v>
      </c>
      <c r="AY39" s="234">
        <v>38052981.3098998</v>
      </c>
      <c r="AZ39" s="234">
        <v>38052982.3098998</v>
      </c>
      <c r="BA39" s="234">
        <v>38052983.3098998</v>
      </c>
      <c r="BB39" s="234">
        <v>38052984.3098998</v>
      </c>
      <c r="BC39" s="234">
        <v>38052985.3098998</v>
      </c>
      <c r="BD39" s="234">
        <v>38052986.3098998</v>
      </c>
      <c r="BE39" s="234">
        <v>38052987.3098998</v>
      </c>
      <c r="BF39" s="234">
        <v>38052988.3098998</v>
      </c>
      <c r="BG39" s="234">
        <v>38052989.3098998</v>
      </c>
      <c r="BH39" s="234">
        <v>38052990.3098998</v>
      </c>
      <c r="BI39" s="234">
        <v>38052991.3098998</v>
      </c>
      <c r="BJ39" s="234">
        <v>38052992.3098998</v>
      </c>
      <c r="BK39" s="234">
        <v>38052993.3098998</v>
      </c>
      <c r="BL39" s="234">
        <v>38052994.3098998</v>
      </c>
      <c r="BM39" s="234">
        <v>38052995.3098998</v>
      </c>
      <c r="BN39" s="234">
        <v>38052996.3098998</v>
      </c>
      <c r="BO39" s="234">
        <v>38052997.3098998</v>
      </c>
      <c r="BP39" s="234">
        <v>38052998.3098998</v>
      </c>
      <c r="BQ39" s="234">
        <v>38052999.3098998</v>
      </c>
      <c r="BR39" s="234">
        <v>38053000.3098998</v>
      </c>
      <c r="BS39" s="234">
        <v>38053001.3098998</v>
      </c>
      <c r="BT39" s="234">
        <v>38053002.3098998</v>
      </c>
      <c r="BU39" s="234">
        <v>38053003.3098998</v>
      </c>
      <c r="BV39" s="234">
        <v>38053004.3098998</v>
      </c>
      <c r="BW39" s="234">
        <v>38053005.3098998</v>
      </c>
      <c r="BX39" s="234">
        <v>38053006.3098998</v>
      </c>
      <c r="BY39" s="234">
        <v>38053007.3098998</v>
      </c>
      <c r="BZ39" s="234">
        <v>38053008.3098998</v>
      </c>
      <c r="CA39" s="234">
        <v>38053009.3098998</v>
      </c>
      <c r="CB39" s="234">
        <v>38053010.3098998</v>
      </c>
      <c r="CC39" s="234">
        <v>38053011.3098998</v>
      </c>
      <c r="CD39" s="234">
        <v>38053012.3098998</v>
      </c>
      <c r="CE39" s="234">
        <v>38053013.3098998</v>
      </c>
      <c r="CF39" s="234">
        <v>38053014.3098998</v>
      </c>
      <c r="CG39" s="234">
        <v>38053015.3098998</v>
      </c>
      <c r="CH39" s="234">
        <v>38053016.3098998</v>
      </c>
      <c r="CI39" s="234">
        <v>38053017.3098998</v>
      </c>
      <c r="CJ39" s="234">
        <v>38053018.3098998</v>
      </c>
      <c r="CK39" s="234">
        <v>38053019.3098998</v>
      </c>
      <c r="CL39" s="234">
        <v>38053020.3098998</v>
      </c>
      <c r="CM39" s="234">
        <v>38053021.3098998</v>
      </c>
      <c r="CN39" s="234">
        <v>38053022.3098998</v>
      </c>
      <c r="CO39" s="234">
        <v>38053023.3098998</v>
      </c>
      <c r="CP39" s="234">
        <v>38053024.3098998</v>
      </c>
      <c r="CQ39" s="234">
        <v>38053025.3098998</v>
      </c>
      <c r="CR39" s="234">
        <v>38053026.3098998</v>
      </c>
      <c r="CS39" s="234">
        <v>38053027.3098998</v>
      </c>
      <c r="CT39" s="234">
        <v>38053028.3098998</v>
      </c>
      <c r="CU39" s="234">
        <v>38053029.3098998</v>
      </c>
      <c r="CV39" s="234">
        <v>38053030.3098998</v>
      </c>
      <c r="CW39" s="234">
        <v>38053031.3098998</v>
      </c>
      <c r="CX39" s="234">
        <v>38053032.3098998</v>
      </c>
      <c r="CY39" s="234">
        <v>38053033.3098998</v>
      </c>
    </row>
    <row r="40" spans="2:103" ht="15" thickBot="1" x14ac:dyDescent="0.35">
      <c r="B40" s="209" t="s">
        <v>157</v>
      </c>
      <c r="C40" s="223"/>
      <c r="D40" s="213">
        <f>'CAR Calcs'!D59</f>
        <v>1696268.8695680301</v>
      </c>
      <c r="E40" s="213">
        <f>'CAR Calcs'!E59</f>
        <v>4548353.7346025687</v>
      </c>
      <c r="F40" s="213">
        <f>'CAR Calcs'!F59</f>
        <v>8135393.2896067305</v>
      </c>
      <c r="G40" s="213">
        <f>'CAR Calcs'!G59</f>
        <v>11728973.938224673</v>
      </c>
      <c r="H40" s="213">
        <f>'CAR Calcs'!H59</f>
        <v>16036211.808470229</v>
      </c>
      <c r="I40" s="213">
        <f>'CAR Calcs'!I59</f>
        <v>20197935.146215413</v>
      </c>
      <c r="J40" s="213">
        <f>'CAR Calcs'!J59</f>
        <v>24227133.229596034</v>
      </c>
      <c r="K40" s="213">
        <f>'CAR Calcs'!K59</f>
        <v>28350118.005923755</v>
      </c>
      <c r="L40" s="213">
        <f>'CAR Calcs'!L59</f>
        <v>32936052.174923565</v>
      </c>
      <c r="M40" s="213">
        <f>'CAR Calcs'!M59</f>
        <v>38270602.476094604</v>
      </c>
      <c r="N40" s="213">
        <f>'CAR Calcs'!N59</f>
        <v>31176657.740517166</v>
      </c>
      <c r="O40" s="213">
        <f>'CAR Calcs'!O59</f>
        <v>24535962.401297234</v>
      </c>
      <c r="P40" s="213">
        <f>'CAR Calcs'!P59</f>
        <v>19203468.673064049</v>
      </c>
      <c r="Q40" s="213">
        <f>'CAR Calcs'!Q59</f>
        <v>15407831.619076014</v>
      </c>
      <c r="R40" s="213">
        <f>'CAR Calcs'!R59</f>
        <v>12422926.994764684</v>
      </c>
      <c r="S40" s="213">
        <f>'CAR Calcs'!S59</f>
        <v>10896713.146635314</v>
      </c>
      <c r="T40" s="213">
        <f>'CAR Calcs'!T59</f>
        <v>10378585.357793372</v>
      </c>
      <c r="U40" s="213">
        <f>'CAR Calcs'!U59</f>
        <v>10313968.774553899</v>
      </c>
      <c r="V40" s="213">
        <f>'CAR Calcs'!V59</f>
        <v>10394328.545760809</v>
      </c>
      <c r="W40" s="213">
        <f>'CAR Calcs'!W59</f>
        <v>10639626.918927073</v>
      </c>
      <c r="X40" s="213">
        <f>'CAR Calcs'!X59</f>
        <v>10773588.685127802</v>
      </c>
      <c r="Y40" s="213">
        <f>'CAR Calcs'!Y59</f>
        <v>10837949.092822319</v>
      </c>
      <c r="Z40" s="213">
        <f>'CAR Calcs'!Z59</f>
        <v>10804614.957433376</v>
      </c>
      <c r="AA40" s="213">
        <f>'CAR Calcs'!AA59</f>
        <v>10663107.045442265</v>
      </c>
      <c r="AB40" s="213">
        <f>'CAR Calcs'!AB59</f>
        <v>10549994.667445106</v>
      </c>
      <c r="AC40" s="213">
        <f>'CAR Calcs'!AC59</f>
        <v>10361433.410238234</v>
      </c>
      <c r="AD40" s="213">
        <f>'CAR Calcs'!AD59</f>
        <v>10128928.125910461</v>
      </c>
      <c r="AE40" s="213">
        <f>'CAR Calcs'!AE59</f>
        <v>9854702.7510545161</v>
      </c>
      <c r="AF40" s="213">
        <f>'CAR Calcs'!AF59</f>
        <v>9543467.8723188452</v>
      </c>
      <c r="AG40" s="213">
        <f>'CAR Calcs'!AG59</f>
        <v>9278547.5773074701</v>
      </c>
      <c r="AH40" s="213">
        <f>'CAR Calcs'!AH59</f>
        <v>8958105.7939073704</v>
      </c>
      <c r="AI40" s="213">
        <f>'CAR Calcs'!AI59</f>
        <v>8622677.7706642784</v>
      </c>
      <c r="AJ40" s="213">
        <f>'CAR Calcs'!AJ59</f>
        <v>8263804.2789453594</v>
      </c>
      <c r="AK40" s="213">
        <f>'CAR Calcs'!AK59</f>
        <v>7878862.8171369992</v>
      </c>
      <c r="AL40" s="213">
        <f>'CAR Calcs'!AL59</f>
        <v>7506305.8294549212</v>
      </c>
      <c r="AM40" s="213">
        <f>'CAR Calcs'!AM59</f>
        <v>7123257.0851409063</v>
      </c>
      <c r="AN40" s="213">
        <f>'CAR Calcs'!AN59</f>
        <v>6729162.4762392128</v>
      </c>
      <c r="AO40" s="213">
        <f>'CAR Calcs'!AO59</f>
        <v>6323437.5857862998</v>
      </c>
      <c r="AP40" s="213">
        <f>'CAR Calcs'!AP59</f>
        <v>5907548.198251701</v>
      </c>
      <c r="AQ40" s="213">
        <f>'CAR Calcs'!AQ59</f>
        <v>5503674.3675032221</v>
      </c>
      <c r="AR40" s="213">
        <f>'CAR Calcs'!AR59</f>
        <v>5096911.3323026579</v>
      </c>
      <c r="AS40" s="213">
        <f>'CAR Calcs'!AS59</f>
        <v>4693303.2811544901</v>
      </c>
      <c r="AT40" s="213">
        <f>'CAR Calcs'!AT59</f>
        <v>4295278.7896909118</v>
      </c>
      <c r="AU40" s="213">
        <f>'CAR Calcs'!AU59</f>
        <v>3906063.785235771</v>
      </c>
      <c r="AV40" s="213">
        <f>'CAR Calcs'!AV59</f>
        <v>3539364.3520546914</v>
      </c>
      <c r="AW40" s="213">
        <f>'CAR Calcs'!AW59</f>
        <v>3191680.0676290635</v>
      </c>
      <c r="AX40" s="213">
        <f>'CAR Calcs'!AX59</f>
        <v>2864103.8477810444</v>
      </c>
      <c r="AY40" s="213">
        <f>'CAR Calcs'!AY59</f>
        <v>2558063.1543652802</v>
      </c>
      <c r="AZ40" s="213">
        <f>'CAR Calcs'!AZ59</f>
        <v>2274511.6694447659</v>
      </c>
      <c r="BA40" s="213">
        <f>'CAR Calcs'!BA59</f>
        <v>2018100.182533178</v>
      </c>
      <c r="BB40" s="213">
        <f>'CAR Calcs'!BB59</f>
        <v>1784596.1626570397</v>
      </c>
      <c r="BC40" s="213">
        <f>'CAR Calcs'!BC59</f>
        <v>1572685.8118190987</v>
      </c>
      <c r="BD40" s="213">
        <f>'CAR Calcs'!BD59</f>
        <v>1380768.5670894023</v>
      </c>
      <c r="BE40" s="213">
        <f>'CAR Calcs'!BE59</f>
        <v>1207286.4761942332</v>
      </c>
      <c r="BF40" s="213">
        <f>'CAR Calcs'!BF59</f>
        <v>1052647.2884973104</v>
      </c>
      <c r="BG40" s="213">
        <f>'CAR Calcs'!BG59</f>
        <v>915034.88904561498</v>
      </c>
      <c r="BH40" s="213">
        <f>'CAR Calcs'!BH59</f>
        <v>793062.38878141448</v>
      </c>
      <c r="BI40" s="213">
        <f>'CAR Calcs'!BI59</f>
        <v>684582.2110587589</v>
      </c>
      <c r="BJ40" s="213">
        <f>'CAR Calcs'!BJ59</f>
        <v>588576.93908365571</v>
      </c>
      <c r="BK40" s="213">
        <f>'CAR Calcs'!BK59</f>
        <v>504597.93101714447</v>
      </c>
      <c r="BL40" s="213">
        <f>'CAR Calcs'!BL59</f>
        <v>431055.5194551553</v>
      </c>
      <c r="BM40" s="213">
        <f>'CAR Calcs'!BM59</f>
        <v>366883.17297279573</v>
      </c>
      <c r="BN40" s="213">
        <f>'CAR Calcs'!BN59</f>
        <v>311124.05971628305</v>
      </c>
      <c r="BO40" s="213">
        <f>'CAR Calcs'!BO59</f>
        <v>262921.55764883669</v>
      </c>
      <c r="BP40" s="213">
        <f>'CAR Calcs'!BP59</f>
        <v>221601.41345230845</v>
      </c>
      <c r="BQ40" s="213">
        <f>'CAR Calcs'!BQ59</f>
        <v>186164.81550758847</v>
      </c>
      <c r="BR40" s="213">
        <f>'CAR Calcs'!BR59</f>
        <v>156020.21799205948</v>
      </c>
      <c r="BS40" s="213">
        <f>'CAR Calcs'!BS59</f>
        <v>130117.23138672349</v>
      </c>
      <c r="BT40" s="213">
        <f>'CAR Calcs'!BT59</f>
        <v>107860.61837226467</v>
      </c>
      <c r="BU40" s="213">
        <f>'CAR Calcs'!BU59</f>
        <v>88789.787091525301</v>
      </c>
      <c r="BV40" s="213">
        <f>'CAR Calcs'!BV59</f>
        <v>72193.996294866447</v>
      </c>
      <c r="BW40" s="213">
        <f>'CAR Calcs'!BW59</f>
        <v>58726.755487874318</v>
      </c>
      <c r="BX40" s="213">
        <f>'CAR Calcs'!BX59</f>
        <v>47492.073427021736</v>
      </c>
      <c r="BY40" s="213">
        <f>'CAR Calcs'!BY59</f>
        <v>38144.029645574134</v>
      </c>
      <c r="BZ40" s="213">
        <f>'CAR Calcs'!BZ59</f>
        <v>30393.680974190393</v>
      </c>
      <c r="CA40" s="213">
        <f>'CAR Calcs'!CA59</f>
        <v>22229.453155407558</v>
      </c>
      <c r="CB40" s="213">
        <f>'CAR Calcs'!CB59</f>
        <v>18133.060945453442</v>
      </c>
      <c r="CC40" s="213">
        <f>'CAR Calcs'!CC59</f>
        <v>14689.914053263836</v>
      </c>
      <c r="CD40" s="213">
        <f>'CAR Calcs'!CD59</f>
        <v>11808.664969048088</v>
      </c>
      <c r="CE40" s="213">
        <f>'CAR Calcs'!CE59</f>
        <v>9435.5466659265076</v>
      </c>
      <c r="CF40" s="213">
        <f>'CAR Calcs'!CF59</f>
        <v>6755.1632322091446</v>
      </c>
      <c r="CG40" s="213">
        <f>'CAR Calcs'!CG59</f>
        <v>5373.8970372096992</v>
      </c>
      <c r="CH40" s="213">
        <f>'CAR Calcs'!CH59</f>
        <v>4246.770504221764</v>
      </c>
      <c r="CI40" s="213">
        <f>'CAR Calcs'!CI59</f>
        <v>3450.526389520327</v>
      </c>
      <c r="CJ40" s="213">
        <f>'CAR Calcs'!CJ59</f>
        <v>15.85775859036813</v>
      </c>
      <c r="CK40" s="213">
        <f>'CAR Calcs'!CK59</f>
        <v>6.1447735339873741</v>
      </c>
      <c r="CL40" s="213">
        <f>'CAR Calcs'!CL59</f>
        <v>0</v>
      </c>
      <c r="CM40" s="213">
        <f>'CAR Calcs'!CM59</f>
        <v>0</v>
      </c>
      <c r="CN40" s="213">
        <f>'CAR Calcs'!CN59</f>
        <v>0</v>
      </c>
      <c r="CO40" s="213">
        <f>'CAR Calcs'!CO59</f>
        <v>0</v>
      </c>
      <c r="CP40" s="213">
        <f>'CAR Calcs'!CP59</f>
        <v>0</v>
      </c>
      <c r="CQ40" s="213">
        <f>'CAR Calcs'!CQ59</f>
        <v>0</v>
      </c>
      <c r="CR40" s="213">
        <f>'CAR Calcs'!CR59</f>
        <v>0</v>
      </c>
      <c r="CS40" s="213">
        <f>'CAR Calcs'!CS59</f>
        <v>0</v>
      </c>
      <c r="CT40" s="213">
        <f>'CAR Calcs'!CT59</f>
        <v>0</v>
      </c>
      <c r="CU40" s="213">
        <f>'CAR Calcs'!CU59</f>
        <v>0</v>
      </c>
      <c r="CV40" s="213">
        <f>'CAR Calcs'!CV59</f>
        <v>0</v>
      </c>
      <c r="CW40" s="213">
        <f>'CAR Calcs'!CW59</f>
        <v>0</v>
      </c>
      <c r="CX40" s="213">
        <f>'CAR Calcs'!CX59</f>
        <v>0</v>
      </c>
      <c r="CY40" s="213">
        <f>'CAR Calcs'!CY59</f>
        <v>0</v>
      </c>
    </row>
    <row r="41" spans="2:103" ht="15" thickBot="1" x14ac:dyDescent="0.35">
      <c r="B41" s="209"/>
      <c r="C41" s="223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  <c r="BF41" s="214"/>
      <c r="BG41" s="214"/>
      <c r="BH41" s="214"/>
      <c r="BI41" s="214"/>
      <c r="BJ41" s="214"/>
      <c r="BK41" s="214"/>
      <c r="BL41" s="214"/>
      <c r="BM41" s="214"/>
      <c r="BN41" s="214"/>
      <c r="BO41" s="214"/>
      <c r="BP41" s="214"/>
      <c r="BQ41" s="214"/>
      <c r="BR41" s="214"/>
      <c r="BS41" s="214"/>
      <c r="BT41" s="214"/>
      <c r="BU41" s="214"/>
      <c r="BV41" s="214"/>
      <c r="BW41" s="214"/>
      <c r="BX41" s="214"/>
      <c r="BY41" s="214"/>
      <c r="BZ41" s="214"/>
      <c r="CA41" s="214"/>
      <c r="CB41" s="214"/>
      <c r="CC41" s="214"/>
      <c r="CD41" s="214"/>
      <c r="CE41" s="214"/>
      <c r="CF41" s="214"/>
      <c r="CG41" s="214"/>
      <c r="CH41" s="214"/>
      <c r="CI41" s="214"/>
      <c r="CJ41" s="214"/>
      <c r="CK41" s="214"/>
      <c r="CL41" s="214"/>
      <c r="CM41" s="214"/>
      <c r="CN41" s="214"/>
      <c r="CO41" s="214"/>
      <c r="CP41" s="214"/>
      <c r="CQ41" s="214"/>
      <c r="CR41" s="214"/>
      <c r="CS41" s="214"/>
      <c r="CT41" s="214"/>
      <c r="CU41" s="214"/>
      <c r="CV41" s="214"/>
      <c r="CW41" s="214"/>
      <c r="CX41" s="214"/>
      <c r="CY41" s="214"/>
    </row>
    <row r="42" spans="2:103" ht="15" thickBot="1" x14ac:dyDescent="0.35">
      <c r="B42" s="209" t="s">
        <v>158</v>
      </c>
      <c r="C42" s="231">
        <f ca="1">'Appraisal Calcs - IFRS 17'!D127</f>
        <v>0.26136389439176205</v>
      </c>
      <c r="D42" s="262">
        <f>IFERROR((D32/D15),0)</f>
        <v>-9.0561829216109502E-2</v>
      </c>
      <c r="E42" s="262">
        <f t="shared" ref="E42:BP42" si="36">IFERROR((E32/E15),0)</f>
        <v>-7.0957481072244782E-2</v>
      </c>
      <c r="F42" s="262">
        <f t="shared" si="36"/>
        <v>-6.6013833065583408E-2</v>
      </c>
      <c r="G42" s="262">
        <f t="shared" si="36"/>
        <v>-6.2435784905497657E-2</v>
      </c>
      <c r="H42" s="262">
        <f t="shared" si="36"/>
        <v>-6.0178581203113958E-2</v>
      </c>
      <c r="I42" s="262">
        <f t="shared" si="36"/>
        <v>-5.731879551488446E-2</v>
      </c>
      <c r="J42" s="262">
        <f t="shared" si="36"/>
        <v>-5.4893408112096254E-2</v>
      </c>
      <c r="K42" s="262">
        <f t="shared" si="36"/>
        <v>-5.2675063373186323E-2</v>
      </c>
      <c r="L42" s="262">
        <f t="shared" si="36"/>
        <v>-5.0918435494510771E-2</v>
      </c>
      <c r="M42" s="262">
        <f t="shared" si="36"/>
        <v>-4.9555237574376687E-2</v>
      </c>
      <c r="N42" s="262">
        <f t="shared" si="36"/>
        <v>-4.1168290584603869E-2</v>
      </c>
      <c r="O42" s="262">
        <f t="shared" si="36"/>
        <v>-3.63781955528771E-2</v>
      </c>
      <c r="P42" s="262">
        <f t="shared" si="36"/>
        <v>-3.1240839415369561E-2</v>
      </c>
      <c r="Q42" s="262">
        <f t="shared" si="36"/>
        <v>-2.7491356058822934E-2</v>
      </c>
      <c r="R42" s="262">
        <f t="shared" si="36"/>
        <v>-2.4345266630159561E-2</v>
      </c>
      <c r="S42" s="262">
        <f t="shared" si="36"/>
        <v>-2.3395597168766765E-2</v>
      </c>
      <c r="T42" s="262">
        <f t="shared" si="36"/>
        <v>-2.4454887195063831E-2</v>
      </c>
      <c r="U42" s="262">
        <f t="shared" si="36"/>
        <v>-2.6747543744096883E-2</v>
      </c>
      <c r="V42" s="262">
        <f t="shared" si="36"/>
        <v>-2.9773548597759953E-2</v>
      </c>
      <c r="W42" s="262">
        <f t="shared" si="36"/>
        <v>-3.3839842937859882E-2</v>
      </c>
      <c r="X42" s="262">
        <f t="shared" si="36"/>
        <v>-3.7836361453939815E-2</v>
      </c>
      <c r="Y42" s="262">
        <f t="shared" si="36"/>
        <v>-4.208795155791948E-2</v>
      </c>
      <c r="Z42" s="262">
        <f t="shared" si="36"/>
        <v>-4.6590244939374338E-2</v>
      </c>
      <c r="AA42" s="262">
        <f t="shared" si="36"/>
        <v>-5.1259801021167992E-2</v>
      </c>
      <c r="AB42" s="262">
        <f t="shared" si="36"/>
        <v>-5.6811568954667761E-2</v>
      </c>
      <c r="AC42" s="262">
        <f t="shared" si="36"/>
        <v>-6.2778290737428702E-2</v>
      </c>
      <c r="AD42" s="262">
        <f t="shared" si="36"/>
        <v>-6.9052099210642731E-2</v>
      </c>
      <c r="AE42" s="262">
        <f t="shared" si="36"/>
        <v>-7.5894938346958027E-2</v>
      </c>
      <c r="AF42" s="262">
        <f t="shared" si="36"/>
        <v>-8.3424394931290072E-2</v>
      </c>
      <c r="AG42" s="262">
        <f t="shared" si="36"/>
        <v>-9.2652695315945083E-2</v>
      </c>
      <c r="AH42" s="262">
        <f t="shared" si="36"/>
        <v>-0.10026450373172592</v>
      </c>
      <c r="AI42" s="262">
        <f t="shared" si="36"/>
        <v>-0.10766133058288548</v>
      </c>
      <c r="AJ42" s="262">
        <f t="shared" si="36"/>
        <v>-0.11512222899772856</v>
      </c>
      <c r="AK42" s="262">
        <f t="shared" si="36"/>
        <v>-0.12257920670950111</v>
      </c>
      <c r="AL42" s="262">
        <f t="shared" si="36"/>
        <v>-0.13064987071692064</v>
      </c>
      <c r="AM42" s="262">
        <f t="shared" si="36"/>
        <v>-0.13907087269912055</v>
      </c>
      <c r="AN42" s="262">
        <f t="shared" si="36"/>
        <v>-0.1470145089033319</v>
      </c>
      <c r="AO42" s="262">
        <f t="shared" si="36"/>
        <v>-0.15509458800154277</v>
      </c>
      <c r="AP42" s="262">
        <f t="shared" si="36"/>
        <v>-0.16322810228436249</v>
      </c>
      <c r="AQ42" s="262">
        <f t="shared" si="36"/>
        <v>-0.17197331776507599</v>
      </c>
      <c r="AR42" s="262">
        <f t="shared" si="36"/>
        <v>-0.18092502929275289</v>
      </c>
      <c r="AS42" s="262">
        <f t="shared" si="36"/>
        <v>-0.18961805905516355</v>
      </c>
      <c r="AT42" s="262">
        <f t="shared" si="36"/>
        <v>-0.19841221460934544</v>
      </c>
      <c r="AU42" s="262">
        <f t="shared" si="36"/>
        <v>-0.20727887131258071</v>
      </c>
      <c r="AV42" s="262">
        <f t="shared" si="36"/>
        <v>-0.21681165370251415</v>
      </c>
      <c r="AW42" s="262">
        <f t="shared" si="36"/>
        <v>-0.22677899072517471</v>
      </c>
      <c r="AX42" s="262">
        <f t="shared" si="36"/>
        <v>-0.23661958709658021</v>
      </c>
      <c r="AY42" s="262">
        <f t="shared" si="36"/>
        <v>-0.24671273003464506</v>
      </c>
      <c r="AZ42" s="262">
        <f t="shared" si="36"/>
        <v>-0.25689354066438186</v>
      </c>
      <c r="BA42" s="262">
        <f t="shared" si="36"/>
        <v>-0.26753817089689069</v>
      </c>
      <c r="BB42" s="262">
        <f t="shared" si="36"/>
        <v>-0.2781396437188467</v>
      </c>
      <c r="BC42" s="262">
        <f t="shared" si="36"/>
        <v>-0.28841596286298821</v>
      </c>
      <c r="BD42" s="262">
        <f t="shared" si="36"/>
        <v>-0.29837334521539621</v>
      </c>
      <c r="BE42" s="262">
        <f t="shared" si="36"/>
        <v>-0.30806160947611561</v>
      </c>
      <c r="BF42" s="262">
        <f t="shared" si="36"/>
        <v>-0.31811746254464379</v>
      </c>
      <c r="BG42" s="262">
        <f t="shared" si="36"/>
        <v>-0.32879300535252076</v>
      </c>
      <c r="BH42" s="262">
        <f t="shared" si="36"/>
        <v>-0.33873423555328019</v>
      </c>
      <c r="BI42" s="262">
        <f t="shared" si="36"/>
        <v>-0.34963917584368459</v>
      </c>
      <c r="BJ42" s="262">
        <f t="shared" si="36"/>
        <v>-0.36178636800903297</v>
      </c>
      <c r="BK42" s="262">
        <f t="shared" si="36"/>
        <v>-0.37604267600462726</v>
      </c>
      <c r="BL42" s="262">
        <f t="shared" si="36"/>
        <v>-0.39284720125875716</v>
      </c>
      <c r="BM42" s="262">
        <f t="shared" si="36"/>
        <v>-0.41296057102561406</v>
      </c>
      <c r="BN42" s="262">
        <f t="shared" si="36"/>
        <v>-0.43768493147930126</v>
      </c>
      <c r="BO42" s="262">
        <f t="shared" si="36"/>
        <v>-0.46852669476448594</v>
      </c>
      <c r="BP42" s="262">
        <f t="shared" si="36"/>
        <v>-0.50786380052661151</v>
      </c>
      <c r="BQ42" s="262">
        <f t="shared" ref="BQ42:CY42" si="37">IFERROR((BQ32/BQ15),0)</f>
        <v>-0.55820877008616632</v>
      </c>
      <c r="BR42" s="262">
        <f t="shared" si="37"/>
        <v>-0.62258618787581266</v>
      </c>
      <c r="BS42" s="262">
        <f t="shared" si="37"/>
        <v>-0.70600421354779919</v>
      </c>
      <c r="BT42" s="262">
        <f t="shared" si="37"/>
        <v>-0.8141461720865828</v>
      </c>
      <c r="BU42" s="262">
        <f t="shared" si="37"/>
        <v>-0.95442004035182015</v>
      </c>
      <c r="BV42" s="262">
        <f t="shared" si="37"/>
        <v>-1.1311754587533815</v>
      </c>
      <c r="BW42" s="262">
        <f t="shared" si="37"/>
        <v>-1.3559158587202409</v>
      </c>
      <c r="BX42" s="262">
        <f t="shared" si="37"/>
        <v>-1.6464957583706221</v>
      </c>
      <c r="BY42" s="262">
        <f t="shared" si="37"/>
        <v>-2.030753012347601</v>
      </c>
      <c r="BZ42" s="262">
        <f t="shared" si="37"/>
        <v>-2.561112727836194</v>
      </c>
      <c r="CA42" s="262">
        <f t="shared" si="37"/>
        <v>-3.1109177168229096</v>
      </c>
      <c r="CB42" s="262">
        <f t="shared" si="37"/>
        <v>-3.813538890524077</v>
      </c>
      <c r="CC42" s="262">
        <f t="shared" si="37"/>
        <v>-4.7501864235156992</v>
      </c>
      <c r="CD42" s="262">
        <f t="shared" si="37"/>
        <v>-6.0495282800448074</v>
      </c>
      <c r="CE42" s="262">
        <f t="shared" si="37"/>
        <v>-7.9918972685843581</v>
      </c>
      <c r="CF42" s="262">
        <f t="shared" si="37"/>
        <v>-10.158229716728686</v>
      </c>
      <c r="CG42" s="262">
        <f t="shared" si="37"/>
        <v>-13.310013034581731</v>
      </c>
      <c r="CH42" s="262">
        <f t="shared" si="37"/>
        <v>-18.414295709679923</v>
      </c>
      <c r="CI42" s="262">
        <f t="shared" si="37"/>
        <v>-29.16175617741159</v>
      </c>
      <c r="CJ42" s="262">
        <f t="shared" si="37"/>
        <v>-0.34165560696381064</v>
      </c>
      <c r="CK42" s="262">
        <f t="shared" si="37"/>
        <v>0</v>
      </c>
      <c r="CL42" s="262">
        <f t="shared" si="37"/>
        <v>0</v>
      </c>
      <c r="CM42" s="262">
        <f t="shared" si="37"/>
        <v>0</v>
      </c>
      <c r="CN42" s="262">
        <f t="shared" si="37"/>
        <v>0</v>
      </c>
      <c r="CO42" s="262">
        <f t="shared" si="37"/>
        <v>0</v>
      </c>
      <c r="CP42" s="262">
        <f t="shared" si="37"/>
        <v>0</v>
      </c>
      <c r="CQ42" s="262">
        <f t="shared" si="37"/>
        <v>0</v>
      </c>
      <c r="CR42" s="262">
        <f t="shared" si="37"/>
        <v>0</v>
      </c>
      <c r="CS42" s="262">
        <f t="shared" si="37"/>
        <v>0</v>
      </c>
      <c r="CT42" s="262">
        <f t="shared" si="37"/>
        <v>0</v>
      </c>
      <c r="CU42" s="262">
        <f t="shared" si="37"/>
        <v>0</v>
      </c>
      <c r="CV42" s="262">
        <f t="shared" si="37"/>
        <v>0</v>
      </c>
      <c r="CW42" s="262">
        <f t="shared" si="37"/>
        <v>0</v>
      </c>
      <c r="CX42" s="262">
        <f t="shared" si="37"/>
        <v>0</v>
      </c>
      <c r="CY42" s="262">
        <f t="shared" si="37"/>
        <v>0</v>
      </c>
    </row>
    <row r="43" spans="2:103" ht="15" thickBot="1" x14ac:dyDescent="0.35">
      <c r="B43" s="209" t="s">
        <v>159</v>
      </c>
      <c r="C43" s="231">
        <f>'Appraisal Calcs - IFRS 17'!D128</f>
        <v>0.29448103920033092</v>
      </c>
      <c r="D43" s="262">
        <f>IFERROR((D25/D15),0)</f>
        <v>-6.1194110060702626E-2</v>
      </c>
      <c r="E43" s="262">
        <f t="shared" ref="E43:BP43" si="38">IFERROR((E25/E15),0)</f>
        <v>-6.3110745121097073E-2</v>
      </c>
      <c r="F43" s="262">
        <f t="shared" si="38"/>
        <v>-2.7621245848202306E-2</v>
      </c>
      <c r="G43" s="262">
        <f t="shared" si="38"/>
        <v>-1.8129102288908797E-2</v>
      </c>
      <c r="H43" s="262">
        <f t="shared" si="38"/>
        <v>-1.8623734386530498E-2</v>
      </c>
      <c r="I43" s="262">
        <f t="shared" si="38"/>
        <v>-1.2582845521313807E-2</v>
      </c>
      <c r="J43" s="262">
        <f t="shared" si="38"/>
        <v>-1.3542607111090829E-2</v>
      </c>
      <c r="K43" s="262">
        <f t="shared" si="38"/>
        <v>-1.7404330224386474E-2</v>
      </c>
      <c r="L43" s="262">
        <f t="shared" si="38"/>
        <v>-2.1830742578722775E-2</v>
      </c>
      <c r="M43" s="262">
        <f t="shared" si="38"/>
        <v>-2.5945865601081777E-2</v>
      </c>
      <c r="N43" s="262">
        <f t="shared" si="38"/>
        <v>-7.7992116157380364E-3</v>
      </c>
      <c r="O43" s="262">
        <f t="shared" si="38"/>
        <v>-2.992456529375238E-2</v>
      </c>
      <c r="P43" s="262">
        <f t="shared" si="38"/>
        <v>-4.5622113961730382E-2</v>
      </c>
      <c r="Q43" s="262">
        <f t="shared" si="38"/>
        <v>-5.7735440226168291E-2</v>
      </c>
      <c r="R43" s="262">
        <f t="shared" si="38"/>
        <v>-8.1304792077325924E-2</v>
      </c>
      <c r="S43" s="262">
        <f t="shared" si="38"/>
        <v>-9.5416954606594731E-2</v>
      </c>
      <c r="T43" s="262">
        <f t="shared" si="38"/>
        <v>-0.10159662668153946</v>
      </c>
      <c r="U43" s="262">
        <f t="shared" si="38"/>
        <v>-9.6508576393623632E-2</v>
      </c>
      <c r="V43" s="262">
        <f t="shared" si="38"/>
        <v>-7.9369146719724934E-2</v>
      </c>
      <c r="W43" s="262">
        <f t="shared" si="38"/>
        <v>-8.9024950416595194E-2</v>
      </c>
      <c r="X43" s="262">
        <f t="shared" si="38"/>
        <v>-6.6800951773222039E-2</v>
      </c>
      <c r="Y43" s="262">
        <f t="shared" si="38"/>
        <v>-4.619572015534066E-2</v>
      </c>
      <c r="Z43" s="262">
        <f t="shared" si="38"/>
        <v>-2.4258840415360274E-2</v>
      </c>
      <c r="AA43" s="262">
        <f t="shared" si="38"/>
        <v>1.9785291096053362E-3</v>
      </c>
      <c r="AB43" s="262">
        <f t="shared" si="38"/>
        <v>-1.8632555469583476E-3</v>
      </c>
      <c r="AC43" s="262">
        <f t="shared" si="38"/>
        <v>2.2453532096723339E-2</v>
      </c>
      <c r="AD43" s="262">
        <f t="shared" si="38"/>
        <v>4.4519178855420526E-2</v>
      </c>
      <c r="AE43" s="262">
        <f t="shared" si="38"/>
        <v>6.8937624124696117E-2</v>
      </c>
      <c r="AF43" s="262">
        <f t="shared" si="38"/>
        <v>9.7841875695285685E-2</v>
      </c>
      <c r="AG43" s="262">
        <f t="shared" si="38"/>
        <v>9.6535302844559745E-2</v>
      </c>
      <c r="AH43" s="262">
        <f t="shared" si="38"/>
        <v>0.12499702747192384</v>
      </c>
      <c r="AI43" s="262">
        <f t="shared" si="38"/>
        <v>0.15537023096839894</v>
      </c>
      <c r="AJ43" s="262">
        <f t="shared" si="38"/>
        <v>0.19167831216725068</v>
      </c>
      <c r="AK43" s="262">
        <f t="shared" si="38"/>
        <v>0.23554613333472707</v>
      </c>
      <c r="AL43" s="262">
        <f t="shared" si="38"/>
        <v>0.25591821324334779</v>
      </c>
      <c r="AM43" s="262">
        <f t="shared" si="38"/>
        <v>0.29819093875474273</v>
      </c>
      <c r="AN43" s="262">
        <f t="shared" si="38"/>
        <v>0.35054503005623433</v>
      </c>
      <c r="AO43" s="262">
        <f t="shared" si="38"/>
        <v>0.40837058207021809</v>
      </c>
      <c r="AP43" s="262">
        <f t="shared" si="38"/>
        <v>0.47485940710434454</v>
      </c>
      <c r="AQ43" s="262">
        <f t="shared" si="38"/>
        <v>0.5217806764943016</v>
      </c>
      <c r="AR43" s="262">
        <f t="shared" si="38"/>
        <v>0.59953531225792156</v>
      </c>
      <c r="AS43" s="262">
        <f t="shared" si="38"/>
        <v>0.68162219409675717</v>
      </c>
      <c r="AT43" s="262">
        <f t="shared" si="38"/>
        <v>0.77062493111855324</v>
      </c>
      <c r="AU43" s="262">
        <f t="shared" si="38"/>
        <v>0.86748990023803629</v>
      </c>
      <c r="AV43" s="262">
        <f t="shared" si="38"/>
        <v>0.94212493047940138</v>
      </c>
      <c r="AW43" s="262">
        <f t="shared" si="38"/>
        <v>1.0351244671815976</v>
      </c>
      <c r="AX43" s="262">
        <f t="shared" si="38"/>
        <v>1.1366458621016475</v>
      </c>
      <c r="AY43" s="262">
        <f t="shared" si="38"/>
        <v>1.2390445113295667</v>
      </c>
      <c r="AZ43" s="262">
        <f t="shared" si="38"/>
        <v>1.3440952663280132</v>
      </c>
      <c r="BA43" s="262">
        <f t="shared" si="38"/>
        <v>1.4238806725694366</v>
      </c>
      <c r="BB43" s="262">
        <f t="shared" si="38"/>
        <v>1.5243419134130194</v>
      </c>
      <c r="BC43" s="262">
        <f t="shared" si="38"/>
        <v>1.6300474965655305</v>
      </c>
      <c r="BD43" s="262">
        <f t="shared" si="38"/>
        <v>1.7419164312028677</v>
      </c>
      <c r="BE43" s="262">
        <f t="shared" si="38"/>
        <v>1.8616916675827502</v>
      </c>
      <c r="BF43" s="262">
        <f t="shared" si="38"/>
        <v>1.9634503267229584</v>
      </c>
      <c r="BG43" s="262">
        <f t="shared" si="38"/>
        <v>2.0669594791045292</v>
      </c>
      <c r="BH43" s="262">
        <f t="shared" si="38"/>
        <v>2.1953351037524569</v>
      </c>
      <c r="BI43" s="262">
        <f t="shared" si="38"/>
        <v>2.3292214119219241</v>
      </c>
      <c r="BJ43" s="262">
        <f t="shared" si="38"/>
        <v>2.4744146128007607</v>
      </c>
      <c r="BK43" s="262">
        <f t="shared" si="38"/>
        <v>2.6103773009698412</v>
      </c>
      <c r="BL43" s="262">
        <f t="shared" si="38"/>
        <v>2.7787732574274364</v>
      </c>
      <c r="BM43" s="262">
        <f t="shared" si="38"/>
        <v>2.9742046679250107</v>
      </c>
      <c r="BN43" s="262">
        <f t="shared" si="38"/>
        <v>3.1900418290134631</v>
      </c>
      <c r="BO43" s="262">
        <f t="shared" si="38"/>
        <v>3.431564056796137</v>
      </c>
      <c r="BP43" s="262">
        <f t="shared" si="38"/>
        <v>3.6762898331530125</v>
      </c>
      <c r="BQ43" s="262">
        <f t="shared" ref="BQ43:CY43" si="39">IFERROR((BQ25/BQ15),0)</f>
        <v>3.936386423553992</v>
      </c>
      <c r="BR43" s="262">
        <f t="shared" si="39"/>
        <v>4.2749418569344808</v>
      </c>
      <c r="BS43" s="262">
        <f t="shared" si="39"/>
        <v>4.6460913890504179</v>
      </c>
      <c r="BT43" s="262">
        <f t="shared" si="39"/>
        <v>5.0563536749950027</v>
      </c>
      <c r="BU43" s="262">
        <f t="shared" si="39"/>
        <v>5.4797291471099863</v>
      </c>
      <c r="BV43" s="262">
        <f t="shared" si="39"/>
        <v>5.8469556451218887</v>
      </c>
      <c r="BW43" s="262">
        <f t="shared" si="39"/>
        <v>6.3728332012691382</v>
      </c>
      <c r="BX43" s="262">
        <f t="shared" si="39"/>
        <v>6.9981520708219485</v>
      </c>
      <c r="BY43" s="262">
        <f t="shared" si="39"/>
        <v>7.785801559793609</v>
      </c>
      <c r="BZ43" s="262">
        <f t="shared" si="39"/>
        <v>8.8330606965443952</v>
      </c>
      <c r="CA43" s="262">
        <f t="shared" si="39"/>
        <v>9.1065435358130582</v>
      </c>
      <c r="CB43" s="262">
        <f t="shared" si="39"/>
        <v>9.9616566564442444</v>
      </c>
      <c r="CC43" s="262">
        <f t="shared" si="39"/>
        <v>11.015436446532386</v>
      </c>
      <c r="CD43" s="262">
        <f t="shared" si="39"/>
        <v>12.40324562046408</v>
      </c>
      <c r="CE43" s="262">
        <f t="shared" si="39"/>
        <v>14.380871507538268</v>
      </c>
      <c r="CF43" s="262">
        <f t="shared" si="39"/>
        <v>14.904454543053031</v>
      </c>
      <c r="CG43" s="262">
        <f t="shared" si="39"/>
        <v>16.882871905425279</v>
      </c>
      <c r="CH43" s="262">
        <f t="shared" si="39"/>
        <v>19.884177640987453</v>
      </c>
      <c r="CI43" s="262">
        <f t="shared" si="39"/>
        <v>25.679044814949513</v>
      </c>
      <c r="CJ43" s="262">
        <f t="shared" si="39"/>
        <v>43.350437942505152</v>
      </c>
      <c r="CK43" s="262">
        <f t="shared" si="39"/>
        <v>0</v>
      </c>
      <c r="CL43" s="262">
        <f t="shared" si="39"/>
        <v>0</v>
      </c>
      <c r="CM43" s="262">
        <f t="shared" si="39"/>
        <v>0</v>
      </c>
      <c r="CN43" s="262">
        <f t="shared" si="39"/>
        <v>0</v>
      </c>
      <c r="CO43" s="262">
        <f t="shared" si="39"/>
        <v>0</v>
      </c>
      <c r="CP43" s="262">
        <f t="shared" si="39"/>
        <v>0</v>
      </c>
      <c r="CQ43" s="262">
        <f t="shared" si="39"/>
        <v>0</v>
      </c>
      <c r="CR43" s="262">
        <f t="shared" si="39"/>
        <v>0</v>
      </c>
      <c r="CS43" s="262">
        <f t="shared" si="39"/>
        <v>0</v>
      </c>
      <c r="CT43" s="262">
        <f t="shared" si="39"/>
        <v>0</v>
      </c>
      <c r="CU43" s="262">
        <f t="shared" si="39"/>
        <v>0</v>
      </c>
      <c r="CV43" s="262">
        <f t="shared" si="39"/>
        <v>0</v>
      </c>
      <c r="CW43" s="262">
        <f t="shared" si="39"/>
        <v>0</v>
      </c>
      <c r="CX43" s="262">
        <f t="shared" si="39"/>
        <v>0</v>
      </c>
      <c r="CY43" s="262">
        <f t="shared" si="39"/>
        <v>0</v>
      </c>
    </row>
    <row r="44" spans="2:103" ht="15" thickBot="1" x14ac:dyDescent="0.35">
      <c r="B44" s="209" t="s">
        <v>160</v>
      </c>
      <c r="C44" s="232" t="str">
        <f ca="1">'Appraisal Calcs - IFRS 17'!D129</f>
        <v>9 years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  <c r="BQ44" s="214"/>
      <c r="BR44" s="214"/>
      <c r="BS44" s="214"/>
      <c r="BT44" s="214"/>
      <c r="BU44" s="214"/>
      <c r="BV44" s="214"/>
      <c r="BW44" s="214"/>
      <c r="BX44" s="214"/>
      <c r="BY44" s="214"/>
      <c r="BZ44" s="214"/>
      <c r="CA44" s="214"/>
      <c r="CB44" s="214"/>
      <c r="CC44" s="214"/>
      <c r="CD44" s="214"/>
      <c r="CE44" s="214"/>
      <c r="CF44" s="214"/>
      <c r="CG44" s="214"/>
      <c r="CH44" s="214"/>
      <c r="CI44" s="214"/>
      <c r="CJ44" s="214"/>
      <c r="CK44" s="214"/>
      <c r="CL44" s="214"/>
      <c r="CM44" s="214"/>
      <c r="CN44" s="214"/>
      <c r="CO44" s="214"/>
      <c r="CP44" s="214"/>
      <c r="CQ44" s="214"/>
      <c r="CR44" s="214"/>
      <c r="CS44" s="214"/>
      <c r="CT44" s="214"/>
      <c r="CU44" s="214"/>
      <c r="CV44" s="214"/>
      <c r="CW44" s="214"/>
      <c r="CX44" s="214"/>
      <c r="CY44" s="214"/>
    </row>
    <row r="45" spans="2:103" ht="15" thickBot="1" x14ac:dyDescent="0.35">
      <c r="B45" s="209" t="s">
        <v>161</v>
      </c>
      <c r="C45" s="232" t="str">
        <f ca="1">'Appraisal Calcs - IFRS 17'!D130</f>
        <v>After 10 years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214"/>
      <c r="BF45" s="214"/>
      <c r="BG45" s="214"/>
      <c r="BH45" s="214"/>
      <c r="BI45" s="214"/>
      <c r="BJ45" s="214"/>
      <c r="BK45" s="214"/>
      <c r="BL45" s="214"/>
      <c r="BM45" s="214"/>
      <c r="BN45" s="214"/>
      <c r="BO45" s="214"/>
      <c r="BP45" s="214"/>
      <c r="BQ45" s="214"/>
      <c r="BR45" s="214"/>
      <c r="BS45" s="214"/>
      <c r="BT45" s="214"/>
      <c r="BU45" s="214"/>
      <c r="BV45" s="214"/>
      <c r="BW45" s="214"/>
      <c r="BX45" s="214"/>
      <c r="BY45" s="214"/>
      <c r="BZ45" s="214"/>
      <c r="CA45" s="214"/>
      <c r="CB45" s="214"/>
      <c r="CC45" s="214"/>
      <c r="CD45" s="214"/>
      <c r="CE45" s="214"/>
      <c r="CF45" s="214"/>
      <c r="CG45" s="214"/>
      <c r="CH45" s="214"/>
      <c r="CI45" s="214"/>
      <c r="CJ45" s="214"/>
      <c r="CK45" s="214"/>
      <c r="CL45" s="214"/>
      <c r="CM45" s="214"/>
      <c r="CN45" s="214"/>
      <c r="CO45" s="214"/>
      <c r="CP45" s="214"/>
      <c r="CQ45" s="214"/>
      <c r="CR45" s="214"/>
      <c r="CS45" s="214"/>
      <c r="CT45" s="214"/>
      <c r="CU45" s="214"/>
      <c r="CV45" s="214"/>
      <c r="CW45" s="214"/>
      <c r="CX45" s="214"/>
      <c r="CY45" s="214"/>
    </row>
    <row r="46" spans="2:103" ht="15" thickBot="1" x14ac:dyDescent="0.35">
      <c r="B46" s="209" t="s">
        <v>162</v>
      </c>
      <c r="C46" s="233">
        <f ca="1">'Appraisal Calcs - IFRS 17'!D131</f>
        <v>13872337.794765335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  <c r="BO46" s="214"/>
      <c r="BP46" s="214"/>
      <c r="BQ46" s="214"/>
      <c r="BR46" s="214"/>
      <c r="BS46" s="214"/>
      <c r="BT46" s="214"/>
      <c r="BU46" s="214"/>
      <c r="BV46" s="214"/>
      <c r="BW46" s="214"/>
      <c r="BX46" s="214"/>
      <c r="BY46" s="214"/>
      <c r="BZ46" s="214"/>
      <c r="CA46" s="214"/>
      <c r="CB46" s="214"/>
      <c r="CC46" s="214"/>
      <c r="CD46" s="214"/>
      <c r="CE46" s="214"/>
      <c r="CF46" s="214"/>
      <c r="CG46" s="214"/>
      <c r="CH46" s="214"/>
      <c r="CI46" s="214"/>
      <c r="CJ46" s="214"/>
      <c r="CK46" s="214"/>
      <c r="CL46" s="214"/>
      <c r="CM46" s="214"/>
      <c r="CN46" s="214"/>
      <c r="CO46" s="214"/>
      <c r="CP46" s="214"/>
      <c r="CQ46" s="214"/>
      <c r="CR46" s="214"/>
      <c r="CS46" s="214"/>
      <c r="CT46" s="214"/>
      <c r="CU46" s="214"/>
      <c r="CV46" s="214"/>
      <c r="CW46" s="214"/>
      <c r="CX46" s="214"/>
      <c r="CY46" s="214"/>
    </row>
    <row r="47" spans="2:103" ht="15" thickBot="1" x14ac:dyDescent="0.35">
      <c r="B47" s="209" t="s">
        <v>163</v>
      </c>
      <c r="C47" s="233">
        <f ca="1">'Appraisal Calcs - IFRS 17'!D132</f>
        <v>-1796268.8695680301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4"/>
      <c r="BQ47" s="214"/>
      <c r="BR47" s="214"/>
      <c r="BS47" s="214"/>
      <c r="BT47" s="214"/>
      <c r="BU47" s="214"/>
      <c r="BV47" s="214"/>
      <c r="BW47" s="214"/>
      <c r="BX47" s="214"/>
      <c r="BY47" s="214"/>
      <c r="BZ47" s="214"/>
      <c r="CA47" s="214"/>
      <c r="CB47" s="214"/>
      <c r="CC47" s="214"/>
      <c r="CD47" s="214"/>
      <c r="CE47" s="214"/>
      <c r="CF47" s="214"/>
      <c r="CG47" s="214"/>
      <c r="CH47" s="214"/>
      <c r="CI47" s="214"/>
      <c r="CJ47" s="214"/>
      <c r="CK47" s="214"/>
      <c r="CL47" s="214"/>
      <c r="CM47" s="214"/>
      <c r="CN47" s="214"/>
      <c r="CO47" s="214"/>
      <c r="CP47" s="214"/>
      <c r="CQ47" s="214"/>
      <c r="CR47" s="214"/>
      <c r="CS47" s="214"/>
      <c r="CT47" s="214"/>
      <c r="CU47" s="214"/>
      <c r="CV47" s="214"/>
      <c r="CW47" s="214"/>
      <c r="CX47" s="214"/>
      <c r="CY47" s="214"/>
    </row>
    <row r="48" spans="2:103" ht="15" thickBot="1" x14ac:dyDescent="0.35">
      <c r="B48" s="209" t="s">
        <v>164</v>
      </c>
      <c r="C48" s="233">
        <f>'Appraisal Calcs - IFRS 17'!D133</f>
        <v>484427018.25657141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4"/>
      <c r="BQ48" s="214"/>
      <c r="BR48" s="214"/>
      <c r="BS48" s="214"/>
      <c r="BT48" s="214"/>
      <c r="BU48" s="214"/>
      <c r="BV48" s="214"/>
      <c r="BW48" s="214"/>
      <c r="BX48" s="214"/>
      <c r="BY48" s="214"/>
      <c r="BZ48" s="214"/>
      <c r="CA48" s="214"/>
      <c r="CB48" s="214"/>
      <c r="CC48" s="214"/>
      <c r="CD48" s="214"/>
      <c r="CE48" s="214"/>
      <c r="CF48" s="214"/>
      <c r="CG48" s="214"/>
      <c r="CH48" s="214"/>
      <c r="CI48" s="214"/>
      <c r="CJ48" s="214"/>
      <c r="CK48" s="214"/>
      <c r="CL48" s="214"/>
      <c r="CM48" s="214"/>
      <c r="CN48" s="214"/>
      <c r="CO48" s="214"/>
      <c r="CP48" s="214"/>
      <c r="CQ48" s="214"/>
      <c r="CR48" s="214"/>
      <c r="CS48" s="214"/>
      <c r="CT48" s="214"/>
      <c r="CU48" s="214"/>
      <c r="CV48" s="214"/>
      <c r="CW48" s="214"/>
      <c r="CX48" s="214"/>
      <c r="CY48" s="214"/>
    </row>
    <row r="49" spans="2:103" ht="15" thickBot="1" x14ac:dyDescent="0.35">
      <c r="B49" s="209" t="s">
        <v>165</v>
      </c>
      <c r="C49" s="233">
        <f ca="1">'Appraisal Calcs - IFRS 17'!D134</f>
        <v>-27765035.731571771</v>
      </c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214"/>
      <c r="BF49" s="214"/>
      <c r="BG49" s="214"/>
      <c r="BH49" s="214"/>
      <c r="BI49" s="214"/>
      <c r="BJ49" s="214"/>
      <c r="BK49" s="214"/>
      <c r="BL49" s="214"/>
      <c r="BM49" s="214"/>
      <c r="BN49" s="214"/>
      <c r="BO49" s="214"/>
      <c r="BP49" s="214"/>
      <c r="BQ49" s="214"/>
      <c r="BR49" s="214"/>
      <c r="BS49" s="214"/>
      <c r="BT49" s="214"/>
      <c r="BU49" s="214"/>
      <c r="BV49" s="214"/>
      <c r="BW49" s="214"/>
      <c r="BX49" s="214"/>
      <c r="BY49" s="214"/>
      <c r="BZ49" s="214"/>
      <c r="CA49" s="214"/>
      <c r="CB49" s="214"/>
      <c r="CC49" s="214"/>
      <c r="CD49" s="214"/>
      <c r="CE49" s="214"/>
      <c r="CF49" s="214"/>
      <c r="CG49" s="214"/>
      <c r="CH49" s="214"/>
      <c r="CI49" s="214"/>
      <c r="CJ49" s="214"/>
      <c r="CK49" s="214"/>
      <c r="CL49" s="214"/>
      <c r="CM49" s="214"/>
      <c r="CN49" s="214"/>
      <c r="CO49" s="214"/>
      <c r="CP49" s="214"/>
      <c r="CQ49" s="214"/>
      <c r="CR49" s="214"/>
      <c r="CS49" s="214"/>
      <c r="CT49" s="214"/>
      <c r="CU49" s="214"/>
      <c r="CV49" s="214"/>
      <c r="CW49" s="214"/>
      <c r="CX49" s="214"/>
      <c r="CY49" s="214"/>
    </row>
    <row r="50" spans="2:103" ht="15" thickBot="1" x14ac:dyDescent="0.35">
      <c r="B50" s="212"/>
      <c r="C50" s="223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214"/>
      <c r="BH50" s="214"/>
      <c r="BI50" s="214"/>
      <c r="BJ50" s="214"/>
      <c r="BK50" s="214"/>
      <c r="BL50" s="214"/>
      <c r="BM50" s="214"/>
      <c r="BN50" s="214"/>
      <c r="BO50" s="214"/>
      <c r="BP50" s="214"/>
      <c r="BQ50" s="214"/>
      <c r="BR50" s="214"/>
      <c r="BS50" s="214"/>
      <c r="BT50" s="214"/>
      <c r="BU50" s="214"/>
      <c r="BV50" s="214"/>
      <c r="BW50" s="214"/>
      <c r="BX50" s="214"/>
      <c r="BY50" s="214"/>
      <c r="BZ50" s="214"/>
      <c r="CA50" s="214"/>
      <c r="CB50" s="214"/>
      <c r="CC50" s="214"/>
      <c r="CD50" s="214"/>
      <c r="CE50" s="214"/>
      <c r="CF50" s="214"/>
      <c r="CG50" s="214"/>
      <c r="CH50" s="214"/>
      <c r="CI50" s="214"/>
      <c r="CJ50" s="214"/>
      <c r="CK50" s="214"/>
      <c r="CL50" s="214"/>
      <c r="CM50" s="214"/>
      <c r="CN50" s="214"/>
      <c r="CO50" s="214"/>
      <c r="CP50" s="214"/>
      <c r="CQ50" s="214"/>
      <c r="CR50" s="214"/>
      <c r="CS50" s="214"/>
      <c r="CT50" s="214"/>
      <c r="CU50" s="214"/>
      <c r="CV50" s="214"/>
      <c r="CW50" s="214"/>
      <c r="CX50" s="214"/>
      <c r="CY50" s="214"/>
    </row>
    <row r="51" spans="2:103" ht="15" thickBot="1" x14ac:dyDescent="0.35">
      <c r="B51" s="212" t="s">
        <v>166</v>
      </c>
      <c r="C51" s="227">
        <f ca="1">SUM(D35:CY35)</f>
        <v>12350735.656815138</v>
      </c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218"/>
      <c r="BI51" s="218"/>
      <c r="BJ51" s="218"/>
      <c r="BK51" s="218"/>
      <c r="BL51" s="218"/>
      <c r="BM51" s="218"/>
      <c r="BN51" s="218"/>
      <c r="BO51" s="218"/>
      <c r="BP51" s="218"/>
      <c r="BQ51" s="218"/>
      <c r="BR51" s="218"/>
      <c r="BS51" s="218"/>
      <c r="BT51" s="218"/>
      <c r="BU51" s="218"/>
      <c r="BV51" s="218"/>
      <c r="BW51" s="218"/>
      <c r="BX51" s="218"/>
      <c r="BY51" s="218"/>
      <c r="BZ51" s="218"/>
      <c r="CA51" s="218"/>
      <c r="CB51" s="218"/>
      <c r="CC51" s="218"/>
      <c r="CD51" s="218"/>
      <c r="CE51" s="218"/>
      <c r="CF51" s="218"/>
      <c r="CG51" s="218"/>
      <c r="CH51" s="218"/>
      <c r="CI51" s="218"/>
      <c r="CJ51" s="218"/>
      <c r="CK51" s="218"/>
      <c r="CL51" s="218"/>
      <c r="CM51" s="218"/>
      <c r="CN51" s="218"/>
      <c r="CO51" s="218"/>
      <c r="CP51" s="218"/>
      <c r="CQ51" s="218"/>
      <c r="CR51" s="218"/>
      <c r="CS51" s="218"/>
      <c r="CT51" s="218"/>
      <c r="CU51" s="218"/>
      <c r="CV51" s="218"/>
      <c r="CW51" s="218"/>
      <c r="CX51" s="218"/>
      <c r="CY51" s="218"/>
    </row>
    <row r="52" spans="2:103" ht="15" thickBot="1" x14ac:dyDescent="0.35">
      <c r="B52" s="212" t="s">
        <v>167</v>
      </c>
      <c r="C52" s="235">
        <f>SUM(D55:CY55)</f>
        <v>306905763.12890071</v>
      </c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  <c r="BD52" s="218"/>
      <c r="BE52" s="218"/>
      <c r="BF52" s="218"/>
      <c r="BG52" s="218"/>
      <c r="BH52" s="218"/>
      <c r="BI52" s="218"/>
      <c r="BJ52" s="218"/>
      <c r="BK52" s="218"/>
      <c r="BL52" s="218"/>
      <c r="BM52" s="218"/>
      <c r="BN52" s="218"/>
      <c r="BO52" s="218"/>
      <c r="BP52" s="218"/>
      <c r="BQ52" s="218"/>
      <c r="BR52" s="218"/>
      <c r="BS52" s="218"/>
      <c r="BT52" s="218"/>
      <c r="BU52" s="218"/>
      <c r="BV52" s="218"/>
      <c r="BW52" s="218"/>
      <c r="BX52" s="218"/>
      <c r="BY52" s="218"/>
      <c r="BZ52" s="218"/>
      <c r="CA52" s="218"/>
      <c r="CB52" s="218"/>
      <c r="CC52" s="218"/>
      <c r="CD52" s="218"/>
      <c r="CE52" s="218"/>
      <c r="CF52" s="218"/>
      <c r="CG52" s="218"/>
      <c r="CH52" s="218"/>
      <c r="CI52" s="218"/>
      <c r="CJ52" s="218"/>
      <c r="CK52" s="218"/>
      <c r="CL52" s="218"/>
      <c r="CM52" s="218"/>
      <c r="CN52" s="218"/>
      <c r="CO52" s="218"/>
      <c r="CP52" s="218"/>
      <c r="CQ52" s="218"/>
      <c r="CR52" s="218"/>
      <c r="CS52" s="218"/>
      <c r="CT52" s="218"/>
      <c r="CU52" s="218"/>
      <c r="CV52" s="218"/>
      <c r="CW52" s="218"/>
      <c r="CX52" s="218"/>
      <c r="CY52" s="218"/>
    </row>
    <row r="53" spans="2:103" ht="15" thickBot="1" x14ac:dyDescent="0.35">
      <c r="B53" s="212" t="s">
        <v>168</v>
      </c>
      <c r="C53" s="228">
        <f ca="1">C51/C52</f>
        <v>4.0242762243691776E-2</v>
      </c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8"/>
      <c r="BI53" s="218"/>
      <c r="BJ53" s="218"/>
      <c r="BK53" s="218"/>
      <c r="BL53" s="218"/>
      <c r="BM53" s="218"/>
      <c r="BN53" s="218"/>
      <c r="BO53" s="218"/>
      <c r="BP53" s="218"/>
      <c r="BQ53" s="218"/>
      <c r="BR53" s="218"/>
      <c r="BS53" s="218"/>
      <c r="BT53" s="218"/>
      <c r="BU53" s="218"/>
      <c r="BV53" s="218"/>
      <c r="BW53" s="218"/>
      <c r="BX53" s="218"/>
      <c r="BY53" s="218"/>
      <c r="BZ53" s="218"/>
      <c r="CA53" s="218"/>
      <c r="CB53" s="218"/>
      <c r="CC53" s="218"/>
      <c r="CD53" s="218"/>
      <c r="CE53" s="218"/>
      <c r="CF53" s="218"/>
      <c r="CG53" s="218"/>
      <c r="CH53" s="218"/>
      <c r="CI53" s="218"/>
      <c r="CJ53" s="218"/>
      <c r="CK53" s="218"/>
      <c r="CL53" s="218"/>
      <c r="CM53" s="218"/>
      <c r="CN53" s="218"/>
      <c r="CO53" s="218"/>
      <c r="CP53" s="218"/>
      <c r="CQ53" s="218"/>
      <c r="CR53" s="218"/>
      <c r="CS53" s="218"/>
      <c r="CT53" s="218"/>
      <c r="CU53" s="218"/>
      <c r="CV53" s="218"/>
      <c r="CW53" s="218"/>
      <c r="CX53" s="218"/>
      <c r="CY53" s="218"/>
    </row>
    <row r="54" spans="2:103" ht="15" thickBot="1" x14ac:dyDescent="0.35">
      <c r="B54" s="209"/>
      <c r="C54" s="225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  <c r="BD54" s="218"/>
      <c r="BE54" s="218"/>
      <c r="BF54" s="218"/>
      <c r="BG54" s="218"/>
      <c r="BH54" s="218"/>
      <c r="BI54" s="218"/>
      <c r="BJ54" s="218"/>
      <c r="BK54" s="218"/>
      <c r="BL54" s="218"/>
      <c r="BM54" s="218"/>
      <c r="BN54" s="218"/>
      <c r="BO54" s="218"/>
      <c r="BP54" s="218"/>
      <c r="BQ54" s="218"/>
      <c r="BR54" s="218"/>
      <c r="BS54" s="218"/>
      <c r="BT54" s="218"/>
      <c r="BU54" s="218"/>
      <c r="BV54" s="218"/>
      <c r="BW54" s="218"/>
      <c r="BX54" s="218"/>
      <c r="BY54" s="218"/>
      <c r="BZ54" s="218"/>
      <c r="CA54" s="218"/>
      <c r="CB54" s="218"/>
      <c r="CC54" s="218"/>
      <c r="CD54" s="218"/>
      <c r="CE54" s="218"/>
      <c r="CF54" s="218"/>
      <c r="CG54" s="218"/>
      <c r="CH54" s="218"/>
      <c r="CI54" s="218"/>
      <c r="CJ54" s="218"/>
      <c r="CK54" s="218"/>
      <c r="CL54" s="218"/>
      <c r="CM54" s="218"/>
      <c r="CN54" s="218"/>
      <c r="CO54" s="218"/>
      <c r="CP54" s="218"/>
      <c r="CQ54" s="218"/>
      <c r="CR54" s="218"/>
      <c r="CS54" s="218"/>
      <c r="CT54" s="218"/>
      <c r="CU54" s="218"/>
      <c r="CV54" s="218"/>
      <c r="CW54" s="218"/>
      <c r="CX54" s="218"/>
      <c r="CY54" s="218"/>
    </row>
    <row r="55" spans="2:103" ht="15" thickBot="1" x14ac:dyDescent="0.35">
      <c r="B55" s="209" t="s">
        <v>169</v>
      </c>
      <c r="C55" s="225"/>
      <c r="D55" s="218">
        <f>D15/D34</f>
        <v>2329012.1077177245</v>
      </c>
      <c r="E55" s="218">
        <f t="shared" ref="E55:M55" si="40">E15/E34</f>
        <v>6979305.0343464306</v>
      </c>
      <c r="F55" s="218">
        <f t="shared" si="40"/>
        <v>11749885.511105482</v>
      </c>
      <c r="G55" s="218">
        <f t="shared" si="40"/>
        <v>15683766.729331531</v>
      </c>
      <c r="H55" s="218">
        <f t="shared" si="40"/>
        <v>19481287.888447918</v>
      </c>
      <c r="I55" s="218">
        <f t="shared" si="40"/>
        <v>22558054.348772533</v>
      </c>
      <c r="J55" s="218">
        <f t="shared" si="40"/>
        <v>24740441.72241329</v>
      </c>
      <c r="K55" s="218">
        <f t="shared" si="40"/>
        <v>26418570.676521167</v>
      </c>
      <c r="L55" s="218">
        <f t="shared" si="40"/>
        <v>27802887.345451202</v>
      </c>
      <c r="M55" s="218">
        <f t="shared" si="40"/>
        <v>29067189.496546552</v>
      </c>
      <c r="N55" s="218">
        <f t="shared" ref="N55:BY55" si="41">N15/N34</f>
        <v>24959042.602095671</v>
      </c>
      <c r="O55" s="218">
        <f t="shared" si="41"/>
        <v>19465118.041384671</v>
      </c>
      <c r="P55" s="218">
        <f t="shared" si="41"/>
        <v>15534095.842521429</v>
      </c>
      <c r="Q55" s="218">
        <f t="shared" si="41"/>
        <v>12402471.869341284</v>
      </c>
      <c r="R55" s="218">
        <f t="shared" si="41"/>
        <v>9887948.2191184517</v>
      </c>
      <c r="S55" s="218">
        <f t="shared" si="41"/>
        <v>7903001.5153106693</v>
      </c>
      <c r="T55" s="218">
        <f t="shared" si="41"/>
        <v>6305754.7477309955</v>
      </c>
      <c r="U55" s="218">
        <f t="shared" si="41"/>
        <v>5016957.0123078385</v>
      </c>
      <c r="V55" s="218">
        <f t="shared" si="41"/>
        <v>3977390.3012836305</v>
      </c>
      <c r="W55" s="218">
        <f t="shared" si="41"/>
        <v>3136637.4765834678</v>
      </c>
      <c r="X55" s="218">
        <f t="shared" si="41"/>
        <v>2487431.8311767536</v>
      </c>
      <c r="Y55" s="218">
        <f t="shared" si="41"/>
        <v>1969805.6381260732</v>
      </c>
      <c r="Z55" s="218">
        <f t="shared" si="41"/>
        <v>1553396.2606593233</v>
      </c>
      <c r="AA55" s="218">
        <f t="shared" si="41"/>
        <v>1220137.2992286957</v>
      </c>
      <c r="AB55" s="218">
        <f t="shared" si="41"/>
        <v>953786.57113759709</v>
      </c>
      <c r="AC55" s="218">
        <f t="shared" si="41"/>
        <v>742300.91517270578</v>
      </c>
      <c r="AD55" s="218">
        <f t="shared" si="41"/>
        <v>577683.73831152217</v>
      </c>
      <c r="AE55" s="218">
        <f t="shared" si="41"/>
        <v>447783.56695618737</v>
      </c>
      <c r="AF55" s="218">
        <f t="shared" si="41"/>
        <v>345449.43074683903</v>
      </c>
      <c r="AG55" s="218">
        <f t="shared" si="41"/>
        <v>264805.60198406834</v>
      </c>
      <c r="AH55" s="218">
        <f t="shared" si="41"/>
        <v>206875.04314597961</v>
      </c>
      <c r="AI55" s="218">
        <f t="shared" si="41"/>
        <v>162388.56092752356</v>
      </c>
      <c r="AJ55" s="218">
        <f t="shared" si="41"/>
        <v>127446.45161604883</v>
      </c>
      <c r="AK55" s="218">
        <f t="shared" si="41"/>
        <v>99928.080187998246</v>
      </c>
      <c r="AL55" s="218">
        <f t="shared" si="41"/>
        <v>78215.347314880491</v>
      </c>
      <c r="AM55" s="218">
        <f t="shared" si="41"/>
        <v>61059.190516993127</v>
      </c>
      <c r="AN55" s="218">
        <f t="shared" si="41"/>
        <v>47779.688795161455</v>
      </c>
      <c r="AO55" s="218">
        <f t="shared" si="41"/>
        <v>37267.734139684238</v>
      </c>
      <c r="AP55" s="218">
        <f t="shared" si="41"/>
        <v>28968.274959612227</v>
      </c>
      <c r="AQ55" s="218">
        <f t="shared" si="41"/>
        <v>22430.339574637805</v>
      </c>
      <c r="AR55" s="218">
        <f t="shared" si="41"/>
        <v>17289.662308755935</v>
      </c>
      <c r="AS55" s="218">
        <f t="shared" si="41"/>
        <v>13301.814974625451</v>
      </c>
      <c r="AT55" s="218">
        <f t="shared" si="41"/>
        <v>10187.528321837393</v>
      </c>
      <c r="AU55" s="218">
        <f t="shared" si="41"/>
        <v>7765.4042336936882</v>
      </c>
      <c r="AV55" s="218">
        <f t="shared" si="41"/>
        <v>5890.5564044725252</v>
      </c>
      <c r="AW55" s="218">
        <f t="shared" si="41"/>
        <v>4446.9689571487488</v>
      </c>
      <c r="AX55" s="218">
        <f t="shared" si="41"/>
        <v>3349.0337885844688</v>
      </c>
      <c r="AY55" s="218">
        <f t="shared" si="41"/>
        <v>2512.0892205115024</v>
      </c>
      <c r="AZ55" s="218">
        <f t="shared" si="41"/>
        <v>1878.3833830494402</v>
      </c>
      <c r="BA55" s="218">
        <f t="shared" si="41"/>
        <v>1401.3290236986129</v>
      </c>
      <c r="BB55" s="218">
        <f t="shared" si="41"/>
        <v>1043.7442735811956</v>
      </c>
      <c r="BC55" s="218">
        <f t="shared" si="41"/>
        <v>776.73632578809611</v>
      </c>
      <c r="BD55" s="218">
        <f t="shared" si="41"/>
        <v>577.22576183769013</v>
      </c>
      <c r="BE55" s="218">
        <f t="shared" si="41"/>
        <v>428.04703088989191</v>
      </c>
      <c r="BF55" s="218">
        <f t="shared" si="41"/>
        <v>316.48125768518224</v>
      </c>
      <c r="BG55" s="218">
        <f t="shared" si="41"/>
        <v>233.07817503055205</v>
      </c>
      <c r="BH55" s="218">
        <f t="shared" si="41"/>
        <v>171.6993625256371</v>
      </c>
      <c r="BI55" s="218">
        <f t="shared" si="41"/>
        <v>125.73605771573342</v>
      </c>
      <c r="BJ55" s="218">
        <f t="shared" si="41"/>
        <v>91.482759663686636</v>
      </c>
      <c r="BK55" s="218">
        <f t="shared" si="41"/>
        <v>66.073975915307685</v>
      </c>
      <c r="BL55" s="218">
        <f t="shared" si="41"/>
        <v>47.311373123038884</v>
      </c>
      <c r="BM55" s="218">
        <f t="shared" si="41"/>
        <v>33.543556520686707</v>
      </c>
      <c r="BN55" s="218">
        <f t="shared" si="41"/>
        <v>23.501511784149237</v>
      </c>
      <c r="BO55" s="218">
        <f t="shared" si="41"/>
        <v>16.246116021455542</v>
      </c>
      <c r="BP55" s="218">
        <f t="shared" si="41"/>
        <v>11.061572192382792</v>
      </c>
      <c r="BQ55" s="218">
        <f t="shared" si="41"/>
        <v>7.4033185251927973</v>
      </c>
      <c r="BR55" s="218">
        <f t="shared" si="41"/>
        <v>4.8712540647574638</v>
      </c>
      <c r="BS55" s="218">
        <f t="shared" si="41"/>
        <v>3.1370453669820919</v>
      </c>
      <c r="BT55" s="218">
        <f t="shared" si="41"/>
        <v>1.9746389311610391</v>
      </c>
      <c r="BU55" s="218">
        <f t="shared" si="41"/>
        <v>1.2141840834455842</v>
      </c>
      <c r="BV55" s="218">
        <f t="shared" si="41"/>
        <v>0.72940053114345693</v>
      </c>
      <c r="BW55" s="218">
        <f t="shared" si="41"/>
        <v>0.43344313654504757</v>
      </c>
      <c r="BX55" s="218">
        <f t="shared" si="41"/>
        <v>0.25276868746556369</v>
      </c>
      <c r="BY55" s="218">
        <f t="shared" si="41"/>
        <v>0.14413389408704838</v>
      </c>
      <c r="BZ55" s="218">
        <f t="shared" ref="BZ55:CY55" si="42">BZ15/BZ34</f>
        <v>7.9741638900538384E-2</v>
      </c>
      <c r="CA55" s="218">
        <f t="shared" si="42"/>
        <v>4.2044065322624308E-2</v>
      </c>
      <c r="CB55" s="218">
        <f t="shared" si="42"/>
        <v>2.4498601017197738E-2</v>
      </c>
      <c r="CC55" s="218">
        <f t="shared" si="42"/>
        <v>1.3952140473886258E-2</v>
      </c>
      <c r="CD55" s="218">
        <f t="shared" si="42"/>
        <v>7.7116165260387552E-3</v>
      </c>
      <c r="CE55" s="218">
        <f t="shared" si="42"/>
        <v>4.084295969831577E-3</v>
      </c>
      <c r="CF55" s="218">
        <f t="shared" si="42"/>
        <v>2.0144279834674204E-3</v>
      </c>
      <c r="CG55" s="218">
        <f t="shared" si="42"/>
        <v>1.0709733996976699E-3</v>
      </c>
      <c r="CH55" s="218">
        <f t="shared" si="42"/>
        <v>5.356799594607661E-4</v>
      </c>
      <c r="CI55" s="218">
        <f t="shared" si="42"/>
        <v>2.4066187429196907E-4</v>
      </c>
      <c r="CJ55" s="218">
        <f t="shared" si="42"/>
        <v>8.2665207794905125E-5</v>
      </c>
      <c r="CK55" s="218">
        <f t="shared" si="42"/>
        <v>0</v>
      </c>
      <c r="CL55" s="218">
        <f t="shared" si="42"/>
        <v>0</v>
      </c>
      <c r="CM55" s="218">
        <f t="shared" si="42"/>
        <v>0</v>
      </c>
      <c r="CN55" s="218">
        <f t="shared" si="42"/>
        <v>0</v>
      </c>
      <c r="CO55" s="218">
        <f t="shared" si="42"/>
        <v>0</v>
      </c>
      <c r="CP55" s="218">
        <f t="shared" si="42"/>
        <v>0</v>
      </c>
      <c r="CQ55" s="218">
        <f t="shared" si="42"/>
        <v>0</v>
      </c>
      <c r="CR55" s="218">
        <f t="shared" si="42"/>
        <v>0</v>
      </c>
      <c r="CS55" s="218">
        <f t="shared" si="42"/>
        <v>0</v>
      </c>
      <c r="CT55" s="218">
        <f t="shared" si="42"/>
        <v>0</v>
      </c>
      <c r="CU55" s="218">
        <f t="shared" si="42"/>
        <v>0</v>
      </c>
      <c r="CV55" s="218">
        <f t="shared" si="42"/>
        <v>0</v>
      </c>
      <c r="CW55" s="218">
        <f t="shared" si="42"/>
        <v>0</v>
      </c>
      <c r="CX55" s="218">
        <f t="shared" si="42"/>
        <v>0</v>
      </c>
      <c r="CY55" s="218">
        <f t="shared" si="42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96BB-D9F8-4A6F-906E-FE9762284E7D}">
  <sheetPr codeName="Sheet15"/>
  <dimension ref="A2:DY103"/>
  <sheetViews>
    <sheetView topLeftCell="A18" zoomScale="89" zoomScaleNormal="89" workbookViewId="0">
      <selection activeCell="D53" sqref="D53"/>
    </sheetView>
  </sheetViews>
  <sheetFormatPr defaultRowHeight="14.4" x14ac:dyDescent="0.3"/>
  <cols>
    <col min="3" max="3" width="32.5546875" bestFit="1" customWidth="1"/>
    <col min="4" max="4" width="17.109375" customWidth="1"/>
    <col min="5" max="12" width="14.33203125" bestFit="1" customWidth="1"/>
    <col min="13" max="13" width="15" bestFit="1" customWidth="1"/>
    <col min="14" max="103" width="15" customWidth="1"/>
    <col min="106" max="107" width="11.5546875" customWidth="1"/>
    <col min="108" max="108" width="12.44140625" bestFit="1" customWidth="1"/>
    <col min="109" max="109" width="15.88671875" customWidth="1"/>
    <col min="110" max="110" width="12.109375" bestFit="1" customWidth="1"/>
    <col min="113" max="113" width="22.5546875" bestFit="1" customWidth="1"/>
    <col min="114" max="114" width="20.109375" bestFit="1" customWidth="1"/>
    <col min="115" max="115" width="22.33203125" bestFit="1" customWidth="1"/>
    <col min="116" max="116" width="15" bestFit="1" customWidth="1"/>
    <col min="117" max="117" width="9.5546875" bestFit="1" customWidth="1"/>
    <col min="118" max="118" width="14.5546875" bestFit="1" customWidth="1"/>
    <col min="119" max="119" width="13.33203125" customWidth="1"/>
    <col min="120" max="120" width="12.88671875" customWidth="1"/>
    <col min="121" max="121" width="11.33203125" bestFit="1" customWidth="1"/>
    <col min="122" max="122" width="10.44140625" bestFit="1" customWidth="1"/>
    <col min="124" max="124" width="12.6640625" customWidth="1"/>
    <col min="125" max="125" width="14.109375" customWidth="1"/>
    <col min="126" max="126" width="14.33203125" customWidth="1"/>
    <col min="127" max="127" width="13.33203125" customWidth="1"/>
    <col min="128" max="128" width="16" customWidth="1"/>
    <col min="129" max="129" width="10.6640625" bestFit="1" customWidth="1"/>
  </cols>
  <sheetData>
    <row r="2" spans="2:129" x14ac:dyDescent="0.3">
      <c r="C2" s="270" t="s">
        <v>170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  <c r="CP2" s="263"/>
      <c r="CQ2" s="263"/>
      <c r="CR2" s="263"/>
      <c r="CS2" s="263"/>
      <c r="CT2" s="263"/>
      <c r="CU2" s="263"/>
      <c r="CV2" s="263"/>
      <c r="CW2" s="263"/>
      <c r="CX2" s="263"/>
      <c r="CY2" s="263"/>
    </row>
    <row r="3" spans="2:129" ht="39" x14ac:dyDescent="0.3">
      <c r="C3" s="201" t="s">
        <v>49</v>
      </c>
      <c r="D3" s="200">
        <v>1</v>
      </c>
      <c r="E3" s="200">
        <f>D3+1</f>
        <v>2</v>
      </c>
      <c r="F3" s="200">
        <f t="shared" ref="F3:N3" si="0">E3+1</f>
        <v>3</v>
      </c>
      <c r="G3" s="200">
        <f t="shared" si="0"/>
        <v>4</v>
      </c>
      <c r="H3" s="200">
        <f t="shared" si="0"/>
        <v>5</v>
      </c>
      <c r="I3" s="200">
        <f t="shared" si="0"/>
        <v>6</v>
      </c>
      <c r="J3" s="200">
        <f t="shared" si="0"/>
        <v>7</v>
      </c>
      <c r="K3" s="200">
        <f t="shared" si="0"/>
        <v>8</v>
      </c>
      <c r="L3" s="200">
        <f t="shared" si="0"/>
        <v>9</v>
      </c>
      <c r="M3" s="200">
        <f t="shared" si="0"/>
        <v>10</v>
      </c>
      <c r="N3" s="200">
        <f t="shared" si="0"/>
        <v>11</v>
      </c>
      <c r="O3" s="200">
        <f t="shared" ref="O3" si="1">N3+1</f>
        <v>12</v>
      </c>
      <c r="P3" s="200">
        <f t="shared" ref="P3" si="2">O3+1</f>
        <v>13</v>
      </c>
      <c r="Q3" s="200">
        <f t="shared" ref="Q3" si="3">P3+1</f>
        <v>14</v>
      </c>
      <c r="R3" s="200">
        <f t="shared" ref="R3" si="4">Q3+1</f>
        <v>15</v>
      </c>
      <c r="S3" s="200">
        <f t="shared" ref="S3" si="5">R3+1</f>
        <v>16</v>
      </c>
      <c r="T3" s="200">
        <f t="shared" ref="T3" si="6">S3+1</f>
        <v>17</v>
      </c>
      <c r="U3" s="200">
        <f t="shared" ref="U3" si="7">T3+1</f>
        <v>18</v>
      </c>
      <c r="V3" s="200">
        <f t="shared" ref="V3" si="8">U3+1</f>
        <v>19</v>
      </c>
      <c r="W3" s="200">
        <f t="shared" ref="W3" si="9">V3+1</f>
        <v>20</v>
      </c>
      <c r="X3" s="200">
        <f t="shared" ref="X3" si="10">W3+1</f>
        <v>21</v>
      </c>
      <c r="Y3" s="200">
        <f t="shared" ref="Y3" si="11">X3+1</f>
        <v>22</v>
      </c>
      <c r="Z3" s="200">
        <f t="shared" ref="Z3" si="12">Y3+1</f>
        <v>23</v>
      </c>
      <c r="AA3" s="200">
        <f t="shared" ref="AA3" si="13">Z3+1</f>
        <v>24</v>
      </c>
      <c r="AB3" s="200">
        <f t="shared" ref="AB3" si="14">AA3+1</f>
        <v>25</v>
      </c>
      <c r="AC3" s="200">
        <f t="shared" ref="AC3" si="15">AB3+1</f>
        <v>26</v>
      </c>
      <c r="AD3" s="200">
        <f t="shared" ref="AD3" si="16">AC3+1</f>
        <v>27</v>
      </c>
      <c r="AE3" s="200">
        <f t="shared" ref="AE3" si="17">AD3+1</f>
        <v>28</v>
      </c>
      <c r="AF3" s="200">
        <f t="shared" ref="AF3" si="18">AE3+1</f>
        <v>29</v>
      </c>
      <c r="AG3" s="200">
        <f t="shared" ref="AG3" si="19">AF3+1</f>
        <v>30</v>
      </c>
      <c r="AH3" s="200">
        <f t="shared" ref="AH3" si="20">AG3+1</f>
        <v>31</v>
      </c>
      <c r="AI3" s="200">
        <f t="shared" ref="AI3" si="21">AH3+1</f>
        <v>32</v>
      </c>
      <c r="AJ3" s="200">
        <f t="shared" ref="AJ3" si="22">AI3+1</f>
        <v>33</v>
      </c>
      <c r="AK3" s="200">
        <f t="shared" ref="AK3" si="23">AJ3+1</f>
        <v>34</v>
      </c>
      <c r="AL3" s="200">
        <f t="shared" ref="AL3" si="24">AK3+1</f>
        <v>35</v>
      </c>
      <c r="AM3" s="200">
        <f t="shared" ref="AM3" si="25">AL3+1</f>
        <v>36</v>
      </c>
      <c r="AN3" s="200">
        <f t="shared" ref="AN3" si="26">AM3+1</f>
        <v>37</v>
      </c>
      <c r="AO3" s="200">
        <f t="shared" ref="AO3" si="27">AN3+1</f>
        <v>38</v>
      </c>
      <c r="AP3" s="200">
        <f t="shared" ref="AP3" si="28">AO3+1</f>
        <v>39</v>
      </c>
      <c r="AQ3" s="200">
        <f t="shared" ref="AQ3" si="29">AP3+1</f>
        <v>40</v>
      </c>
      <c r="AR3" s="200">
        <f t="shared" ref="AR3" si="30">AQ3+1</f>
        <v>41</v>
      </c>
      <c r="AS3" s="200">
        <f t="shared" ref="AS3" si="31">AR3+1</f>
        <v>42</v>
      </c>
      <c r="AT3" s="200">
        <f t="shared" ref="AT3" si="32">AS3+1</f>
        <v>43</v>
      </c>
      <c r="AU3" s="200">
        <f t="shared" ref="AU3" si="33">AT3+1</f>
        <v>44</v>
      </c>
      <c r="AV3" s="200">
        <f t="shared" ref="AV3" si="34">AU3+1</f>
        <v>45</v>
      </c>
      <c r="AW3" s="200">
        <f t="shared" ref="AW3" si="35">AV3+1</f>
        <v>46</v>
      </c>
      <c r="AX3" s="200">
        <f t="shared" ref="AX3" si="36">AW3+1</f>
        <v>47</v>
      </c>
      <c r="AY3" s="200">
        <f t="shared" ref="AY3" si="37">AX3+1</f>
        <v>48</v>
      </c>
      <c r="AZ3" s="200">
        <f t="shared" ref="AZ3" si="38">AY3+1</f>
        <v>49</v>
      </c>
      <c r="BA3" s="200">
        <f t="shared" ref="BA3" si="39">AZ3+1</f>
        <v>50</v>
      </c>
      <c r="BB3" s="200">
        <f t="shared" ref="BB3" si="40">BA3+1</f>
        <v>51</v>
      </c>
      <c r="BC3" s="200">
        <f t="shared" ref="BC3" si="41">BB3+1</f>
        <v>52</v>
      </c>
      <c r="BD3" s="200">
        <f t="shared" ref="BD3" si="42">BC3+1</f>
        <v>53</v>
      </c>
      <c r="BE3" s="200">
        <f t="shared" ref="BE3" si="43">BD3+1</f>
        <v>54</v>
      </c>
      <c r="BF3" s="200">
        <f t="shared" ref="BF3" si="44">BE3+1</f>
        <v>55</v>
      </c>
      <c r="BG3" s="200">
        <f t="shared" ref="BG3" si="45">BF3+1</f>
        <v>56</v>
      </c>
      <c r="BH3" s="200">
        <f t="shared" ref="BH3" si="46">BG3+1</f>
        <v>57</v>
      </c>
      <c r="BI3" s="200">
        <f t="shared" ref="BI3" si="47">BH3+1</f>
        <v>58</v>
      </c>
      <c r="BJ3" s="200">
        <f t="shared" ref="BJ3" si="48">BI3+1</f>
        <v>59</v>
      </c>
      <c r="BK3" s="200">
        <f t="shared" ref="BK3" si="49">BJ3+1</f>
        <v>60</v>
      </c>
      <c r="BL3" s="200">
        <f t="shared" ref="BL3" si="50">BK3+1</f>
        <v>61</v>
      </c>
      <c r="BM3" s="200">
        <f t="shared" ref="BM3" si="51">BL3+1</f>
        <v>62</v>
      </c>
      <c r="BN3" s="200">
        <f t="shared" ref="BN3" si="52">BM3+1</f>
        <v>63</v>
      </c>
      <c r="BO3" s="200">
        <f t="shared" ref="BO3" si="53">BN3+1</f>
        <v>64</v>
      </c>
      <c r="BP3" s="200">
        <f t="shared" ref="BP3" si="54">BO3+1</f>
        <v>65</v>
      </c>
      <c r="BQ3" s="200">
        <f t="shared" ref="BQ3" si="55">BP3+1</f>
        <v>66</v>
      </c>
      <c r="BR3" s="200">
        <f t="shared" ref="BR3" si="56">BQ3+1</f>
        <v>67</v>
      </c>
      <c r="BS3" s="200">
        <f t="shared" ref="BS3" si="57">BR3+1</f>
        <v>68</v>
      </c>
      <c r="BT3" s="200">
        <f t="shared" ref="BT3" si="58">BS3+1</f>
        <v>69</v>
      </c>
      <c r="BU3" s="200">
        <f t="shared" ref="BU3" si="59">BT3+1</f>
        <v>70</v>
      </c>
      <c r="BV3" s="200">
        <f t="shared" ref="BV3" si="60">BU3+1</f>
        <v>71</v>
      </c>
      <c r="BW3" s="200">
        <f t="shared" ref="BW3" si="61">BV3+1</f>
        <v>72</v>
      </c>
      <c r="BX3" s="200">
        <f t="shared" ref="BX3" si="62">BW3+1</f>
        <v>73</v>
      </c>
      <c r="BY3" s="200">
        <f t="shared" ref="BY3" si="63">BX3+1</f>
        <v>74</v>
      </c>
      <c r="BZ3" s="200">
        <f t="shared" ref="BZ3" si="64">BY3+1</f>
        <v>75</v>
      </c>
      <c r="CA3" s="200">
        <f t="shared" ref="CA3" si="65">BZ3+1</f>
        <v>76</v>
      </c>
      <c r="CB3" s="200">
        <f t="shared" ref="CB3" si="66">CA3+1</f>
        <v>77</v>
      </c>
      <c r="CC3" s="200">
        <f t="shared" ref="CC3" si="67">CB3+1</f>
        <v>78</v>
      </c>
      <c r="CD3" s="200">
        <f t="shared" ref="CD3" si="68">CC3+1</f>
        <v>79</v>
      </c>
      <c r="CE3" s="200">
        <f t="shared" ref="CE3" si="69">CD3+1</f>
        <v>80</v>
      </c>
      <c r="CF3" s="200">
        <f t="shared" ref="CF3" si="70">CE3+1</f>
        <v>81</v>
      </c>
      <c r="CG3" s="200">
        <f t="shared" ref="CG3" si="71">CF3+1</f>
        <v>82</v>
      </c>
      <c r="CH3" s="200">
        <f t="shared" ref="CH3" si="72">CG3+1</f>
        <v>83</v>
      </c>
      <c r="CI3" s="200">
        <f t="shared" ref="CI3" si="73">CH3+1</f>
        <v>84</v>
      </c>
      <c r="CJ3" s="200">
        <f t="shared" ref="CJ3" si="74">CI3+1</f>
        <v>85</v>
      </c>
      <c r="CK3" s="200">
        <f t="shared" ref="CK3" si="75">CJ3+1</f>
        <v>86</v>
      </c>
      <c r="CL3" s="200">
        <f t="shared" ref="CL3" si="76">CK3+1</f>
        <v>87</v>
      </c>
      <c r="CM3" s="200">
        <f t="shared" ref="CM3" si="77">CL3+1</f>
        <v>88</v>
      </c>
      <c r="CN3" s="200">
        <f t="shared" ref="CN3" si="78">CM3+1</f>
        <v>89</v>
      </c>
      <c r="CO3" s="200">
        <f t="shared" ref="CO3" si="79">CN3+1</f>
        <v>90</v>
      </c>
      <c r="CP3" s="200">
        <f t="shared" ref="CP3" si="80">CO3+1</f>
        <v>91</v>
      </c>
      <c r="CQ3" s="200">
        <f t="shared" ref="CQ3" si="81">CP3+1</f>
        <v>92</v>
      </c>
      <c r="CR3" s="200">
        <f t="shared" ref="CR3" si="82">CQ3+1</f>
        <v>93</v>
      </c>
      <c r="CS3" s="200">
        <f t="shared" ref="CS3" si="83">CR3+1</f>
        <v>94</v>
      </c>
      <c r="CT3" s="200">
        <f t="shared" ref="CT3" si="84">CS3+1</f>
        <v>95</v>
      </c>
      <c r="CU3" s="200">
        <f t="shared" ref="CU3" si="85">CT3+1</f>
        <v>96</v>
      </c>
      <c r="CV3" s="200">
        <f t="shared" ref="CV3" si="86">CU3+1</f>
        <v>97</v>
      </c>
      <c r="CW3" s="200">
        <f t="shared" ref="CW3" si="87">CV3+1</f>
        <v>98</v>
      </c>
      <c r="CX3" s="200">
        <f t="shared" ref="CX3" si="88">CW3+1</f>
        <v>99</v>
      </c>
      <c r="CY3" s="200">
        <f t="shared" ref="CY3" si="89">CX3+1</f>
        <v>100</v>
      </c>
      <c r="DB3" s="97" t="s">
        <v>49</v>
      </c>
      <c r="DC3" s="97" t="s">
        <v>170</v>
      </c>
      <c r="DD3" s="97" t="s">
        <v>171</v>
      </c>
      <c r="DE3" s="97" t="s">
        <v>172</v>
      </c>
      <c r="DH3" s="97" t="s">
        <v>49</v>
      </c>
      <c r="DI3" s="97" t="s">
        <v>173</v>
      </c>
      <c r="DJ3" s="97" t="s">
        <v>174</v>
      </c>
      <c r="DK3" s="97" t="s">
        <v>175</v>
      </c>
      <c r="DL3" s="97" t="s">
        <v>176</v>
      </c>
      <c r="DM3" s="97" t="s">
        <v>177</v>
      </c>
      <c r="DN3" s="97" t="s">
        <v>178</v>
      </c>
      <c r="DO3" s="97" t="s">
        <v>179</v>
      </c>
      <c r="DP3" s="97" t="s">
        <v>180</v>
      </c>
      <c r="DS3" s="98" t="s">
        <v>49</v>
      </c>
      <c r="DT3" s="98" t="s">
        <v>181</v>
      </c>
      <c r="DU3" s="98" t="s">
        <v>180</v>
      </c>
      <c r="DV3" s="208" t="s">
        <v>182</v>
      </c>
      <c r="DW3" s="208" t="s">
        <v>183</v>
      </c>
      <c r="DX3" s="98" t="s">
        <v>172</v>
      </c>
    </row>
    <row r="4" spans="2:129" x14ac:dyDescent="0.3">
      <c r="B4">
        <v>1</v>
      </c>
      <c r="C4" s="202" t="s">
        <v>131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4"/>
      <c r="BZ4" s="174"/>
      <c r="CA4" s="174"/>
      <c r="CB4" s="174"/>
      <c r="CC4" s="174"/>
      <c r="CD4" s="174"/>
      <c r="CE4" s="174"/>
      <c r="CF4" s="174"/>
      <c r="CG4" s="174"/>
      <c r="CH4" s="174"/>
      <c r="CI4" s="174"/>
      <c r="CJ4" s="174"/>
      <c r="CK4" s="174"/>
      <c r="CL4" s="174"/>
      <c r="CM4" s="174"/>
      <c r="CN4" s="174"/>
      <c r="CO4" s="174"/>
      <c r="CP4" s="174"/>
      <c r="CQ4" s="174"/>
      <c r="CR4" s="174"/>
      <c r="CS4" s="174"/>
      <c r="CT4" s="174"/>
      <c r="CU4" s="174"/>
      <c r="CV4" s="174"/>
      <c r="CW4" s="174"/>
      <c r="CX4" s="174"/>
      <c r="CY4" s="174"/>
      <c r="DB4" s="101">
        <v>1</v>
      </c>
      <c r="DC4" s="207">
        <f ca="1">OFFSET($C$14,0,COUNTA($DB$4:DB4))</f>
        <v>162759.92215422643</v>
      </c>
      <c r="DD4" s="207">
        <f ca="1">OFFSET($C$30,0,COUNTA($DB$4:DB4))</f>
        <v>-1391656.2040535982</v>
      </c>
      <c r="DE4" s="100">
        <f ca="1">OFFSET($C$59,0,COUNTA($DB$4:DB4))</f>
        <v>1696268.8695680301</v>
      </c>
      <c r="DF4" s="1"/>
      <c r="DH4" s="101">
        <v>1</v>
      </c>
      <c r="DI4" s="100">
        <f ca="1">OFFSET($C$39,0,COUNTA(DH$4:$DH4))</f>
        <v>1052058.0804174191</v>
      </c>
      <c r="DJ4" s="100">
        <f ca="1">OFFSET($C$43,0,COUNTA(DH$4:$DH4))</f>
        <v>556662.48162143934</v>
      </c>
      <c r="DK4" s="100">
        <f ca="1">OFFSET($C$45,0,COUNTA(DH$4:$DH4))</f>
        <v>0</v>
      </c>
      <c r="DL4" s="100">
        <f ca="1">OFFSET($C$46,0,COUNTA(DH$4:$DH4))</f>
        <v>13648.79219936851</v>
      </c>
      <c r="DM4" s="100">
        <f ca="1">OFFSET($C$47,0,COUNTA(DH$4:$DH4))</f>
        <v>7486.9564190944166</v>
      </c>
      <c r="DN4" s="100">
        <f ca="1">OFFSET($C$48,0,COUNTA(DH$4:$DH4))</f>
        <v>11860.992877709234</v>
      </c>
      <c r="DO4" s="100">
        <f ca="1">OFFSET($C$51,0,COUNTA(DH$4:$DH4))</f>
        <v>1202257.5045383477</v>
      </c>
      <c r="DP4" s="100">
        <f ca="1">OFFSET($C$53,0,COUNTA(DH$4:$DH4))</f>
        <v>1357015.095654424</v>
      </c>
      <c r="DS4" s="101">
        <v>1</v>
      </c>
      <c r="DT4" s="99">
        <f ca="1">OFFSET($C$35,0,COUNTA(DS$4:$DS4))</f>
        <v>0</v>
      </c>
      <c r="DU4" s="99">
        <f ca="1">OFFSET($C$53,0,COUNTA(DS$4:$DS4))</f>
        <v>1357015.095654424</v>
      </c>
      <c r="DV4" s="99">
        <f ca="1">MAX(DT4,DU4)</f>
        <v>1357015.095654424</v>
      </c>
      <c r="DW4" s="99">
        <f ca="1">OFFSET($C$57,0,COUNTA(DS$4:$DS4))</f>
        <v>339253.77391360601</v>
      </c>
      <c r="DX4" s="99">
        <f ca="1">DV4+DW4</f>
        <v>1696268.8695680301</v>
      </c>
      <c r="DY4" s="215"/>
    </row>
    <row r="5" spans="2:129" x14ac:dyDescent="0.3">
      <c r="B5">
        <v>2</v>
      </c>
      <c r="C5" s="202" t="s">
        <v>132</v>
      </c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4"/>
      <c r="BZ5" s="174"/>
      <c r="CA5" s="174"/>
      <c r="CB5" s="174"/>
      <c r="CC5" s="174"/>
      <c r="CD5" s="174"/>
      <c r="CE5" s="174"/>
      <c r="CF5" s="174"/>
      <c r="CG5" s="174"/>
      <c r="CH5" s="174"/>
      <c r="CI5" s="174"/>
      <c r="CJ5" s="174"/>
      <c r="CK5" s="174"/>
      <c r="CL5" s="174"/>
      <c r="CM5" s="174"/>
      <c r="CN5" s="174"/>
      <c r="CO5" s="174"/>
      <c r="CP5" s="174"/>
      <c r="CQ5" s="174"/>
      <c r="CR5" s="174"/>
      <c r="CS5" s="174"/>
      <c r="CT5" s="174"/>
      <c r="CU5" s="174"/>
      <c r="CV5" s="174"/>
      <c r="CW5" s="174"/>
      <c r="CX5" s="174"/>
      <c r="CY5" s="174"/>
      <c r="DB5" s="101">
        <f>DB4+1</f>
        <v>2</v>
      </c>
      <c r="DC5" s="207">
        <f ca="1">OFFSET($C$14,0,COUNTA($DB$4:DB5))</f>
        <v>737203.9191464897</v>
      </c>
      <c r="DD5" s="207">
        <f ca="1">OFFSET($C$30,0,COUNTA($DB$4:DB5))</f>
        <v>-6838612.0811936911</v>
      </c>
      <c r="DE5" s="100">
        <f ca="1">OFFSET($C$59,0,COUNTA($DB$4:DB5))</f>
        <v>4548353.7346025687</v>
      </c>
      <c r="DF5" s="1"/>
      <c r="DH5" s="101">
        <f>DH4+1</f>
        <v>2</v>
      </c>
      <c r="DI5" s="100">
        <f ca="1">OFFSET($C$39,0,COUNTA(DH$4:$DH5))</f>
        <v>1626527.573159198</v>
      </c>
      <c r="DJ5" s="100">
        <f ca="1">OFFSET($C$43,0,COUNTA(DH$4:$DH5))</f>
        <v>2735444.8324774764</v>
      </c>
      <c r="DK5" s="100">
        <f ca="1">OFFSET($C$45,0,COUNTA(DH$4:$DH5))</f>
        <v>15821.538980407999</v>
      </c>
      <c r="DL5" s="100">
        <f ca="1">OFFSET($C$46,0,COUNTA(DH$4:$DH5))</f>
        <v>61820.76624155735</v>
      </c>
      <c r="DM5" s="100">
        <f ca="1">OFFSET($C$47,0,COUNTA(DH$4:$DH5))</f>
        <v>33911.380280738529</v>
      </c>
      <c r="DN5" s="100">
        <f ca="1">OFFSET($C$48,0,COUNTA(DH$4:$DH5))</f>
        <v>40077.127655259232</v>
      </c>
      <c r="DO5" s="100">
        <f ca="1">OFFSET($C$51,0,COUNTA(DH$4:$DH5))</f>
        <v>3223717.9546385873</v>
      </c>
      <c r="DP5" s="100">
        <f ca="1">OFFSET($C$53,0,COUNTA(DH$4:$DH5))</f>
        <v>3638682.9876820552</v>
      </c>
      <c r="DS5" s="101">
        <f>DS4+1</f>
        <v>2</v>
      </c>
      <c r="DT5" s="99">
        <f ca="1">OFFSET($C$35,0,COUNTA(DS$4:$DS5))</f>
        <v>0</v>
      </c>
      <c r="DU5" s="99">
        <f ca="1">OFFSET($C$53,0,COUNTA(DS$4:$DS5))</f>
        <v>3638682.9876820552</v>
      </c>
      <c r="DV5" s="99">
        <f t="shared" ref="DV5:DV13" ca="1" si="90">MAX(DT5,DU5)</f>
        <v>3638682.9876820552</v>
      </c>
      <c r="DW5" s="99">
        <f ca="1">OFFSET($C$57,0,COUNTA(DS$4:$DS5))</f>
        <v>909670.7469205138</v>
      </c>
      <c r="DX5" s="99">
        <f t="shared" ref="DX5:DX13" ca="1" si="91">DV5+DW5</f>
        <v>4548353.7346025687</v>
      </c>
      <c r="DY5" s="215"/>
    </row>
    <row r="6" spans="2:129" x14ac:dyDescent="0.3">
      <c r="B6">
        <v>3</v>
      </c>
      <c r="C6" s="202" t="s">
        <v>133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DB6" s="101">
        <f t="shared" ref="DB6:DB12" si="92">DB5+1</f>
        <v>3</v>
      </c>
      <c r="DC6" s="207">
        <f ca="1">OFFSET($C$14,0,COUNTA($DB$4:DB6))</f>
        <v>1220568.9299604103</v>
      </c>
      <c r="DD6" s="207">
        <f ca="1">OFFSET($C$30,0,COUNTA($DB$4:DB6))</f>
        <v>-13051314.695782719</v>
      </c>
      <c r="DE6" s="100">
        <f ca="1">OFFSET($C$59,0,COUNTA($DB$4:DB6))</f>
        <v>8135393.2896067305</v>
      </c>
      <c r="DF6" s="1"/>
      <c r="DH6" s="101">
        <f t="shared" ref="DH6:DH12" si="93">DH5+1</f>
        <v>3</v>
      </c>
      <c r="DI6" s="100">
        <f ca="1">OFFSET($C$39,0,COUNTA(DH$4:$DH6))</f>
        <v>2256382.5704091932</v>
      </c>
      <c r="DJ6" s="100">
        <f ca="1">OFFSET($C$43,0,COUNTA(DH$4:$DH6))</f>
        <v>5220525.8783130879</v>
      </c>
      <c r="DK6" s="100">
        <f ca="1">OFFSET($C$45,0,COUNTA(DH$4:$DH6))</f>
        <v>56901.726542668446</v>
      </c>
      <c r="DL6" s="100">
        <f ca="1">OFFSET($C$46,0,COUNTA(DH$4:$DH6))</f>
        <v>102354.99912717685</v>
      </c>
      <c r="DM6" s="100">
        <f ca="1">OFFSET($C$47,0,COUNTA(DH$4:$DH6))</f>
        <v>56146.170778178879</v>
      </c>
      <c r="DN6" s="100">
        <f ca="1">OFFSET($C$48,0,COUNTA(DH$4:$DH6))</f>
        <v>76821.570159479117</v>
      </c>
      <c r="DO6" s="100">
        <f ca="1">OFFSET($C$51,0,COUNTA(DH$4:$DH6))</f>
        <v>5766089.215143932</v>
      </c>
      <c r="DP6" s="100">
        <f ca="1">OFFSET($C$53,0,COUNTA(DH$4:$DH6))</f>
        <v>6508314.6316853845</v>
      </c>
      <c r="DS6" s="101">
        <f t="shared" ref="DS6:DS12" si="94">DS5+1</f>
        <v>3</v>
      </c>
      <c r="DT6" s="99">
        <f ca="1">OFFSET($C$35,0,COUNTA(DS$4:$DS6))</f>
        <v>0</v>
      </c>
      <c r="DU6" s="99">
        <f ca="1">OFFSET($C$53,0,COUNTA(DS$4:$DS6))</f>
        <v>6508314.6316853845</v>
      </c>
      <c r="DV6" s="99">
        <f t="shared" ca="1" si="90"/>
        <v>6508314.6316853845</v>
      </c>
      <c r="DW6" s="99">
        <f ca="1">OFFSET($C$57,0,COUNTA(DS$4:$DS6))</f>
        <v>1627078.6579213461</v>
      </c>
      <c r="DX6" s="99">
        <f t="shared" ca="1" si="91"/>
        <v>8135393.2896067305</v>
      </c>
      <c r="DY6" s="215"/>
    </row>
    <row r="7" spans="2:129" x14ac:dyDescent="0.3">
      <c r="B7">
        <v>4</v>
      </c>
      <c r="C7" s="202" t="s">
        <v>134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/>
      <c r="BY7" s="174"/>
      <c r="BZ7" s="174"/>
      <c r="CA7" s="174"/>
      <c r="CB7" s="174"/>
      <c r="CC7" s="174"/>
      <c r="CD7" s="174"/>
      <c r="CE7" s="174"/>
      <c r="CF7" s="174"/>
      <c r="CG7" s="174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4"/>
      <c r="CY7" s="174"/>
      <c r="DB7" s="101">
        <f t="shared" si="92"/>
        <v>4</v>
      </c>
      <c r="DC7" s="207">
        <f ca="1">OFFSET($C$14,0,COUNTA($DB$4:DB7))</f>
        <v>1704174.271673416</v>
      </c>
      <c r="DD7" s="207">
        <f ca="1">OFFSET($C$30,0,COUNTA($DB$4:DB7))</f>
        <v>-19260934.69488354</v>
      </c>
      <c r="DE7" s="100">
        <f ca="1">OFFSET($C$59,0,COUNTA($DB$4:DB7))</f>
        <v>11728973.938224673</v>
      </c>
      <c r="DF7" s="1"/>
      <c r="DH7" s="101">
        <f t="shared" si="93"/>
        <v>4</v>
      </c>
      <c r="DI7" s="100">
        <f ca="1">OFFSET($C$39,0,COUNTA(DH$4:$DH7))</f>
        <v>2786194.9200893706</v>
      </c>
      <c r="DJ7" s="100">
        <f ca="1">OFFSET($C$43,0,COUNTA(DH$4:$DH7))</f>
        <v>7704373.8779534167</v>
      </c>
      <c r="DK7" s="100">
        <f ca="1">OFFSET($C$45,0,COUNTA(DH$4:$DH7))</f>
        <v>113831.33519714646</v>
      </c>
      <c r="DL7" s="100">
        <f ca="1">OFFSET($C$46,0,COUNTA(DH$4:$DH7))</f>
        <v>142909.38578564956</v>
      </c>
      <c r="DM7" s="100">
        <f ca="1">OFFSET($C$47,0,COUNTA(DH$4:$DH7))</f>
        <v>78392.016496977143</v>
      </c>
      <c r="DN7" s="100">
        <f ca="1">OFFSET($C$48,0,COUNTA(DH$4:$DH7))</f>
        <v>117305.71404760118</v>
      </c>
      <c r="DO7" s="100">
        <f ca="1">OFFSET($C$51,0,COUNTA(DH$4:$DH7))</f>
        <v>8313096.5796456076</v>
      </c>
      <c r="DP7" s="100">
        <f ca="1">OFFSET($C$53,0,COUNTA(DH$4:$DH7))</f>
        <v>9383179.1505797394</v>
      </c>
      <c r="DS7" s="101">
        <f t="shared" si="94"/>
        <v>4</v>
      </c>
      <c r="DT7" s="99">
        <f ca="1">OFFSET($C$35,0,COUNTA(DS$4:$DS7))</f>
        <v>0</v>
      </c>
      <c r="DU7" s="99">
        <f ca="1">OFFSET($C$53,0,COUNTA(DS$4:$DS7))</f>
        <v>9383179.1505797394</v>
      </c>
      <c r="DV7" s="99">
        <f t="shared" ca="1" si="90"/>
        <v>9383179.1505797394</v>
      </c>
      <c r="DW7" s="99">
        <f ca="1">OFFSET($C$57,0,COUNTA(DS$4:$DS7))</f>
        <v>2345794.7876449348</v>
      </c>
      <c r="DX7" s="99">
        <f t="shared" ca="1" si="91"/>
        <v>11728973.938224673</v>
      </c>
      <c r="DY7" s="215"/>
    </row>
    <row r="8" spans="2:129" x14ac:dyDescent="0.3">
      <c r="B8">
        <v>5</v>
      </c>
      <c r="C8" s="202" t="s">
        <v>135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  <c r="BP8" s="174"/>
      <c r="BQ8" s="174"/>
      <c r="BR8" s="174"/>
      <c r="BS8" s="174"/>
      <c r="BT8" s="174"/>
      <c r="BU8" s="174"/>
      <c r="BV8" s="174"/>
      <c r="BW8" s="174"/>
      <c r="BX8" s="174"/>
      <c r="BY8" s="174"/>
      <c r="BZ8" s="174"/>
      <c r="CA8" s="174"/>
      <c r="CB8" s="174"/>
      <c r="CC8" s="174"/>
      <c r="CD8" s="174"/>
      <c r="CE8" s="174"/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4"/>
      <c r="CY8" s="174"/>
      <c r="DB8" s="101">
        <f t="shared" si="92"/>
        <v>5</v>
      </c>
      <c r="DC8" s="207">
        <f ca="1">OFFSET($C$14,0,COUNTA($DB$4:DB8))</f>
        <v>2408891.6038356572</v>
      </c>
      <c r="DD8" s="207">
        <f ca="1">OFFSET($C$30,0,COUNTA($DB$4:DB8))</f>
        <v>-26748689.275653657</v>
      </c>
      <c r="DE8" s="100">
        <f ca="1">OFFSET($C$59,0,COUNTA($DB$4:DB8))</f>
        <v>16036211.808470229</v>
      </c>
      <c r="DF8" s="1"/>
      <c r="DH8" s="101">
        <f t="shared" si="93"/>
        <v>5</v>
      </c>
      <c r="DI8" s="100">
        <f ca="1">OFFSET($C$39,0,COUNTA(DH$4:$DH8))</f>
        <v>3290692.9821776887</v>
      </c>
      <c r="DJ8" s="100">
        <f ca="1">OFFSET($C$43,0,COUNTA(DH$4:$DH8))</f>
        <v>10699475.710261464</v>
      </c>
      <c r="DK8" s="100">
        <f ca="1">OFFSET($C$45,0,COUNTA(DH$4:$DH8))</f>
        <v>179511.93066266589</v>
      </c>
      <c r="DL8" s="100">
        <f ca="1">OFFSET($C$46,0,COUNTA(DH$4:$DH8))</f>
        <v>202005.87771479622</v>
      </c>
      <c r="DM8" s="100">
        <f ca="1">OFFSET($C$47,0,COUNTA(DH$4:$DH8))</f>
        <v>110809.01377644025</v>
      </c>
      <c r="DN8" s="100">
        <f ca="1">OFFSET($C$48,0,COUNTA(DH$4:$DH8))</f>
        <v>167029.96225169441</v>
      </c>
      <c r="DO8" s="100">
        <f ca="1">OFFSET($C$51,0,COUNTA(DH$4:$DH8))</f>
        <v>11365919.835579801</v>
      </c>
      <c r="DP8" s="100">
        <f ca="1">OFFSET($C$53,0,COUNTA(DH$4:$DH8))</f>
        <v>12828969.446776183</v>
      </c>
      <c r="DS8" s="101">
        <f t="shared" si="94"/>
        <v>5</v>
      </c>
      <c r="DT8" s="99">
        <f ca="1">OFFSET($C$35,0,COUNTA(DS$4:$DS8))</f>
        <v>0</v>
      </c>
      <c r="DU8" s="99">
        <f ca="1">OFFSET($C$53,0,COUNTA(DS$4:$DS8))</f>
        <v>12828969.446776183</v>
      </c>
      <c r="DV8" s="99">
        <f t="shared" ca="1" si="90"/>
        <v>12828969.446776183</v>
      </c>
      <c r="DW8" s="99">
        <f ca="1">OFFSET($C$57,0,COUNTA(DS$4:$DS8))</f>
        <v>3207242.3616940458</v>
      </c>
      <c r="DX8" s="99">
        <f t="shared" ca="1" si="91"/>
        <v>16036211.808470229</v>
      </c>
      <c r="DY8" s="215"/>
    </row>
    <row r="9" spans="2:129" x14ac:dyDescent="0.3">
      <c r="B9">
        <v>6</v>
      </c>
      <c r="C9" s="202" t="s">
        <v>136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  <c r="AW9" s="174"/>
      <c r="AX9" s="174"/>
      <c r="AY9" s="174"/>
      <c r="AZ9" s="174"/>
      <c r="BA9" s="174"/>
      <c r="BB9" s="174"/>
      <c r="BC9" s="174"/>
      <c r="BD9" s="174"/>
      <c r="BE9" s="174"/>
      <c r="BF9" s="174"/>
      <c r="BG9" s="174"/>
      <c r="BH9" s="174"/>
      <c r="BI9" s="174"/>
      <c r="BJ9" s="174"/>
      <c r="BK9" s="174"/>
      <c r="BL9" s="174"/>
      <c r="BM9" s="174"/>
      <c r="BN9" s="174"/>
      <c r="BO9" s="174"/>
      <c r="BP9" s="174"/>
      <c r="BQ9" s="174"/>
      <c r="BR9" s="174"/>
      <c r="BS9" s="174"/>
      <c r="BT9" s="174"/>
      <c r="BU9" s="174"/>
      <c r="BV9" s="174"/>
      <c r="BW9" s="174"/>
      <c r="BX9" s="174"/>
      <c r="BY9" s="174"/>
      <c r="BZ9" s="174"/>
      <c r="CA9" s="174"/>
      <c r="CB9" s="174"/>
      <c r="CC9" s="174"/>
      <c r="CD9" s="174"/>
      <c r="CE9" s="174"/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4"/>
      <c r="CY9" s="174"/>
      <c r="DB9" s="101">
        <f t="shared" si="92"/>
        <v>6</v>
      </c>
      <c r="DC9" s="207">
        <f ca="1">OFFSET($C$14,0,COUNTA($DB$4:DB9))</f>
        <v>3038509.5914890305</v>
      </c>
      <c r="DD9" s="207">
        <f ca="1">OFFSET($C$30,0,COUNTA($DB$4:DB9))</f>
        <v>-33913847.217287086</v>
      </c>
      <c r="DE9" s="100">
        <f ca="1">OFFSET($C$59,0,COUNTA($DB$4:DB9))</f>
        <v>20197935.146215413</v>
      </c>
      <c r="DF9" s="1"/>
      <c r="DH9" s="101">
        <f t="shared" si="93"/>
        <v>6</v>
      </c>
      <c r="DI9" s="100">
        <f ca="1">OFFSET($C$39,0,COUNTA(DH$4:$DH9))</f>
        <v>3799562.8783147372</v>
      </c>
      <c r="DJ9" s="100">
        <f ca="1">OFFSET($C$43,0,COUNTA(DH$4:$DH9))</f>
        <v>13565538.886914834</v>
      </c>
      <c r="DK9" s="100">
        <f ca="1">OFFSET($C$45,0,COUNTA(DH$4:$DH9))</f>
        <v>261013.32179897872</v>
      </c>
      <c r="DL9" s="100">
        <f ca="1">OFFSET($C$46,0,COUNTA(DH$4:$DH9))</f>
        <v>254804.65621459484</v>
      </c>
      <c r="DM9" s="100">
        <f ca="1">OFFSET($C$47,0,COUNTA(DH$4:$DH9))</f>
        <v>139771.44120849541</v>
      </c>
      <c r="DN9" s="100">
        <f ca="1">OFFSET($C$48,0,COUNTA(DH$4:$DH9))</f>
        <v>221327.40930457399</v>
      </c>
      <c r="DO9" s="100">
        <f ca="1">OFFSET($C$51,0,COUNTA(DH$4:$DH9))</f>
        <v>14315607.355277492</v>
      </c>
      <c r="DP9" s="100">
        <f ca="1">OFFSET($C$53,0,COUNTA(DH$4:$DH9))</f>
        <v>16158348.116972329</v>
      </c>
      <c r="DS9" s="101">
        <f t="shared" si="94"/>
        <v>6</v>
      </c>
      <c r="DT9" s="99">
        <f ca="1">OFFSET($C$35,0,COUNTA(DS$4:$DS9))</f>
        <v>0</v>
      </c>
      <c r="DU9" s="99">
        <f ca="1">OFFSET($C$53,0,COUNTA(DS$4:$DS9))</f>
        <v>16158348.116972329</v>
      </c>
      <c r="DV9" s="99">
        <f t="shared" ca="1" si="90"/>
        <v>16158348.116972329</v>
      </c>
      <c r="DW9" s="99">
        <f ca="1">OFFSET($C$57,0,COUNTA(DS$4:$DS9))</f>
        <v>4039587.0292430823</v>
      </c>
      <c r="DX9" s="99">
        <f t="shared" ca="1" si="91"/>
        <v>20197935.146215413</v>
      </c>
      <c r="DY9" s="215"/>
    </row>
    <row r="10" spans="2:129" x14ac:dyDescent="0.3">
      <c r="B10">
        <v>7</v>
      </c>
      <c r="C10" s="202" t="s">
        <v>137</v>
      </c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4"/>
      <c r="CE10" s="174"/>
      <c r="CF10" s="174"/>
      <c r="CG10" s="174"/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4"/>
      <c r="CY10" s="174"/>
      <c r="DB10" s="101">
        <f t="shared" si="92"/>
        <v>7</v>
      </c>
      <c r="DC10" s="207">
        <f ca="1">OFFSET($C$14,0,COUNTA($DB$4:DB10))</f>
        <v>3887245.2637992459</v>
      </c>
      <c r="DD10" s="207">
        <f ca="1">OFFSET($C$30,0,COUNTA($DB$4:DB10))</f>
        <v>-40846070.509428628</v>
      </c>
      <c r="DE10" s="100">
        <f ca="1">OFFSET($C$59,0,COUNTA($DB$4:DB10))</f>
        <v>24227133.229596034</v>
      </c>
      <c r="DF10" s="1"/>
      <c r="DH10" s="101">
        <f t="shared" si="93"/>
        <v>7</v>
      </c>
      <c r="DI10" s="100">
        <f ca="1">OFFSET($C$39,0,COUNTA(DH$4:$DH10))</f>
        <v>4256844.6469965074</v>
      </c>
      <c r="DJ10" s="100">
        <f ca="1">OFFSET($C$43,0,COUNTA(DH$4:$DH10))</f>
        <v>16338428.203771451</v>
      </c>
      <c r="DK10" s="100">
        <f ca="1">OFFSET($C$45,0,COUNTA(DH$4:$DH10))</f>
        <v>352800.38167609496</v>
      </c>
      <c r="DL10" s="100">
        <f ca="1">OFFSET($C$46,0,COUNTA(DH$4:$DH10))</f>
        <v>325978.30062428309</v>
      </c>
      <c r="DM10" s="100">
        <f ca="1">OFFSET($C$47,0,COUNTA(DH$4:$DH10))</f>
        <v>178813.28213476532</v>
      </c>
      <c r="DN10" s="100">
        <f ca="1">OFFSET($C$48,0,COUNTA(DH$4:$DH10))</f>
        <v>277995.31944587809</v>
      </c>
      <c r="DO10" s="100">
        <f ca="1">OFFSET($C$51,0,COUNTA(DH$4:$DH10))</f>
        <v>17171365.495936807</v>
      </c>
      <c r="DP10" s="100">
        <f ca="1">OFFSET($C$53,0,COUNTA(DH$4:$DH10))</f>
        <v>19381706.583676826</v>
      </c>
      <c r="DS10" s="101">
        <f t="shared" si="94"/>
        <v>7</v>
      </c>
      <c r="DT10" s="99">
        <f ca="1">OFFSET($C$35,0,COUNTA(DS$4:$DS10))</f>
        <v>0</v>
      </c>
      <c r="DU10" s="99">
        <f ca="1">OFFSET($C$53,0,COUNTA(DS$4:$DS10))</f>
        <v>19381706.583676826</v>
      </c>
      <c r="DV10" s="99">
        <f t="shared" ca="1" si="90"/>
        <v>19381706.583676826</v>
      </c>
      <c r="DW10" s="99">
        <f ca="1">OFFSET($C$57,0,COUNTA(DS$4:$DS10))</f>
        <v>4845426.6459192066</v>
      </c>
      <c r="DX10" s="99">
        <f t="shared" ca="1" si="91"/>
        <v>24227133.229596034</v>
      </c>
      <c r="DY10" s="215"/>
    </row>
    <row r="11" spans="2:129" x14ac:dyDescent="0.3">
      <c r="B11">
        <v>8</v>
      </c>
      <c r="C11" s="202" t="s">
        <v>138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  <c r="BP11" s="174"/>
      <c r="BQ11" s="174"/>
      <c r="BR11" s="174"/>
      <c r="BS11" s="174"/>
      <c r="BT11" s="174"/>
      <c r="BU11" s="174"/>
      <c r="BV11" s="174"/>
      <c r="BW11" s="174"/>
      <c r="BX11" s="174"/>
      <c r="BY11" s="174"/>
      <c r="BZ11" s="174"/>
      <c r="CA11" s="174"/>
      <c r="CB11" s="174"/>
      <c r="CC11" s="174"/>
      <c r="CD11" s="174"/>
      <c r="CE11" s="174"/>
      <c r="CF11" s="174"/>
      <c r="CG11" s="174"/>
      <c r="CH11" s="174"/>
      <c r="CI11" s="174"/>
      <c r="CJ11" s="174"/>
      <c r="CK11" s="174"/>
      <c r="CL11" s="174"/>
      <c r="CM11" s="174"/>
      <c r="CN11" s="174"/>
      <c r="CO11" s="174"/>
      <c r="CP11" s="174"/>
      <c r="CQ11" s="174"/>
      <c r="CR11" s="174"/>
      <c r="CS11" s="174"/>
      <c r="CT11" s="174"/>
      <c r="CU11" s="174"/>
      <c r="CV11" s="174"/>
      <c r="CW11" s="174"/>
      <c r="CX11" s="174"/>
      <c r="CY11" s="174"/>
      <c r="DB11" s="101">
        <f t="shared" si="92"/>
        <v>8</v>
      </c>
      <c r="DC11" s="207">
        <f ca="1">OFFSET($C$14,0,COUNTA($DB$4:DB11))</f>
        <v>5217379.4741659621</v>
      </c>
      <c r="DD11" s="207">
        <f ca="1">OFFSET($C$30,0,COUNTA($DB$4:DB11))</f>
        <v>-47928899.385206163</v>
      </c>
      <c r="DE11" s="100">
        <f ca="1">OFFSET($C$59,0,COUNTA($DB$4:DB11))</f>
        <v>28350118.005923755</v>
      </c>
      <c r="DF11" s="1"/>
      <c r="DH11" s="101">
        <f t="shared" si="93"/>
        <v>8</v>
      </c>
      <c r="DI11" s="100">
        <f ca="1">OFFSET($C$39,0,COUNTA(DH$4:$DH11))</f>
        <v>4700751.8487585383</v>
      </c>
      <c r="DJ11" s="100">
        <f ca="1">OFFSET($C$43,0,COUNTA(DH$4:$DH11))</f>
        <v>19171559.754082467</v>
      </c>
      <c r="DK11" s="100">
        <f ca="1">OFFSET($C$45,0,COUNTA(DH$4:$DH11))</f>
        <v>450567.79796842637</v>
      </c>
      <c r="DL11" s="100">
        <f ca="1">OFFSET($C$46,0,COUNTA(DH$4:$DH11))</f>
        <v>437521.27259353455</v>
      </c>
      <c r="DM11" s="100">
        <f ca="1">OFFSET($C$47,0,COUNTA(DH$4:$DH11))</f>
        <v>239999.45581163431</v>
      </c>
      <c r="DN11" s="100">
        <f ca="1">OFFSET($C$48,0,COUNTA(DH$4:$DH11))</f>
        <v>340044.55775612296</v>
      </c>
      <c r="DO11" s="100">
        <f ca="1">OFFSET($C$51,0,COUNTA(DH$4:$DH11))</f>
        <v>20093596.444913477</v>
      </c>
      <c r="DP11" s="100">
        <f ca="1">OFFSET($C$53,0,COUNTA(DH$4:$DH11))</f>
        <v>22680094.404739004</v>
      </c>
      <c r="DS11" s="101">
        <f t="shared" si="94"/>
        <v>8</v>
      </c>
      <c r="DT11" s="99">
        <f ca="1">OFFSET($C$35,0,COUNTA(DS$4:$DS11))</f>
        <v>0</v>
      </c>
      <c r="DU11" s="99">
        <f ca="1">OFFSET($C$53,0,COUNTA(DS$4:$DS11))</f>
        <v>22680094.404739004</v>
      </c>
      <c r="DV11" s="99">
        <f t="shared" ca="1" si="90"/>
        <v>22680094.404739004</v>
      </c>
      <c r="DW11" s="99">
        <f ca="1">OFFSET($C$57,0,COUNTA(DS$4:$DS11))</f>
        <v>5670023.6011847509</v>
      </c>
      <c r="DX11" s="99">
        <f t="shared" ca="1" si="91"/>
        <v>28350118.005923755</v>
      </c>
      <c r="DY11" s="215"/>
    </row>
    <row r="12" spans="2:129" x14ac:dyDescent="0.3">
      <c r="B12">
        <v>9</v>
      </c>
      <c r="C12" s="202" t="s">
        <v>139</v>
      </c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  <c r="BP12" s="174"/>
      <c r="BQ12" s="174"/>
      <c r="BR12" s="174"/>
      <c r="BS12" s="174"/>
      <c r="BT12" s="174"/>
      <c r="BU12" s="174"/>
      <c r="BV12" s="174"/>
      <c r="BW12" s="174"/>
      <c r="BX12" s="174"/>
      <c r="BY12" s="174"/>
      <c r="BZ12" s="174"/>
      <c r="CA12" s="174"/>
      <c r="CB12" s="174"/>
      <c r="CC12" s="174"/>
      <c r="CD12" s="174"/>
      <c r="CE12" s="174"/>
      <c r="CF12" s="174"/>
      <c r="CG12" s="174"/>
      <c r="CH12" s="174"/>
      <c r="CI12" s="174"/>
      <c r="CJ12" s="174"/>
      <c r="CK12" s="174"/>
      <c r="CL12" s="174"/>
      <c r="CM12" s="174"/>
      <c r="CN12" s="174"/>
      <c r="CO12" s="174"/>
      <c r="CP12" s="174"/>
      <c r="CQ12" s="174"/>
      <c r="CR12" s="174"/>
      <c r="CS12" s="174"/>
      <c r="CT12" s="174"/>
      <c r="CU12" s="174"/>
      <c r="CV12" s="174"/>
      <c r="CW12" s="174"/>
      <c r="CX12" s="174"/>
      <c r="CY12" s="174"/>
      <c r="DB12" s="101">
        <f t="shared" si="92"/>
        <v>9</v>
      </c>
      <c r="DC12" s="207">
        <f ca="1">OFFSET($C$14,0,COUNTA($DB$4:DB12))</f>
        <v>7222559.3797191596</v>
      </c>
      <c r="DD12" s="207">
        <f ca="1">OFFSET($C$30,0,COUNTA($DB$4:DB12))</f>
        <v>-55815740.212925695</v>
      </c>
      <c r="DE12" s="100">
        <f ca="1">OFFSET($C$59,0,COUNTA($DB$4:DB12))</f>
        <v>32936052.174923565</v>
      </c>
      <c r="DF12" s="1"/>
      <c r="DH12" s="101">
        <f t="shared" si="93"/>
        <v>9</v>
      </c>
      <c r="DI12" s="100">
        <f ca="1">OFFSET($C$39,0,COUNTA(DH$4:$DH12))</f>
        <v>5149259.8456823779</v>
      </c>
      <c r="DJ12" s="100">
        <f ca="1">OFFSET($C$43,0,COUNTA(DH$4:$DH12))</f>
        <v>22326296.08517028</v>
      </c>
      <c r="DK12" s="100">
        <f ca="1">OFFSET($C$45,0,COUNTA(DH$4:$DH12))</f>
        <v>559235.81108680612</v>
      </c>
      <c r="DL12" s="100">
        <f ca="1">OFFSET($C$46,0,COUNTA(DH$4:$DH12))</f>
        <v>605672.51947918744</v>
      </c>
      <c r="DM12" s="100">
        <f ca="1">OFFSET($C$47,0,COUNTA(DH$4:$DH12))</f>
        <v>332237.73146708141</v>
      </c>
      <c r="DN12" s="100">
        <f ca="1">OFFSET($C$48,0,COUNTA(DH$4:$DH12))</f>
        <v>409923.72951558017</v>
      </c>
      <c r="DO12" s="100">
        <f ca="1">OFFSET($C$51,0,COUNTA(DH$4:$DH12))</f>
        <v>23343950.129352022</v>
      </c>
      <c r="DP12" s="100">
        <f ca="1">OFFSET($C$53,0,COUNTA(DH$4:$DH12))</f>
        <v>26348841.739938851</v>
      </c>
      <c r="DS12" s="101">
        <f t="shared" si="94"/>
        <v>9</v>
      </c>
      <c r="DT12" s="99">
        <f ca="1">OFFSET($C$35,0,COUNTA(DS$4:$DS12))</f>
        <v>0</v>
      </c>
      <c r="DU12" s="99">
        <f ca="1">OFFSET($C$53,0,COUNTA(DS$4:$DS12))</f>
        <v>26348841.739938851</v>
      </c>
      <c r="DV12" s="99">
        <f t="shared" ca="1" si="90"/>
        <v>26348841.739938851</v>
      </c>
      <c r="DW12" s="99">
        <f ca="1">OFFSET($C$57,0,COUNTA(DS$4:$DS12))</f>
        <v>6587210.4349847129</v>
      </c>
      <c r="DX12" s="99">
        <f t="shared" ca="1" si="91"/>
        <v>32936052.174923565</v>
      </c>
      <c r="DY12" s="215"/>
    </row>
    <row r="13" spans="2:129" x14ac:dyDescent="0.3">
      <c r="B13">
        <v>10</v>
      </c>
      <c r="C13" s="202" t="s">
        <v>140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  <c r="BP13" s="174"/>
      <c r="BQ13" s="174"/>
      <c r="BR13" s="174"/>
      <c r="BS13" s="174"/>
      <c r="BT13" s="174"/>
      <c r="BU13" s="174"/>
      <c r="BV13" s="174"/>
      <c r="BW13" s="174"/>
      <c r="BX13" s="174"/>
      <c r="BY13" s="174"/>
      <c r="BZ13" s="174"/>
      <c r="CA13" s="174"/>
      <c r="CB13" s="174"/>
      <c r="CC13" s="174"/>
      <c r="CD13" s="174"/>
      <c r="CE13" s="174"/>
      <c r="CF13" s="174"/>
      <c r="CG13" s="174"/>
      <c r="CH13" s="174"/>
      <c r="CI13" s="174"/>
      <c r="CJ13" s="174"/>
      <c r="CK13" s="174"/>
      <c r="CL13" s="174"/>
      <c r="CM13" s="174"/>
      <c r="CN13" s="174"/>
      <c r="CO13" s="174"/>
      <c r="CP13" s="174"/>
      <c r="CQ13" s="174"/>
      <c r="CR13" s="174"/>
      <c r="CS13" s="174"/>
      <c r="CT13" s="174"/>
      <c r="CU13" s="174"/>
      <c r="CV13" s="174"/>
      <c r="CW13" s="174"/>
      <c r="CX13" s="174"/>
      <c r="CY13" s="174"/>
      <c r="DB13" s="101">
        <f>DB12+1</f>
        <v>10</v>
      </c>
      <c r="DC13" s="207">
        <f ca="1">OFFSET($C$14,0,COUNTA($DB$4:DB13))</f>
        <v>10067886.773607913</v>
      </c>
      <c r="DD13" s="207">
        <f ca="1">OFFSET($C$30,0,COUNTA($DB$4:DB13))</f>
        <v>-64999981.916434199</v>
      </c>
      <c r="DE13" s="100">
        <f ca="1">OFFSET($C$59,0,COUNTA($DB$4:DB13))</f>
        <v>38270602.476094604</v>
      </c>
      <c r="DF13" s="1"/>
      <c r="DH13" s="101">
        <f>DH12+1</f>
        <v>10</v>
      </c>
      <c r="DI13" s="100">
        <f ca="1">OFFSET($C$39,0,COUNTA(DH$4:$DH13))</f>
        <v>5620965.9372872813</v>
      </c>
      <c r="DJ13" s="100">
        <f ca="1">OFFSET($C$43,0,COUNTA(DH$4:$DH13))</f>
        <v>25999992.766573682</v>
      </c>
      <c r="DK13" s="100">
        <f ca="1">OFFSET($C$45,0,COUNTA(DH$4:$DH13))</f>
        <v>682766.84324959072</v>
      </c>
      <c r="DL13" s="100">
        <f ca="1">OFFSET($C$46,0,COUNTA(DH$4:$DH13))</f>
        <v>844277.21911500569</v>
      </c>
      <c r="DM13" s="100">
        <f ca="1">OFFSET($C$47,0,COUNTA(DH$4:$DH13))</f>
        <v>463122.79158596409</v>
      </c>
      <c r="DN13" s="100">
        <f ca="1">OFFSET($C$48,0,COUNTA(DH$4:$DH13))</f>
        <v>490721.1619758223</v>
      </c>
      <c r="DO13" s="100">
        <f ca="1">OFFSET($C$51,0,COUNTA(DH$4:$DH13))</f>
        <v>27124897.388351973</v>
      </c>
      <c r="DP13" s="100">
        <f ca="1">OFFSET($C$53,0,COUNTA(DH$4:$DH13))</f>
        <v>30616481.980875686</v>
      </c>
      <c r="DS13" s="101">
        <f>DS12+1</f>
        <v>10</v>
      </c>
      <c r="DT13" s="99">
        <f ca="1">OFFSET($C$35,0,COUNTA(DS$4:$DS13))</f>
        <v>0</v>
      </c>
      <c r="DU13" s="99">
        <f ca="1">OFFSET($C$53,0,COUNTA(DS$4:$DS13))</f>
        <v>30616481.980875686</v>
      </c>
      <c r="DV13" s="99">
        <f t="shared" ca="1" si="90"/>
        <v>30616481.980875686</v>
      </c>
      <c r="DW13" s="99">
        <f ca="1">OFFSET($C$57,0,COUNTA(DS$4:$DS13))</f>
        <v>7654120.4952189215</v>
      </c>
      <c r="DX13" s="99">
        <f t="shared" ca="1" si="91"/>
        <v>38270602.476094604</v>
      </c>
      <c r="DY13" s="215"/>
    </row>
    <row r="14" spans="2:129" x14ac:dyDescent="0.3">
      <c r="C14" s="201" t="s">
        <v>184</v>
      </c>
      <c r="D14" s="203">
        <v>162759.92215422643</v>
      </c>
      <c r="E14" s="203">
        <v>737203.9191464897</v>
      </c>
      <c r="F14" s="203">
        <v>1220568.9299604103</v>
      </c>
      <c r="G14" s="203">
        <v>1704174.271673416</v>
      </c>
      <c r="H14" s="203">
        <v>2408891.6038356572</v>
      </c>
      <c r="I14" s="203">
        <v>3038509.5914890305</v>
      </c>
      <c r="J14" s="203">
        <v>3887245.2637992459</v>
      </c>
      <c r="K14" s="203">
        <v>5217379.4741659621</v>
      </c>
      <c r="L14" s="203">
        <v>7222559.3797191596</v>
      </c>
      <c r="M14" s="203">
        <v>10067886.773607913</v>
      </c>
      <c r="N14" s="203">
        <v>10906585.086766791</v>
      </c>
      <c r="O14" s="203">
        <v>13772597.973950077</v>
      </c>
      <c r="P14" s="203">
        <v>17754776.592625361</v>
      </c>
      <c r="Q14" s="203">
        <v>22349677.892392259</v>
      </c>
      <c r="R14" s="203">
        <v>28241015.155344311</v>
      </c>
      <c r="S14" s="203">
        <v>34551682.372625336</v>
      </c>
      <c r="T14" s="203">
        <v>40674342.191940732</v>
      </c>
      <c r="U14" s="203">
        <v>45958747.979446478</v>
      </c>
      <c r="V14" s="203">
        <v>49893396.072412759</v>
      </c>
      <c r="W14" s="203">
        <v>53868039.247087047</v>
      </c>
      <c r="X14" s="203">
        <v>56569023.299846262</v>
      </c>
      <c r="Y14" s="203">
        <v>58258216.809248619</v>
      </c>
      <c r="Z14" s="203">
        <v>59057080.500750691</v>
      </c>
      <c r="AA14" s="203">
        <v>58998636.808967851</v>
      </c>
      <c r="AB14" s="203">
        <v>59047770.141761847</v>
      </c>
      <c r="AC14" s="203">
        <v>58521530.735790387</v>
      </c>
      <c r="AD14" s="203">
        <v>57594226.820966199</v>
      </c>
      <c r="AE14" s="203">
        <v>56323139.540770985</v>
      </c>
      <c r="AF14" s="203">
        <v>54733764.954106152</v>
      </c>
      <c r="AG14" s="203">
        <v>53360999.160153024</v>
      </c>
      <c r="AH14" s="203">
        <v>51775167.776995592</v>
      </c>
      <c r="AI14" s="203">
        <v>50008159.557843819</v>
      </c>
      <c r="AJ14" s="203">
        <v>48054350.341774866</v>
      </c>
      <c r="AK14" s="203">
        <v>45904486.001413874</v>
      </c>
      <c r="AL14" s="203">
        <v>43816599.868151531</v>
      </c>
      <c r="AM14" s="203">
        <v>41647771.299021095</v>
      </c>
      <c r="AN14" s="203">
        <v>39369355.541476093</v>
      </c>
      <c r="AO14" s="203">
        <v>37005072.939723082</v>
      </c>
      <c r="AP14" s="203">
        <v>34564646.438553214</v>
      </c>
      <c r="AQ14" s="203">
        <v>32193447.475690633</v>
      </c>
      <c r="AR14" s="203">
        <v>29795103.121936098</v>
      </c>
      <c r="AS14" s="203">
        <v>27399411.082726616</v>
      </c>
      <c r="AT14" s="203">
        <v>25030469.494276557</v>
      </c>
      <c r="AU14" s="203">
        <v>22709138.514458485</v>
      </c>
      <c r="AV14" s="203">
        <v>20525204.607405487</v>
      </c>
      <c r="AW14" s="203">
        <v>18456504.90609153</v>
      </c>
      <c r="AX14" s="203">
        <v>16502833.194226461</v>
      </c>
      <c r="AY14" s="203">
        <v>14678538.664690038</v>
      </c>
      <c r="AZ14" s="203">
        <v>12988668.334946858</v>
      </c>
      <c r="BA14" s="203">
        <v>11463496.040268229</v>
      </c>
      <c r="BB14" s="203">
        <v>10074670.17427782</v>
      </c>
      <c r="BC14" s="203">
        <v>8812519.2815569881</v>
      </c>
      <c r="BD14" s="203">
        <v>7667859.223799305</v>
      </c>
      <c r="BE14" s="203">
        <v>6631837.5165659757</v>
      </c>
      <c r="BF14" s="203">
        <v>5709258.3795051426</v>
      </c>
      <c r="BG14" s="203">
        <v>4892421.4000971299</v>
      </c>
      <c r="BH14" s="203">
        <v>4162564.988573309</v>
      </c>
      <c r="BI14" s="203">
        <v>3514968.2690903777</v>
      </c>
      <c r="BJ14" s="203">
        <v>2943342.4200253612</v>
      </c>
      <c r="BK14" s="203">
        <v>2445949.087194501</v>
      </c>
      <c r="BL14" s="203">
        <v>2012985.8700840105</v>
      </c>
      <c r="BM14" s="203">
        <v>1637772.4173907198</v>
      </c>
      <c r="BN14" s="203">
        <v>1315771.7853750859</v>
      </c>
      <c r="BO14" s="203">
        <v>1042325.3219324556</v>
      </c>
      <c r="BP14" s="203">
        <v>814541.24835444393</v>
      </c>
      <c r="BQ14" s="203">
        <v>628123.6028351828</v>
      </c>
      <c r="BR14" s="203">
        <v>475998.82553630357</v>
      </c>
      <c r="BS14" s="203">
        <v>354407.21430631616</v>
      </c>
      <c r="BT14" s="203">
        <v>259284.04564626823</v>
      </c>
      <c r="BU14" s="203">
        <v>186895.32490663309</v>
      </c>
      <c r="BV14" s="203">
        <v>133905.89439013047</v>
      </c>
      <c r="BW14" s="203">
        <v>94711.481479330178</v>
      </c>
      <c r="BX14" s="203">
        <v>66047.782502760994</v>
      </c>
      <c r="BY14" s="203">
        <v>45281.386094043177</v>
      </c>
      <c r="BZ14" s="203">
        <v>30396.203540215589</v>
      </c>
      <c r="CA14" s="203">
        <v>21155.986603068148</v>
      </c>
      <c r="CB14" s="203">
        <v>14429.893803560617</v>
      </c>
      <c r="CC14" s="203">
        <v>9592.6424553206289</v>
      </c>
      <c r="CD14" s="203">
        <v>6154.6653652308933</v>
      </c>
      <c r="CE14" s="203">
        <v>3743.7013713612587</v>
      </c>
      <c r="CF14" s="203">
        <v>2336.2861316116068</v>
      </c>
      <c r="CG14" s="203">
        <v>1368.3526111219346</v>
      </c>
      <c r="CH14" s="203">
        <v>717.17470336124052</v>
      </c>
      <c r="CI14" s="203">
        <v>285.71634338217132</v>
      </c>
      <c r="CJ14" s="203">
        <v>9.6615081963693053E-9</v>
      </c>
      <c r="CK14" s="203">
        <v>0</v>
      </c>
      <c r="CL14" s="203">
        <v>0</v>
      </c>
      <c r="CM14" s="203">
        <v>0</v>
      </c>
      <c r="CN14" s="203">
        <v>0</v>
      </c>
      <c r="CO14" s="203">
        <v>0</v>
      </c>
      <c r="CP14" s="203">
        <v>0</v>
      </c>
      <c r="CQ14" s="203">
        <v>0</v>
      </c>
      <c r="CR14" s="203">
        <v>0</v>
      </c>
      <c r="CS14" s="203">
        <v>0</v>
      </c>
      <c r="CT14" s="203">
        <v>0</v>
      </c>
      <c r="CU14" s="203">
        <v>0</v>
      </c>
      <c r="CV14" s="203">
        <v>0</v>
      </c>
      <c r="CW14" s="203">
        <v>0</v>
      </c>
      <c r="CX14" s="203">
        <v>0</v>
      </c>
      <c r="CY14" s="203">
        <v>0</v>
      </c>
      <c r="DB14" s="101">
        <f t="shared" ref="DB14:DB77" si="95">DB13+1</f>
        <v>11</v>
      </c>
      <c r="DC14" s="207">
        <f ca="1">OFFSET($C$14,0,COUNTA($DB$4:DB14))</f>
        <v>10906585.086766791</v>
      </c>
      <c r="DD14" s="207">
        <f ca="1">OFFSET($C$30,0,COUNTA($DB$4:DB14))</f>
        <v>-51917002.196755178</v>
      </c>
      <c r="DE14" s="100">
        <f ca="1">OFFSET($C$59,0,COUNTA($DB$4:DB14))</f>
        <v>31176657.740517166</v>
      </c>
      <c r="DH14" s="101">
        <f t="shared" ref="DH14:DH56" si="96">DH13+1</f>
        <v>11</v>
      </c>
      <c r="DI14" s="100">
        <f ca="1">OFFSET($C$39,0,COUNTA(DH$4:$DH14))</f>
        <v>5804348.1044176631</v>
      </c>
      <c r="DJ14" s="100">
        <f ca="1">OFFSET($C$43,0,COUNTA(DH$4:$DH14))</f>
        <v>20766800.878702074</v>
      </c>
      <c r="DK14" s="100">
        <f ca="1">OFFSET($C$45,0,COUNTA(DH$4:$DH14))</f>
        <v>825597.38540653337</v>
      </c>
      <c r="DL14" s="100">
        <f ca="1">OFFSET($C$46,0,COUNTA(DH$4:$DH14))</f>
        <v>914609.14630417794</v>
      </c>
      <c r="DM14" s="100">
        <f ca="1">OFFSET($C$47,0,COUNTA(DH$4:$DH14))</f>
        <v>501702.91399127239</v>
      </c>
      <c r="DN14" s="100">
        <f ca="1">OFFSET($C$48,0,COUNTA(DH$4:$DH14))</f>
        <v>482623.61904759175</v>
      </c>
      <c r="DO14" s="100">
        <f ca="1">OFFSET($C$51,0,COUNTA(DH$4:$DH14))</f>
        <v>22096951.378059272</v>
      </c>
      <c r="DP14" s="100">
        <f ca="1">OFFSET($C$53,0,COUNTA(DH$4:$DH14))</f>
        <v>24941326.192413732</v>
      </c>
    </row>
    <row r="15" spans="2:129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DB15" s="101">
        <f t="shared" si="95"/>
        <v>12</v>
      </c>
      <c r="DC15" s="207">
        <f ca="1">OFFSET($C$14,0,COUNTA($DB$4:DB15))</f>
        <v>13772597.973950077</v>
      </c>
      <c r="DD15" s="207">
        <f ca="1">OFFSET($C$30,0,COUNTA($DB$4:DB15))</f>
        <v>-39926307.588792965</v>
      </c>
      <c r="DE15" s="100">
        <f ca="1">OFFSET($C$59,0,COUNTA($DB$4:DB15))</f>
        <v>24535962.401297234</v>
      </c>
      <c r="DH15" s="101">
        <f t="shared" si="96"/>
        <v>12</v>
      </c>
      <c r="DI15" s="100">
        <f ca="1">OFFSET($C$39,0,COUNTA(DH$4:$DH15))</f>
        <v>5402790.2592340391</v>
      </c>
      <c r="DJ15" s="100">
        <f ca="1">OFFSET($C$43,0,COUNTA(DH$4:$DH15))</f>
        <v>15970523.035517186</v>
      </c>
      <c r="DK15" s="100">
        <f ca="1">OFFSET($C$45,0,COUNTA(DH$4:$DH15))</f>
        <v>854312.63059022173</v>
      </c>
      <c r="DL15" s="100">
        <f ca="1">OFFSET($C$46,0,COUNTA(DH$4:$DH15))</f>
        <v>1154948.4990154074</v>
      </c>
      <c r="DM15" s="100">
        <f ca="1">OFFSET($C$47,0,COUNTA(DH$4:$DH15))</f>
        <v>633539.5068017036</v>
      </c>
      <c r="DN15" s="100">
        <f ca="1">OFFSET($C$48,0,COUNTA(DH$4:$DH15))</f>
        <v>436062.36979035963</v>
      </c>
      <c r="DO15" s="100">
        <f ca="1">OFFSET($C$51,0,COUNTA(DH$4:$DH15))</f>
        <v>17390253.076767482</v>
      </c>
      <c r="DP15" s="100">
        <f ca="1">OFFSET($C$53,0,COUNTA(DH$4:$DH15))</f>
        <v>19628769.921037786</v>
      </c>
    </row>
    <row r="16" spans="2:129" x14ac:dyDescent="0.3">
      <c r="DB16" s="101">
        <f t="shared" si="95"/>
        <v>13</v>
      </c>
      <c r="DC16" s="207">
        <f ca="1">OFFSET($C$14,0,COUNTA($DB$4:DB16))</f>
        <v>17754776.592625361</v>
      </c>
      <c r="DD16" s="207">
        <f ca="1">OFFSET($C$30,0,COUNTA($DB$4:DB16))</f>
        <v>-29908273.273005769</v>
      </c>
      <c r="DE16" s="100">
        <f ca="1">OFFSET($C$59,0,COUNTA($DB$4:DB16))</f>
        <v>19203468.673064049</v>
      </c>
      <c r="DH16" s="101">
        <f t="shared" si="96"/>
        <v>13</v>
      </c>
      <c r="DI16" s="100">
        <f ca="1">OFFSET($C$39,0,COUNTA(DH$4:$DH16))</f>
        <v>5156685.4514101632</v>
      </c>
      <c r="DJ16" s="100">
        <f ca="1">OFFSET($C$43,0,COUNTA(DH$4:$DH16))</f>
        <v>11963309.309202308</v>
      </c>
      <c r="DK16" s="100">
        <f ca="1">OFFSET($C$45,0,COUNTA(DH$4:$DH16))</f>
        <v>807680.08558622713</v>
      </c>
      <c r="DL16" s="100">
        <f ca="1">OFFSET($C$46,0,COUNTA(DH$4:$DH16))</f>
        <v>1488887.7621195333</v>
      </c>
      <c r="DM16" s="100">
        <f ca="1">OFFSET($C$47,0,COUNTA(DH$4:$DH16))</f>
        <v>816719.72326076671</v>
      </c>
      <c r="DN16" s="100">
        <f ca="1">OFFSET($C$48,0,COUNTA(DH$4:$DH16))</f>
        <v>402268.32144545717</v>
      </c>
      <c r="DO16" s="100">
        <f ca="1">OFFSET($C$51,0,COUNTA(DH$4:$DH16))</f>
        <v>13610763.446503477</v>
      </c>
      <c r="DP16" s="100">
        <f ca="1">OFFSET($C$53,0,COUNTA(DH$4:$DH16))</f>
        <v>15362774.93845124</v>
      </c>
    </row>
    <row r="17" spans="2:120" x14ac:dyDescent="0.3">
      <c r="DB17" s="101">
        <f t="shared" si="95"/>
        <v>14</v>
      </c>
      <c r="DC17" s="207">
        <f ca="1">OFFSET($C$14,0,COUNTA($DB$4:DB17))</f>
        <v>22349677.892392259</v>
      </c>
      <c r="DD17" s="207">
        <f ca="1">OFFSET($C$30,0,COUNTA($DB$4:DB17))</f>
        <v>-22335489.422241885</v>
      </c>
      <c r="DE17" s="100">
        <f ca="1">OFFSET($C$59,0,COUNTA($DB$4:DB17))</f>
        <v>15407831.619076014</v>
      </c>
      <c r="DH17" s="101">
        <f t="shared" si="96"/>
        <v>14</v>
      </c>
      <c r="DI17" s="100">
        <f ca="1">OFFSET($C$39,0,COUNTA(DH$4:$DH17))</f>
        <v>4937749.7184161041</v>
      </c>
      <c r="DJ17" s="100">
        <f ca="1">OFFSET($C$43,0,COUNTA(DH$4:$DH17))</f>
        <v>8934195.7688967548</v>
      </c>
      <c r="DK17" s="100">
        <f ca="1">OFFSET($C$45,0,COUNTA(DH$4:$DH17))</f>
        <v>772591.21159404586</v>
      </c>
      <c r="DL17" s="100">
        <f ca="1">OFFSET($C$46,0,COUNTA(DH$4:$DH17))</f>
        <v>1874208.9897722472</v>
      </c>
      <c r="DM17" s="100">
        <f ca="1">OFFSET($C$47,0,COUNTA(DH$4:$DH17))</f>
        <v>1028085.1830500439</v>
      </c>
      <c r="DN17" s="100">
        <f ca="1">OFFSET($C$48,0,COUNTA(DH$4:$DH17))</f>
        <v>370920.35585544264</v>
      </c>
      <c r="DO17" s="100">
        <f ca="1">OFFSET($C$51,0,COUNTA(DH$4:$DH17))</f>
        <v>10920545.395267865</v>
      </c>
      <c r="DP17" s="100">
        <f ca="1">OFFSET($C$53,0,COUNTA(DH$4:$DH17))</f>
        <v>12326265.295260811</v>
      </c>
    </row>
    <row r="18" spans="2:120" x14ac:dyDescent="0.3">
      <c r="C18" s="270" t="s">
        <v>171</v>
      </c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3"/>
      <c r="BS18" s="263"/>
      <c r="BT18" s="263"/>
      <c r="BU18" s="263"/>
      <c r="BV18" s="263"/>
      <c r="BW18" s="263"/>
      <c r="BX18" s="263"/>
      <c r="BY18" s="263"/>
      <c r="BZ18" s="263"/>
      <c r="CA18" s="263"/>
      <c r="CB18" s="263"/>
      <c r="CC18" s="263"/>
      <c r="CD18" s="263"/>
      <c r="CE18" s="263"/>
      <c r="CF18" s="263"/>
      <c r="CG18" s="263"/>
      <c r="CH18" s="263"/>
      <c r="CI18" s="263"/>
      <c r="CJ18" s="263"/>
      <c r="CK18" s="263"/>
      <c r="CL18" s="263"/>
      <c r="CM18" s="263"/>
      <c r="CN18" s="263"/>
      <c r="CO18" s="263"/>
      <c r="CP18" s="263"/>
      <c r="CQ18" s="263"/>
      <c r="CR18" s="263"/>
      <c r="CS18" s="263"/>
      <c r="CT18" s="263"/>
      <c r="CU18" s="263"/>
      <c r="CV18" s="263"/>
      <c r="CW18" s="263"/>
      <c r="CX18" s="263"/>
      <c r="CY18" s="263"/>
      <c r="DB18" s="101">
        <f t="shared" si="95"/>
        <v>15</v>
      </c>
      <c r="DC18" s="207">
        <f ca="1">OFFSET($C$14,0,COUNTA($DB$4:DB18))</f>
        <v>28241015.155344311</v>
      </c>
      <c r="DD18" s="207">
        <f ca="1">OFFSET($C$30,0,COUNTA($DB$4:DB18))</f>
        <v>-15453158.632402562</v>
      </c>
      <c r="DE18" s="100">
        <f ca="1">OFFSET($C$59,0,COUNTA($DB$4:DB18))</f>
        <v>12422926.994764684</v>
      </c>
      <c r="DH18" s="101">
        <f t="shared" si="96"/>
        <v>15</v>
      </c>
      <c r="DI18" s="100">
        <f ca="1">OFFSET($C$39,0,COUNTA(DH$4:$DH18))</f>
        <v>4745041.5397027042</v>
      </c>
      <c r="DJ18" s="100">
        <f ca="1">OFFSET($C$43,0,COUNTA(DH$4:$DH18))</f>
        <v>6181263.4529610248</v>
      </c>
      <c r="DK18" s="100">
        <f ca="1">OFFSET($C$45,0,COUNTA(DH$4:$DH18))</f>
        <v>735570.10823393543</v>
      </c>
      <c r="DL18" s="100">
        <f ca="1">OFFSET($C$46,0,COUNTA(DH$4:$DH18))</f>
        <v>2368247.3071550438</v>
      </c>
      <c r="DM18" s="100">
        <f ca="1">OFFSET($C$47,0,COUNTA(DH$4:$DH18))</f>
        <v>1299086.6971458383</v>
      </c>
      <c r="DN18" s="100">
        <f ca="1">OFFSET($C$48,0,COUNTA(DH$4:$DH18))</f>
        <v>341065.88915289793</v>
      </c>
      <c r="DO18" s="100">
        <f ca="1">OFFSET($C$51,0,COUNTA(DH$4:$DH18))</f>
        <v>8804946.8310948461</v>
      </c>
      <c r="DP18" s="100">
        <f ca="1">OFFSET($C$53,0,COUNTA(DH$4:$DH18))</f>
        <v>9938341.595811747</v>
      </c>
    </row>
    <row r="19" spans="2:120" x14ac:dyDescent="0.3">
      <c r="C19" s="201" t="s">
        <v>49</v>
      </c>
      <c r="D19" s="200">
        <v>1</v>
      </c>
      <c r="E19" s="200">
        <f>D19+1</f>
        <v>2</v>
      </c>
      <c r="F19" s="200">
        <f t="shared" ref="F19:M19" si="97">E19+1</f>
        <v>3</v>
      </c>
      <c r="G19" s="200">
        <f t="shared" si="97"/>
        <v>4</v>
      </c>
      <c r="H19" s="200">
        <f t="shared" si="97"/>
        <v>5</v>
      </c>
      <c r="I19" s="200">
        <f t="shared" si="97"/>
        <v>6</v>
      </c>
      <c r="J19" s="200">
        <f t="shared" si="97"/>
        <v>7</v>
      </c>
      <c r="K19" s="200">
        <f t="shared" si="97"/>
        <v>8</v>
      </c>
      <c r="L19" s="200">
        <f t="shared" si="97"/>
        <v>9</v>
      </c>
      <c r="M19" s="200">
        <f t="shared" si="97"/>
        <v>10</v>
      </c>
      <c r="N19" s="200">
        <f t="shared" ref="N19" si="98">M19+1</f>
        <v>11</v>
      </c>
      <c r="O19" s="200">
        <f t="shared" ref="O19" si="99">N19+1</f>
        <v>12</v>
      </c>
      <c r="P19" s="200">
        <f t="shared" ref="P19" si="100">O19+1</f>
        <v>13</v>
      </c>
      <c r="Q19" s="200">
        <f t="shared" ref="Q19" si="101">P19+1</f>
        <v>14</v>
      </c>
      <c r="R19" s="200">
        <f t="shared" ref="R19" si="102">Q19+1</f>
        <v>15</v>
      </c>
      <c r="S19" s="200">
        <f t="shared" ref="S19" si="103">R19+1</f>
        <v>16</v>
      </c>
      <c r="T19" s="200">
        <f t="shared" ref="T19" si="104">S19+1</f>
        <v>17</v>
      </c>
      <c r="U19" s="200">
        <f t="shared" ref="U19" si="105">T19+1</f>
        <v>18</v>
      </c>
      <c r="V19" s="200">
        <f t="shared" ref="V19" si="106">U19+1</f>
        <v>19</v>
      </c>
      <c r="W19" s="200">
        <f t="shared" ref="W19" si="107">V19+1</f>
        <v>20</v>
      </c>
      <c r="X19" s="200">
        <f t="shared" ref="X19" si="108">W19+1</f>
        <v>21</v>
      </c>
      <c r="Y19" s="200">
        <f t="shared" ref="Y19" si="109">X19+1</f>
        <v>22</v>
      </c>
      <c r="Z19" s="200">
        <f t="shared" ref="Z19" si="110">Y19+1</f>
        <v>23</v>
      </c>
      <c r="AA19" s="200">
        <f t="shared" ref="AA19" si="111">Z19+1</f>
        <v>24</v>
      </c>
      <c r="AB19" s="200">
        <f t="shared" ref="AB19" si="112">AA19+1</f>
        <v>25</v>
      </c>
      <c r="AC19" s="200">
        <f t="shared" ref="AC19" si="113">AB19+1</f>
        <v>26</v>
      </c>
      <c r="AD19" s="200">
        <f t="shared" ref="AD19" si="114">AC19+1</f>
        <v>27</v>
      </c>
      <c r="AE19" s="200">
        <f t="shared" ref="AE19" si="115">AD19+1</f>
        <v>28</v>
      </c>
      <c r="AF19" s="200">
        <f t="shared" ref="AF19" si="116">AE19+1</f>
        <v>29</v>
      </c>
      <c r="AG19" s="200">
        <f t="shared" ref="AG19" si="117">AF19+1</f>
        <v>30</v>
      </c>
      <c r="AH19" s="200">
        <f t="shared" ref="AH19" si="118">AG19+1</f>
        <v>31</v>
      </c>
      <c r="AI19" s="200">
        <f t="shared" ref="AI19" si="119">AH19+1</f>
        <v>32</v>
      </c>
      <c r="AJ19" s="200">
        <f t="shared" ref="AJ19" si="120">AI19+1</f>
        <v>33</v>
      </c>
      <c r="AK19" s="200">
        <f t="shared" ref="AK19" si="121">AJ19+1</f>
        <v>34</v>
      </c>
      <c r="AL19" s="200">
        <f t="shared" ref="AL19" si="122">AK19+1</f>
        <v>35</v>
      </c>
      <c r="AM19" s="200">
        <f t="shared" ref="AM19" si="123">AL19+1</f>
        <v>36</v>
      </c>
      <c r="AN19" s="200">
        <f t="shared" ref="AN19" si="124">AM19+1</f>
        <v>37</v>
      </c>
      <c r="AO19" s="200">
        <f t="shared" ref="AO19" si="125">AN19+1</f>
        <v>38</v>
      </c>
      <c r="AP19" s="200">
        <f t="shared" ref="AP19" si="126">AO19+1</f>
        <v>39</v>
      </c>
      <c r="AQ19" s="200">
        <f t="shared" ref="AQ19" si="127">AP19+1</f>
        <v>40</v>
      </c>
      <c r="AR19" s="200">
        <f t="shared" ref="AR19" si="128">AQ19+1</f>
        <v>41</v>
      </c>
      <c r="AS19" s="200">
        <f t="shared" ref="AS19" si="129">AR19+1</f>
        <v>42</v>
      </c>
      <c r="AT19" s="200">
        <f t="shared" ref="AT19" si="130">AS19+1</f>
        <v>43</v>
      </c>
      <c r="AU19" s="200">
        <f t="shared" ref="AU19" si="131">AT19+1</f>
        <v>44</v>
      </c>
      <c r="AV19" s="200">
        <f t="shared" ref="AV19" si="132">AU19+1</f>
        <v>45</v>
      </c>
      <c r="AW19" s="200">
        <f t="shared" ref="AW19" si="133">AV19+1</f>
        <v>46</v>
      </c>
      <c r="AX19" s="200">
        <f t="shared" ref="AX19" si="134">AW19+1</f>
        <v>47</v>
      </c>
      <c r="AY19" s="200">
        <f t="shared" ref="AY19" si="135">AX19+1</f>
        <v>48</v>
      </c>
      <c r="AZ19" s="200">
        <f t="shared" ref="AZ19" si="136">AY19+1</f>
        <v>49</v>
      </c>
      <c r="BA19" s="200">
        <f t="shared" ref="BA19" si="137">AZ19+1</f>
        <v>50</v>
      </c>
      <c r="BB19" s="200">
        <f t="shared" ref="BB19" si="138">BA19+1</f>
        <v>51</v>
      </c>
      <c r="BC19" s="200">
        <f t="shared" ref="BC19" si="139">BB19+1</f>
        <v>52</v>
      </c>
      <c r="BD19" s="200">
        <f t="shared" ref="BD19" si="140">BC19+1</f>
        <v>53</v>
      </c>
      <c r="BE19" s="200">
        <f t="shared" ref="BE19" si="141">BD19+1</f>
        <v>54</v>
      </c>
      <c r="BF19" s="200">
        <f t="shared" ref="BF19" si="142">BE19+1</f>
        <v>55</v>
      </c>
      <c r="BG19" s="200">
        <f t="shared" ref="BG19" si="143">BF19+1</f>
        <v>56</v>
      </c>
      <c r="BH19" s="200">
        <f t="shared" ref="BH19" si="144">BG19+1</f>
        <v>57</v>
      </c>
      <c r="BI19" s="200">
        <f t="shared" ref="BI19" si="145">BH19+1</f>
        <v>58</v>
      </c>
      <c r="BJ19" s="200">
        <f t="shared" ref="BJ19" si="146">BI19+1</f>
        <v>59</v>
      </c>
      <c r="BK19" s="200">
        <f t="shared" ref="BK19" si="147">BJ19+1</f>
        <v>60</v>
      </c>
      <c r="BL19" s="200">
        <f t="shared" ref="BL19" si="148">BK19+1</f>
        <v>61</v>
      </c>
      <c r="BM19" s="200">
        <f t="shared" ref="BM19" si="149">BL19+1</f>
        <v>62</v>
      </c>
      <c r="BN19" s="200">
        <f t="shared" ref="BN19" si="150">BM19+1</f>
        <v>63</v>
      </c>
      <c r="BO19" s="200">
        <f t="shared" ref="BO19" si="151">BN19+1</f>
        <v>64</v>
      </c>
      <c r="BP19" s="200">
        <f t="shared" ref="BP19" si="152">BO19+1</f>
        <v>65</v>
      </c>
      <c r="BQ19" s="200">
        <f t="shared" ref="BQ19" si="153">BP19+1</f>
        <v>66</v>
      </c>
      <c r="BR19" s="200">
        <f t="shared" ref="BR19" si="154">BQ19+1</f>
        <v>67</v>
      </c>
      <c r="BS19" s="200">
        <f t="shared" ref="BS19" si="155">BR19+1</f>
        <v>68</v>
      </c>
      <c r="BT19" s="200">
        <f t="shared" ref="BT19" si="156">BS19+1</f>
        <v>69</v>
      </c>
      <c r="BU19" s="200">
        <f t="shared" ref="BU19" si="157">BT19+1</f>
        <v>70</v>
      </c>
      <c r="BV19" s="200">
        <f t="shared" ref="BV19" si="158">BU19+1</f>
        <v>71</v>
      </c>
      <c r="BW19" s="200">
        <f t="shared" ref="BW19" si="159">BV19+1</f>
        <v>72</v>
      </c>
      <c r="BX19" s="200">
        <f t="shared" ref="BX19" si="160">BW19+1</f>
        <v>73</v>
      </c>
      <c r="BY19" s="200">
        <f t="shared" ref="BY19" si="161">BX19+1</f>
        <v>74</v>
      </c>
      <c r="BZ19" s="200">
        <f t="shared" ref="BZ19" si="162">BY19+1</f>
        <v>75</v>
      </c>
      <c r="CA19" s="200">
        <f t="shared" ref="CA19" si="163">BZ19+1</f>
        <v>76</v>
      </c>
      <c r="CB19" s="200">
        <f t="shared" ref="CB19" si="164">CA19+1</f>
        <v>77</v>
      </c>
      <c r="CC19" s="200">
        <f t="shared" ref="CC19" si="165">CB19+1</f>
        <v>78</v>
      </c>
      <c r="CD19" s="200">
        <f t="shared" ref="CD19" si="166">CC19+1</f>
        <v>79</v>
      </c>
      <c r="CE19" s="200">
        <f t="shared" ref="CE19" si="167">CD19+1</f>
        <v>80</v>
      </c>
      <c r="CF19" s="200">
        <f t="shared" ref="CF19" si="168">CE19+1</f>
        <v>81</v>
      </c>
      <c r="CG19" s="200">
        <f t="shared" ref="CG19" si="169">CF19+1</f>
        <v>82</v>
      </c>
      <c r="CH19" s="200">
        <f t="shared" ref="CH19" si="170">CG19+1</f>
        <v>83</v>
      </c>
      <c r="CI19" s="200">
        <f t="shared" ref="CI19" si="171">CH19+1</f>
        <v>84</v>
      </c>
      <c r="CJ19" s="200">
        <f t="shared" ref="CJ19" si="172">CI19+1</f>
        <v>85</v>
      </c>
      <c r="CK19" s="200">
        <f t="shared" ref="CK19" si="173">CJ19+1</f>
        <v>86</v>
      </c>
      <c r="CL19" s="200">
        <f t="shared" ref="CL19" si="174">CK19+1</f>
        <v>87</v>
      </c>
      <c r="CM19" s="200">
        <f t="shared" ref="CM19" si="175">CL19+1</f>
        <v>88</v>
      </c>
      <c r="CN19" s="200">
        <f t="shared" ref="CN19" si="176">CM19+1</f>
        <v>89</v>
      </c>
      <c r="CO19" s="200">
        <f t="shared" ref="CO19" si="177">CN19+1</f>
        <v>90</v>
      </c>
      <c r="CP19" s="200">
        <f t="shared" ref="CP19" si="178">CO19+1</f>
        <v>91</v>
      </c>
      <c r="CQ19" s="200">
        <f t="shared" ref="CQ19" si="179">CP19+1</f>
        <v>92</v>
      </c>
      <c r="CR19" s="200">
        <f t="shared" ref="CR19" si="180">CQ19+1</f>
        <v>93</v>
      </c>
      <c r="CS19" s="200">
        <f t="shared" ref="CS19" si="181">CR19+1</f>
        <v>94</v>
      </c>
      <c r="CT19" s="200">
        <f t="shared" ref="CT19" si="182">CS19+1</f>
        <v>95</v>
      </c>
      <c r="CU19" s="200">
        <f t="shared" ref="CU19" si="183">CT19+1</f>
        <v>96</v>
      </c>
      <c r="CV19" s="200">
        <f t="shared" ref="CV19" si="184">CU19+1</f>
        <v>97</v>
      </c>
      <c r="CW19" s="200">
        <f t="shared" ref="CW19" si="185">CV19+1</f>
        <v>98</v>
      </c>
      <c r="CX19" s="200">
        <f t="shared" ref="CX19" si="186">CW19+1</f>
        <v>99</v>
      </c>
      <c r="CY19" s="200">
        <f t="shared" ref="CY19" si="187">CX19+1</f>
        <v>100</v>
      </c>
      <c r="DB19" s="101">
        <f t="shared" si="95"/>
        <v>16</v>
      </c>
      <c r="DC19" s="207">
        <f ca="1">OFFSET($C$14,0,COUNTA($DB$4:DB19))</f>
        <v>34551682.372625336</v>
      </c>
      <c r="DD19" s="207">
        <f ca="1">OFFSET($C$30,0,COUNTA($DB$4:DB19))</f>
        <v>-10695706.087293047</v>
      </c>
      <c r="DE19" s="100">
        <f ca="1">OFFSET($C$59,0,COUNTA($DB$4:DB19))</f>
        <v>10896713.146635314</v>
      </c>
      <c r="DH19" s="101">
        <f t="shared" si="96"/>
        <v>16</v>
      </c>
      <c r="DI19" s="100">
        <f ca="1">OFFSET($C$39,0,COUNTA(DH$4:$DH19))</f>
        <v>4534661.5883688629</v>
      </c>
      <c r="DJ19" s="100">
        <f ca="1">OFFSET($C$43,0,COUNTA(DH$4:$DH19))</f>
        <v>4278282.434917219</v>
      </c>
      <c r="DK19" s="100">
        <f ca="1">OFFSET($C$45,0,COUNTA(DH$4:$DH19))</f>
        <v>694939.71098487754</v>
      </c>
      <c r="DL19" s="100">
        <f ca="1">OFFSET($C$46,0,COUNTA(DH$4:$DH19))</f>
        <v>2897449.9778617728</v>
      </c>
      <c r="DM19" s="100">
        <f ca="1">OFFSET($C$47,0,COUNTA(DH$4:$DH19))</f>
        <v>1589377.3891407656</v>
      </c>
      <c r="DN19" s="100">
        <f ca="1">OFFSET($C$48,0,COUNTA(DH$4:$DH19))</f>
        <v>315366.21349140326</v>
      </c>
      <c r="DO19" s="100">
        <f ca="1">OFFSET($C$51,0,COUNTA(DH$4:$DH19))</f>
        <v>7723218.524124762</v>
      </c>
      <c r="DP19" s="100">
        <f ca="1">OFFSET($C$53,0,COUNTA(DH$4:$DH19))</f>
        <v>8717370.5173082519</v>
      </c>
    </row>
    <row r="20" spans="2:120" x14ac:dyDescent="0.3">
      <c r="B20">
        <v>1</v>
      </c>
      <c r="C20" s="202" t="s">
        <v>131</v>
      </c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  <c r="BP20" s="174"/>
      <c r="BQ20" s="174"/>
      <c r="BR20" s="174"/>
      <c r="BS20" s="174"/>
      <c r="BT20" s="174"/>
      <c r="BU20" s="174"/>
      <c r="BV20" s="174"/>
      <c r="BW20" s="174"/>
      <c r="BX20" s="174"/>
      <c r="BY20" s="174"/>
      <c r="BZ20" s="174"/>
      <c r="CA20" s="174"/>
      <c r="CB20" s="174"/>
      <c r="CC20" s="174"/>
      <c r="CD20" s="174"/>
      <c r="CE20" s="174"/>
      <c r="CF20" s="174"/>
      <c r="CG20" s="174"/>
      <c r="CH20" s="174"/>
      <c r="CI20" s="174"/>
      <c r="CJ20" s="174"/>
      <c r="CK20" s="174"/>
      <c r="CL20" s="174"/>
      <c r="CM20" s="174"/>
      <c r="CN20" s="174"/>
      <c r="CO20" s="174"/>
      <c r="CP20" s="174"/>
      <c r="CQ20" s="174"/>
      <c r="CR20" s="174"/>
      <c r="CS20" s="174"/>
      <c r="CT20" s="174"/>
      <c r="CU20" s="174"/>
      <c r="CV20" s="174"/>
      <c r="CW20" s="174"/>
      <c r="CX20" s="174"/>
      <c r="CY20" s="174"/>
      <c r="DB20" s="101">
        <f t="shared" si="95"/>
        <v>17</v>
      </c>
      <c r="DC20" s="207">
        <f ca="1">OFFSET($C$14,0,COUNTA($DB$4:DB20))</f>
        <v>40674342.191940732</v>
      </c>
      <c r="DD20" s="207">
        <f ca="1">OFFSET($C$30,0,COUNTA($DB$4:DB20))</f>
        <v>-7558192.7900006315</v>
      </c>
      <c r="DE20" s="100">
        <f ca="1">OFFSET($C$59,0,COUNTA($DB$4:DB20))</f>
        <v>10378585.357793372</v>
      </c>
      <c r="DH20" s="101">
        <f t="shared" si="96"/>
        <v>17</v>
      </c>
      <c r="DI20" s="100">
        <f ca="1">OFFSET($C$39,0,COUNTA(DH$4:$DH20))</f>
        <v>4337523.9056986272</v>
      </c>
      <c r="DJ20" s="100">
        <f ca="1">OFFSET($C$43,0,COUNTA(DH$4:$DH20))</f>
        <v>3023277.1160002528</v>
      </c>
      <c r="DK20" s="100">
        <f ca="1">OFFSET($C$45,0,COUNTA(DH$4:$DH20))</f>
        <v>664819.36326142482</v>
      </c>
      <c r="DL20" s="100">
        <f ca="1">OFFSET($C$46,0,COUNTA(DH$4:$DH20))</f>
        <v>3410886.6425836533</v>
      </c>
      <c r="DM20" s="100">
        <f ca="1">OFFSET($C$47,0,COUNTA(DH$4:$DH20))</f>
        <v>1871019.7408292738</v>
      </c>
      <c r="DN20" s="100">
        <f ca="1">OFFSET($C$48,0,COUNTA(DH$4:$DH20))</f>
        <v>291073.79632975615</v>
      </c>
      <c r="DO20" s="100">
        <f ca="1">OFFSET($C$51,0,COUNTA(DH$4:$DH20))</f>
        <v>7355987.2239337023</v>
      </c>
      <c r="DP20" s="100">
        <f ca="1">OFFSET($C$53,0,COUNTA(DH$4:$DH20))</f>
        <v>8302868.2862346973</v>
      </c>
    </row>
    <row r="21" spans="2:120" x14ac:dyDescent="0.3">
      <c r="B21">
        <v>2</v>
      </c>
      <c r="C21" s="202" t="s">
        <v>132</v>
      </c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74"/>
      <c r="BN21" s="174"/>
      <c r="BO21" s="174"/>
      <c r="BP21" s="174"/>
      <c r="BQ21" s="174"/>
      <c r="BR21" s="174"/>
      <c r="BS21" s="174"/>
      <c r="BT21" s="174"/>
      <c r="BU21" s="174"/>
      <c r="BV21" s="174"/>
      <c r="BW21" s="174"/>
      <c r="BX21" s="174"/>
      <c r="BY21" s="174"/>
      <c r="BZ21" s="174"/>
      <c r="CA21" s="174"/>
      <c r="CB21" s="174"/>
      <c r="CC21" s="174"/>
      <c r="CD21" s="174"/>
      <c r="CE21" s="174"/>
      <c r="CF21" s="174"/>
      <c r="CG21" s="174"/>
      <c r="CH21" s="174"/>
      <c r="CI21" s="174"/>
      <c r="CJ21" s="174"/>
      <c r="CK21" s="174"/>
      <c r="CL21" s="174"/>
      <c r="CM21" s="174"/>
      <c r="CN21" s="174"/>
      <c r="CO21" s="174"/>
      <c r="CP21" s="174"/>
      <c r="CQ21" s="174"/>
      <c r="CR21" s="174"/>
      <c r="CS21" s="174"/>
      <c r="CT21" s="174"/>
      <c r="CU21" s="174"/>
      <c r="CV21" s="174"/>
      <c r="CW21" s="174"/>
      <c r="CX21" s="174"/>
      <c r="CY21" s="174"/>
      <c r="DB21" s="101">
        <f t="shared" si="95"/>
        <v>18</v>
      </c>
      <c r="DC21" s="207">
        <f ca="1">OFFSET($C$14,0,COUNTA($DB$4:DB21))</f>
        <v>45958747.979446478</v>
      </c>
      <c r="DD21" s="207">
        <f ca="1">OFFSET($C$30,0,COUNTA($DB$4:DB21))</f>
        <v>-5294973.2321588071</v>
      </c>
      <c r="DE21" s="100">
        <f ca="1">OFFSET($C$59,0,COUNTA($DB$4:DB21))</f>
        <v>10313968.774553899</v>
      </c>
      <c r="DH21" s="101">
        <f t="shared" si="96"/>
        <v>18</v>
      </c>
      <c r="DI21" s="100">
        <f ca="1">OFFSET($C$39,0,COUNTA(DH$4:$DH21))</f>
        <v>4151703.2960892199</v>
      </c>
      <c r="DJ21" s="100">
        <f ca="1">OFFSET($C$43,0,COUNTA(DH$4:$DH21))</f>
        <v>2117989.2928635231</v>
      </c>
      <c r="DK21" s="100">
        <f ca="1">OFFSET($C$45,0,COUNTA(DH$4:$DH21))</f>
        <v>633703.2465746731</v>
      </c>
      <c r="DL21" s="100">
        <f ca="1">OFFSET($C$46,0,COUNTA(DH$4:$DH21))</f>
        <v>3854028.6368545895</v>
      </c>
      <c r="DM21" s="100">
        <f ca="1">OFFSET($C$47,0,COUNTA(DH$4:$DH21))</f>
        <v>2114102.4070545379</v>
      </c>
      <c r="DN21" s="100">
        <f ca="1">OFFSET($C$48,0,COUNTA(DH$4:$DH21))</f>
        <v>267826.2635254052</v>
      </c>
      <c r="DO21" s="100">
        <f ca="1">OFFSET($C$51,0,COUNTA(DH$4:$DH21))</f>
        <v>7310189.1942044497</v>
      </c>
      <c r="DP21" s="100">
        <f ca="1">OFFSET($C$53,0,COUNTA(DH$4:$DH21))</f>
        <v>8251175.0196431195</v>
      </c>
    </row>
    <row r="22" spans="2:120" x14ac:dyDescent="0.3">
      <c r="B22">
        <v>3</v>
      </c>
      <c r="C22" s="202" t="s">
        <v>133</v>
      </c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174"/>
      <c r="BD22" s="174"/>
      <c r="BE22" s="174"/>
      <c r="BF22" s="174"/>
      <c r="BG22" s="174"/>
      <c r="BH22" s="174"/>
      <c r="BI22" s="174"/>
      <c r="BJ22" s="174"/>
      <c r="BK22" s="174"/>
      <c r="BL22" s="174"/>
      <c r="BM22" s="174"/>
      <c r="BN22" s="174"/>
      <c r="BO22" s="174"/>
      <c r="BP22" s="174"/>
      <c r="BQ22" s="174"/>
      <c r="BR22" s="174"/>
      <c r="BS22" s="174"/>
      <c r="BT22" s="174"/>
      <c r="BU22" s="174"/>
      <c r="BV22" s="174"/>
      <c r="BW22" s="174"/>
      <c r="BX22" s="174"/>
      <c r="BY22" s="174"/>
      <c r="BZ22" s="174"/>
      <c r="CA22" s="174"/>
      <c r="CB22" s="174"/>
      <c r="CC22" s="174"/>
      <c r="CD22" s="174"/>
      <c r="CE22" s="174"/>
      <c r="CF22" s="174"/>
      <c r="CG22" s="174"/>
      <c r="CH22" s="174"/>
      <c r="CI22" s="174"/>
      <c r="CJ22" s="174"/>
      <c r="CK22" s="174"/>
      <c r="CL22" s="174"/>
      <c r="CM22" s="174"/>
      <c r="CN22" s="174"/>
      <c r="CO22" s="174"/>
      <c r="CP22" s="174"/>
      <c r="CQ22" s="174"/>
      <c r="CR22" s="174"/>
      <c r="CS22" s="174"/>
      <c r="CT22" s="174"/>
      <c r="CU22" s="174"/>
      <c r="CV22" s="174"/>
      <c r="CW22" s="174"/>
      <c r="CX22" s="174"/>
      <c r="CY22" s="174"/>
      <c r="DB22" s="101">
        <f t="shared" si="95"/>
        <v>19</v>
      </c>
      <c r="DC22" s="207">
        <f ca="1">OFFSET($C$14,0,COUNTA($DB$4:DB22))</f>
        <v>49893396.072412759</v>
      </c>
      <c r="DD22" s="207">
        <f ca="1">OFFSET($C$30,0,COUNTA($DB$4:DB22))</f>
        <v>-3659031.0059791212</v>
      </c>
      <c r="DE22" s="100">
        <f ca="1">OFFSET($C$59,0,COUNTA($DB$4:DB22))</f>
        <v>10394328.545760809</v>
      </c>
      <c r="DH22" s="101">
        <f t="shared" si="96"/>
        <v>19</v>
      </c>
      <c r="DI22" s="100">
        <f ca="1">OFFSET($C$39,0,COUNTA(DH$4:$DH22))</f>
        <v>3979910.5860031475</v>
      </c>
      <c r="DJ22" s="100">
        <f ca="1">OFFSET($C$43,0,COUNTA(DH$4:$DH22))</f>
        <v>1463612.4023916486</v>
      </c>
      <c r="DK22" s="100">
        <f ca="1">OFFSET($C$45,0,COUNTA(DH$4:$DH22))</f>
        <v>601031.2689917268</v>
      </c>
      <c r="DL22" s="100">
        <f ca="1">OFFSET($C$46,0,COUNTA(DH$4:$DH22))</f>
        <v>4183982.0645027715</v>
      </c>
      <c r="DM22" s="100">
        <f ca="1">OFFSET($C$47,0,COUNTA(DH$4:$DH22))</f>
        <v>2295096.219330987</v>
      </c>
      <c r="DN22" s="100">
        <f ca="1">OFFSET($C$48,0,COUNTA(DH$4:$DH22))</f>
        <v>245425.01229889173</v>
      </c>
      <c r="DO22" s="100">
        <f ca="1">OFFSET($C$51,0,COUNTA(DH$4:$DH22))</f>
        <v>7367145.458467612</v>
      </c>
      <c r="DP22" s="100">
        <f ca="1">OFFSET($C$53,0,COUNTA(DH$4:$DH22))</f>
        <v>8315462.8366086474</v>
      </c>
    </row>
    <row r="23" spans="2:120" x14ac:dyDescent="0.3">
      <c r="B23">
        <v>4</v>
      </c>
      <c r="C23" s="202" t="s">
        <v>134</v>
      </c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74"/>
      <c r="CP23" s="174"/>
      <c r="CQ23" s="174"/>
      <c r="CR23" s="174"/>
      <c r="CS23" s="174"/>
      <c r="CT23" s="174"/>
      <c r="CU23" s="174"/>
      <c r="CV23" s="174"/>
      <c r="CW23" s="174"/>
      <c r="CX23" s="174"/>
      <c r="CY23" s="174"/>
      <c r="DB23" s="101">
        <f t="shared" si="95"/>
        <v>20</v>
      </c>
      <c r="DC23" s="207">
        <f ca="1">OFFSET($C$14,0,COUNTA($DB$4:DB23))</f>
        <v>53868039.247087047</v>
      </c>
      <c r="DD23" s="207">
        <f ca="1">OFFSET($C$30,0,COUNTA($DB$4:DB23))</f>
        <v>-2333127.8824418979</v>
      </c>
      <c r="DE23" s="100">
        <f ca="1">OFFSET($C$59,0,COUNTA($DB$4:DB23))</f>
        <v>10639626.918927073</v>
      </c>
      <c r="DH23" s="101">
        <f t="shared" si="96"/>
        <v>20</v>
      </c>
      <c r="DI23" s="100">
        <f ca="1">OFFSET($C$39,0,COUNTA(DH$4:$DH23))</f>
        <v>3822904.6846524179</v>
      </c>
      <c r="DJ23" s="100">
        <f ca="1">OFFSET($C$43,0,COUNTA(DH$4:$DH23))</f>
        <v>933251.15297675924</v>
      </c>
      <c r="DK23" s="100">
        <f ca="1">OFFSET($C$45,0,COUNTA(DH$4:$DH23))</f>
        <v>566290.98984317644</v>
      </c>
      <c r="DL23" s="100">
        <f ca="1">OFFSET($C$46,0,COUNTA(DH$4:$DH23))</f>
        <v>4517289.4170730375</v>
      </c>
      <c r="DM23" s="100">
        <f ca="1">OFFSET($C$47,0,COUNTA(DH$4:$DH23))</f>
        <v>2477929.8053660044</v>
      </c>
      <c r="DN23" s="100">
        <f ca="1">OFFSET($C$48,0,COUNTA(DH$4:$DH23))</f>
        <v>223504.36752776694</v>
      </c>
      <c r="DO23" s="100">
        <f ca="1">OFFSET($C$51,0,COUNTA(DH$4:$DH23))</f>
        <v>7541004.5767247844</v>
      </c>
      <c r="DP23" s="100">
        <f ca="1">OFFSET($C$53,0,COUNTA(DH$4:$DH23))</f>
        <v>8511701.535141658</v>
      </c>
    </row>
    <row r="24" spans="2:120" x14ac:dyDescent="0.3">
      <c r="B24">
        <v>5</v>
      </c>
      <c r="C24" s="202" t="s">
        <v>135</v>
      </c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  <c r="BP24" s="174"/>
      <c r="BQ24" s="174"/>
      <c r="BR24" s="174"/>
      <c r="BS24" s="174"/>
      <c r="BT24" s="174"/>
      <c r="BU24" s="174"/>
      <c r="BV24" s="174"/>
      <c r="BW24" s="174"/>
      <c r="BX24" s="174"/>
      <c r="BY24" s="174"/>
      <c r="BZ24" s="174"/>
      <c r="CA24" s="174"/>
      <c r="CB24" s="174"/>
      <c r="CC24" s="174"/>
      <c r="CD24" s="174"/>
      <c r="CE24" s="174"/>
      <c r="CF24" s="174"/>
      <c r="CG24" s="174"/>
      <c r="CH24" s="174"/>
      <c r="CI24" s="174"/>
      <c r="CJ24" s="174"/>
      <c r="CK24" s="174"/>
      <c r="CL24" s="174"/>
      <c r="CM24" s="174"/>
      <c r="CN24" s="174"/>
      <c r="CO24" s="174"/>
      <c r="CP24" s="174"/>
      <c r="CQ24" s="174"/>
      <c r="CR24" s="174"/>
      <c r="CS24" s="174"/>
      <c r="CT24" s="174"/>
      <c r="CU24" s="174"/>
      <c r="CV24" s="174"/>
      <c r="CW24" s="174"/>
      <c r="CX24" s="174"/>
      <c r="CY24" s="174"/>
      <c r="DB24" s="101">
        <f t="shared" si="95"/>
        <v>21</v>
      </c>
      <c r="DC24" s="207">
        <f ca="1">OFFSET($C$14,0,COUNTA($DB$4:DB24))</f>
        <v>56569023.299846262</v>
      </c>
      <c r="DD24" s="207">
        <f ca="1">OFFSET($C$30,0,COUNTA($DB$4:DB24))</f>
        <v>-1373701.2785289385</v>
      </c>
      <c r="DE24" s="100">
        <f ca="1">OFFSET($C$59,0,COUNTA($DB$4:DB24))</f>
        <v>10773588.685127802</v>
      </c>
      <c r="DH24" s="101">
        <f t="shared" si="96"/>
        <v>21</v>
      </c>
      <c r="DI24" s="100">
        <f ca="1">OFFSET($C$39,0,COUNTA(DH$4:$DH24))</f>
        <v>3605016.9657708434</v>
      </c>
      <c r="DJ24" s="100">
        <f ca="1">OFFSET($C$43,0,COUNTA(DH$4:$DH24))</f>
        <v>549480.51141157548</v>
      </c>
      <c r="DK24" s="100">
        <f ca="1">OFFSET($C$45,0,COUNTA(DH$4:$DH24))</f>
        <v>528606.95406774769</v>
      </c>
      <c r="DL24" s="100">
        <f ca="1">OFFSET($C$46,0,COUNTA(DH$4:$DH24))</f>
        <v>4743789.7101549329</v>
      </c>
      <c r="DM24" s="100">
        <f ca="1">OFFSET($C$47,0,COUNTA(DH$4:$DH24))</f>
        <v>2602175.0717929285</v>
      </c>
      <c r="DN24" s="100">
        <f ca="1">OFFSET($C$48,0,COUNTA(DH$4:$DH24))</f>
        <v>206515.47118613482</v>
      </c>
      <c r="DO24" s="100">
        <f ca="1">OFFSET($C$51,0,COUNTA(DH$4:$DH24))</f>
        <v>7635952.1063443385</v>
      </c>
      <c r="DP24" s="100">
        <f ca="1">OFFSET($C$53,0,COUNTA(DH$4:$DH24))</f>
        <v>8618870.9481022414</v>
      </c>
    </row>
    <row r="25" spans="2:120" x14ac:dyDescent="0.3">
      <c r="B25">
        <v>6</v>
      </c>
      <c r="C25" s="202" t="s">
        <v>136</v>
      </c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4"/>
      <c r="BQ25" s="174"/>
      <c r="BR25" s="174"/>
      <c r="BS25" s="174"/>
      <c r="BT25" s="174"/>
      <c r="BU25" s="174"/>
      <c r="BV25" s="174"/>
      <c r="BW25" s="174"/>
      <c r="BX25" s="174"/>
      <c r="BY25" s="174"/>
      <c r="BZ25" s="174"/>
      <c r="CA25" s="174"/>
      <c r="CB25" s="174"/>
      <c r="CC25" s="174"/>
      <c r="CD25" s="174"/>
      <c r="CE25" s="174"/>
      <c r="CF25" s="174"/>
      <c r="CG25" s="174"/>
      <c r="CH25" s="174"/>
      <c r="CI25" s="174"/>
      <c r="CJ25" s="174"/>
      <c r="CK25" s="174"/>
      <c r="CL25" s="174"/>
      <c r="CM25" s="174"/>
      <c r="CN25" s="174"/>
      <c r="CO25" s="174"/>
      <c r="CP25" s="174"/>
      <c r="CQ25" s="174"/>
      <c r="CR25" s="174"/>
      <c r="CS25" s="174"/>
      <c r="CT25" s="174"/>
      <c r="CU25" s="174"/>
      <c r="CV25" s="174"/>
      <c r="CW25" s="174"/>
      <c r="CX25" s="174"/>
      <c r="CY25" s="174"/>
      <c r="DB25" s="101">
        <f t="shared" si="95"/>
        <v>22</v>
      </c>
      <c r="DC25" s="207">
        <f ca="1">OFFSET($C$14,0,COUNTA($DB$4:DB25))</f>
        <v>58258216.809248619</v>
      </c>
      <c r="DD25" s="207">
        <f ca="1">OFFSET($C$30,0,COUNTA($DB$4:DB25))</f>
        <v>-734283.27649387752</v>
      </c>
      <c r="DE25" s="100">
        <f ca="1">OFFSET($C$59,0,COUNTA($DB$4:DB25))</f>
        <v>10837949.092822319</v>
      </c>
      <c r="DH25" s="101">
        <f t="shared" si="96"/>
        <v>22</v>
      </c>
      <c r="DI25" s="100">
        <f ca="1">OFFSET($C$39,0,COUNTA(DH$4:$DH25))</f>
        <v>3410356.7815839979</v>
      </c>
      <c r="DJ25" s="100">
        <f ca="1">OFFSET($C$43,0,COUNTA(DH$4:$DH25))</f>
        <v>293713.310597551</v>
      </c>
      <c r="DK25" s="100">
        <f ca="1">OFFSET($C$45,0,COUNTA(DH$4:$DH25))</f>
        <v>509568.32744554721</v>
      </c>
      <c r="DL25" s="100">
        <f ca="1">OFFSET($C$46,0,COUNTA(DH$4:$DH25))</f>
        <v>4885442.8326755259</v>
      </c>
      <c r="DM25" s="100">
        <f ca="1">OFFSET($C$47,0,COUNTA(DH$4:$DH25))</f>
        <v>2679877.9732254371</v>
      </c>
      <c r="DN25" s="100">
        <f ca="1">OFFSET($C$48,0,COUNTA(DH$4:$DH25))</f>
        <v>190363.78956152714</v>
      </c>
      <c r="DO25" s="100">
        <f ca="1">OFFSET($C$51,0,COUNTA(DH$4:$DH25))</f>
        <v>7681568.5675870581</v>
      </c>
      <c r="DP25" s="100">
        <f ca="1">OFFSET($C$53,0,COUNTA(DH$4:$DH25))</f>
        <v>8670359.2742578555</v>
      </c>
    </row>
    <row r="26" spans="2:120" x14ac:dyDescent="0.3">
      <c r="B26">
        <v>7</v>
      </c>
      <c r="C26" s="202" t="s">
        <v>137</v>
      </c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4"/>
      <c r="BQ26" s="174"/>
      <c r="BR26" s="174"/>
      <c r="BS26" s="174"/>
      <c r="BT26" s="174"/>
      <c r="BU26" s="174"/>
      <c r="BV26" s="174"/>
      <c r="BW26" s="174"/>
      <c r="BX26" s="174"/>
      <c r="BY26" s="174"/>
      <c r="BZ26" s="174"/>
      <c r="CA26" s="174"/>
      <c r="CB26" s="174"/>
      <c r="CC26" s="174"/>
      <c r="CD26" s="174"/>
      <c r="CE26" s="174"/>
      <c r="CF26" s="174"/>
      <c r="CG26" s="174"/>
      <c r="CH26" s="174"/>
      <c r="CI26" s="174"/>
      <c r="CJ26" s="174"/>
      <c r="CK26" s="174"/>
      <c r="CL26" s="174"/>
      <c r="CM26" s="174"/>
      <c r="CN26" s="174"/>
      <c r="CO26" s="174"/>
      <c r="CP26" s="174"/>
      <c r="CQ26" s="174"/>
      <c r="CR26" s="174"/>
      <c r="CS26" s="174"/>
      <c r="CT26" s="174"/>
      <c r="CU26" s="174"/>
      <c r="CV26" s="174"/>
      <c r="CW26" s="174"/>
      <c r="CX26" s="174"/>
      <c r="CY26" s="174"/>
      <c r="DB26" s="101">
        <f t="shared" si="95"/>
        <v>23</v>
      </c>
      <c r="DC26" s="207">
        <f ca="1">OFFSET($C$14,0,COUNTA($DB$4:DB26))</f>
        <v>59057080.500750691</v>
      </c>
      <c r="DD26" s="207">
        <f ca="1">OFFSET($C$30,0,COUNTA($DB$4:DB26))</f>
        <v>-363318.8901168459</v>
      </c>
      <c r="DE26" s="100">
        <f ca="1">OFFSET($C$59,0,COUNTA($DB$4:DB26))</f>
        <v>10804614.957433376</v>
      </c>
      <c r="DH26" s="101">
        <f t="shared" si="96"/>
        <v>23</v>
      </c>
      <c r="DI26" s="100">
        <f ca="1">OFFSET($C$39,0,COUNTA(DH$4:$DH26))</f>
        <v>3221402.0093842573</v>
      </c>
      <c r="DJ26" s="100">
        <f ca="1">OFFSET($C$43,0,COUNTA(DH$4:$DH26))</f>
        <v>145327.55604673838</v>
      </c>
      <c r="DK26" s="100">
        <f ca="1">OFFSET($C$45,0,COUNTA(DH$4:$DH26))</f>
        <v>487903.43817402638</v>
      </c>
      <c r="DL26" s="100">
        <f ca="1">OFFSET($C$46,0,COUNTA(DH$4:$DH26))</f>
        <v>4952434.2908712374</v>
      </c>
      <c r="DM26" s="100">
        <f ca="1">OFFSET($C$47,0,COUNTA(DH$4:$DH26))</f>
        <v>2716625.7030345323</v>
      </c>
      <c r="DN26" s="100">
        <f ca="1">OFFSET($C$48,0,COUNTA(DH$4:$DH26))</f>
        <v>174816.67407172453</v>
      </c>
      <c r="DO26" s="100">
        <f ca="1">OFFSET($C$51,0,COUNTA(DH$4:$DH26))</f>
        <v>7657942.4696566854</v>
      </c>
      <c r="DP26" s="100">
        <f ca="1">OFFSET($C$53,0,COUNTA(DH$4:$DH26))</f>
        <v>8643691.9659467004</v>
      </c>
    </row>
    <row r="27" spans="2:120" x14ac:dyDescent="0.3">
      <c r="B27">
        <v>8</v>
      </c>
      <c r="C27" s="202" t="s">
        <v>138</v>
      </c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4"/>
      <c r="CW27" s="174"/>
      <c r="CX27" s="174"/>
      <c r="CY27" s="174"/>
      <c r="DB27" s="101">
        <f t="shared" si="95"/>
        <v>24</v>
      </c>
      <c r="DC27" s="207">
        <f ca="1">OFFSET($C$14,0,COUNTA($DB$4:DB27))</f>
        <v>58998636.808967851</v>
      </c>
      <c r="DD27" s="207">
        <f ca="1">OFFSET($C$30,0,COUNTA($DB$4:DB27))</f>
        <v>-175968.38157717246</v>
      </c>
      <c r="DE27" s="100">
        <f ca="1">OFFSET($C$59,0,COUNTA($DB$4:DB27))</f>
        <v>10663107.045442265</v>
      </c>
      <c r="DH27" s="101">
        <f t="shared" si="96"/>
        <v>24</v>
      </c>
      <c r="DI27" s="100">
        <f ca="1">OFFSET($C$39,0,COUNTA(DH$4:$DH27))</f>
        <v>3038687.8336528577</v>
      </c>
      <c r="DJ27" s="100">
        <f ca="1">OFFSET($C$43,0,COUNTA(DH$4:$DH27))</f>
        <v>70387.352630868991</v>
      </c>
      <c r="DK27" s="100">
        <f ca="1">OFFSET($C$45,0,COUNTA(DH$4:$DH27))</f>
        <v>464795.73115761543</v>
      </c>
      <c r="DL27" s="100">
        <f ca="1">OFFSET($C$46,0,COUNTA(DH$4:$DH27))</f>
        <v>4947533.2943977192</v>
      </c>
      <c r="DM27" s="100">
        <f ca="1">OFFSET($C$47,0,COUNTA(DH$4:$DH27))</f>
        <v>2713937.2932125218</v>
      </c>
      <c r="DN27" s="100">
        <f ca="1">OFFSET($C$48,0,COUNTA(DH$4:$DH27))</f>
        <v>159981.34085255853</v>
      </c>
      <c r="DO27" s="100">
        <f ca="1">OFFSET($C$51,0,COUNTA(DH$4:$DH27))</f>
        <v>7557646.4893465657</v>
      </c>
      <c r="DP27" s="100">
        <f ca="1">OFFSET($C$53,0,COUNTA(DH$4:$DH27))</f>
        <v>8530485.6363538112</v>
      </c>
    </row>
    <row r="28" spans="2:120" x14ac:dyDescent="0.3">
      <c r="B28">
        <v>9</v>
      </c>
      <c r="C28" s="202" t="s">
        <v>139</v>
      </c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4"/>
      <c r="CG28" s="174"/>
      <c r="CH28" s="174"/>
      <c r="CI28" s="174"/>
      <c r="CJ28" s="174"/>
      <c r="CK28" s="174"/>
      <c r="CL28" s="174"/>
      <c r="CM28" s="174"/>
      <c r="CN28" s="174"/>
      <c r="CO28" s="174"/>
      <c r="CP28" s="174"/>
      <c r="CQ28" s="174"/>
      <c r="CR28" s="174"/>
      <c r="CS28" s="174"/>
      <c r="CT28" s="174"/>
      <c r="CU28" s="174"/>
      <c r="CV28" s="174"/>
      <c r="CW28" s="174"/>
      <c r="CX28" s="174"/>
      <c r="CY28" s="174"/>
      <c r="DB28" s="101">
        <f t="shared" si="95"/>
        <v>25</v>
      </c>
      <c r="DC28" s="207">
        <f ca="1">OFFSET($C$14,0,COUNTA($DB$4:DB28))</f>
        <v>59047770.141761847</v>
      </c>
      <c r="DD28" s="207">
        <f ca="1">OFFSET($C$30,0,COUNTA($DB$4:DB28))</f>
        <v>-69469.38654080822</v>
      </c>
      <c r="DE28" s="100">
        <f ca="1">OFFSET($C$59,0,COUNTA($DB$4:DB28))</f>
        <v>10549994.667445106</v>
      </c>
      <c r="DH28" s="101">
        <f t="shared" si="96"/>
        <v>25</v>
      </c>
      <c r="DI28" s="100">
        <f ca="1">OFFSET($C$39,0,COUNTA(DH$4:$DH28))</f>
        <v>2866142.7893937817</v>
      </c>
      <c r="DJ28" s="100">
        <f ca="1">OFFSET($C$43,0,COUNTA(DH$4:$DH28))</f>
        <v>27787.754616323291</v>
      </c>
      <c r="DK28" s="100">
        <f ca="1">OFFSET($C$45,0,COUNTA(DH$4:$DH28))</f>
        <v>440762.06225327333</v>
      </c>
      <c r="DL28" s="100">
        <f ca="1">OFFSET($C$46,0,COUNTA(DH$4:$DH28))</f>
        <v>4951653.538745909</v>
      </c>
      <c r="DM28" s="100">
        <f ca="1">OFFSET($C$47,0,COUNTA(DH$4:$DH28))</f>
        <v>2716197.4265210452</v>
      </c>
      <c r="DN28" s="100">
        <f ca="1">OFFSET($C$48,0,COUNTA(DH$4:$DH28))</f>
        <v>145621.98154246365</v>
      </c>
      <c r="DO28" s="100">
        <f ca="1">OFFSET($C$51,0,COUNTA(DH$4:$DH28))</f>
        <v>7477476.2947842544</v>
      </c>
      <c r="DP28" s="100">
        <f ca="1">OFFSET($C$53,0,COUNTA(DH$4:$DH28))</f>
        <v>8439995.7339560855</v>
      </c>
    </row>
    <row r="29" spans="2:120" x14ac:dyDescent="0.3">
      <c r="B29">
        <v>10</v>
      </c>
      <c r="C29" s="202" t="s">
        <v>140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DB29" s="101">
        <f t="shared" si="95"/>
        <v>26</v>
      </c>
      <c r="DC29" s="207">
        <f ca="1">OFFSET($C$14,0,COUNTA($DB$4:DB29))</f>
        <v>58521530.735790387</v>
      </c>
      <c r="DD29" s="207">
        <f ca="1">OFFSET($C$30,0,COUNTA($DB$4:DB29))</f>
        <v>-11636.015843549358</v>
      </c>
      <c r="DE29" s="100">
        <f ca="1">OFFSET($C$59,0,COUNTA($DB$4:DB29))</f>
        <v>10361433.410238234</v>
      </c>
      <c r="DH29" s="101">
        <f t="shared" si="96"/>
        <v>26</v>
      </c>
      <c r="DI29" s="100">
        <f ca="1">OFFSET($C$39,0,COUNTA(DH$4:$DH29))</f>
        <v>2701315.5790436738</v>
      </c>
      <c r="DJ29" s="100">
        <f ca="1">OFFSET($C$43,0,COUNTA(DH$4:$DH29))</f>
        <v>4654.4063374197431</v>
      </c>
      <c r="DK29" s="100">
        <f ca="1">OFFSET($C$45,0,COUNTA(DH$4:$DH29))</f>
        <v>414566.03083397629</v>
      </c>
      <c r="DL29" s="100">
        <f ca="1">OFFSET($C$46,0,COUNTA(DH$4:$DH29))</f>
        <v>4907523.9262211649</v>
      </c>
      <c r="DM29" s="100">
        <f ca="1">OFFSET($C$47,0,COUNTA(DH$4:$DH29))</f>
        <v>2691990.4138463582</v>
      </c>
      <c r="DN29" s="100">
        <f ca="1">OFFSET($C$48,0,COUNTA(DH$4:$DH29))</f>
        <v>131992.78484042705</v>
      </c>
      <c r="DO29" s="100">
        <f ca="1">OFFSET($C$51,0,COUNTA(DH$4:$DH29))</f>
        <v>7343830.5086655244</v>
      </c>
      <c r="DP29" s="100">
        <f ca="1">OFFSET($C$53,0,COUNTA(DH$4:$DH29))</f>
        <v>8289146.7281905869</v>
      </c>
    </row>
    <row r="30" spans="2:120" x14ac:dyDescent="0.3">
      <c r="C30" s="201" t="s">
        <v>185</v>
      </c>
      <c r="D30" s="203">
        <v>-1391656.2040535982</v>
      </c>
      <c r="E30" s="203">
        <v>-6838612.0811936911</v>
      </c>
      <c r="F30" s="203">
        <v>-13051314.695782719</v>
      </c>
      <c r="G30" s="203">
        <v>-19260934.69488354</v>
      </c>
      <c r="H30" s="203">
        <v>-26748689.275653657</v>
      </c>
      <c r="I30" s="203">
        <v>-33913847.217287086</v>
      </c>
      <c r="J30" s="203">
        <v>-40846070.509428628</v>
      </c>
      <c r="K30" s="203">
        <v>-47928899.385206163</v>
      </c>
      <c r="L30" s="203">
        <v>-55815740.212925695</v>
      </c>
      <c r="M30" s="203">
        <v>-64999981.916434199</v>
      </c>
      <c r="N30" s="203">
        <v>-51917002.196755178</v>
      </c>
      <c r="O30" s="203">
        <v>-39926307.588792965</v>
      </c>
      <c r="P30" s="203">
        <v>-29908273.273005769</v>
      </c>
      <c r="Q30" s="203">
        <v>-22335489.422241885</v>
      </c>
      <c r="R30" s="203">
        <v>-15453158.632402562</v>
      </c>
      <c r="S30" s="203">
        <v>-10695706.087293047</v>
      </c>
      <c r="T30" s="203">
        <v>-7558192.7900006315</v>
      </c>
      <c r="U30" s="203">
        <v>-5294973.2321588071</v>
      </c>
      <c r="V30" s="203">
        <v>-3659031.0059791212</v>
      </c>
      <c r="W30" s="203">
        <v>-2333127.8824418979</v>
      </c>
      <c r="X30" s="203">
        <v>-1373701.2785289385</v>
      </c>
      <c r="Y30" s="203">
        <v>-734283.27649387752</v>
      </c>
      <c r="Z30" s="203">
        <v>-363318.8901168459</v>
      </c>
      <c r="AA30" s="203">
        <v>-175968.38157717246</v>
      </c>
      <c r="AB30" s="203">
        <v>-69469.38654080822</v>
      </c>
      <c r="AC30" s="203">
        <v>-11636.015843549358</v>
      </c>
      <c r="AD30" s="203">
        <v>-2.5355154255940677E-8</v>
      </c>
      <c r="AE30" s="203">
        <v>-3.1726700946233522E-8</v>
      </c>
      <c r="AF30" s="203">
        <v>-3.6900624364244661E-8</v>
      </c>
      <c r="AG30" s="203">
        <v>-3.8153218269241533E-8</v>
      </c>
      <c r="AH30" s="203">
        <v>-4.1754701999671407E-8</v>
      </c>
      <c r="AI30" s="203">
        <v>-4.6594195762436557E-8</v>
      </c>
      <c r="AJ30" s="203">
        <v>-5.2784245924112919E-8</v>
      </c>
      <c r="AK30" s="203">
        <v>-6.0775037951004218E-8</v>
      </c>
      <c r="AL30" s="203">
        <v>-7.1241850042566048E-8</v>
      </c>
      <c r="AM30" s="203">
        <v>0</v>
      </c>
      <c r="AN30" s="203">
        <v>0</v>
      </c>
      <c r="AO30" s="203">
        <v>0</v>
      </c>
      <c r="AP30" s="203">
        <v>0</v>
      </c>
      <c r="AQ30" s="203">
        <v>0</v>
      </c>
      <c r="AR30" s="203">
        <v>-1.2844453289863581E-10</v>
      </c>
      <c r="AS30" s="203">
        <v>-5.2031928836252935E-10</v>
      </c>
      <c r="AT30" s="203">
        <v>-6.6600868910403747E-10</v>
      </c>
      <c r="AU30" s="203">
        <v>-7.7304579985290065E-10</v>
      </c>
      <c r="AV30" s="203">
        <v>-1.0079327928851281E-9</v>
      </c>
      <c r="AW30" s="203">
        <v>-7.0239871163955806E-9</v>
      </c>
      <c r="AX30" s="203">
        <v>-2.5216095509415825E-8</v>
      </c>
      <c r="AY30" s="203">
        <v>-3.2095471674640565E-8</v>
      </c>
      <c r="AZ30" s="203">
        <v>-3.7240664497284455E-8</v>
      </c>
      <c r="BA30" s="203">
        <v>-4.8344767491262866E-8</v>
      </c>
      <c r="BB30" s="203">
        <v>-5.228657389286178E-8</v>
      </c>
      <c r="BC30" s="203">
        <v>-6.2567353320493316E-8</v>
      </c>
      <c r="BD30" s="203">
        <v>-7.1736632368030473E-8</v>
      </c>
      <c r="BE30" s="203">
        <v>-8.2666104780211697E-8</v>
      </c>
      <c r="BF30" s="203">
        <v>-9.8042214238426454E-8</v>
      </c>
      <c r="BG30" s="203">
        <v>-1.8315295731549081E-8</v>
      </c>
      <c r="BH30" s="203">
        <v>-3.7944600696180461E-8</v>
      </c>
      <c r="BI30" s="203">
        <v>-4.6541219787949587E-8</v>
      </c>
      <c r="BJ30" s="203">
        <v>-5.3875426257518141E-8</v>
      </c>
      <c r="BK30" s="203">
        <v>-6.7879300532393756E-8</v>
      </c>
      <c r="BL30" s="203">
        <v>-5.3500184412301964E-8</v>
      </c>
      <c r="BM30" s="203">
        <v>-6.6373278958358975E-8</v>
      </c>
      <c r="BN30" s="203">
        <v>-7.6546098405542369E-8</v>
      </c>
      <c r="BO30" s="203">
        <v>-8.8244059625704437E-8</v>
      </c>
      <c r="BP30" s="203">
        <v>-1.052425336408852E-7</v>
      </c>
      <c r="BQ30" s="203">
        <v>-3.0645316195766502E-8</v>
      </c>
      <c r="BR30" s="203">
        <v>-6.683395901808746E-8</v>
      </c>
      <c r="BS30" s="203">
        <v>-8.2341656637870952E-8</v>
      </c>
      <c r="BT30" s="203">
        <v>-9.5344910269571189E-8</v>
      </c>
      <c r="BU30" s="203">
        <v>-1.2057479291683666E-7</v>
      </c>
      <c r="BV30" s="203">
        <v>-1.0383133453412904E-7</v>
      </c>
      <c r="BW30" s="203">
        <v>-1.4031370660110409E-7</v>
      </c>
      <c r="BX30" s="203">
        <v>-1.6391972120029579E-7</v>
      </c>
      <c r="BY30" s="203">
        <v>-1.8913776419686753E-7</v>
      </c>
      <c r="BZ30" s="203">
        <v>-2.2831016187801877E-7</v>
      </c>
      <c r="CA30" s="203">
        <v>-7.1560312180429433E-8</v>
      </c>
      <c r="CB30" s="203">
        <v>-7.9926677206119543E-8</v>
      </c>
      <c r="CC30" s="203">
        <v>-9.055965436094934E-8</v>
      </c>
      <c r="CD30" s="203">
        <v>-1.0427030434676646E-7</v>
      </c>
      <c r="CE30" s="203">
        <v>-1.2224750190784942E-7</v>
      </c>
      <c r="CF30" s="203">
        <v>-2.1176669431167124E-10</v>
      </c>
      <c r="CG30" s="203">
        <v>-2.3631108206208091E-10</v>
      </c>
      <c r="CH30" s="203">
        <v>-2.677050663939995E-10</v>
      </c>
      <c r="CI30" s="203">
        <v>-3.0823184616793077E-10</v>
      </c>
      <c r="CJ30" s="203">
        <v>-3.6131621967463043E-10</v>
      </c>
      <c r="CK30" s="203">
        <v>0</v>
      </c>
      <c r="CL30" s="203">
        <v>0</v>
      </c>
      <c r="CM30" s="203">
        <v>0</v>
      </c>
      <c r="CN30" s="203">
        <v>0</v>
      </c>
      <c r="CO30" s="203">
        <v>0</v>
      </c>
      <c r="CP30" s="203">
        <v>0</v>
      </c>
      <c r="CQ30" s="203">
        <v>0</v>
      </c>
      <c r="CR30" s="203">
        <v>0</v>
      </c>
      <c r="CS30" s="203">
        <v>0</v>
      </c>
      <c r="CT30" s="203">
        <v>0</v>
      </c>
      <c r="CU30" s="203">
        <v>0</v>
      </c>
      <c r="CV30" s="203">
        <v>0</v>
      </c>
      <c r="CW30" s="203">
        <v>0</v>
      </c>
      <c r="CX30" s="203">
        <v>0</v>
      </c>
      <c r="CY30" s="203">
        <v>0</v>
      </c>
      <c r="DB30" s="101">
        <f t="shared" si="95"/>
        <v>27</v>
      </c>
      <c r="DC30" s="207">
        <f ca="1">OFFSET($C$14,0,COUNTA($DB$4:DB30))</f>
        <v>57594226.820966199</v>
      </c>
      <c r="DD30" s="207">
        <f ca="1">OFFSET($C$30,0,COUNTA($DB$4:DB30))</f>
        <v>-2.5355154255940677E-8</v>
      </c>
      <c r="DE30" s="100">
        <f ca="1">OFFSET($C$59,0,COUNTA($DB$4:DB30))</f>
        <v>10128928.125910461</v>
      </c>
      <c r="DH30" s="101">
        <f t="shared" si="96"/>
        <v>27</v>
      </c>
      <c r="DI30" s="100">
        <f ca="1">OFFSET($C$39,0,COUNTA(DH$4:$DH30))</f>
        <v>2558700.5723737567</v>
      </c>
      <c r="DJ30" s="100">
        <f ca="1">OFFSET($C$43,0,COUNTA(DH$4:$DH30))</f>
        <v>1.0142061702376272E-8</v>
      </c>
      <c r="DK30" s="100">
        <f ca="1">OFFSET($C$45,0,COUNTA(DH$4:$DH30))</f>
        <v>387756.97946786531</v>
      </c>
      <c r="DL30" s="100">
        <f ca="1">OFFSET($C$46,0,COUNTA(DH$4:$DH30))</f>
        <v>4829761.6720275106</v>
      </c>
      <c r="DM30" s="100">
        <f ca="1">OFFSET($C$47,0,COUNTA(DH$4:$DH30))</f>
        <v>2649334.4337644456</v>
      </c>
      <c r="DN30" s="100">
        <f ca="1">OFFSET($C$48,0,COUNTA(DH$4:$DH30))</f>
        <v>119397.8581948918</v>
      </c>
      <c r="DO30" s="100">
        <f ca="1">OFFSET($C$51,0,COUNTA(DH$4:$DH30))</f>
        <v>7179038.6953257723</v>
      </c>
      <c r="DP30" s="100">
        <f ca="1">OFFSET($C$53,0,COUNTA(DH$4:$DH30))</f>
        <v>8103142.5007283688</v>
      </c>
    </row>
    <row r="31" spans="2:120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DB31" s="101">
        <f t="shared" si="95"/>
        <v>28</v>
      </c>
      <c r="DC31" s="207">
        <f ca="1">OFFSET($C$14,0,COUNTA($DB$4:DB31))</f>
        <v>56323139.540770985</v>
      </c>
      <c r="DD31" s="207">
        <f ca="1">OFFSET($C$30,0,COUNTA($DB$4:DB31))</f>
        <v>-3.1726700946233522E-8</v>
      </c>
      <c r="DE31" s="100">
        <f ca="1">OFFSET($C$59,0,COUNTA($DB$4:DB31))</f>
        <v>9854702.7510545161</v>
      </c>
      <c r="DH31" s="101">
        <f t="shared" si="96"/>
        <v>28</v>
      </c>
      <c r="DI31" s="100">
        <f ca="1">OFFSET($C$39,0,COUNTA(DH$4:$DH31))</f>
        <v>2430915.7319334266</v>
      </c>
      <c r="DJ31" s="100">
        <f ca="1">OFFSET($C$43,0,COUNTA(DH$4:$DH31))</f>
        <v>1.269068037849341E-8</v>
      </c>
      <c r="DK31" s="100">
        <f ca="1">OFFSET($C$45,0,COUNTA(DH$4:$DH31))</f>
        <v>360331.97942016186</v>
      </c>
      <c r="DL31" s="100">
        <f ca="1">OFFSET($C$46,0,COUNTA(DH$4:$DH31))</f>
        <v>4723170.2831584141</v>
      </c>
      <c r="DM31" s="100">
        <f ca="1">OFFSET($C$47,0,COUNTA(DH$4:$DH31))</f>
        <v>2590864.4188754656</v>
      </c>
      <c r="DN31" s="100">
        <f ca="1">OFFSET($C$48,0,COUNTA(DH$4:$DH31))</f>
        <v>107381.10869986513</v>
      </c>
      <c r="DO31" s="100">
        <f ca="1">OFFSET($C$51,0,COUNTA(DH$4:$DH31))</f>
        <v>6984677.1051497059</v>
      </c>
      <c r="DP31" s="100">
        <f ca="1">OFFSET($C$53,0,COUNTA(DH$4:$DH31))</f>
        <v>7883762.2008436127</v>
      </c>
    </row>
    <row r="32" spans="2:120" x14ac:dyDescent="0.3"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  <c r="BQ32" s="194"/>
      <c r="BR32" s="194"/>
      <c r="BS32" s="194"/>
      <c r="BT32" s="194"/>
      <c r="BU32" s="194"/>
      <c r="BV32" s="194"/>
      <c r="BW32" s="194"/>
      <c r="BX32" s="194"/>
      <c r="BY32" s="194"/>
      <c r="BZ32" s="194"/>
      <c r="CA32" s="194"/>
      <c r="CB32" s="194"/>
      <c r="CC32" s="194"/>
      <c r="CD32" s="194"/>
      <c r="CE32" s="194"/>
      <c r="CF32" s="194"/>
      <c r="CG32" s="194"/>
      <c r="CH32" s="194"/>
      <c r="CI32" s="194"/>
      <c r="CJ32" s="194"/>
      <c r="CK32" s="194"/>
      <c r="CL32" s="194"/>
      <c r="CM32" s="194"/>
      <c r="CN32" s="194"/>
      <c r="CO32" s="194"/>
      <c r="CP32" s="194"/>
      <c r="CQ32" s="194"/>
      <c r="CR32" s="194"/>
      <c r="CS32" s="194"/>
      <c r="CT32" s="194"/>
      <c r="CU32" s="194"/>
      <c r="CV32" s="194"/>
      <c r="CW32" s="194"/>
      <c r="CX32" s="194"/>
      <c r="CY32" s="194"/>
      <c r="DB32" s="101">
        <f t="shared" si="95"/>
        <v>29</v>
      </c>
      <c r="DC32" s="207">
        <f ca="1">OFFSET($C$14,0,COUNTA($DB$4:DB32))</f>
        <v>54733764.954106152</v>
      </c>
      <c r="DD32" s="207">
        <f ca="1">OFFSET($C$30,0,COUNTA($DB$4:DB32))</f>
        <v>-3.6900624364244661E-8</v>
      </c>
      <c r="DE32" s="100">
        <f ca="1">OFFSET($C$59,0,COUNTA($DB$4:DB32))</f>
        <v>9543467.8723188452</v>
      </c>
      <c r="DH32" s="101">
        <f t="shared" si="96"/>
        <v>29</v>
      </c>
      <c r="DI32" s="100">
        <f ca="1">OFFSET($C$39,0,COUNTA(DH$4:$DH32))</f>
        <v>2322372.6914376551</v>
      </c>
      <c r="DJ32" s="100">
        <f ca="1">OFFSET($C$43,0,COUNTA(DH$4:$DH32))</f>
        <v>1.4760249745697866E-8</v>
      </c>
      <c r="DK32" s="100">
        <f ca="1">OFFSET($C$45,0,COUNTA(DH$4:$DH32))</f>
        <v>331670.60617676447</v>
      </c>
      <c r="DL32" s="100">
        <f ca="1">OFFSET($C$46,0,COUNTA(DH$4:$DH32))</f>
        <v>4589887.8191880165</v>
      </c>
      <c r="DM32" s="100">
        <f ca="1">OFFSET($C$47,0,COUNTA(DH$4:$DH32))</f>
        <v>2517753.1878888831</v>
      </c>
      <c r="DN32" s="100">
        <f ca="1">OFFSET($C$48,0,COUNTA(DH$4:$DH32))</f>
        <v>95818.076920251755</v>
      </c>
      <c r="DO32" s="100">
        <f ca="1">OFFSET($C$51,0,COUNTA(DH$4:$DH32))</f>
        <v>6764084.4412465282</v>
      </c>
      <c r="DP32" s="100">
        <f ca="1">OFFSET($C$53,0,COUNTA(DH$4:$DH32))</f>
        <v>7634774.2978550754</v>
      </c>
    </row>
    <row r="33" spans="1:120" x14ac:dyDescent="0.3">
      <c r="DB33" s="101">
        <f t="shared" si="95"/>
        <v>30</v>
      </c>
      <c r="DC33" s="207">
        <f ca="1">OFFSET($C$14,0,COUNTA($DB$4:DB33))</f>
        <v>53360999.160153024</v>
      </c>
      <c r="DD33" s="207">
        <f ca="1">OFFSET($C$30,0,COUNTA($DB$4:DB33))</f>
        <v>-3.8153218269241533E-8</v>
      </c>
      <c r="DE33" s="100">
        <f ca="1">OFFSET($C$59,0,COUNTA($DB$4:DB33))</f>
        <v>9278547.5773074701</v>
      </c>
      <c r="DH33" s="101">
        <f t="shared" si="96"/>
        <v>30</v>
      </c>
      <c r="DI33" s="100">
        <f ca="1">OFFSET($C$39,0,COUNTA(DH$4:$DH33))</f>
        <v>2240555.9668490882</v>
      </c>
      <c r="DJ33" s="100">
        <f ca="1">OFFSET($C$43,0,COUNTA(DH$4:$DH33))</f>
        <v>1.5261287307696615E-8</v>
      </c>
      <c r="DK33" s="100">
        <f ca="1">OFFSET($C$45,0,COUNTA(DH$4:$DH33))</f>
        <v>301333.25253028242</v>
      </c>
      <c r="DL33" s="100">
        <f ca="1">OFFSET($C$46,0,COUNTA(DH$4:$DH33))</f>
        <v>4474769.8293777658</v>
      </c>
      <c r="DM33" s="100">
        <f ca="1">OFFSET($C$47,0,COUNTA(DH$4:$DH33))</f>
        <v>2454605.9613670395</v>
      </c>
      <c r="DN33" s="100">
        <f ca="1">OFFSET($C$48,0,COUNTA(DH$4:$DH33))</f>
        <v>84527.395326480153</v>
      </c>
      <c r="DO33" s="100">
        <f ca="1">OFFSET($C$51,0,COUNTA(DH$4:$DH33))</f>
        <v>6576317.9742105287</v>
      </c>
      <c r="DP33" s="100">
        <f ca="1">OFFSET($C$53,0,COUNTA(DH$4:$DH33))</f>
        <v>7422838.0618459769</v>
      </c>
    </row>
    <row r="34" spans="1:120" x14ac:dyDescent="0.3">
      <c r="C34" s="4" t="s">
        <v>49</v>
      </c>
      <c r="D34" s="172">
        <v>1</v>
      </c>
      <c r="E34" s="172">
        <f>D34+1</f>
        <v>2</v>
      </c>
      <c r="F34" s="172">
        <f t="shared" ref="F34:M34" si="188">E34+1</f>
        <v>3</v>
      </c>
      <c r="G34" s="172">
        <f t="shared" si="188"/>
        <v>4</v>
      </c>
      <c r="H34" s="172">
        <f t="shared" si="188"/>
        <v>5</v>
      </c>
      <c r="I34" s="172">
        <f t="shared" si="188"/>
        <v>6</v>
      </c>
      <c r="J34" s="172">
        <f t="shared" si="188"/>
        <v>7</v>
      </c>
      <c r="K34" s="172">
        <f t="shared" si="188"/>
        <v>8</v>
      </c>
      <c r="L34" s="172">
        <f t="shared" si="188"/>
        <v>9</v>
      </c>
      <c r="M34" s="172">
        <f t="shared" si="188"/>
        <v>10</v>
      </c>
      <c r="N34" s="172">
        <f t="shared" ref="N34" si="189">M34+1</f>
        <v>11</v>
      </c>
      <c r="O34" s="172">
        <f t="shared" ref="O34" si="190">N34+1</f>
        <v>12</v>
      </c>
      <c r="P34" s="172">
        <f t="shared" ref="P34" si="191">O34+1</f>
        <v>13</v>
      </c>
      <c r="Q34" s="172">
        <f t="shared" ref="Q34" si="192">P34+1</f>
        <v>14</v>
      </c>
      <c r="R34" s="172">
        <f t="shared" ref="R34" si="193">Q34+1</f>
        <v>15</v>
      </c>
      <c r="S34" s="172">
        <f t="shared" ref="S34" si="194">R34+1</f>
        <v>16</v>
      </c>
      <c r="T34" s="172">
        <f t="shared" ref="T34" si="195">S34+1</f>
        <v>17</v>
      </c>
      <c r="U34" s="172">
        <f t="shared" ref="U34" si="196">T34+1</f>
        <v>18</v>
      </c>
      <c r="V34" s="172">
        <f t="shared" ref="V34" si="197">U34+1</f>
        <v>19</v>
      </c>
      <c r="W34" s="172">
        <f t="shared" ref="W34" si="198">V34+1</f>
        <v>20</v>
      </c>
      <c r="X34" s="172">
        <f t="shared" ref="X34" si="199">W34+1</f>
        <v>21</v>
      </c>
      <c r="Y34" s="172">
        <f t="shared" ref="Y34" si="200">X34+1</f>
        <v>22</v>
      </c>
      <c r="Z34" s="172">
        <f t="shared" ref="Z34" si="201">Y34+1</f>
        <v>23</v>
      </c>
      <c r="AA34" s="172">
        <f t="shared" ref="AA34" si="202">Z34+1</f>
        <v>24</v>
      </c>
      <c r="AB34" s="172">
        <f t="shared" ref="AB34" si="203">AA34+1</f>
        <v>25</v>
      </c>
      <c r="AC34" s="172">
        <f t="shared" ref="AC34" si="204">AB34+1</f>
        <v>26</v>
      </c>
      <c r="AD34" s="172">
        <f t="shared" ref="AD34" si="205">AC34+1</f>
        <v>27</v>
      </c>
      <c r="AE34" s="172">
        <f t="shared" ref="AE34" si="206">AD34+1</f>
        <v>28</v>
      </c>
      <c r="AF34" s="172">
        <f t="shared" ref="AF34" si="207">AE34+1</f>
        <v>29</v>
      </c>
      <c r="AG34" s="172">
        <f t="shared" ref="AG34" si="208">AF34+1</f>
        <v>30</v>
      </c>
      <c r="AH34" s="172">
        <f t="shared" ref="AH34" si="209">AG34+1</f>
        <v>31</v>
      </c>
      <c r="AI34" s="172">
        <f t="shared" ref="AI34" si="210">AH34+1</f>
        <v>32</v>
      </c>
      <c r="AJ34" s="172">
        <f t="shared" ref="AJ34" si="211">AI34+1</f>
        <v>33</v>
      </c>
      <c r="AK34" s="172">
        <f t="shared" ref="AK34" si="212">AJ34+1</f>
        <v>34</v>
      </c>
      <c r="AL34" s="172">
        <f t="shared" ref="AL34" si="213">AK34+1</f>
        <v>35</v>
      </c>
      <c r="AM34" s="172">
        <f t="shared" ref="AM34" si="214">AL34+1</f>
        <v>36</v>
      </c>
      <c r="AN34" s="172">
        <f t="shared" ref="AN34" si="215">AM34+1</f>
        <v>37</v>
      </c>
      <c r="AO34" s="172">
        <f t="shared" ref="AO34" si="216">AN34+1</f>
        <v>38</v>
      </c>
      <c r="AP34" s="172">
        <f t="shared" ref="AP34" si="217">AO34+1</f>
        <v>39</v>
      </c>
      <c r="AQ34" s="172">
        <f t="shared" ref="AQ34" si="218">AP34+1</f>
        <v>40</v>
      </c>
      <c r="AR34" s="172">
        <f t="shared" ref="AR34" si="219">AQ34+1</f>
        <v>41</v>
      </c>
      <c r="AS34" s="172">
        <f t="shared" ref="AS34" si="220">AR34+1</f>
        <v>42</v>
      </c>
      <c r="AT34" s="172">
        <f t="shared" ref="AT34" si="221">AS34+1</f>
        <v>43</v>
      </c>
      <c r="AU34" s="172">
        <f t="shared" ref="AU34" si="222">AT34+1</f>
        <v>44</v>
      </c>
      <c r="AV34" s="172">
        <f t="shared" ref="AV34" si="223">AU34+1</f>
        <v>45</v>
      </c>
      <c r="AW34" s="172">
        <f t="shared" ref="AW34" si="224">AV34+1</f>
        <v>46</v>
      </c>
      <c r="AX34" s="172">
        <f t="shared" ref="AX34" si="225">AW34+1</f>
        <v>47</v>
      </c>
      <c r="AY34" s="172">
        <f t="shared" ref="AY34" si="226">AX34+1</f>
        <v>48</v>
      </c>
      <c r="AZ34" s="172">
        <f t="shared" ref="AZ34" si="227">AY34+1</f>
        <v>49</v>
      </c>
      <c r="BA34" s="172">
        <f t="shared" ref="BA34" si="228">AZ34+1</f>
        <v>50</v>
      </c>
      <c r="BB34" s="172">
        <f t="shared" ref="BB34" si="229">BA34+1</f>
        <v>51</v>
      </c>
      <c r="BC34" s="172">
        <f t="shared" ref="BC34" si="230">BB34+1</f>
        <v>52</v>
      </c>
      <c r="BD34" s="172">
        <f t="shared" ref="BD34" si="231">BC34+1</f>
        <v>53</v>
      </c>
      <c r="BE34" s="172">
        <f t="shared" ref="BE34" si="232">BD34+1</f>
        <v>54</v>
      </c>
      <c r="BF34" s="172">
        <f t="shared" ref="BF34" si="233">BE34+1</f>
        <v>55</v>
      </c>
      <c r="BG34" s="172">
        <f t="shared" ref="BG34" si="234">BF34+1</f>
        <v>56</v>
      </c>
      <c r="BH34" s="172">
        <f t="shared" ref="BH34" si="235">BG34+1</f>
        <v>57</v>
      </c>
      <c r="BI34" s="172">
        <f t="shared" ref="BI34" si="236">BH34+1</f>
        <v>58</v>
      </c>
      <c r="BJ34" s="172">
        <f t="shared" ref="BJ34" si="237">BI34+1</f>
        <v>59</v>
      </c>
      <c r="BK34" s="172">
        <f t="shared" ref="BK34" si="238">BJ34+1</f>
        <v>60</v>
      </c>
      <c r="BL34" s="172">
        <f t="shared" ref="BL34" si="239">BK34+1</f>
        <v>61</v>
      </c>
      <c r="BM34" s="172">
        <f t="shared" ref="BM34" si="240">BL34+1</f>
        <v>62</v>
      </c>
      <c r="BN34" s="172">
        <f t="shared" ref="BN34" si="241">BM34+1</f>
        <v>63</v>
      </c>
      <c r="BO34" s="172">
        <f t="shared" ref="BO34" si="242">BN34+1</f>
        <v>64</v>
      </c>
      <c r="BP34" s="172">
        <f t="shared" ref="BP34" si="243">BO34+1</f>
        <v>65</v>
      </c>
      <c r="BQ34" s="172">
        <f t="shared" ref="BQ34" si="244">BP34+1</f>
        <v>66</v>
      </c>
      <c r="BR34" s="172">
        <f t="shared" ref="BR34" si="245">BQ34+1</f>
        <v>67</v>
      </c>
      <c r="BS34" s="172">
        <f t="shared" ref="BS34" si="246">BR34+1</f>
        <v>68</v>
      </c>
      <c r="BT34" s="172">
        <f t="shared" ref="BT34" si="247">BS34+1</f>
        <v>69</v>
      </c>
      <c r="BU34" s="172">
        <f t="shared" ref="BU34" si="248">BT34+1</f>
        <v>70</v>
      </c>
      <c r="BV34" s="172">
        <f t="shared" ref="BV34" si="249">BU34+1</f>
        <v>71</v>
      </c>
      <c r="BW34" s="172">
        <f t="shared" ref="BW34" si="250">BV34+1</f>
        <v>72</v>
      </c>
      <c r="BX34" s="172">
        <f t="shared" ref="BX34" si="251">BW34+1</f>
        <v>73</v>
      </c>
      <c r="BY34" s="172">
        <f t="shared" ref="BY34" si="252">BX34+1</f>
        <v>74</v>
      </c>
      <c r="BZ34" s="172">
        <f t="shared" ref="BZ34" si="253">BY34+1</f>
        <v>75</v>
      </c>
      <c r="CA34" s="172">
        <f t="shared" ref="CA34" si="254">BZ34+1</f>
        <v>76</v>
      </c>
      <c r="CB34" s="172">
        <f t="shared" ref="CB34" si="255">CA34+1</f>
        <v>77</v>
      </c>
      <c r="CC34" s="172">
        <f t="shared" ref="CC34" si="256">CB34+1</f>
        <v>78</v>
      </c>
      <c r="CD34" s="172">
        <f t="shared" ref="CD34" si="257">CC34+1</f>
        <v>79</v>
      </c>
      <c r="CE34" s="172">
        <f t="shared" ref="CE34" si="258">CD34+1</f>
        <v>80</v>
      </c>
      <c r="CF34" s="172">
        <f t="shared" ref="CF34" si="259">CE34+1</f>
        <v>81</v>
      </c>
      <c r="CG34" s="172">
        <f t="shared" ref="CG34" si="260">CF34+1</f>
        <v>82</v>
      </c>
      <c r="CH34" s="172">
        <f t="shared" ref="CH34" si="261">CG34+1</f>
        <v>83</v>
      </c>
      <c r="CI34" s="172">
        <f t="shared" ref="CI34" si="262">CH34+1</f>
        <v>84</v>
      </c>
      <c r="CJ34" s="172">
        <f t="shared" ref="CJ34" si="263">CI34+1</f>
        <v>85</v>
      </c>
      <c r="CK34" s="172">
        <f t="shared" ref="CK34" si="264">CJ34+1</f>
        <v>86</v>
      </c>
      <c r="CL34" s="172">
        <f t="shared" ref="CL34" si="265">CK34+1</f>
        <v>87</v>
      </c>
      <c r="CM34" s="172">
        <f t="shared" ref="CM34" si="266">CL34+1</f>
        <v>88</v>
      </c>
      <c r="CN34" s="172">
        <f t="shared" ref="CN34" si="267">CM34+1</f>
        <v>89</v>
      </c>
      <c r="CO34" s="172">
        <f t="shared" ref="CO34" si="268">CN34+1</f>
        <v>90</v>
      </c>
      <c r="CP34" s="172">
        <f t="shared" ref="CP34" si="269">CO34+1</f>
        <v>91</v>
      </c>
      <c r="CQ34" s="172">
        <f t="shared" ref="CQ34" si="270">CP34+1</f>
        <v>92</v>
      </c>
      <c r="CR34" s="172">
        <f t="shared" ref="CR34" si="271">CQ34+1</f>
        <v>93</v>
      </c>
      <c r="CS34" s="172">
        <f t="shared" ref="CS34" si="272">CR34+1</f>
        <v>94</v>
      </c>
      <c r="CT34" s="172">
        <f t="shared" ref="CT34" si="273">CS34+1</f>
        <v>95</v>
      </c>
      <c r="CU34" s="172">
        <f t="shared" ref="CU34" si="274">CT34+1</f>
        <v>96</v>
      </c>
      <c r="CV34" s="172">
        <f t="shared" ref="CV34" si="275">CU34+1</f>
        <v>97</v>
      </c>
      <c r="CW34" s="172">
        <f t="shared" ref="CW34" si="276">CV34+1</f>
        <v>98</v>
      </c>
      <c r="CX34" s="172">
        <f t="shared" ref="CX34" si="277">CW34+1</f>
        <v>99</v>
      </c>
      <c r="CY34" s="172">
        <f t="shared" ref="CY34" si="278">CX34+1</f>
        <v>100</v>
      </c>
      <c r="DB34" s="101">
        <f t="shared" si="95"/>
        <v>31</v>
      </c>
      <c r="DC34" s="207">
        <f ca="1">OFFSET($C$14,0,COUNTA($DB$4:DB34))</f>
        <v>51775167.776995592</v>
      </c>
      <c r="DD34" s="207">
        <f ca="1">OFFSET($C$30,0,COUNTA($DB$4:DB34))</f>
        <v>-4.1754701999671407E-8</v>
      </c>
      <c r="DE34" s="100">
        <f ca="1">OFFSET($C$59,0,COUNTA($DB$4:DB34))</f>
        <v>8958105.7939073704</v>
      </c>
      <c r="DH34" s="101">
        <f t="shared" si="96"/>
        <v>31</v>
      </c>
      <c r="DI34" s="100">
        <f ca="1">OFFSET($C$39,0,COUNTA(DH$4:$DH34))</f>
        <v>2096820.5814870656</v>
      </c>
      <c r="DJ34" s="100">
        <f ca="1">OFFSET($C$43,0,COUNTA(DH$4:$DH34))</f>
        <v>1.6701880799868562E-8</v>
      </c>
      <c r="DK34" s="100">
        <f ca="1">OFFSET($C$45,0,COUNTA(DH$4:$DH34))</f>
        <v>268659.29572359036</v>
      </c>
      <c r="DL34" s="100">
        <f ca="1">OFFSET($C$46,0,COUNTA(DH$4:$DH34))</f>
        <v>4341784.4929050496</v>
      </c>
      <c r="DM34" s="100">
        <f ca="1">OFFSET($C$47,0,COUNTA(DH$4:$DH34))</f>
        <v>2381657.7177417977</v>
      </c>
      <c r="DN34" s="100">
        <f ca="1">OFFSET($C$48,0,COUNTA(DH$4:$DH34))</f>
        <v>77607.868664381691</v>
      </c>
      <c r="DO34" s="100">
        <f ca="1">OFFSET($C$51,0,COUNTA(DH$4:$DH34))</f>
        <v>6349199.7703856062</v>
      </c>
      <c r="DP34" s="100">
        <f ca="1">OFFSET($C$53,0,COUNTA(DH$4:$DH34))</f>
        <v>7166484.635125896</v>
      </c>
    </row>
    <row r="35" spans="1:120" x14ac:dyDescent="0.3">
      <c r="C35" s="187" t="s">
        <v>181</v>
      </c>
      <c r="D35" s="188">
        <f>D36+D37</f>
        <v>0</v>
      </c>
      <c r="E35" s="188">
        <f t="shared" ref="E35:M35" si="279">E36+E37</f>
        <v>0</v>
      </c>
      <c r="F35" s="188">
        <f t="shared" si="279"/>
        <v>0</v>
      </c>
      <c r="G35" s="188">
        <f t="shared" si="279"/>
        <v>0</v>
      </c>
      <c r="H35" s="188">
        <f t="shared" si="279"/>
        <v>0</v>
      </c>
      <c r="I35" s="188">
        <f t="shared" si="279"/>
        <v>0</v>
      </c>
      <c r="J35" s="188">
        <f t="shared" si="279"/>
        <v>0</v>
      </c>
      <c r="K35" s="188">
        <f t="shared" si="279"/>
        <v>0</v>
      </c>
      <c r="L35" s="188">
        <f t="shared" si="279"/>
        <v>0</v>
      </c>
      <c r="M35" s="188">
        <f t="shared" si="279"/>
        <v>0</v>
      </c>
      <c r="N35" s="188">
        <f t="shared" ref="N35:BY35" si="280">N36+N37</f>
        <v>0</v>
      </c>
      <c r="O35" s="188">
        <f t="shared" si="280"/>
        <v>0</v>
      </c>
      <c r="P35" s="188">
        <f t="shared" si="280"/>
        <v>0</v>
      </c>
      <c r="Q35" s="188">
        <f t="shared" si="280"/>
        <v>0</v>
      </c>
      <c r="R35" s="188">
        <f t="shared" si="280"/>
        <v>0</v>
      </c>
      <c r="S35" s="188">
        <f t="shared" si="280"/>
        <v>0</v>
      </c>
      <c r="T35" s="188">
        <f t="shared" si="280"/>
        <v>0</v>
      </c>
      <c r="U35" s="188">
        <f t="shared" si="280"/>
        <v>0</v>
      </c>
      <c r="V35" s="188">
        <f t="shared" si="280"/>
        <v>0</v>
      </c>
      <c r="W35" s="188">
        <f t="shared" si="280"/>
        <v>0</v>
      </c>
      <c r="X35" s="188">
        <f t="shared" si="280"/>
        <v>0</v>
      </c>
      <c r="Y35" s="188">
        <f t="shared" si="280"/>
        <v>0</v>
      </c>
      <c r="Z35" s="188">
        <f t="shared" si="280"/>
        <v>0</v>
      </c>
      <c r="AA35" s="188">
        <f t="shared" si="280"/>
        <v>0</v>
      </c>
      <c r="AB35" s="188">
        <f t="shared" si="280"/>
        <v>0</v>
      </c>
      <c r="AC35" s="188">
        <f t="shared" si="280"/>
        <v>0</v>
      </c>
      <c r="AD35" s="188">
        <f t="shared" si="280"/>
        <v>0</v>
      </c>
      <c r="AE35" s="188">
        <f t="shared" si="280"/>
        <v>0</v>
      </c>
      <c r="AF35" s="188">
        <f t="shared" si="280"/>
        <v>0</v>
      </c>
      <c r="AG35" s="188">
        <f t="shared" si="280"/>
        <v>0</v>
      </c>
      <c r="AH35" s="188">
        <f t="shared" si="280"/>
        <v>0</v>
      </c>
      <c r="AI35" s="188">
        <f t="shared" si="280"/>
        <v>0</v>
      </c>
      <c r="AJ35" s="188">
        <f t="shared" si="280"/>
        <v>0</v>
      </c>
      <c r="AK35" s="188">
        <f t="shared" si="280"/>
        <v>0</v>
      </c>
      <c r="AL35" s="188">
        <f t="shared" si="280"/>
        <v>0</v>
      </c>
      <c r="AM35" s="188">
        <f t="shared" si="280"/>
        <v>0</v>
      </c>
      <c r="AN35" s="188">
        <f t="shared" si="280"/>
        <v>0</v>
      </c>
      <c r="AO35" s="188">
        <f t="shared" si="280"/>
        <v>0</v>
      </c>
      <c r="AP35" s="188">
        <f t="shared" si="280"/>
        <v>0</v>
      </c>
      <c r="AQ35" s="188">
        <f t="shared" si="280"/>
        <v>0</v>
      </c>
      <c r="AR35" s="188">
        <f t="shared" si="280"/>
        <v>0</v>
      </c>
      <c r="AS35" s="188">
        <f t="shared" si="280"/>
        <v>0</v>
      </c>
      <c r="AT35" s="188">
        <f t="shared" si="280"/>
        <v>0</v>
      </c>
      <c r="AU35" s="188">
        <f t="shared" si="280"/>
        <v>0</v>
      </c>
      <c r="AV35" s="188">
        <f t="shared" si="280"/>
        <v>0</v>
      </c>
      <c r="AW35" s="188">
        <f t="shared" si="280"/>
        <v>0</v>
      </c>
      <c r="AX35" s="188">
        <f t="shared" si="280"/>
        <v>0</v>
      </c>
      <c r="AY35" s="188">
        <f t="shared" si="280"/>
        <v>0</v>
      </c>
      <c r="AZ35" s="188">
        <f t="shared" si="280"/>
        <v>0</v>
      </c>
      <c r="BA35" s="188">
        <f t="shared" si="280"/>
        <v>0</v>
      </c>
      <c r="BB35" s="188">
        <f t="shared" si="280"/>
        <v>0</v>
      </c>
      <c r="BC35" s="188">
        <f t="shared" si="280"/>
        <v>0</v>
      </c>
      <c r="BD35" s="188">
        <f t="shared" si="280"/>
        <v>0</v>
      </c>
      <c r="BE35" s="188">
        <f t="shared" si="280"/>
        <v>0</v>
      </c>
      <c r="BF35" s="188">
        <f t="shared" si="280"/>
        <v>0</v>
      </c>
      <c r="BG35" s="188">
        <f t="shared" si="280"/>
        <v>0</v>
      </c>
      <c r="BH35" s="188">
        <f t="shared" si="280"/>
        <v>0</v>
      </c>
      <c r="BI35" s="188">
        <f t="shared" si="280"/>
        <v>0</v>
      </c>
      <c r="BJ35" s="188">
        <f t="shared" si="280"/>
        <v>0</v>
      </c>
      <c r="BK35" s="188">
        <f t="shared" si="280"/>
        <v>0</v>
      </c>
      <c r="BL35" s="188">
        <f t="shared" si="280"/>
        <v>0</v>
      </c>
      <c r="BM35" s="188">
        <f t="shared" si="280"/>
        <v>0</v>
      </c>
      <c r="BN35" s="188">
        <f t="shared" si="280"/>
        <v>0</v>
      </c>
      <c r="BO35" s="188">
        <f t="shared" si="280"/>
        <v>0</v>
      </c>
      <c r="BP35" s="188">
        <f t="shared" si="280"/>
        <v>0</v>
      </c>
      <c r="BQ35" s="188">
        <f t="shared" si="280"/>
        <v>0</v>
      </c>
      <c r="BR35" s="188">
        <f t="shared" si="280"/>
        <v>0</v>
      </c>
      <c r="BS35" s="188">
        <f t="shared" si="280"/>
        <v>0</v>
      </c>
      <c r="BT35" s="188">
        <f t="shared" si="280"/>
        <v>0</v>
      </c>
      <c r="BU35" s="188">
        <f t="shared" si="280"/>
        <v>0</v>
      </c>
      <c r="BV35" s="188">
        <f t="shared" si="280"/>
        <v>0</v>
      </c>
      <c r="BW35" s="188">
        <f t="shared" si="280"/>
        <v>0</v>
      </c>
      <c r="BX35" s="188">
        <f t="shared" si="280"/>
        <v>0</v>
      </c>
      <c r="BY35" s="188">
        <f t="shared" si="280"/>
        <v>0</v>
      </c>
      <c r="BZ35" s="188">
        <f t="shared" ref="BZ35:CY35" si="281">BZ36+BZ37</f>
        <v>0</v>
      </c>
      <c r="CA35" s="188">
        <f t="shared" si="281"/>
        <v>0</v>
      </c>
      <c r="CB35" s="188">
        <f t="shared" si="281"/>
        <v>0</v>
      </c>
      <c r="CC35" s="188">
        <f t="shared" si="281"/>
        <v>0</v>
      </c>
      <c r="CD35" s="188">
        <f t="shared" si="281"/>
        <v>0</v>
      </c>
      <c r="CE35" s="188">
        <f t="shared" si="281"/>
        <v>0</v>
      </c>
      <c r="CF35" s="188">
        <f t="shared" si="281"/>
        <v>0</v>
      </c>
      <c r="CG35" s="188">
        <f t="shared" si="281"/>
        <v>0</v>
      </c>
      <c r="CH35" s="188">
        <f t="shared" si="281"/>
        <v>0</v>
      </c>
      <c r="CI35" s="188">
        <f t="shared" si="281"/>
        <v>0</v>
      </c>
      <c r="CJ35" s="188">
        <f t="shared" si="281"/>
        <v>0</v>
      </c>
      <c r="CK35" s="188">
        <f t="shared" si="281"/>
        <v>0</v>
      </c>
      <c r="CL35" s="188">
        <f t="shared" si="281"/>
        <v>0</v>
      </c>
      <c r="CM35" s="188">
        <f t="shared" si="281"/>
        <v>0</v>
      </c>
      <c r="CN35" s="188">
        <f t="shared" si="281"/>
        <v>0</v>
      </c>
      <c r="CO35" s="188">
        <f t="shared" si="281"/>
        <v>0</v>
      </c>
      <c r="CP35" s="188">
        <f t="shared" si="281"/>
        <v>0</v>
      </c>
      <c r="CQ35" s="188">
        <f t="shared" si="281"/>
        <v>0</v>
      </c>
      <c r="CR35" s="188">
        <f t="shared" si="281"/>
        <v>0</v>
      </c>
      <c r="CS35" s="188">
        <f t="shared" si="281"/>
        <v>0</v>
      </c>
      <c r="CT35" s="188">
        <f t="shared" si="281"/>
        <v>0</v>
      </c>
      <c r="CU35" s="188">
        <f t="shared" si="281"/>
        <v>0</v>
      </c>
      <c r="CV35" s="188">
        <f t="shared" si="281"/>
        <v>0</v>
      </c>
      <c r="CW35" s="188">
        <f t="shared" si="281"/>
        <v>0</v>
      </c>
      <c r="CX35" s="188">
        <f t="shared" si="281"/>
        <v>0</v>
      </c>
      <c r="CY35" s="188">
        <f t="shared" si="281"/>
        <v>0</v>
      </c>
      <c r="DB35" s="101">
        <f t="shared" si="95"/>
        <v>32</v>
      </c>
      <c r="DC35" s="207">
        <f ca="1">OFFSET($C$14,0,COUNTA($DB$4:DB35))</f>
        <v>50008159.557843819</v>
      </c>
      <c r="DD35" s="207">
        <f ca="1">OFFSET($C$30,0,COUNTA($DB$4:DB35))</f>
        <v>-4.6594195762436557E-8</v>
      </c>
      <c r="DE35" s="100">
        <f ca="1">OFFSET($C$59,0,COUNTA($DB$4:DB35))</f>
        <v>8622677.7706642784</v>
      </c>
      <c r="DH35" s="101">
        <f t="shared" si="96"/>
        <v>32</v>
      </c>
      <c r="DI35" s="100">
        <f ca="1">OFFSET($C$39,0,COUNTA(DH$4:$DH35))</f>
        <v>1972428.6998339528</v>
      </c>
      <c r="DJ35" s="100">
        <f ca="1">OFFSET($C$43,0,COUNTA(DH$4:$DH35))</f>
        <v>1.8637678304974624E-8</v>
      </c>
      <c r="DK35" s="100">
        <f ca="1">OFFSET($C$45,0,COUNTA(DH$4:$DH35))</f>
        <v>256194.42819940846</v>
      </c>
      <c r="DL35" s="100">
        <f ca="1">OFFSET($C$46,0,COUNTA(DH$4:$DH35))</f>
        <v>4193605.9506781385</v>
      </c>
      <c r="DM35" s="100">
        <f ca="1">OFFSET($C$47,0,COUNTA(DH$4:$DH35))</f>
        <v>2300375.3396608159</v>
      </c>
      <c r="DN35" s="100">
        <f ca="1">OFFSET($C$48,0,COUNTA(DH$4:$DH35))</f>
        <v>71506.532617179968</v>
      </c>
      <c r="DO35" s="100">
        <f ca="1">OFFSET($C$51,0,COUNTA(DH$4:$DH35))</f>
        <v>6111459.8310332047</v>
      </c>
      <c r="DP35" s="100">
        <f ca="1">OFFSET($C$53,0,COUNTA(DH$4:$DH35))</f>
        <v>6898142.2165314229</v>
      </c>
    </row>
    <row r="36" spans="1:120" x14ac:dyDescent="0.3">
      <c r="C36" s="189" t="s">
        <v>186</v>
      </c>
      <c r="D36" s="190">
        <f>-D30*0</f>
        <v>0</v>
      </c>
      <c r="E36" s="190">
        <f t="shared" ref="E36:BP36" si="282">-E30*0</f>
        <v>0</v>
      </c>
      <c r="F36" s="190">
        <f t="shared" si="282"/>
        <v>0</v>
      </c>
      <c r="G36" s="190">
        <f t="shared" si="282"/>
        <v>0</v>
      </c>
      <c r="H36" s="190">
        <f t="shared" si="282"/>
        <v>0</v>
      </c>
      <c r="I36" s="190">
        <f t="shared" si="282"/>
        <v>0</v>
      </c>
      <c r="J36" s="190">
        <f t="shared" si="282"/>
        <v>0</v>
      </c>
      <c r="K36" s="190">
        <f t="shared" si="282"/>
        <v>0</v>
      </c>
      <c r="L36" s="190">
        <f t="shared" si="282"/>
        <v>0</v>
      </c>
      <c r="M36" s="190">
        <f t="shared" si="282"/>
        <v>0</v>
      </c>
      <c r="N36" s="190">
        <f t="shared" si="282"/>
        <v>0</v>
      </c>
      <c r="O36" s="190">
        <f t="shared" si="282"/>
        <v>0</v>
      </c>
      <c r="P36" s="190">
        <f t="shared" si="282"/>
        <v>0</v>
      </c>
      <c r="Q36" s="190">
        <f t="shared" si="282"/>
        <v>0</v>
      </c>
      <c r="R36" s="190">
        <f t="shared" si="282"/>
        <v>0</v>
      </c>
      <c r="S36" s="190">
        <f t="shared" si="282"/>
        <v>0</v>
      </c>
      <c r="T36" s="190">
        <f t="shared" si="282"/>
        <v>0</v>
      </c>
      <c r="U36" s="190">
        <f t="shared" si="282"/>
        <v>0</v>
      </c>
      <c r="V36" s="190">
        <f t="shared" si="282"/>
        <v>0</v>
      </c>
      <c r="W36" s="190">
        <f t="shared" si="282"/>
        <v>0</v>
      </c>
      <c r="X36" s="190">
        <f t="shared" si="282"/>
        <v>0</v>
      </c>
      <c r="Y36" s="190">
        <f t="shared" si="282"/>
        <v>0</v>
      </c>
      <c r="Z36" s="190">
        <f t="shared" si="282"/>
        <v>0</v>
      </c>
      <c r="AA36" s="190">
        <f t="shared" si="282"/>
        <v>0</v>
      </c>
      <c r="AB36" s="190">
        <f t="shared" si="282"/>
        <v>0</v>
      </c>
      <c r="AC36" s="190">
        <f t="shared" si="282"/>
        <v>0</v>
      </c>
      <c r="AD36" s="190">
        <f t="shared" si="282"/>
        <v>0</v>
      </c>
      <c r="AE36" s="190">
        <f t="shared" si="282"/>
        <v>0</v>
      </c>
      <c r="AF36" s="190">
        <f t="shared" si="282"/>
        <v>0</v>
      </c>
      <c r="AG36" s="190">
        <f t="shared" si="282"/>
        <v>0</v>
      </c>
      <c r="AH36" s="190">
        <f t="shared" si="282"/>
        <v>0</v>
      </c>
      <c r="AI36" s="190">
        <f t="shared" si="282"/>
        <v>0</v>
      </c>
      <c r="AJ36" s="190">
        <f t="shared" si="282"/>
        <v>0</v>
      </c>
      <c r="AK36" s="190">
        <f t="shared" si="282"/>
        <v>0</v>
      </c>
      <c r="AL36" s="190">
        <f t="shared" si="282"/>
        <v>0</v>
      </c>
      <c r="AM36" s="190">
        <f t="shared" si="282"/>
        <v>0</v>
      </c>
      <c r="AN36" s="190">
        <f t="shared" si="282"/>
        <v>0</v>
      </c>
      <c r="AO36" s="190">
        <f t="shared" si="282"/>
        <v>0</v>
      </c>
      <c r="AP36" s="190">
        <f t="shared" si="282"/>
        <v>0</v>
      </c>
      <c r="AQ36" s="190">
        <f t="shared" si="282"/>
        <v>0</v>
      </c>
      <c r="AR36" s="190">
        <f t="shared" si="282"/>
        <v>0</v>
      </c>
      <c r="AS36" s="190">
        <f t="shared" si="282"/>
        <v>0</v>
      </c>
      <c r="AT36" s="190">
        <f t="shared" si="282"/>
        <v>0</v>
      </c>
      <c r="AU36" s="190">
        <f t="shared" si="282"/>
        <v>0</v>
      </c>
      <c r="AV36" s="190">
        <f t="shared" si="282"/>
        <v>0</v>
      </c>
      <c r="AW36" s="190">
        <f t="shared" si="282"/>
        <v>0</v>
      </c>
      <c r="AX36" s="190">
        <f t="shared" si="282"/>
        <v>0</v>
      </c>
      <c r="AY36" s="190">
        <f t="shared" si="282"/>
        <v>0</v>
      </c>
      <c r="AZ36" s="190">
        <f t="shared" si="282"/>
        <v>0</v>
      </c>
      <c r="BA36" s="190">
        <f t="shared" si="282"/>
        <v>0</v>
      </c>
      <c r="BB36" s="190">
        <f t="shared" si="282"/>
        <v>0</v>
      </c>
      <c r="BC36" s="190">
        <f t="shared" si="282"/>
        <v>0</v>
      </c>
      <c r="BD36" s="190">
        <f t="shared" si="282"/>
        <v>0</v>
      </c>
      <c r="BE36" s="190">
        <f t="shared" si="282"/>
        <v>0</v>
      </c>
      <c r="BF36" s="190">
        <f t="shared" si="282"/>
        <v>0</v>
      </c>
      <c r="BG36" s="190">
        <f t="shared" si="282"/>
        <v>0</v>
      </c>
      <c r="BH36" s="190">
        <f t="shared" si="282"/>
        <v>0</v>
      </c>
      <c r="BI36" s="190">
        <f t="shared" si="282"/>
        <v>0</v>
      </c>
      <c r="BJ36" s="190">
        <f t="shared" si="282"/>
        <v>0</v>
      </c>
      <c r="BK36" s="190">
        <f t="shared" si="282"/>
        <v>0</v>
      </c>
      <c r="BL36" s="190">
        <f t="shared" si="282"/>
        <v>0</v>
      </c>
      <c r="BM36" s="190">
        <f t="shared" si="282"/>
        <v>0</v>
      </c>
      <c r="BN36" s="190">
        <f t="shared" si="282"/>
        <v>0</v>
      </c>
      <c r="BO36" s="190">
        <f t="shared" si="282"/>
        <v>0</v>
      </c>
      <c r="BP36" s="190">
        <f t="shared" si="282"/>
        <v>0</v>
      </c>
      <c r="BQ36" s="190">
        <f t="shared" ref="BQ36:CY36" si="283">-BQ30*0</f>
        <v>0</v>
      </c>
      <c r="BR36" s="190">
        <f t="shared" si="283"/>
        <v>0</v>
      </c>
      <c r="BS36" s="190">
        <f t="shared" si="283"/>
        <v>0</v>
      </c>
      <c r="BT36" s="190">
        <f t="shared" si="283"/>
        <v>0</v>
      </c>
      <c r="BU36" s="190">
        <f t="shared" si="283"/>
        <v>0</v>
      </c>
      <c r="BV36" s="190">
        <f t="shared" si="283"/>
        <v>0</v>
      </c>
      <c r="BW36" s="190">
        <f t="shared" si="283"/>
        <v>0</v>
      </c>
      <c r="BX36" s="190">
        <f t="shared" si="283"/>
        <v>0</v>
      </c>
      <c r="BY36" s="190">
        <f t="shared" si="283"/>
        <v>0</v>
      </c>
      <c r="BZ36" s="190">
        <f t="shared" si="283"/>
        <v>0</v>
      </c>
      <c r="CA36" s="190">
        <f t="shared" si="283"/>
        <v>0</v>
      </c>
      <c r="CB36" s="190">
        <f t="shared" si="283"/>
        <v>0</v>
      </c>
      <c r="CC36" s="190">
        <f t="shared" si="283"/>
        <v>0</v>
      </c>
      <c r="CD36" s="190">
        <f t="shared" si="283"/>
        <v>0</v>
      </c>
      <c r="CE36" s="190">
        <f t="shared" si="283"/>
        <v>0</v>
      </c>
      <c r="CF36" s="190">
        <f t="shared" si="283"/>
        <v>0</v>
      </c>
      <c r="CG36" s="190">
        <f t="shared" si="283"/>
        <v>0</v>
      </c>
      <c r="CH36" s="190">
        <f t="shared" si="283"/>
        <v>0</v>
      </c>
      <c r="CI36" s="190">
        <f t="shared" si="283"/>
        <v>0</v>
      </c>
      <c r="CJ36" s="190">
        <f t="shared" si="283"/>
        <v>0</v>
      </c>
      <c r="CK36" s="190">
        <f t="shared" si="283"/>
        <v>0</v>
      </c>
      <c r="CL36" s="190">
        <f t="shared" si="283"/>
        <v>0</v>
      </c>
      <c r="CM36" s="190">
        <f t="shared" si="283"/>
        <v>0</v>
      </c>
      <c r="CN36" s="190">
        <f t="shared" si="283"/>
        <v>0</v>
      </c>
      <c r="CO36" s="190">
        <f t="shared" si="283"/>
        <v>0</v>
      </c>
      <c r="CP36" s="190">
        <f t="shared" si="283"/>
        <v>0</v>
      </c>
      <c r="CQ36" s="190">
        <f t="shared" si="283"/>
        <v>0</v>
      </c>
      <c r="CR36" s="190">
        <f t="shared" si="283"/>
        <v>0</v>
      </c>
      <c r="CS36" s="190">
        <f t="shared" si="283"/>
        <v>0</v>
      </c>
      <c r="CT36" s="190">
        <f t="shared" si="283"/>
        <v>0</v>
      </c>
      <c r="CU36" s="190">
        <f t="shared" si="283"/>
        <v>0</v>
      </c>
      <c r="CV36" s="190">
        <f t="shared" si="283"/>
        <v>0</v>
      </c>
      <c r="CW36" s="190">
        <f t="shared" si="283"/>
        <v>0</v>
      </c>
      <c r="CX36" s="190">
        <f t="shared" si="283"/>
        <v>0</v>
      </c>
      <c r="CY36" s="190">
        <f t="shared" si="283"/>
        <v>0</v>
      </c>
      <c r="DB36" s="101">
        <f t="shared" si="95"/>
        <v>33</v>
      </c>
      <c r="DC36" s="207">
        <f ca="1">OFFSET($C$14,0,COUNTA($DB$4:DB36))</f>
        <v>48054350.341774866</v>
      </c>
      <c r="DD36" s="207">
        <f ca="1">OFFSET($C$30,0,COUNTA($DB$4:DB36))</f>
        <v>-5.2784245924112919E-8</v>
      </c>
      <c r="DE36" s="100">
        <f ca="1">OFFSET($C$59,0,COUNTA($DB$4:DB36))</f>
        <v>8263804.2789453594</v>
      </c>
      <c r="DH36" s="101">
        <f t="shared" si="96"/>
        <v>33</v>
      </c>
      <c r="DI36" s="100">
        <f ca="1">OFFSET($C$39,0,COUNTA(DH$4:$DH36))</f>
        <v>1856135.3723690719</v>
      </c>
      <c r="DJ36" s="100">
        <f ca="1">OFFSET($C$43,0,COUNTA(DH$4:$DH36))</f>
        <v>2.1113698369645168E-8</v>
      </c>
      <c r="DK36" s="100">
        <f ca="1">OFFSET($C$45,0,COUNTA(DH$4:$DH36))</f>
        <v>244222.59467257105</v>
      </c>
      <c r="DL36" s="100">
        <f ca="1">OFFSET($C$46,0,COUNTA(DH$4:$DH36))</f>
        <v>4029762.5693691499</v>
      </c>
      <c r="DM36" s="100">
        <f ca="1">OFFSET($C$47,0,COUNTA(DH$4:$DH36))</f>
        <v>2210500.1157216444</v>
      </c>
      <c r="DN36" s="100">
        <f ca="1">OFFSET($C$48,0,COUNTA(DH$4:$DH36))</f>
        <v>65904.830644532791</v>
      </c>
      <c r="DO36" s="100">
        <f ca="1">OFFSET($C$51,0,COUNTA(DH$4:$DH36))</f>
        <v>5857102.543494923</v>
      </c>
      <c r="DP36" s="100">
        <f ca="1">OFFSET($C$53,0,COUNTA(DH$4:$DH36))</f>
        <v>6611043.4231562875</v>
      </c>
    </row>
    <row r="37" spans="1:120" x14ac:dyDescent="0.3">
      <c r="C37" s="189" t="s">
        <v>187</v>
      </c>
      <c r="D37" s="190">
        <v>0</v>
      </c>
      <c r="E37" s="190">
        <v>0</v>
      </c>
      <c r="F37" s="190">
        <v>0</v>
      </c>
      <c r="G37" s="190">
        <v>0</v>
      </c>
      <c r="H37" s="190">
        <v>0</v>
      </c>
      <c r="I37" s="190">
        <v>0</v>
      </c>
      <c r="J37" s="190">
        <v>0</v>
      </c>
      <c r="K37" s="190">
        <v>0</v>
      </c>
      <c r="L37" s="190">
        <v>0</v>
      </c>
      <c r="M37" s="190">
        <v>0</v>
      </c>
      <c r="N37" s="190">
        <v>0</v>
      </c>
      <c r="O37" s="190">
        <v>0</v>
      </c>
      <c r="P37" s="190">
        <v>0</v>
      </c>
      <c r="Q37" s="190">
        <v>0</v>
      </c>
      <c r="R37" s="190">
        <v>0</v>
      </c>
      <c r="S37" s="190">
        <v>0</v>
      </c>
      <c r="T37" s="190">
        <v>0</v>
      </c>
      <c r="U37" s="190">
        <v>0</v>
      </c>
      <c r="V37" s="190">
        <v>0</v>
      </c>
      <c r="W37" s="190">
        <v>0</v>
      </c>
      <c r="X37" s="190">
        <v>0</v>
      </c>
      <c r="Y37" s="190">
        <v>0</v>
      </c>
      <c r="Z37" s="190">
        <v>0</v>
      </c>
      <c r="AA37" s="190">
        <v>0</v>
      </c>
      <c r="AB37" s="190">
        <v>0</v>
      </c>
      <c r="AC37" s="190">
        <v>0</v>
      </c>
      <c r="AD37" s="190">
        <v>0</v>
      </c>
      <c r="AE37" s="190">
        <v>0</v>
      </c>
      <c r="AF37" s="190">
        <v>0</v>
      </c>
      <c r="AG37" s="190">
        <v>0</v>
      </c>
      <c r="AH37" s="190">
        <v>0</v>
      </c>
      <c r="AI37" s="190">
        <v>0</v>
      </c>
      <c r="AJ37" s="190">
        <v>0</v>
      </c>
      <c r="AK37" s="190">
        <v>0</v>
      </c>
      <c r="AL37" s="190">
        <v>0</v>
      </c>
      <c r="AM37" s="190">
        <v>0</v>
      </c>
      <c r="AN37" s="190">
        <v>0</v>
      </c>
      <c r="AO37" s="190">
        <v>0</v>
      </c>
      <c r="AP37" s="190">
        <v>0</v>
      </c>
      <c r="AQ37" s="190">
        <v>0</v>
      </c>
      <c r="AR37" s="190">
        <v>0</v>
      </c>
      <c r="AS37" s="190">
        <v>0</v>
      </c>
      <c r="AT37" s="190">
        <v>0</v>
      </c>
      <c r="AU37" s="190">
        <v>0</v>
      </c>
      <c r="AV37" s="190">
        <v>0</v>
      </c>
      <c r="AW37" s="190">
        <v>0</v>
      </c>
      <c r="AX37" s="190">
        <v>0</v>
      </c>
      <c r="AY37" s="190">
        <v>0</v>
      </c>
      <c r="AZ37" s="190">
        <v>0</v>
      </c>
      <c r="BA37" s="190">
        <v>0</v>
      </c>
      <c r="BB37" s="190">
        <v>0</v>
      </c>
      <c r="BC37" s="190">
        <v>0</v>
      </c>
      <c r="BD37" s="190">
        <v>0</v>
      </c>
      <c r="BE37" s="190">
        <v>0</v>
      </c>
      <c r="BF37" s="190">
        <v>0</v>
      </c>
      <c r="BG37" s="190">
        <v>0</v>
      </c>
      <c r="BH37" s="190">
        <v>0</v>
      </c>
      <c r="BI37" s="190">
        <v>0</v>
      </c>
      <c r="BJ37" s="190">
        <v>0</v>
      </c>
      <c r="BK37" s="190">
        <v>0</v>
      </c>
      <c r="BL37" s="190">
        <v>0</v>
      </c>
      <c r="BM37" s="190">
        <v>0</v>
      </c>
      <c r="BN37" s="190">
        <v>0</v>
      </c>
      <c r="BO37" s="190">
        <v>0</v>
      </c>
      <c r="BP37" s="190">
        <v>0</v>
      </c>
      <c r="BQ37" s="190">
        <v>0</v>
      </c>
      <c r="BR37" s="190">
        <v>0</v>
      </c>
      <c r="BS37" s="190">
        <v>0</v>
      </c>
      <c r="BT37" s="190">
        <v>0</v>
      </c>
      <c r="BU37" s="190">
        <v>0</v>
      </c>
      <c r="BV37" s="190">
        <v>0</v>
      </c>
      <c r="BW37" s="190">
        <v>0</v>
      </c>
      <c r="BX37" s="190">
        <v>0</v>
      </c>
      <c r="BY37" s="190">
        <v>0</v>
      </c>
      <c r="BZ37" s="190">
        <v>0</v>
      </c>
      <c r="CA37" s="190">
        <v>0</v>
      </c>
      <c r="CB37" s="190">
        <v>0</v>
      </c>
      <c r="CC37" s="190">
        <v>0</v>
      </c>
      <c r="CD37" s="190">
        <v>0</v>
      </c>
      <c r="CE37" s="190">
        <v>0</v>
      </c>
      <c r="CF37" s="190">
        <v>0</v>
      </c>
      <c r="CG37" s="190">
        <v>0</v>
      </c>
      <c r="CH37" s="190">
        <v>0</v>
      </c>
      <c r="CI37" s="190">
        <v>0</v>
      </c>
      <c r="CJ37" s="190">
        <v>0</v>
      </c>
      <c r="CK37" s="190">
        <v>0</v>
      </c>
      <c r="CL37" s="190">
        <v>0</v>
      </c>
      <c r="CM37" s="190">
        <v>0</v>
      </c>
      <c r="CN37" s="190">
        <v>0</v>
      </c>
      <c r="CO37" s="190">
        <v>0</v>
      </c>
      <c r="CP37" s="190">
        <v>0</v>
      </c>
      <c r="CQ37" s="190">
        <v>0</v>
      </c>
      <c r="CR37" s="190">
        <v>0</v>
      </c>
      <c r="CS37" s="190">
        <v>0</v>
      </c>
      <c r="CT37" s="190">
        <v>0</v>
      </c>
      <c r="CU37" s="190">
        <v>0</v>
      </c>
      <c r="CV37" s="190">
        <v>0</v>
      </c>
      <c r="CW37" s="190">
        <v>0</v>
      </c>
      <c r="CX37" s="190">
        <v>0</v>
      </c>
      <c r="CY37" s="190">
        <v>0</v>
      </c>
      <c r="DB37" s="101">
        <f t="shared" si="95"/>
        <v>34</v>
      </c>
      <c r="DC37" s="207">
        <f ca="1">OFFSET($C$14,0,COUNTA($DB$4:DB37))</f>
        <v>45904486.001413874</v>
      </c>
      <c r="DD37" s="207">
        <f ca="1">OFFSET($C$30,0,COUNTA($DB$4:DB37))</f>
        <v>-6.0775037951004218E-8</v>
      </c>
      <c r="DE37" s="100">
        <f ca="1">OFFSET($C$59,0,COUNTA($DB$4:DB37))</f>
        <v>7878862.8171369992</v>
      </c>
      <c r="DH37" s="101">
        <f t="shared" si="96"/>
        <v>34</v>
      </c>
      <c r="DI37" s="100">
        <f ca="1">OFFSET($C$39,0,COUNTA(DH$4:$DH37))</f>
        <v>1746288.6565977482</v>
      </c>
      <c r="DJ37" s="100">
        <f ca="1">OFFSET($C$43,0,COUNTA(DH$4:$DH37))</f>
        <v>2.4310015180401688E-8</v>
      </c>
      <c r="DK37" s="100">
        <f ca="1">OFFSET($C$45,0,COUNTA(DH$4:$DH37))</f>
        <v>232541.31097550114</v>
      </c>
      <c r="DL37" s="100">
        <f ca="1">OFFSET($C$46,0,COUNTA(DH$4:$DH37))</f>
        <v>3849478.312347848</v>
      </c>
      <c r="DM37" s="100">
        <f ca="1">OFFSET($C$47,0,COUNTA(DH$4:$DH37))</f>
        <v>2111606.3560650381</v>
      </c>
      <c r="DN37" s="100">
        <f ca="1">OFFSET($C$48,0,COUNTA(DH$4:$DH37))</f>
        <v>60724.374617571753</v>
      </c>
      <c r="DO37" s="100">
        <f ca="1">OFFSET($C$51,0,COUNTA(DH$4:$DH37))</f>
        <v>5584269.1680967659</v>
      </c>
      <c r="DP37" s="100">
        <f ca="1">OFFSET($C$53,0,COUNTA(DH$4:$DH37))</f>
        <v>6303090.2537095994</v>
      </c>
    </row>
    <row r="38" spans="1:120" x14ac:dyDescent="0.3">
      <c r="C38" s="2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186"/>
      <c r="BS38" s="186"/>
      <c r="BT38" s="186"/>
      <c r="BU38" s="186"/>
      <c r="BV38" s="186"/>
      <c r="BW38" s="186"/>
      <c r="BX38" s="186"/>
      <c r="BY38" s="186"/>
      <c r="BZ38" s="186"/>
      <c r="CA38" s="186"/>
      <c r="CB38" s="186"/>
      <c r="CC38" s="186"/>
      <c r="CD38" s="186"/>
      <c r="CE38" s="186"/>
      <c r="CF38" s="186"/>
      <c r="CG38" s="186"/>
      <c r="CH38" s="186"/>
      <c r="CI38" s="186"/>
      <c r="CJ38" s="186"/>
      <c r="CK38" s="186"/>
      <c r="CL38" s="186"/>
      <c r="CM38" s="186"/>
      <c r="CN38" s="186"/>
      <c r="CO38" s="186"/>
      <c r="CP38" s="186"/>
      <c r="CQ38" s="186"/>
      <c r="CR38" s="186"/>
      <c r="CS38" s="186"/>
      <c r="CT38" s="186"/>
      <c r="CU38" s="186"/>
      <c r="CV38" s="186"/>
      <c r="CW38" s="186"/>
      <c r="CX38" s="186"/>
      <c r="CY38" s="186"/>
      <c r="DB38" s="101">
        <f t="shared" si="95"/>
        <v>35</v>
      </c>
      <c r="DC38" s="207">
        <f ca="1">OFFSET($C$14,0,COUNTA($DB$4:DB38))</f>
        <v>43816599.868151531</v>
      </c>
      <c r="DD38" s="207">
        <f ca="1">OFFSET($C$30,0,COUNTA($DB$4:DB38))</f>
        <v>-7.1241850042566048E-8</v>
      </c>
      <c r="DE38" s="100">
        <f ca="1">OFFSET($C$59,0,COUNTA($DB$4:DB38))</f>
        <v>7506305.8294549212</v>
      </c>
      <c r="DH38" s="101">
        <f t="shared" si="96"/>
        <v>35</v>
      </c>
      <c r="DI38" s="100">
        <f ca="1">OFFSET($C$39,0,COUNTA(DH$4:$DH38))</f>
        <v>1641481.013454014</v>
      </c>
      <c r="DJ38" s="100">
        <f ca="1">OFFSET($C$43,0,COUNTA(DH$4:$DH38))</f>
        <v>2.8496740017026421E-8</v>
      </c>
      <c r="DK38" s="100">
        <f ca="1">OFFSET($C$45,0,COUNTA(DH$4:$DH38))</f>
        <v>221093.83554319688</v>
      </c>
      <c r="DL38" s="100">
        <f ca="1">OFFSET($C$46,0,COUNTA(DH$4:$DH38))</f>
        <v>3674391.4507196047</v>
      </c>
      <c r="DM38" s="100">
        <f ca="1">OFFSET($C$47,0,COUNTA(DH$4:$DH38))</f>
        <v>2015563.5939349704</v>
      </c>
      <c r="DN38" s="100">
        <f ca="1">OFFSET($C$48,0,COUNTA(DH$4:$DH38))</f>
        <v>55903.352686552498</v>
      </c>
      <c r="DO38" s="100">
        <f ca="1">OFFSET($C$51,0,COUNTA(DH$4:$DH38))</f>
        <v>5320213.4854483875</v>
      </c>
      <c r="DP38" s="100">
        <f ca="1">OFFSET($C$53,0,COUNTA(DH$4:$DH38))</f>
        <v>6005044.6635639369</v>
      </c>
    </row>
    <row r="39" spans="1:120" x14ac:dyDescent="0.3">
      <c r="C39" s="4" t="s">
        <v>188</v>
      </c>
      <c r="D39" s="25">
        <f>IFERROR((45*D40)/(D41^0.5),0)</f>
        <v>1052058.0804174191</v>
      </c>
      <c r="E39" s="25">
        <f t="shared" ref="E39:BP39" si="284">IFERROR((45*E40)/(E41^0.5),0)</f>
        <v>1626527.573159198</v>
      </c>
      <c r="F39" s="25">
        <f t="shared" si="284"/>
        <v>2256382.5704091932</v>
      </c>
      <c r="G39" s="25">
        <f t="shared" si="284"/>
        <v>2786194.9200893706</v>
      </c>
      <c r="H39" s="25">
        <f t="shared" si="284"/>
        <v>3290692.9821776887</v>
      </c>
      <c r="I39" s="25">
        <f t="shared" si="284"/>
        <v>3799562.8783147372</v>
      </c>
      <c r="J39" s="25">
        <f t="shared" si="284"/>
        <v>4256844.6469965074</v>
      </c>
      <c r="K39" s="25">
        <f t="shared" si="284"/>
        <v>4700751.8487585383</v>
      </c>
      <c r="L39" s="25">
        <f t="shared" si="284"/>
        <v>5149259.8456823779</v>
      </c>
      <c r="M39" s="25">
        <f t="shared" si="284"/>
        <v>5620965.9372872813</v>
      </c>
      <c r="N39" s="25">
        <f t="shared" si="284"/>
        <v>5804348.1044176631</v>
      </c>
      <c r="O39" s="25">
        <f t="shared" si="284"/>
        <v>5402790.2592340391</v>
      </c>
      <c r="P39" s="25">
        <f t="shared" si="284"/>
        <v>5156685.4514101632</v>
      </c>
      <c r="Q39" s="25">
        <f t="shared" si="284"/>
        <v>4937749.7184161041</v>
      </c>
      <c r="R39" s="25">
        <f t="shared" si="284"/>
        <v>4745041.5397027042</v>
      </c>
      <c r="S39" s="25">
        <f t="shared" si="284"/>
        <v>4534661.5883688629</v>
      </c>
      <c r="T39" s="25">
        <f t="shared" si="284"/>
        <v>4337523.9056986272</v>
      </c>
      <c r="U39" s="25">
        <f t="shared" si="284"/>
        <v>4151703.2960892199</v>
      </c>
      <c r="V39" s="25">
        <f t="shared" si="284"/>
        <v>3979910.5860031475</v>
      </c>
      <c r="W39" s="25">
        <f t="shared" si="284"/>
        <v>3822904.6846524179</v>
      </c>
      <c r="X39" s="25">
        <f t="shared" si="284"/>
        <v>3605016.9657708434</v>
      </c>
      <c r="Y39" s="25">
        <f t="shared" si="284"/>
        <v>3410356.7815839979</v>
      </c>
      <c r="Z39" s="25">
        <f t="shared" si="284"/>
        <v>3221402.0093842573</v>
      </c>
      <c r="AA39" s="25">
        <f t="shared" si="284"/>
        <v>3038687.8336528577</v>
      </c>
      <c r="AB39" s="25">
        <f t="shared" si="284"/>
        <v>2866142.7893937817</v>
      </c>
      <c r="AC39" s="25">
        <f t="shared" si="284"/>
        <v>2701315.5790436738</v>
      </c>
      <c r="AD39" s="25">
        <f t="shared" si="284"/>
        <v>2558700.5723737567</v>
      </c>
      <c r="AE39" s="25">
        <f t="shared" si="284"/>
        <v>2430915.7319334266</v>
      </c>
      <c r="AF39" s="25">
        <f t="shared" si="284"/>
        <v>2322372.6914376551</v>
      </c>
      <c r="AG39" s="25">
        <f t="shared" si="284"/>
        <v>2240555.9668490882</v>
      </c>
      <c r="AH39" s="25">
        <f t="shared" si="284"/>
        <v>2096820.5814870656</v>
      </c>
      <c r="AI39" s="25">
        <f t="shared" si="284"/>
        <v>1972428.6998339528</v>
      </c>
      <c r="AJ39" s="25">
        <f t="shared" si="284"/>
        <v>1856135.3723690719</v>
      </c>
      <c r="AK39" s="25">
        <f t="shared" si="284"/>
        <v>1746288.6565977482</v>
      </c>
      <c r="AL39" s="25">
        <f t="shared" si="284"/>
        <v>1641481.013454014</v>
      </c>
      <c r="AM39" s="25">
        <f t="shared" si="284"/>
        <v>1539601.742434978</v>
      </c>
      <c r="AN39" s="25">
        <f t="shared" si="284"/>
        <v>1449273.1263705343</v>
      </c>
      <c r="AO39" s="25">
        <f t="shared" si="284"/>
        <v>1361596.7578886985</v>
      </c>
      <c r="AP39" s="25">
        <f t="shared" si="284"/>
        <v>1276605.1129957037</v>
      </c>
      <c r="AQ39" s="25">
        <f t="shared" si="284"/>
        <v>1194187.0948070958</v>
      </c>
      <c r="AR39" s="25">
        <f t="shared" si="284"/>
        <v>1113972.958849068</v>
      </c>
      <c r="AS39" s="25">
        <f t="shared" si="284"/>
        <v>1039132.0477190553</v>
      </c>
      <c r="AT39" s="25">
        <f t="shared" si="284"/>
        <v>966815.27935646637</v>
      </c>
      <c r="AU39" s="25">
        <f t="shared" si="284"/>
        <v>897004.19465543109</v>
      </c>
      <c r="AV39" s="25">
        <f t="shared" si="284"/>
        <v>829766.50508374453</v>
      </c>
      <c r="AW39" s="25">
        <f t="shared" si="284"/>
        <v>764837.62503657478</v>
      </c>
      <c r="AX39" s="25">
        <f t="shared" si="284"/>
        <v>704451.47200255073</v>
      </c>
      <c r="AY39" s="25">
        <f t="shared" si="284"/>
        <v>647095.86068584339</v>
      </c>
      <c r="AZ39" s="25">
        <f t="shared" si="284"/>
        <v>593171.60173344123</v>
      </c>
      <c r="BA39" s="25">
        <f t="shared" si="284"/>
        <v>542984.15232261328</v>
      </c>
      <c r="BB39" s="25">
        <f t="shared" si="284"/>
        <v>496597.59416279872</v>
      </c>
      <c r="BC39" s="25">
        <f t="shared" si="284"/>
        <v>454238.51889570983</v>
      </c>
      <c r="BD39" s="25">
        <f t="shared" si="284"/>
        <v>415472.90007699194</v>
      </c>
      <c r="BE39" s="25">
        <f t="shared" si="284"/>
        <v>379863.43109077064</v>
      </c>
      <c r="BF39" s="25">
        <f t="shared" si="284"/>
        <v>347023.433329897</v>
      </c>
      <c r="BG39" s="25">
        <f t="shared" si="284"/>
        <v>316042.5860631151</v>
      </c>
      <c r="BH39" s="25">
        <f t="shared" si="284"/>
        <v>288799.06073313655</v>
      </c>
      <c r="BI39" s="25">
        <f t="shared" si="284"/>
        <v>263238.94235369132</v>
      </c>
      <c r="BJ39" s="25">
        <f t="shared" si="284"/>
        <v>239319.02607085931</v>
      </c>
      <c r="BK39" s="25">
        <f t="shared" si="284"/>
        <v>216967.33128771745</v>
      </c>
      <c r="BL39" s="25">
        <f t="shared" si="284"/>
        <v>196026.5844535527</v>
      </c>
      <c r="BM39" s="25">
        <f t="shared" si="284"/>
        <v>176449.42788882868</v>
      </c>
      <c r="BN39" s="25">
        <f t="shared" si="284"/>
        <v>158034.12446910713</v>
      </c>
      <c r="BO39" s="25">
        <f t="shared" si="284"/>
        <v>140725.69991630412</v>
      </c>
      <c r="BP39" s="25">
        <f t="shared" si="284"/>
        <v>124486.93304046952</v>
      </c>
      <c r="BQ39" s="25">
        <f t="shared" ref="BQ39:CY39" si="285">IFERROR((45*BQ40)/(BQ41^0.5),0)</f>
        <v>109154.10777880556</v>
      </c>
      <c r="BR39" s="25">
        <f t="shared" si="285"/>
        <v>95090.030892773852</v>
      </c>
      <c r="BS39" s="25">
        <f t="shared" si="285"/>
        <v>81962.265501868809</v>
      </c>
      <c r="BT39" s="25">
        <f t="shared" si="285"/>
        <v>69813.898944266941</v>
      </c>
      <c r="BU39" s="25">
        <f t="shared" si="285"/>
        <v>58717.023515150919</v>
      </c>
      <c r="BV39" s="25">
        <f t="shared" si="285"/>
        <v>48482.604131225045</v>
      </c>
      <c r="BW39" s="25">
        <f t="shared" si="285"/>
        <v>39946.190079752807</v>
      </c>
      <c r="BX39" s="25">
        <f t="shared" si="285"/>
        <v>32629.872927614852</v>
      </c>
      <c r="BY39" s="25">
        <f t="shared" si="285"/>
        <v>26413.752768711667</v>
      </c>
      <c r="BZ39" s="25">
        <f t="shared" si="285"/>
        <v>21176.394356619159</v>
      </c>
      <c r="CA39" s="25">
        <f t="shared" si="285"/>
        <v>15512.13760947216</v>
      </c>
      <c r="CB39" s="25">
        <f t="shared" si="285"/>
        <v>12705.948702229345</v>
      </c>
      <c r="CC39" s="25">
        <f t="shared" si="285"/>
        <v>10325.818472078628</v>
      </c>
      <c r="CD39" s="25">
        <f t="shared" si="285"/>
        <v>8320.8765862592336</v>
      </c>
      <c r="CE39" s="25">
        <f t="shared" si="285"/>
        <v>6661.3675421753778</v>
      </c>
      <c r="CF39" s="25">
        <f t="shared" si="285"/>
        <v>4772.5381326066363</v>
      </c>
      <c r="CG39" s="25">
        <f t="shared" si="285"/>
        <v>3800.711752944967</v>
      </c>
      <c r="CH39" s="25">
        <f t="shared" si="285"/>
        <v>3005.93132940652</v>
      </c>
      <c r="CI39" s="25">
        <f t="shared" si="285"/>
        <v>2443.8457402339318</v>
      </c>
      <c r="CJ39" s="25">
        <f t="shared" si="285"/>
        <v>0</v>
      </c>
      <c r="CK39" s="25">
        <f t="shared" si="285"/>
        <v>0</v>
      </c>
      <c r="CL39" s="25">
        <f t="shared" si="285"/>
        <v>0</v>
      </c>
      <c r="CM39" s="25">
        <f t="shared" si="285"/>
        <v>0</v>
      </c>
      <c r="CN39" s="25">
        <f t="shared" si="285"/>
        <v>0</v>
      </c>
      <c r="CO39" s="25">
        <f t="shared" si="285"/>
        <v>0</v>
      </c>
      <c r="CP39" s="25">
        <f t="shared" si="285"/>
        <v>0</v>
      </c>
      <c r="CQ39" s="25">
        <f t="shared" si="285"/>
        <v>0</v>
      </c>
      <c r="CR39" s="25">
        <f t="shared" si="285"/>
        <v>0</v>
      </c>
      <c r="CS39" s="25">
        <f t="shared" si="285"/>
        <v>0</v>
      </c>
      <c r="CT39" s="25">
        <f t="shared" si="285"/>
        <v>0</v>
      </c>
      <c r="CU39" s="25">
        <f t="shared" si="285"/>
        <v>0</v>
      </c>
      <c r="CV39" s="25">
        <f t="shared" si="285"/>
        <v>0</v>
      </c>
      <c r="CW39" s="25">
        <f t="shared" si="285"/>
        <v>0</v>
      </c>
      <c r="CX39" s="25">
        <f t="shared" si="285"/>
        <v>0</v>
      </c>
      <c r="CY39" s="25">
        <f t="shared" si="285"/>
        <v>0</v>
      </c>
      <c r="DB39" s="101">
        <f t="shared" si="95"/>
        <v>36</v>
      </c>
      <c r="DC39" s="207">
        <f ca="1">OFFSET($C$14,0,COUNTA($DB$4:DB39))</f>
        <v>41647771.299021095</v>
      </c>
      <c r="DD39" s="207">
        <f ca="1">OFFSET($C$30,0,COUNTA($DB$4:DB39))</f>
        <v>0</v>
      </c>
      <c r="DE39" s="100">
        <f ca="1">OFFSET($C$59,0,COUNTA($DB$4:DB39))</f>
        <v>7123257.0851409063</v>
      </c>
      <c r="DH39" s="101">
        <f t="shared" si="96"/>
        <v>36</v>
      </c>
      <c r="DI39" s="100">
        <f ca="1">OFFSET($C$39,0,COUNTA(DH$4:$DH39))</f>
        <v>1539601.742434978</v>
      </c>
      <c r="DJ39" s="100">
        <f ca="1">OFFSET($C$43,0,COUNTA(DH$4:$DH39))</f>
        <v>0</v>
      </c>
      <c r="DK39" s="100">
        <f ca="1">OFFSET($C$45,0,COUNTA(DH$4:$DH39))</f>
        <v>209838.93938947926</v>
      </c>
      <c r="DL39" s="100">
        <f ca="1">OFFSET($C$46,0,COUNTA(DH$4:$DH39))</f>
        <v>3492516.8831705661</v>
      </c>
      <c r="DM39" s="100">
        <f ca="1">OFFSET($C$47,0,COUNTA(DH$4:$DH39))</f>
        <v>1915797.4797549706</v>
      </c>
      <c r="DN39" s="100">
        <f ca="1">OFFSET($C$48,0,COUNTA(DH$4:$DH39))</f>
        <v>51390.804977540902</v>
      </c>
      <c r="DO39" s="100">
        <f ca="1">OFFSET($C$51,0,COUNTA(DH$4:$DH39))</f>
        <v>5048721.6036379337</v>
      </c>
      <c r="DP39" s="100">
        <f ca="1">OFFSET($C$53,0,COUNTA(DH$4:$DH39))</f>
        <v>5698605.668112725</v>
      </c>
    </row>
    <row r="40" spans="1:120" x14ac:dyDescent="0.3">
      <c r="C40" s="2" t="s">
        <v>189</v>
      </c>
      <c r="D40" s="112">
        <f>-('Combined IFRS17 Cashflows'!F56/'Combined IFRS17 Cashflows'!F53)*'Combined IFRS17 Cashflows'!F14</f>
        <v>1335298.8683891173</v>
      </c>
      <c r="E40" s="112">
        <f>-('Combined IFRS17 Cashflows'!G56/'Combined IFRS17 Cashflows'!G53)*'Combined IFRS17 Cashflows'!G14</f>
        <v>4569687.8783684596</v>
      </c>
      <c r="F40" s="112">
        <f>-('Combined IFRS17 Cashflows'!H56/'Combined IFRS17 Cashflows'!H53)*'Combined IFRS17 Cashflows'!H14</f>
        <v>8785654.0191708095</v>
      </c>
      <c r="G40" s="112">
        <f>-('Combined IFRS17 Cashflows'!I56/'Combined IFRS17 Cashflows'!I53)*'Combined IFRS17 Cashflows'!I14</f>
        <v>13392354.597595302</v>
      </c>
      <c r="H40" s="112">
        <f>-('Combined IFRS17 Cashflows'!J56/'Combined IFRS17 Cashflows'!J53)*'Combined IFRS17 Cashflows'!J14</f>
        <v>18997232.319985099</v>
      </c>
      <c r="I40" s="112">
        <f>-('Combined IFRS17 Cashflows'!K56/'Combined IFRS17 Cashflows'!K53)*'Combined IFRS17 Cashflows'!K14</f>
        <v>25121201.792826649</v>
      </c>
      <c r="J40" s="112">
        <f>-('Combined IFRS17 Cashflows'!L56/'Combined IFRS17 Cashflows'!L53)*'Combined IFRS17 Cashflows'!L14</f>
        <v>31463883.599618845</v>
      </c>
      <c r="K40" s="112">
        <f>-('Combined IFRS17 Cashflows'!M56/'Combined IFRS17 Cashflows'!M53)*'Combined IFRS17 Cashflows'!M14</f>
        <v>38368983.93000266</v>
      </c>
      <c r="L40" s="112">
        <f>-('Combined IFRS17 Cashflows'!N56/'Combined IFRS17 Cashflows'!N53)*'Combined IFRS17 Cashflows'!N14</f>
        <v>46113383.083614506</v>
      </c>
      <c r="M40" s="112">
        <f>-('Combined IFRS17 Cashflows'!$O$56/'Combined IFRS17 Cashflows'!$O$53)*'Combined IFRS17 Cashflows'!O14</f>
        <v>55056199.757472277</v>
      </c>
      <c r="N40" s="112">
        <f>-('Combined IFRS17 Cashflows'!$O$56/'Combined IFRS17 Cashflows'!$O$53)*'Combined IFRS17 Cashflows'!P14</f>
        <v>53987997.031810418</v>
      </c>
      <c r="O40" s="112">
        <f>-('Combined IFRS17 Cashflows'!$O$56/'Combined IFRS17 Cashflows'!$O$53)*'Combined IFRS17 Cashflows'!Q14</f>
        <v>48083097.679288737</v>
      </c>
      <c r="P40" s="112">
        <f>-('Combined IFRS17 Cashflows'!$O$56/'Combined IFRS17 Cashflows'!$O$53)*'Combined IFRS17 Cashflows'!R14</f>
        <v>43821524.407050453</v>
      </c>
      <c r="Q40" s="112">
        <f>-('Combined IFRS17 Cashflows'!$O$56/'Combined IFRS17 Cashflows'!$O$53)*'Combined IFRS17 Cashflows'!S14</f>
        <v>39955434.277726494</v>
      </c>
      <c r="R40" s="112">
        <f>-('Combined IFRS17 Cashflows'!$O$56/'Combined IFRS17 Cashflows'!$O$53)*'Combined IFRS17 Cashflows'!T14</f>
        <v>36378089.918168142</v>
      </c>
      <c r="S40" s="112">
        <f>-('Combined IFRS17 Cashflows'!$O$56/'Combined IFRS17 Cashflows'!$O$53)*'Combined IFRS17 Cashflows'!U14</f>
        <v>33204112.585936561</v>
      </c>
      <c r="T40" s="112">
        <f>-('Combined IFRS17 Cashflows'!$O$56/'Combined IFRS17 Cashflows'!$O$53)*'Combined IFRS17 Cashflows'!V14</f>
        <v>30255406.478477109</v>
      </c>
      <c r="U40" s="112">
        <f>-('Combined IFRS17 Cashflows'!$O$56/'Combined IFRS17 Cashflows'!$O$53)*'Combined IFRS17 Cashflows'!W14</f>
        <v>27489851.903789613</v>
      </c>
      <c r="V40" s="112">
        <f>-('Combined IFRS17 Cashflows'!$O$56/'Combined IFRS17 Cashflows'!$O$53)*'Combined IFRS17 Cashflows'!X14</f>
        <v>24888363.131006662</v>
      </c>
      <c r="W40" s="112">
        <f>-('Combined IFRS17 Cashflows'!$O$56/'Combined IFRS17 Cashflows'!$O$53)*'Combined IFRS17 Cashflows'!Y14</f>
        <v>22414474.183655456</v>
      </c>
      <c r="X40" s="112">
        <f>-('Combined IFRS17 Cashflows'!$O$56/'Combined IFRS17 Cashflows'!$O$53)*'Combined IFRS17 Cashflows'!Z14</f>
        <v>20299321.394605812</v>
      </c>
      <c r="Y40" s="112">
        <f>-('Combined IFRS17 Cashflows'!$O$56/'Combined IFRS17 Cashflows'!$O$53)*'Combined IFRS17 Cashflows'!AA14</f>
        <v>18357765.257729102</v>
      </c>
      <c r="Z40" s="112">
        <f>-('Combined IFRS17 Cashflows'!$O$56/'Combined IFRS17 Cashflows'!$O$53)*'Combined IFRS17 Cashflows'!AB14</f>
        <v>16532738.453814421</v>
      </c>
      <c r="AA40" s="112">
        <f>-('Combined IFRS17 Cashflows'!$O$56/'Combined IFRS17 Cashflows'!$O$53)*'Combined IFRS17 Cashflows'!AC14</f>
        <v>14829870.117126742</v>
      </c>
      <c r="AB40" s="112">
        <f>-('Combined IFRS17 Cashflows'!$O$56/'Combined IFRS17 Cashflows'!$O$53)*'Combined IFRS17 Cashflows'!AD14</f>
        <v>13238718.607570151</v>
      </c>
      <c r="AC40" s="112">
        <f>-('Combined IFRS17 Cashflows'!$O$56/'Combined IFRS17 Cashflows'!$O$53)*'Combined IFRS17 Cashflows'!AE14</f>
        <v>11766325.208311537</v>
      </c>
      <c r="AD40" s="112">
        <f>-('Combined IFRS17 Cashflows'!$O$56/'Combined IFRS17 Cashflows'!$O$53)*'Combined IFRS17 Cashflows'!AF14</f>
        <v>10457240.542050589</v>
      </c>
      <c r="AE40" s="112">
        <f>-('Combined IFRS17 Cashflows'!$O$56/'Combined IFRS17 Cashflows'!$O$53)*'Combined IFRS17 Cashflows'!AG14</f>
        <v>9256807.0426742733</v>
      </c>
      <c r="AF40" s="112">
        <f>-('Combined IFRS17 Cashflows'!$O$56/'Combined IFRS17 Cashflows'!$O$53)*'Combined IFRS17 Cashflows'!AH14</f>
        <v>8155369.5392953949</v>
      </c>
      <c r="AG40" s="112">
        <f>-('Combined IFRS17 Cashflows'!$O$56/'Combined IFRS17 Cashflows'!$O$53)*'Combined IFRS17 Cashflows'!AI14</f>
        <v>7139247.4598672362</v>
      </c>
      <c r="AH40" s="112">
        <f>-('Combined IFRS17 Cashflows'!$O$56/'Combined IFRS17 Cashflows'!$O$53)*'Combined IFRS17 Cashflows'!AJ14</f>
        <v>6369413.9232163792</v>
      </c>
      <c r="AI40" s="112">
        <f>-('Combined IFRS17 Cashflows'!$O$56/'Combined IFRS17 Cashflows'!$O$53)*'Combined IFRS17 Cashflows'!AK14</f>
        <v>5709694.9802844217</v>
      </c>
      <c r="AJ40" s="112">
        <f>-('Combined IFRS17 Cashflows'!$O$56/'Combined IFRS17 Cashflows'!$O$53)*'Combined IFRS17 Cashflows'!AL14</f>
        <v>5117423.124740988</v>
      </c>
      <c r="AK40" s="112">
        <f>-('Combined IFRS17 Cashflows'!$O$56/'Combined IFRS17 Cashflows'!$O$53)*'Combined IFRS17 Cashflows'!AM14</f>
        <v>4582233.6131587466</v>
      </c>
      <c r="AL40" s="112">
        <f>-('Combined IFRS17 Cashflows'!$O$56/'Combined IFRS17 Cashflows'!$O$53)*'Combined IFRS17 Cashflows'!AN14</f>
        <v>4095885.0989885177</v>
      </c>
      <c r="AM40" s="112">
        <f>-('Combined IFRS17 Cashflows'!$O$56/'Combined IFRS17 Cashflows'!$O$53)*'Combined IFRS17 Cashflows'!AO14</f>
        <v>3651513.6895772112</v>
      </c>
      <c r="AN40" s="112">
        <f>-('Combined IFRS17 Cashflows'!$O$56/'Combined IFRS17 Cashflows'!$O$53)*'Combined IFRS17 Cashflows'!AP14</f>
        <v>3263106.9735514591</v>
      </c>
      <c r="AO40" s="112">
        <f>-('Combined IFRS17 Cashflows'!$O$56/'Combined IFRS17 Cashflows'!$O$53)*'Combined IFRS17 Cashflows'!AQ14</f>
        <v>2906612.1674363376</v>
      </c>
      <c r="AP40" s="112">
        <f>-('Combined IFRS17 Cashflows'!$O$56/'Combined IFRS17 Cashflows'!$O$53)*'Combined IFRS17 Cashflows'!AR14</f>
        <v>2580137.4146653321</v>
      </c>
      <c r="AQ40" s="112">
        <f>-('Combined IFRS17 Cashflows'!$O$56/'Combined IFRS17 Cashflows'!$O$53)*'Combined IFRS17 Cashflows'!AS14</f>
        <v>2281508.8347325088</v>
      </c>
      <c r="AR40" s="112">
        <f>-('Combined IFRS17 Cashflows'!$O$56/'Combined IFRS17 Cashflows'!$O$53)*'Combined IFRS17 Cashflows'!AT14</f>
        <v>2008347.78335206</v>
      </c>
      <c r="AS40" s="112">
        <f>-('Combined IFRS17 Cashflows'!$O$56/'Combined IFRS17 Cashflows'!$O$53)*'Combined IFRS17 Cashflows'!AU14</f>
        <v>1764531.5045438795</v>
      </c>
      <c r="AT40" s="112">
        <f>-('Combined IFRS17 Cashflows'!$O$56/'Combined IFRS17 Cashflows'!$O$53)*'Combined IFRS17 Cashflows'!AV14</f>
        <v>1543310.9843021189</v>
      </c>
      <c r="AU40" s="112">
        <f>-('Combined IFRS17 Cashflows'!$O$56/'Combined IFRS17 Cashflows'!$O$53)*'Combined IFRS17 Cashflows'!AW14</f>
        <v>1343429.2202720316</v>
      </c>
      <c r="AV40" s="112">
        <f>-('Combined IFRS17 Cashflows'!$O$56/'Combined IFRS17 Cashflows'!$O$53)*'Combined IFRS17 Cashflows'!AX14</f>
        <v>1163786.0438805763</v>
      </c>
      <c r="AW40" s="112">
        <f>-('Combined IFRS17 Cashflows'!$O$56/'Combined IFRS17 Cashflows'!$O$53)*'Combined IFRS17 Cashflows'!AY14</f>
        <v>1003337.4612317105</v>
      </c>
      <c r="AX40" s="112">
        <f>-('Combined IFRS17 Cashflows'!$O$56/'Combined IFRS17 Cashflows'!$O$53)*'Combined IFRS17 Cashflows'!AZ14</f>
        <v>862916.08202690084</v>
      </c>
      <c r="AY40" s="112">
        <f>-('Combined IFRS17 Cashflows'!$O$56/'Combined IFRS17 Cashflows'!$O$53)*'Combined IFRS17 Cashflows'!BA14</f>
        <v>739179.98288965365</v>
      </c>
      <c r="AZ40" s="112">
        <f>-('Combined IFRS17 Cashflows'!$O$56/'Combined IFRS17 Cashflows'!$O$53)*'Combined IFRS17 Cashflows'!BB14</f>
        <v>631197.80394810112</v>
      </c>
      <c r="BA40" s="112">
        <f>-('Combined IFRS17 Cashflows'!$O$56/'Combined IFRS17 Cashflows'!$O$53)*'Combined IFRS17 Cashflows'!BC14</f>
        <v>537758.72136581328</v>
      </c>
      <c r="BB40" s="112">
        <f>-('Combined IFRS17 Cashflows'!$O$56/'Combined IFRS17 Cashflows'!$O$53)*'Combined IFRS17 Cashflows'!BD14</f>
        <v>457412.00129663991</v>
      </c>
      <c r="BC40" s="112">
        <f>-('Combined IFRS17 Cashflows'!$O$56/'Combined IFRS17 Cashflows'!$O$53)*'Combined IFRS17 Cashflows'!BE14</f>
        <v>388734.57510536455</v>
      </c>
      <c r="BD40" s="112">
        <f>-('Combined IFRS17 Cashflows'!$O$56/'Combined IFRS17 Cashflows'!$O$53)*'Combined IFRS17 Cashflows'!BF14</f>
        <v>329906.87259010377</v>
      </c>
      <c r="BE40" s="112">
        <f>-('Combined IFRS17 Cashflows'!$O$56/'Combined IFRS17 Cashflows'!$O$53)*'Combined IFRS17 Cashflows'!BG14</f>
        <v>279385.10592984658</v>
      </c>
      <c r="BF40" s="112">
        <f>-('Combined IFRS17 Cashflows'!$O$56/'Combined IFRS17 Cashflows'!$O$53)*'Combined IFRS17 Cashflows'!BH14</f>
        <v>235898.87015712637</v>
      </c>
      <c r="BG40" s="112">
        <f>-('Combined IFRS17 Cashflows'!$O$56/'Combined IFRS17 Cashflows'!$O$53)*'Combined IFRS17 Cashflows'!BI14</f>
        <v>198401.78626775887</v>
      </c>
      <c r="BH40" s="112">
        <f>-('Combined IFRS17 Cashflows'!$O$56/'Combined IFRS17 Cashflows'!$O$53)*'Combined IFRS17 Cashflows'!BJ14</f>
        <v>166908.61584587151</v>
      </c>
      <c r="BI40" s="112">
        <f>-('Combined IFRS17 Cashflows'!$O$56/'Combined IFRS17 Cashflows'!$O$53)*'Combined IFRS17 Cashflows'!BK14</f>
        <v>139584.12107742447</v>
      </c>
      <c r="BJ40" s="112">
        <f>-('Combined IFRS17 Cashflows'!$O$56/'Combined IFRS17 Cashflows'!$O$53)*'Combined IFRS17 Cashflows'!BL14</f>
        <v>115979.58160705087</v>
      </c>
      <c r="BK40" s="112">
        <f>-('Combined IFRS17 Cashflows'!$O$56/'Combined IFRS17 Cashflows'!$O$53)*'Combined IFRS17 Cashflows'!BM14</f>
        <v>95661.860984033381</v>
      </c>
      <c r="BL40" s="112">
        <f>-('Combined IFRS17 Cashflows'!$O$56/'Combined IFRS17 Cashflows'!$O$53)*'Combined IFRS17 Cashflows'!BN14</f>
        <v>78224.003851297704</v>
      </c>
      <c r="BM40" s="112">
        <f>-('Combined IFRS17 Cashflows'!$O$56/'Combined IFRS17 Cashflows'!$O$53)*'Combined IFRS17 Cashflows'!BO14</f>
        <v>63335.864095109333</v>
      </c>
      <c r="BN40" s="112">
        <f>-('Combined IFRS17 Cashflows'!$O$56/'Combined IFRS17 Cashflows'!$O$53)*'Combined IFRS17 Cashflows'!BP14</f>
        <v>50676.01971036123</v>
      </c>
      <c r="BO40" s="112">
        <f>-('Combined IFRS17 Cashflows'!$O$56/'Combined IFRS17 Cashflows'!$O$53)*'Combined IFRS17 Cashflows'!BQ14</f>
        <v>40005.74391756668</v>
      </c>
      <c r="BP40" s="112">
        <f>-('Combined IFRS17 Cashflows'!$O$56/'Combined IFRS17 Cashflows'!$O$53)*'Combined IFRS17 Cashflows'!BR14</f>
        <v>31106.830460844729</v>
      </c>
      <c r="BQ40" s="112">
        <f>-('Combined IFRS17 Cashflows'!$O$56/'Combined IFRS17 Cashflows'!$O$53)*'Combined IFRS17 Cashflows'!BS14</f>
        <v>23775.597679490907</v>
      </c>
      <c r="BR40" s="112">
        <f>-('Combined IFRS17 Cashflows'!$O$56/'Combined IFRS17 Cashflows'!$O$53)*'Combined IFRS17 Cashflows'!BT14</f>
        <v>17865.36498452854</v>
      </c>
      <c r="BS40" s="112">
        <f>-('Combined IFRS17 Cashflows'!$O$56/'Combined IFRS17 Cashflows'!$O$53)*'Combined IFRS17 Cashflows'!BU14</f>
        <v>13138.869988674389</v>
      </c>
      <c r="BT40" s="112">
        <f>-('Combined IFRS17 Cashflows'!$O$56/'Combined IFRS17 Cashflows'!$O$53)*'Combined IFRS17 Cashflows'!BV14</f>
        <v>9444.7619209088607</v>
      </c>
      <c r="BU40" s="112">
        <f>-('Combined IFRS17 Cashflows'!$O$56/'Combined IFRS17 Cashflows'!$O$53)*'Combined IFRS17 Cashflows'!BW14</f>
        <v>6632.1441820631826</v>
      </c>
      <c r="BV40" s="112">
        <f>-('Combined IFRS17 Cashflows'!$O$56/'Combined IFRS17 Cashflows'!$O$53)*'Combined IFRS17 Cashflows'!BX14</f>
        <v>4549.8973934662481</v>
      </c>
      <c r="BW40" s="112">
        <f>-('Combined IFRS17 Cashflows'!$O$56/'Combined IFRS17 Cashflows'!$O$53)*'Combined IFRS17 Cashflows'!BY14</f>
        <v>3087.6905022969622</v>
      </c>
      <c r="BX40" s="112">
        <f>-('Combined IFRS17 Cashflows'!$O$56/'Combined IFRS17 Cashflows'!$O$53)*'Combined IFRS17 Cashflows'!BZ14</f>
        <v>2056.3214639878315</v>
      </c>
      <c r="BY40" s="112">
        <f>-('Combined IFRS17 Cashflows'!$O$56/'Combined IFRS17 Cashflows'!$O$53)*'Combined IFRS17 Cashflows'!CA14</f>
        <v>1339.0597607133036</v>
      </c>
      <c r="BZ40" s="112">
        <f>-('Combined IFRS17 Cashflows'!$O$56/'Combined IFRS17 Cashflows'!$O$53)*'Combined IFRS17 Cashflows'!CB14</f>
        <v>846.02870895801971</v>
      </c>
      <c r="CA40" s="112">
        <f>-('Combined IFRS17 Cashflows'!$O$56/'Combined IFRS17 Cashflows'!$O$53)*'Combined IFRS17 Cashflows'!CC14</f>
        <v>509.4138510260193</v>
      </c>
      <c r="CB40" s="112">
        <f>-('Combined IFRS17 Cashflows'!$O$56/'Combined IFRS17 Cashflows'!$O$53)*'Combined IFRS17 Cashflows'!CD14</f>
        <v>338.97950089707928</v>
      </c>
      <c r="CC40" s="112">
        <f>-('Combined IFRS17 Cashflows'!$O$56/'Combined IFRS17 Cashflows'!$O$53)*'Combined IFRS17 Cashflows'!CE14</f>
        <v>220.46471697386815</v>
      </c>
      <c r="CD40" s="112">
        <f>-('Combined IFRS17 Cashflows'!$O$56/'Combined IFRS17 Cashflows'!$O$53)*'Combined IFRS17 Cashflows'!CF14</f>
        <v>139.15851455503301</v>
      </c>
      <c r="CE40" s="112">
        <f>-('Combined IFRS17 Cashflows'!$O$56/'Combined IFRS17 Cashflows'!$O$53)*'Combined IFRS17 Cashflows'!CG14</f>
        <v>84.168128111226522</v>
      </c>
      <c r="CF40" s="112">
        <f>-('Combined IFRS17 Cashflows'!$O$56/'Combined IFRS17 Cashflows'!$O$53)*'Combined IFRS17 Cashflows'!CH14</f>
        <v>47.407637409328665</v>
      </c>
      <c r="CG40" s="112">
        <f>-('Combined IFRS17 Cashflows'!$O$56/'Combined IFRS17 Cashflows'!$O$53)*'Combined IFRS17 Cashflows'!CI14</f>
        <v>28.783351068436517</v>
      </c>
      <c r="CH40" s="112">
        <f>-('Combined IFRS17 Cashflows'!$O$56/'Combined IFRS17 Cashflows'!$O$53)*'Combined IFRS17 Cashflows'!CJ14</f>
        <v>16.441225033049964</v>
      </c>
      <c r="CI40" s="112">
        <f>-('Combined IFRS17 Cashflows'!$O$56/'Combined IFRS17 Cashflows'!$O$53)*'Combined IFRS17 Cashflows'!CK14</f>
        <v>8.435331859750848</v>
      </c>
      <c r="CJ40" s="112">
        <f>-('Combined IFRS17 Cashflows'!$O$56/'Combined IFRS17 Cashflows'!$O$53)*'Combined IFRS17 Cashflows'!CL14</f>
        <v>3.3089007754586892</v>
      </c>
      <c r="CK40" s="112">
        <f>-('Combined IFRS17 Cashflows'!$O$56/'Combined IFRS17 Cashflows'!$O$53)*'Combined IFRS17 Cashflows'!CM14</f>
        <v>0</v>
      </c>
      <c r="CL40" s="112">
        <f>-('Combined IFRS17 Cashflows'!$O$56/'Combined IFRS17 Cashflows'!$O$53)*'Combined IFRS17 Cashflows'!CN14</f>
        <v>0</v>
      </c>
      <c r="CM40" s="112">
        <f>-('Combined IFRS17 Cashflows'!$O$56/'Combined IFRS17 Cashflows'!$O$53)*'Combined IFRS17 Cashflows'!CO14</f>
        <v>0</v>
      </c>
      <c r="CN40" s="112">
        <f>-('Combined IFRS17 Cashflows'!$O$56/'Combined IFRS17 Cashflows'!$O$53)*'Combined IFRS17 Cashflows'!CP14</f>
        <v>0</v>
      </c>
      <c r="CO40" s="112">
        <f>-('Combined IFRS17 Cashflows'!$O$56/'Combined IFRS17 Cashflows'!$O$53)*'Combined IFRS17 Cashflows'!CQ14</f>
        <v>0</v>
      </c>
      <c r="CP40" s="112">
        <f>-('Combined IFRS17 Cashflows'!$O$56/'Combined IFRS17 Cashflows'!$O$53)*'Combined IFRS17 Cashflows'!CR14</f>
        <v>0</v>
      </c>
      <c r="CQ40" s="112">
        <f>-('Combined IFRS17 Cashflows'!$O$56/'Combined IFRS17 Cashflows'!$O$53)*'Combined IFRS17 Cashflows'!CS14</f>
        <v>0</v>
      </c>
      <c r="CR40" s="112">
        <f>-('Combined IFRS17 Cashflows'!$O$56/'Combined IFRS17 Cashflows'!$O$53)*'Combined IFRS17 Cashflows'!CT14</f>
        <v>0</v>
      </c>
      <c r="CS40" s="112">
        <f>-('Combined IFRS17 Cashflows'!$O$56/'Combined IFRS17 Cashflows'!$O$53)*'Combined IFRS17 Cashflows'!CU14</f>
        <v>0</v>
      </c>
      <c r="CT40" s="112">
        <f>-('Combined IFRS17 Cashflows'!$O$56/'Combined IFRS17 Cashflows'!$O$53)*'Combined IFRS17 Cashflows'!CV14</f>
        <v>0</v>
      </c>
      <c r="CU40" s="112">
        <f>-('Combined IFRS17 Cashflows'!$O$56/'Combined IFRS17 Cashflows'!$O$53)*'Combined IFRS17 Cashflows'!CW14</f>
        <v>0</v>
      </c>
      <c r="CV40" s="112">
        <f>-('Combined IFRS17 Cashflows'!$O$56/'Combined IFRS17 Cashflows'!$O$53)*'Combined IFRS17 Cashflows'!CX14</f>
        <v>0</v>
      </c>
      <c r="CW40" s="112">
        <f>-('Combined IFRS17 Cashflows'!$O$56/'Combined IFRS17 Cashflows'!$O$53)*'Combined IFRS17 Cashflows'!CY14</f>
        <v>0</v>
      </c>
      <c r="CX40" s="112">
        <f>-('Combined IFRS17 Cashflows'!$O$56/'Combined IFRS17 Cashflows'!$O$53)*'Combined IFRS17 Cashflows'!CZ14</f>
        <v>0</v>
      </c>
      <c r="CY40" s="112">
        <f>-('Combined IFRS17 Cashflows'!$O$56/'Combined IFRS17 Cashflows'!$O$53)*'Combined IFRS17 Cashflows'!DA14</f>
        <v>0</v>
      </c>
      <c r="DB40" s="101">
        <f t="shared" si="95"/>
        <v>37</v>
      </c>
      <c r="DC40" s="207">
        <f ca="1">OFFSET($C$14,0,COUNTA($DB$4:DB40))</f>
        <v>39369355.541476093</v>
      </c>
      <c r="DD40" s="207">
        <f ca="1">OFFSET($C$30,0,COUNTA($DB$4:DB40))</f>
        <v>0</v>
      </c>
      <c r="DE40" s="100">
        <f ca="1">OFFSET($C$59,0,COUNTA($DB$4:DB40))</f>
        <v>6729162.4762392128</v>
      </c>
      <c r="DH40" s="101">
        <f t="shared" si="96"/>
        <v>37</v>
      </c>
      <c r="DI40" s="100">
        <f ca="1">OFFSET($C$39,0,COUNTA(DH$4:$DH40))</f>
        <v>1449273.1263705343</v>
      </c>
      <c r="DJ40" s="100">
        <f ca="1">OFFSET($C$43,0,COUNTA(DH$4:$DH40))</f>
        <v>0</v>
      </c>
      <c r="DK40" s="100">
        <f ca="1">OFFSET($C$45,0,COUNTA(DH$4:$DH40))</f>
        <v>198746.20014858828</v>
      </c>
      <c r="DL40" s="100">
        <f ca="1">OFFSET($C$46,0,COUNTA(DH$4:$DH40))</f>
        <v>3301452.5056081871</v>
      </c>
      <c r="DM40" s="100">
        <f ca="1">OFFSET($C$47,0,COUNTA(DH$4:$DH40))</f>
        <v>1810990.3549079006</v>
      </c>
      <c r="DN40" s="100">
        <f ca="1">OFFSET($C$48,0,COUNTA(DH$4:$DH40))</f>
        <v>47317.98624645549</v>
      </c>
      <c r="DO40" s="100">
        <f ca="1">OFFSET($C$51,0,COUNTA(DH$4:$DH40))</f>
        <v>4769400.7898504212</v>
      </c>
      <c r="DP40" s="100">
        <f ca="1">OFFSET($C$53,0,COUNTA(DH$4:$DH40))</f>
        <v>5383329.98099137</v>
      </c>
    </row>
    <row r="41" spans="1:120" x14ac:dyDescent="0.3">
      <c r="C41" s="2" t="s">
        <v>190</v>
      </c>
      <c r="D41" s="114">
        <f>'Combined IFRS17 Cashflows'!F48</f>
        <v>3262.1397086800048</v>
      </c>
      <c r="E41" s="114">
        <f>'Combined IFRS17 Cashflows'!G48</f>
        <v>15983.623572048631</v>
      </c>
      <c r="F41" s="114">
        <f>'Combined IFRS17 Cashflows'!H48</f>
        <v>30700.66256035004</v>
      </c>
      <c r="G41" s="114">
        <f>'Combined IFRS17 Cashflows'!I48</f>
        <v>46785.999860253789</v>
      </c>
      <c r="H41" s="114">
        <f>'Combined IFRS17 Cashflows'!J48</f>
        <v>67488.684850067075</v>
      </c>
      <c r="I41" s="114">
        <f>'Combined IFRS17 Cashflows'!K48</f>
        <v>88519.424112235632</v>
      </c>
      <c r="J41" s="114">
        <f>'Combined IFRS17 Cashflows'!L48</f>
        <v>110630.29721034988</v>
      </c>
      <c r="K41" s="114">
        <f>'Combined IFRS17 Cashflows'!M48</f>
        <v>134912.12211707223</v>
      </c>
      <c r="L41" s="114">
        <f>'Combined IFRS17 Cashflows'!N48</f>
        <v>162401.25526815248</v>
      </c>
      <c r="M41" s="114">
        <f>'Combined IFRS17 Cashflows'!O48</f>
        <v>194274.40277664879</v>
      </c>
      <c r="N41" s="114">
        <f>'Combined IFRS17 Cashflows'!P48</f>
        <v>175191.30883552812</v>
      </c>
      <c r="O41" s="114">
        <f>'Combined IFRS17 Cashflows'!Q48</f>
        <v>160388.67087599612</v>
      </c>
      <c r="P41" s="114">
        <f>'Combined IFRS17 Cashflows'!R48</f>
        <v>146237.48445964383</v>
      </c>
      <c r="Q41" s="114">
        <f>'Combined IFRS17 Cashflows'!S48</f>
        <v>132592.3880533787</v>
      </c>
      <c r="R41" s="114">
        <f>'Combined IFRS17 Cashflows'!T48</f>
        <v>119021.32322873751</v>
      </c>
      <c r="S41" s="114">
        <f>'Combined IFRS17 Cashflows'!U48</f>
        <v>108572.29516924442</v>
      </c>
      <c r="T41" s="114">
        <f>'Combined IFRS17 Cashflows'!V48</f>
        <v>98525.182694890871</v>
      </c>
      <c r="U41" s="114">
        <f>'Combined IFRS17 Cashflows'!W48</f>
        <v>88780.423061236143</v>
      </c>
      <c r="V41" s="114">
        <f>'Combined IFRS17 Cashflows'!X48</f>
        <v>79190.131938178631</v>
      </c>
      <c r="W41" s="114">
        <f>'Combined IFRS17 Cashflows'!Y48</f>
        <v>69613.777066438619</v>
      </c>
      <c r="X41" s="114">
        <f>'Combined IFRS17 Cashflows'!Z48</f>
        <v>64205.67869998578</v>
      </c>
      <c r="Y41" s="114">
        <f>'Combined IFRS17 Cashflows'!AA48</f>
        <v>58676.6106923302</v>
      </c>
      <c r="Z41" s="114">
        <f>'Combined IFRS17 Cashflows'!AB48</f>
        <v>53336.531227641477</v>
      </c>
      <c r="AA41" s="114">
        <f>'Combined IFRS17 Cashflows'!AC48</f>
        <v>48231.142356776625</v>
      </c>
      <c r="AB41" s="114">
        <f>'Combined IFRS17 Cashflows'!AD48</f>
        <v>43203.734072915795</v>
      </c>
      <c r="AC41" s="114">
        <f>'Combined IFRS17 Cashflows'!AE48</f>
        <v>38419.886391919354</v>
      </c>
      <c r="AD41" s="114">
        <f>'Combined IFRS17 Cashflows'!AF48</f>
        <v>33823.635923702896</v>
      </c>
      <c r="AE41" s="114">
        <f>'Combined IFRS17 Cashflows'!AG48</f>
        <v>29363.487882451664</v>
      </c>
      <c r="AF41" s="114">
        <f>'Combined IFRS17 Cashflows'!AH48</f>
        <v>24971.721627631279</v>
      </c>
      <c r="AG41" s="114">
        <f>'Combined IFRS17 Cashflows'!AI48</f>
        <v>20559.772543843079</v>
      </c>
      <c r="AH41" s="114">
        <f>'Combined IFRS17 Cashflows'!AJ48</f>
        <v>18685.358372135692</v>
      </c>
      <c r="AI41" s="114">
        <f>'Combined IFRS17 Cashflows'!AK48</f>
        <v>16968.686179303666</v>
      </c>
      <c r="AJ41" s="114">
        <f>'Combined IFRS17 Cashflows'!AL48</f>
        <v>15392.472551535771</v>
      </c>
      <c r="AK41" s="114">
        <f>'Combined IFRS17 Cashflows'!AM48</f>
        <v>13942.717088676418</v>
      </c>
      <c r="AL41" s="114">
        <f>'Combined IFRS17 Cashflows'!AN48</f>
        <v>12608.076347996672</v>
      </c>
      <c r="AM41" s="114">
        <f>'Combined IFRS17 Cashflows'!AO48</f>
        <v>11390.796837579044</v>
      </c>
      <c r="AN41" s="114">
        <f>'Combined IFRS17 Cashflows'!AP48</f>
        <v>10265.666986676353</v>
      </c>
      <c r="AO41" s="114">
        <f>'Combined IFRS17 Cashflows'!AQ48</f>
        <v>9227.8852364189406</v>
      </c>
      <c r="AP41" s="114">
        <f>'Combined IFRS17 Cashflows'!AR48</f>
        <v>8271.7526942433142</v>
      </c>
      <c r="AQ41" s="114">
        <f>'Combined IFRS17 Cashflows'!AS48</f>
        <v>7391.3639946860958</v>
      </c>
      <c r="AR41" s="114">
        <f>'Combined IFRS17 Cashflows'!AT48</f>
        <v>6581.934752228578</v>
      </c>
      <c r="AS41" s="114">
        <f>'Combined IFRS17 Cashflows'!AU48</f>
        <v>5839.0525401993864</v>
      </c>
      <c r="AT41" s="114">
        <f>'Combined IFRS17 Cashflows'!AV48</f>
        <v>5159.9430862433483</v>
      </c>
      <c r="AU41" s="114">
        <f>'Combined IFRS17 Cashflows'!AW48</f>
        <v>4542.1937990476899</v>
      </c>
      <c r="AV41" s="114">
        <f>'Combined IFRS17 Cashflows'!AX48</f>
        <v>3983.4513507694501</v>
      </c>
      <c r="AW41" s="114">
        <f>'Combined IFRS17 Cashflows'!AY48</f>
        <v>3484.8219557633097</v>
      </c>
      <c r="AX41" s="114">
        <f>'Combined IFRS17 Cashflows'!AZ48</f>
        <v>3038.5052531700544</v>
      </c>
      <c r="AY41" s="114">
        <f>'Combined IFRS17 Cashflows'!BA48</f>
        <v>2642.3368365121255</v>
      </c>
      <c r="AZ41" s="114">
        <f>'Combined IFRS17 Cashflows'!BB48</f>
        <v>2292.9536937199296</v>
      </c>
      <c r="BA41" s="114">
        <f>'Combined IFRS17 Cashflows'!BC48</f>
        <v>1986.2121941416099</v>
      </c>
      <c r="BB41" s="114">
        <f>'Combined IFRS17 Cashflows'!BD48</f>
        <v>1718.0306816086718</v>
      </c>
      <c r="BC41" s="114">
        <f>'Combined IFRS17 Cashflows'!BE48</f>
        <v>1483.0761425062669</v>
      </c>
      <c r="BD41" s="114">
        <f>'Combined IFRS17 Cashflows'!BF48</f>
        <v>1276.7984603158795</v>
      </c>
      <c r="BE41" s="114">
        <f>'Combined IFRS17 Cashflows'!BG48</f>
        <v>1095.4096294900783</v>
      </c>
      <c r="BF41" s="114">
        <f>'Combined IFRS17 Cashflows'!BH48</f>
        <v>935.74851104355218</v>
      </c>
      <c r="BG41" s="114">
        <f>'Combined IFRS17 Cashflows'!BI48</f>
        <v>798.04056926375927</v>
      </c>
      <c r="BH41" s="114">
        <f>'Combined IFRS17 Cashflows'!BJ48</f>
        <v>676.38035586046237</v>
      </c>
      <c r="BI41" s="114">
        <f>'Combined IFRS17 Cashflows'!BK48</f>
        <v>569.37289101701822</v>
      </c>
      <c r="BJ41" s="114">
        <f>'Combined IFRS17 Cashflows'!BL48</f>
        <v>475.59102399176328</v>
      </c>
      <c r="BK41" s="114">
        <f>'Combined IFRS17 Cashflows'!BM48</f>
        <v>393.65337912386752</v>
      </c>
      <c r="BL41" s="114">
        <f>'Combined IFRS17 Cashflows'!BN48</f>
        <v>322.45949120560067</v>
      </c>
      <c r="BM41" s="114">
        <f>'Combined IFRS17 Cashflows'!BO48</f>
        <v>260.90591102519585</v>
      </c>
      <c r="BN41" s="114">
        <f>'Combined IFRS17 Cashflows'!BP48</f>
        <v>208.22279457088035</v>
      </c>
      <c r="BO41" s="114">
        <f>'Combined IFRS17 Cashflows'!BQ48</f>
        <v>163.65259421905637</v>
      </c>
      <c r="BP41" s="114">
        <f>'Combined IFRS17 Cashflows'!BR48</f>
        <v>126.44131883541525</v>
      </c>
      <c r="BQ41" s="114">
        <f>'Combined IFRS17 Cashflows'!BS48</f>
        <v>96.074414349502902</v>
      </c>
      <c r="BR41" s="114">
        <f>'Combined IFRS17 Cashflows'!BT48</f>
        <v>71.479060702517884</v>
      </c>
      <c r="BS41" s="114">
        <f>'Combined IFRS17 Cashflows'!BU48</f>
        <v>52.037107691442763</v>
      </c>
      <c r="BT41" s="114">
        <f>'Combined IFRS17 Cashflows'!BV48</f>
        <v>37.061523780230182</v>
      </c>
      <c r="BU41" s="114">
        <f>'Combined IFRS17 Cashflows'!BW48</f>
        <v>25.83478677383302</v>
      </c>
      <c r="BV41" s="114">
        <f>'Combined IFRS17 Cashflows'!BX48</f>
        <v>17.834311806657674</v>
      </c>
      <c r="BW41" s="114">
        <f>'Combined IFRS17 Cashflows'!BY48</f>
        <v>12.098786774929245</v>
      </c>
      <c r="BX41" s="114">
        <f>'Combined IFRS17 Cashflows'!BZ48</f>
        <v>8.0422261237582973</v>
      </c>
      <c r="BY41" s="114">
        <f>'Combined IFRS17 Cashflows'!CA48</f>
        <v>5.2043288333751354</v>
      </c>
      <c r="BZ41" s="114">
        <f>'Combined IFRS17 Cashflows'!CB48</f>
        <v>3.232147685519954</v>
      </c>
      <c r="CA41" s="114">
        <f>'Combined IFRS17 Cashflows'!CC48</f>
        <v>2.1838521299604019</v>
      </c>
      <c r="CB41" s="114">
        <f>'Combined IFRS17 Cashflows'!CD48</f>
        <v>1.4413110098665372</v>
      </c>
      <c r="CC41" s="114">
        <f>'Combined IFRS17 Cashflows'!CE48</f>
        <v>0.92311168011682898</v>
      </c>
      <c r="CD41" s="114">
        <f>'Combined IFRS17 Cashflows'!CF48</f>
        <v>0.56637807705160992</v>
      </c>
      <c r="CE41" s="114">
        <f>'Combined IFRS17 Cashflows'!CG48</f>
        <v>0.32329096801083196</v>
      </c>
      <c r="CF41" s="114">
        <f>'Combined IFRS17 Cashflows'!CH48</f>
        <v>0.19981258500604146</v>
      </c>
      <c r="CG41" s="114">
        <f>'Combined IFRS17 Cashflows'!CI48</f>
        <v>0.11613894308217844</v>
      </c>
      <c r="CH41" s="114">
        <f>'Combined IFRS17 Cashflows'!CJ48</f>
        <v>6.0580836392991333E-2</v>
      </c>
      <c r="CI41" s="114">
        <f>'Combined IFRS17 Cashflows'!CK48</f>
        <v>2.4125804027299441E-2</v>
      </c>
      <c r="CJ41" s="114">
        <f>'Combined IFRS17 Cashflows'!CL48</f>
        <v>0</v>
      </c>
      <c r="CK41" s="114">
        <f>'Combined IFRS17 Cashflows'!CM48</f>
        <v>0</v>
      </c>
      <c r="CL41" s="114">
        <f>'Combined IFRS17 Cashflows'!CN48</f>
        <v>0</v>
      </c>
      <c r="CM41" s="114">
        <f>'Combined IFRS17 Cashflows'!CO48</f>
        <v>0</v>
      </c>
      <c r="CN41" s="114">
        <f>'Combined IFRS17 Cashflows'!CP48</f>
        <v>0</v>
      </c>
      <c r="CO41" s="114">
        <f>'Combined IFRS17 Cashflows'!CQ48</f>
        <v>0</v>
      </c>
      <c r="CP41" s="114">
        <f>'Combined IFRS17 Cashflows'!CR48</f>
        <v>0</v>
      </c>
      <c r="CQ41" s="114">
        <f>'Combined IFRS17 Cashflows'!CS48</f>
        <v>0</v>
      </c>
      <c r="CR41" s="114">
        <f>'Combined IFRS17 Cashflows'!CT48</f>
        <v>0</v>
      </c>
      <c r="CS41" s="114">
        <f>'Combined IFRS17 Cashflows'!CU48</f>
        <v>0</v>
      </c>
      <c r="CT41" s="114">
        <f>'Combined IFRS17 Cashflows'!CV48</f>
        <v>0</v>
      </c>
      <c r="CU41" s="114">
        <f>'Combined IFRS17 Cashflows'!CW48</f>
        <v>0</v>
      </c>
      <c r="CV41" s="114">
        <f>'Combined IFRS17 Cashflows'!CX48</f>
        <v>0</v>
      </c>
      <c r="CW41" s="114">
        <f>'Combined IFRS17 Cashflows'!CY48</f>
        <v>0</v>
      </c>
      <c r="CX41" s="114">
        <f>'Combined IFRS17 Cashflows'!CZ48</f>
        <v>0</v>
      </c>
      <c r="CY41" s="114">
        <f>'Combined IFRS17 Cashflows'!DA48</f>
        <v>0</v>
      </c>
      <c r="DB41" s="101">
        <f t="shared" si="95"/>
        <v>38</v>
      </c>
      <c r="DC41" s="207">
        <f ca="1">OFFSET($C$14,0,COUNTA($DB$4:DB41))</f>
        <v>37005072.939723082</v>
      </c>
      <c r="DD41" s="207">
        <f ca="1">OFFSET($C$30,0,COUNTA($DB$4:DB41))</f>
        <v>0</v>
      </c>
      <c r="DE41" s="100">
        <f ca="1">OFFSET($C$59,0,COUNTA($DB$4:DB41))</f>
        <v>6323437.5857862998</v>
      </c>
      <c r="DH41" s="101">
        <f t="shared" si="96"/>
        <v>38</v>
      </c>
      <c r="DI41" s="100">
        <f ca="1">OFFSET($C$39,0,COUNTA(DH$4:$DH41))</f>
        <v>1361596.7578886985</v>
      </c>
      <c r="DJ41" s="100">
        <f ca="1">OFFSET($C$43,0,COUNTA(DH$4:$DH41))</f>
        <v>0</v>
      </c>
      <c r="DK41" s="100">
        <f ca="1">OFFSET($C$45,0,COUNTA(DH$4:$DH41))</f>
        <v>188083.6752623487</v>
      </c>
      <c r="DL41" s="100">
        <f ca="1">OFFSET($C$46,0,COUNTA(DH$4:$DH41))</f>
        <v>3103187.4689529627</v>
      </c>
      <c r="DM41" s="100">
        <f ca="1">OFFSET($C$47,0,COUNTA(DH$4:$DH41))</f>
        <v>1702233.3552272618</v>
      </c>
      <c r="DN41" s="100">
        <f ca="1">OFFSET($C$48,0,COUNTA(DH$4:$DH41))</f>
        <v>43476.627552148806</v>
      </c>
      <c r="DO41" s="100">
        <f ca="1">OFFSET($C$51,0,COUNTA(DH$4:$DH41))</f>
        <v>4481836.829280165</v>
      </c>
      <c r="DP41" s="100">
        <f ca="1">OFFSET($C$53,0,COUNTA(DH$4:$DH41))</f>
        <v>5058750.0686290395</v>
      </c>
    </row>
    <row r="42" spans="1:120" x14ac:dyDescent="0.3">
      <c r="C42" s="2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DB42" s="101">
        <f t="shared" si="95"/>
        <v>39</v>
      </c>
      <c r="DC42" s="207">
        <f ca="1">OFFSET($C$14,0,COUNTA($DB$4:DB42))</f>
        <v>34564646.438553214</v>
      </c>
      <c r="DD42" s="207">
        <f ca="1">OFFSET($C$30,0,COUNTA($DB$4:DB42))</f>
        <v>0</v>
      </c>
      <c r="DE42" s="100">
        <f ca="1">OFFSET($C$59,0,COUNTA($DB$4:DB42))</f>
        <v>5907548.198251701</v>
      </c>
      <c r="DH42" s="101">
        <f t="shared" si="96"/>
        <v>39</v>
      </c>
      <c r="DI42" s="100">
        <f ca="1">OFFSET($C$39,0,COUNTA(DH$4:$DH42))</f>
        <v>1276605.1129957037</v>
      </c>
      <c r="DJ42" s="100">
        <f ca="1">OFFSET($C$43,0,COUNTA(DH$4:$DH42))</f>
        <v>0</v>
      </c>
      <c r="DK42" s="100">
        <f ca="1">OFFSET($C$45,0,COUNTA(DH$4:$DH42))</f>
        <v>177521.50236339428</v>
      </c>
      <c r="DL42" s="100">
        <f ca="1">OFFSET($C$46,0,COUNTA(DH$4:$DH42))</f>
        <v>2898537.1241295179</v>
      </c>
      <c r="DM42" s="100">
        <f ca="1">OFFSET($C$47,0,COUNTA(DH$4:$DH42))</f>
        <v>1589973.7361734482</v>
      </c>
      <c r="DN42" s="100">
        <f ca="1">OFFSET($C$48,0,COUNTA(DH$4:$DH42))</f>
        <v>39856.744403026431</v>
      </c>
      <c r="DO42" s="100">
        <f ca="1">OFFSET($C$51,0,COUNTA(DH$4:$DH42))</f>
        <v>4187068.619952207</v>
      </c>
      <c r="DP42" s="100">
        <f ca="1">OFFSET($C$53,0,COUNTA(DH$4:$DH42))</f>
        <v>4726038.5586013608</v>
      </c>
    </row>
    <row r="43" spans="1:120" x14ac:dyDescent="0.3">
      <c r="C43" s="4" t="s">
        <v>191</v>
      </c>
      <c r="D43" s="114">
        <f>-D30*40%</f>
        <v>556662.48162143934</v>
      </c>
      <c r="E43" s="114">
        <f t="shared" ref="E43:BP43" si="286">-E30*40%</f>
        <v>2735444.8324774764</v>
      </c>
      <c r="F43" s="114">
        <f t="shared" si="286"/>
        <v>5220525.8783130879</v>
      </c>
      <c r="G43" s="114">
        <f t="shared" si="286"/>
        <v>7704373.8779534167</v>
      </c>
      <c r="H43" s="114">
        <f t="shared" si="286"/>
        <v>10699475.710261464</v>
      </c>
      <c r="I43" s="114">
        <f t="shared" si="286"/>
        <v>13565538.886914834</v>
      </c>
      <c r="J43" s="114">
        <f t="shared" si="286"/>
        <v>16338428.203771451</v>
      </c>
      <c r="K43" s="114">
        <f t="shared" si="286"/>
        <v>19171559.754082467</v>
      </c>
      <c r="L43" s="114">
        <f t="shared" si="286"/>
        <v>22326296.08517028</v>
      </c>
      <c r="M43" s="114">
        <f t="shared" si="286"/>
        <v>25999992.766573682</v>
      </c>
      <c r="N43" s="114">
        <f t="shared" si="286"/>
        <v>20766800.878702074</v>
      </c>
      <c r="O43" s="114">
        <f t="shared" si="286"/>
        <v>15970523.035517186</v>
      </c>
      <c r="P43" s="114">
        <f t="shared" si="286"/>
        <v>11963309.309202308</v>
      </c>
      <c r="Q43" s="114">
        <f t="shared" si="286"/>
        <v>8934195.7688967548</v>
      </c>
      <c r="R43" s="114">
        <f t="shared" si="286"/>
        <v>6181263.4529610248</v>
      </c>
      <c r="S43" s="114">
        <f t="shared" si="286"/>
        <v>4278282.434917219</v>
      </c>
      <c r="T43" s="114">
        <f t="shared" si="286"/>
        <v>3023277.1160002528</v>
      </c>
      <c r="U43" s="114">
        <f t="shared" si="286"/>
        <v>2117989.2928635231</v>
      </c>
      <c r="V43" s="114">
        <f t="shared" si="286"/>
        <v>1463612.4023916486</v>
      </c>
      <c r="W43" s="114">
        <f t="shared" si="286"/>
        <v>933251.15297675924</v>
      </c>
      <c r="X43" s="114">
        <f t="shared" si="286"/>
        <v>549480.51141157548</v>
      </c>
      <c r="Y43" s="114">
        <f t="shared" si="286"/>
        <v>293713.310597551</v>
      </c>
      <c r="Z43" s="114">
        <f t="shared" si="286"/>
        <v>145327.55604673838</v>
      </c>
      <c r="AA43" s="114">
        <f t="shared" si="286"/>
        <v>70387.352630868991</v>
      </c>
      <c r="AB43" s="114">
        <f t="shared" si="286"/>
        <v>27787.754616323291</v>
      </c>
      <c r="AC43" s="114">
        <f t="shared" si="286"/>
        <v>4654.4063374197431</v>
      </c>
      <c r="AD43" s="114">
        <f t="shared" si="286"/>
        <v>1.0142061702376272E-8</v>
      </c>
      <c r="AE43" s="114">
        <f t="shared" si="286"/>
        <v>1.269068037849341E-8</v>
      </c>
      <c r="AF43" s="114">
        <f t="shared" si="286"/>
        <v>1.4760249745697866E-8</v>
      </c>
      <c r="AG43" s="114">
        <f t="shared" si="286"/>
        <v>1.5261287307696615E-8</v>
      </c>
      <c r="AH43" s="114">
        <f t="shared" si="286"/>
        <v>1.6701880799868562E-8</v>
      </c>
      <c r="AI43" s="114">
        <f t="shared" si="286"/>
        <v>1.8637678304974624E-8</v>
      </c>
      <c r="AJ43" s="114">
        <f t="shared" si="286"/>
        <v>2.1113698369645168E-8</v>
      </c>
      <c r="AK43" s="114">
        <f t="shared" si="286"/>
        <v>2.4310015180401688E-8</v>
      </c>
      <c r="AL43" s="114">
        <f t="shared" si="286"/>
        <v>2.8496740017026421E-8</v>
      </c>
      <c r="AM43" s="114">
        <f t="shared" si="286"/>
        <v>0</v>
      </c>
      <c r="AN43" s="114">
        <f t="shared" si="286"/>
        <v>0</v>
      </c>
      <c r="AO43" s="114">
        <f t="shared" si="286"/>
        <v>0</v>
      </c>
      <c r="AP43" s="114">
        <f t="shared" si="286"/>
        <v>0</v>
      </c>
      <c r="AQ43" s="114">
        <f t="shared" si="286"/>
        <v>0</v>
      </c>
      <c r="AR43" s="114">
        <f t="shared" si="286"/>
        <v>5.1377813159454326E-11</v>
      </c>
      <c r="AS43" s="114">
        <f t="shared" si="286"/>
        <v>2.0812771534501175E-10</v>
      </c>
      <c r="AT43" s="114">
        <f t="shared" si="286"/>
        <v>2.66403475641615E-10</v>
      </c>
      <c r="AU43" s="114">
        <f t="shared" si="286"/>
        <v>3.0921831994116027E-10</v>
      </c>
      <c r="AV43" s="114">
        <f t="shared" si="286"/>
        <v>4.0317311715405125E-10</v>
      </c>
      <c r="AW43" s="114">
        <f t="shared" si="286"/>
        <v>2.8095948465582325E-9</v>
      </c>
      <c r="AX43" s="114">
        <f t="shared" si="286"/>
        <v>1.0086438203766331E-8</v>
      </c>
      <c r="AY43" s="114">
        <f t="shared" si="286"/>
        <v>1.2838188669856226E-8</v>
      </c>
      <c r="AZ43" s="114">
        <f t="shared" si="286"/>
        <v>1.4896265798913783E-8</v>
      </c>
      <c r="BA43" s="114">
        <f t="shared" si="286"/>
        <v>1.9337906996505146E-8</v>
      </c>
      <c r="BB43" s="114">
        <f t="shared" si="286"/>
        <v>2.0914629557144712E-8</v>
      </c>
      <c r="BC43" s="114">
        <f t="shared" si="286"/>
        <v>2.5026941328197329E-8</v>
      </c>
      <c r="BD43" s="114">
        <f t="shared" si="286"/>
        <v>2.869465294721219E-8</v>
      </c>
      <c r="BE43" s="114">
        <f t="shared" si="286"/>
        <v>3.3066441912084679E-8</v>
      </c>
      <c r="BF43" s="114">
        <f t="shared" si="286"/>
        <v>3.9216885695370586E-8</v>
      </c>
      <c r="BG43" s="114">
        <f t="shared" si="286"/>
        <v>7.3261182926196326E-9</v>
      </c>
      <c r="BH43" s="114">
        <f t="shared" si="286"/>
        <v>1.5177840278472184E-8</v>
      </c>
      <c r="BI43" s="114">
        <f t="shared" si="286"/>
        <v>1.8616487915179837E-8</v>
      </c>
      <c r="BJ43" s="114">
        <f t="shared" si="286"/>
        <v>2.1550170503007259E-8</v>
      </c>
      <c r="BK43" s="114">
        <f t="shared" si="286"/>
        <v>2.7151720212957504E-8</v>
      </c>
      <c r="BL43" s="114">
        <f t="shared" si="286"/>
        <v>2.1400073764920786E-8</v>
      </c>
      <c r="BM43" s="114">
        <f t="shared" si="286"/>
        <v>2.6549311583343592E-8</v>
      </c>
      <c r="BN43" s="114">
        <f t="shared" si="286"/>
        <v>3.0618439362216952E-8</v>
      </c>
      <c r="BO43" s="114">
        <f t="shared" si="286"/>
        <v>3.5297623850281774E-8</v>
      </c>
      <c r="BP43" s="114">
        <f t="shared" si="286"/>
        <v>4.2097013456354085E-8</v>
      </c>
      <c r="BQ43" s="114">
        <f t="shared" ref="BQ43:CY43" si="287">-BQ30*40%</f>
        <v>1.2258126478306601E-8</v>
      </c>
      <c r="BR43" s="114">
        <f t="shared" si="287"/>
        <v>2.6733583607234984E-8</v>
      </c>
      <c r="BS43" s="114">
        <f t="shared" si="287"/>
        <v>3.2936662655148384E-8</v>
      </c>
      <c r="BT43" s="114">
        <f t="shared" si="287"/>
        <v>3.8137964107828481E-8</v>
      </c>
      <c r="BU43" s="114">
        <f t="shared" si="287"/>
        <v>4.8229917166734669E-8</v>
      </c>
      <c r="BV43" s="114">
        <f t="shared" si="287"/>
        <v>4.1532533813651622E-8</v>
      </c>
      <c r="BW43" s="114">
        <f t="shared" si="287"/>
        <v>5.6125482640441641E-8</v>
      </c>
      <c r="BX43" s="114">
        <f t="shared" si="287"/>
        <v>6.5567888480118311E-8</v>
      </c>
      <c r="BY43" s="114">
        <f t="shared" si="287"/>
        <v>7.5655105678747017E-8</v>
      </c>
      <c r="BZ43" s="114">
        <f t="shared" si="287"/>
        <v>9.1324064751207513E-8</v>
      </c>
      <c r="CA43" s="114">
        <f t="shared" si="287"/>
        <v>2.8624124872171775E-8</v>
      </c>
      <c r="CB43" s="114">
        <f t="shared" si="287"/>
        <v>3.1970670882447821E-8</v>
      </c>
      <c r="CC43" s="114">
        <f t="shared" si="287"/>
        <v>3.622386174437974E-8</v>
      </c>
      <c r="CD43" s="114">
        <f t="shared" si="287"/>
        <v>4.1708121738706586E-8</v>
      </c>
      <c r="CE43" s="114">
        <f t="shared" si="287"/>
        <v>4.8899000763139773E-8</v>
      </c>
      <c r="CF43" s="114">
        <f t="shared" si="287"/>
        <v>8.4706677724668506E-11</v>
      </c>
      <c r="CG43" s="114">
        <f t="shared" si="287"/>
        <v>9.4524432824832376E-11</v>
      </c>
      <c r="CH43" s="114">
        <f t="shared" si="287"/>
        <v>1.070820265575998E-10</v>
      </c>
      <c r="CI43" s="114">
        <f t="shared" si="287"/>
        <v>1.2329273846717231E-10</v>
      </c>
      <c r="CJ43" s="114">
        <f t="shared" si="287"/>
        <v>1.4452648786985218E-10</v>
      </c>
      <c r="CK43" s="114">
        <f t="shared" si="287"/>
        <v>0</v>
      </c>
      <c r="CL43" s="114">
        <f t="shared" si="287"/>
        <v>0</v>
      </c>
      <c r="CM43" s="114">
        <f t="shared" si="287"/>
        <v>0</v>
      </c>
      <c r="CN43" s="114">
        <f t="shared" si="287"/>
        <v>0</v>
      </c>
      <c r="CO43" s="114">
        <f t="shared" si="287"/>
        <v>0</v>
      </c>
      <c r="CP43" s="114">
        <f t="shared" si="287"/>
        <v>0</v>
      </c>
      <c r="CQ43" s="114">
        <f t="shared" si="287"/>
        <v>0</v>
      </c>
      <c r="CR43" s="114">
        <f t="shared" si="287"/>
        <v>0</v>
      </c>
      <c r="CS43" s="114">
        <f t="shared" si="287"/>
        <v>0</v>
      </c>
      <c r="CT43" s="114">
        <f t="shared" si="287"/>
        <v>0</v>
      </c>
      <c r="CU43" s="114">
        <f t="shared" si="287"/>
        <v>0</v>
      </c>
      <c r="CV43" s="114">
        <f t="shared" si="287"/>
        <v>0</v>
      </c>
      <c r="CW43" s="114">
        <f t="shared" si="287"/>
        <v>0</v>
      </c>
      <c r="CX43" s="114">
        <f t="shared" si="287"/>
        <v>0</v>
      </c>
      <c r="CY43" s="114">
        <f t="shared" si="287"/>
        <v>0</v>
      </c>
      <c r="DB43" s="101">
        <f t="shared" si="95"/>
        <v>40</v>
      </c>
      <c r="DC43" s="207">
        <f ca="1">OFFSET($C$14,0,COUNTA($DB$4:DB43))</f>
        <v>32193447.475690633</v>
      </c>
      <c r="DD43" s="207">
        <f ca="1">OFFSET($C$30,0,COUNTA($DB$4:DB43))</f>
        <v>0</v>
      </c>
      <c r="DE43" s="100">
        <f ca="1">OFFSET($C$59,0,COUNTA($DB$4:DB43))</f>
        <v>5503674.3675032221</v>
      </c>
      <c r="DH43" s="101">
        <f t="shared" si="96"/>
        <v>40</v>
      </c>
      <c r="DI43" s="100">
        <f ca="1">OFFSET($C$39,0,COUNTA(DH$4:$DH43))</f>
        <v>1194187.0948070958</v>
      </c>
      <c r="DJ43" s="100">
        <f ca="1">OFFSET($C$43,0,COUNTA(DH$4:$DH43))</f>
        <v>0</v>
      </c>
      <c r="DK43" s="100">
        <f ca="1">OFFSET($C$45,0,COUNTA(DH$4:$DH43))</f>
        <v>167081.83235762661</v>
      </c>
      <c r="DL43" s="100">
        <f ca="1">OFFSET($C$46,0,COUNTA(DH$4:$DH43))</f>
        <v>2699692.0922622606</v>
      </c>
      <c r="DM43" s="100">
        <f ca="1">OFFSET($C$47,0,COUNTA(DH$4:$DH43))</f>
        <v>1480898.5838817693</v>
      </c>
      <c r="DN43" s="100">
        <f ca="1">OFFSET($C$48,0,COUNTA(DH$4:$DH43))</f>
        <v>36445.092258290104</v>
      </c>
      <c r="DO43" s="100">
        <f ca="1">OFFSET($C$51,0,COUNTA(DH$4:$DH43))</f>
        <v>3900816.6273493711</v>
      </c>
      <c r="DP43" s="100">
        <f ca="1">OFFSET($C$53,0,COUNTA(DH$4:$DH43))</f>
        <v>4402939.4940025778</v>
      </c>
    </row>
    <row r="44" spans="1:120" x14ac:dyDescent="0.3">
      <c r="C44" s="2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DB44" s="101">
        <f t="shared" si="95"/>
        <v>41</v>
      </c>
      <c r="DC44" s="207">
        <f ca="1">OFFSET($C$14,0,COUNTA($DB$4:DB44))</f>
        <v>29795103.121936098</v>
      </c>
      <c r="DD44" s="207">
        <f ca="1">OFFSET($C$30,0,COUNTA($DB$4:DB44))</f>
        <v>-1.2844453289863581E-10</v>
      </c>
      <c r="DE44" s="100">
        <f ca="1">OFFSET($C$59,0,COUNTA($DB$4:DB44))</f>
        <v>5096911.3323026579</v>
      </c>
      <c r="DH44" s="101">
        <f t="shared" si="96"/>
        <v>41</v>
      </c>
      <c r="DI44" s="100">
        <f ca="1">OFFSET($C$39,0,COUNTA(DH$4:$DH44))</f>
        <v>1113972.958849068</v>
      </c>
      <c r="DJ44" s="100">
        <f ca="1">OFFSET($C$43,0,COUNTA(DH$4:$DH44))</f>
        <v>5.1377813159454326E-11</v>
      </c>
      <c r="DK44" s="100">
        <f ca="1">OFFSET($C$45,0,COUNTA(DH$4:$DH44))</f>
        <v>156776.79767761435</v>
      </c>
      <c r="DL44" s="100">
        <f ca="1">OFFSET($C$46,0,COUNTA(DH$4:$DH44))</f>
        <v>2498570.6904228926</v>
      </c>
      <c r="DM44" s="100">
        <f ca="1">OFFSET($C$47,0,COUNTA(DH$4:$DH44))</f>
        <v>1370574.7436090605</v>
      </c>
      <c r="DN44" s="100">
        <f ca="1">OFFSET($C$48,0,COUNTA(DH$4:$DH44))</f>
        <v>33225.982411157391</v>
      </c>
      <c r="DO44" s="100">
        <f ca="1">OFFSET($C$51,0,COUNTA(DH$4:$DH44))</f>
        <v>3612516.8651995114</v>
      </c>
      <c r="DP44" s="100">
        <f ca="1">OFFSET($C$53,0,COUNTA(DH$4:$DH44))</f>
        <v>4077529.0658421265</v>
      </c>
    </row>
    <row r="45" spans="1:120" x14ac:dyDescent="0.3">
      <c r="C45" s="4" t="s">
        <v>192</v>
      </c>
      <c r="D45" s="114">
        <v>0</v>
      </c>
      <c r="E45" s="114">
        <f>-'Combined IFRS17 Cashflows'!F18*Expense_Risk</f>
        <v>15821.538980407999</v>
      </c>
      <c r="F45" s="114">
        <f>-'Combined IFRS17 Cashflows'!G18*Expense_Risk</f>
        <v>56901.726542668446</v>
      </c>
      <c r="G45" s="114">
        <f>-'Combined IFRS17 Cashflows'!H18*Expense_Risk</f>
        <v>113831.33519714646</v>
      </c>
      <c r="H45" s="114">
        <f>-'Combined IFRS17 Cashflows'!I18*Expense_Risk</f>
        <v>179511.93066266589</v>
      </c>
      <c r="I45" s="114">
        <f>-'Combined IFRS17 Cashflows'!J18*Expense_Risk</f>
        <v>261013.32179897872</v>
      </c>
      <c r="J45" s="114">
        <f>-'Combined IFRS17 Cashflows'!K18*Expense_Risk</f>
        <v>352800.38167609496</v>
      </c>
      <c r="K45" s="114">
        <f>-'Combined IFRS17 Cashflows'!L18*Expense_Risk</f>
        <v>450567.79796842637</v>
      </c>
      <c r="L45" s="114">
        <f>-'Combined IFRS17 Cashflows'!M18*Expense_Risk</f>
        <v>559235.81108680612</v>
      </c>
      <c r="M45" s="114">
        <f>-'Combined IFRS17 Cashflows'!N18*Expense_Risk</f>
        <v>682766.84324959072</v>
      </c>
      <c r="N45" s="114">
        <f>-'Combined IFRS17 Cashflows'!O18*Expense_Risk</f>
        <v>825597.38540653337</v>
      </c>
      <c r="O45" s="114">
        <f>-'Combined IFRS17 Cashflows'!P18*Expense_Risk</f>
        <v>854312.63059022173</v>
      </c>
      <c r="P45" s="114">
        <f>-'Combined IFRS17 Cashflows'!Q18*Expense_Risk</f>
        <v>807680.08558622713</v>
      </c>
      <c r="Q45" s="114">
        <f>-'Combined IFRS17 Cashflows'!R18*Expense_Risk</f>
        <v>772591.21159404586</v>
      </c>
      <c r="R45" s="114">
        <f>-'Combined IFRS17 Cashflows'!S18*Expense_Risk</f>
        <v>735570.10823393543</v>
      </c>
      <c r="S45" s="114">
        <f>-'Combined IFRS17 Cashflows'!T18*Expense_Risk</f>
        <v>694939.71098487754</v>
      </c>
      <c r="T45" s="114">
        <f>-'Combined IFRS17 Cashflows'!U18*Expense_Risk</f>
        <v>664819.36326142482</v>
      </c>
      <c r="U45" s="114">
        <f>-'Combined IFRS17 Cashflows'!V18*Expense_Risk</f>
        <v>633703.2465746731</v>
      </c>
      <c r="V45" s="114">
        <f>-'Combined IFRS17 Cashflows'!W18*Expense_Risk</f>
        <v>601031.2689917268</v>
      </c>
      <c r="W45" s="114">
        <f>-'Combined IFRS17 Cashflows'!X18*Expense_Risk</f>
        <v>566290.98984317644</v>
      </c>
      <c r="X45" s="114">
        <f>-'Combined IFRS17 Cashflows'!Y18*Expense_Risk</f>
        <v>528606.95406774769</v>
      </c>
      <c r="Y45" s="114">
        <f>-'Combined IFRS17 Cashflows'!Z18*Expense_Risk</f>
        <v>509568.32744554721</v>
      </c>
      <c r="Z45" s="114">
        <f>-'Combined IFRS17 Cashflows'!AA18*Expense_Risk</f>
        <v>487903.43817402638</v>
      </c>
      <c r="AA45" s="114">
        <f>-'Combined IFRS17 Cashflows'!AB18*Expense_Risk</f>
        <v>464795.73115761543</v>
      </c>
      <c r="AB45" s="114">
        <f>-'Combined IFRS17 Cashflows'!AC18*Expense_Risk</f>
        <v>440762.06225327333</v>
      </c>
      <c r="AC45" s="114">
        <f>-'Combined IFRS17 Cashflows'!AD18*Expense_Risk</f>
        <v>414566.03083397629</v>
      </c>
      <c r="AD45" s="114">
        <f>-'Combined IFRS17 Cashflows'!AE18*Expense_Risk</f>
        <v>387756.97946786531</v>
      </c>
      <c r="AE45" s="114">
        <f>-'Combined IFRS17 Cashflows'!AF18*Expense_Risk</f>
        <v>360331.97942016186</v>
      </c>
      <c r="AF45" s="114">
        <f>-'Combined IFRS17 Cashflows'!AG18*Expense_Risk</f>
        <v>331670.60617676447</v>
      </c>
      <c r="AG45" s="114">
        <f>-'Combined IFRS17 Cashflows'!AH18*Expense_Risk</f>
        <v>301333.25253028242</v>
      </c>
      <c r="AH45" s="114">
        <f>-'Combined IFRS17 Cashflows'!AI18*Expense_Risk</f>
        <v>268659.29572359036</v>
      </c>
      <c r="AI45" s="114">
        <f>-'Combined IFRS17 Cashflows'!AJ18*Expense_Risk</f>
        <v>256194.42819940846</v>
      </c>
      <c r="AJ45" s="114">
        <f>-'Combined IFRS17 Cashflows'!AK18*Expense_Risk</f>
        <v>244222.59467257105</v>
      </c>
      <c r="AK45" s="114">
        <f>-'Combined IFRS17 Cashflows'!AL18*Expense_Risk</f>
        <v>232541.31097550114</v>
      </c>
      <c r="AL45" s="114">
        <f>-'Combined IFRS17 Cashflows'!AM18*Expense_Risk</f>
        <v>221093.83554319688</v>
      </c>
      <c r="AM45" s="114">
        <f>-'Combined IFRS17 Cashflows'!AN18*Expense_Risk</f>
        <v>209838.93938947926</v>
      </c>
      <c r="AN45" s="114">
        <f>-'Combined IFRS17 Cashflows'!AO18*Expense_Risk</f>
        <v>198746.20014858828</v>
      </c>
      <c r="AO45" s="114">
        <f>-'Combined IFRS17 Cashflows'!AP18*Expense_Risk</f>
        <v>188083.6752623487</v>
      </c>
      <c r="AP45" s="114">
        <f>-'Combined IFRS17 Cashflows'!AQ18*Expense_Risk</f>
        <v>177521.50236339428</v>
      </c>
      <c r="AQ45" s="114">
        <f>-'Combined IFRS17 Cashflows'!AR18*Expense_Risk</f>
        <v>167081.83235762661</v>
      </c>
      <c r="AR45" s="114">
        <f>-'Combined IFRS17 Cashflows'!AS18*Expense_Risk</f>
        <v>156776.79767761435</v>
      </c>
      <c r="AS45" s="114">
        <f>-'Combined IFRS17 Cashflows'!AT18*Expense_Risk</f>
        <v>146610.67635299877</v>
      </c>
      <c r="AT45" s="114">
        <f>-'Combined IFRS17 Cashflows'!AU18*Expense_Risk</f>
        <v>136658.97484545823</v>
      </c>
      <c r="AU45" s="114">
        <f>-'Combined IFRS17 Cashflows'!AV18*Expense_Risk</f>
        <v>126901.48917492508</v>
      </c>
      <c r="AV45" s="114">
        <f>-'Combined IFRS17 Cashflows'!AW18*Expense_Risk</f>
        <v>117384.32915773339</v>
      </c>
      <c r="AW45" s="114">
        <f>-'Combined IFRS17 Cashflows'!AX18*Expense_Risk</f>
        <v>108158.81901862445</v>
      </c>
      <c r="AX45" s="114">
        <f>-'Combined IFRS17 Cashflows'!AY18*Expense_Risk</f>
        <v>99276.953810078907</v>
      </c>
      <c r="AY45" s="114">
        <f>-'Combined IFRS17 Cashflows'!AZ18*Expense_Risk</f>
        <v>90857.537872690271</v>
      </c>
      <c r="AZ45" s="114">
        <f>-'Combined IFRS17 Cashflows'!BA18*Expense_Risk</f>
        <v>82853.932826698685</v>
      </c>
      <c r="BA45" s="114">
        <f>-'Combined IFRS17 Cashflows'!BB18*Expense_Risk</f>
        <v>75312.710461317896</v>
      </c>
      <c r="BB45" s="114">
        <f>-'Combined IFRS17 Cashflows'!BC18*Expense_Risk</f>
        <v>68258.327034563496</v>
      </c>
      <c r="BC45" s="114">
        <f>-'Combined IFRS17 Cashflows'!BD18*Expense_Risk</f>
        <v>61692.077867444968</v>
      </c>
      <c r="BD45" s="114">
        <f>-'Combined IFRS17 Cashflows'!BE18*Expense_Risk</f>
        <v>55610.787312501627</v>
      </c>
      <c r="BE45" s="114">
        <f>-'Combined IFRS17 Cashflows'!BF18*Expense_Risk</f>
        <v>49975.575704901028</v>
      </c>
      <c r="BF45" s="114">
        <f>-'Combined IFRS17 Cashflows'!BG18*Expense_Risk</f>
        <v>44751.53454979555</v>
      </c>
      <c r="BG45" s="114">
        <f>-'Combined IFRS17 Cashflows'!BH18*Expense_Risk</f>
        <v>39909.534118805743</v>
      </c>
      <c r="BH45" s="114">
        <f>-'Combined IFRS17 Cashflows'!BI18*Expense_Risk</f>
        <v>35424.720515495625</v>
      </c>
      <c r="BI45" s="114">
        <f>-'Combined IFRS17 Cashflows'!BJ18*Expense_Risk</f>
        <v>31353.116423653359</v>
      </c>
      <c r="BJ45" s="114">
        <f>-'Combined IFRS17 Cashflows'!BK18*Expense_Risk</f>
        <v>27577.761173560048</v>
      </c>
      <c r="BK45" s="114">
        <f>-'Combined IFRS17 Cashflows'!BL18*Expense_Risk</f>
        <v>24094.168314068251</v>
      </c>
      <c r="BL45" s="114">
        <f>-'Combined IFRS17 Cashflows'!BM18*Expense_Risk</f>
        <v>20891.740550417577</v>
      </c>
      <c r="BM45" s="114">
        <f>-'Combined IFRS17 Cashflows'!BN18*Expense_Risk</f>
        <v>17955.741809847324</v>
      </c>
      <c r="BN45" s="114">
        <f>-'Combined IFRS17 Cashflows'!BO18*Expense_Risk</f>
        <v>15277.355864945745</v>
      </c>
      <c r="BO45" s="114">
        <f>-'Combined IFRS17 Cashflows'!BP18*Expense_Risk</f>
        <v>12846.433132166911</v>
      </c>
      <c r="BP45" s="114">
        <f>-'Combined IFRS17 Cashflows'!BQ18*Expense_Risk</f>
        <v>10661.720154810137</v>
      </c>
      <c r="BQ45" s="114">
        <f>-'Combined IFRS17 Cashflows'!BR18*Expense_Risk</f>
        <v>8721.4629727174433</v>
      </c>
      <c r="BR45" s="114">
        <f>-'Combined IFRS17 Cashflows'!BS18*Expense_Risk</f>
        <v>7021.7243764969771</v>
      </c>
      <c r="BS45" s="114">
        <f>-'Combined IFRS17 Cashflows'!BT18*Expense_Risk</f>
        <v>5571.5680946772636</v>
      </c>
      <c r="BT45" s="114">
        <f>-'Combined IFRS17 Cashflows'!BU18*Expense_Risk</f>
        <v>4340.0504039533253</v>
      </c>
      <c r="BU45" s="114">
        <f>-'Combined IFRS17 Cashflows'!BV18*Expense_Risk</f>
        <v>3319.5416696840143</v>
      </c>
      <c r="BV45" s="114">
        <f>-'Combined IFRS17 Cashflows'!BW18*Expense_Risk</f>
        <v>2495.4462303572955</v>
      </c>
      <c r="BW45" s="114">
        <f>-'Combined IFRS17 Cashflows'!BX18*Expense_Risk</f>
        <v>1846.3857415149516</v>
      </c>
      <c r="BX45" s="114">
        <f>-'Combined IFRS17 Cashflows'!BY18*Expense_Risk</f>
        <v>1357.4294220398879</v>
      </c>
      <c r="BY45" s="114">
        <f>-'Combined IFRS17 Cashflows'!BZ18*Expense_Risk</f>
        <v>986.79951604640303</v>
      </c>
      <c r="BZ45" s="114">
        <f>-'Combined IFRS17 Cashflows'!CA18*Expense_Risk</f>
        <v>707.79847940602826</v>
      </c>
      <c r="CA45" s="114">
        <f>-'Combined IFRS17 Cashflows'!CB18*Expense_Risk</f>
        <v>498.58576100000602</v>
      </c>
      <c r="CB45" s="114">
        <f>-'Combined IFRS17 Cashflows'!CC18*Expense_Risk</f>
        <v>341.62079819321457</v>
      </c>
      <c r="CC45" s="114">
        <f>-'Combined IFRS17 Cashflows'!CD18*Expense_Risk</f>
        <v>249.26060073630694</v>
      </c>
      <c r="CD45" s="114">
        <f>-'Combined IFRS17 Cashflows'!CE18*Expense_Risk</f>
        <v>177.47776730299904</v>
      </c>
      <c r="CE45" s="114">
        <f>-'Combined IFRS17 Cashflows'!CF18*Expense_Risk</f>
        <v>122.66326553881427</v>
      </c>
      <c r="CF45" s="114">
        <f>-'Combined IFRS17 Cashflows'!CG18*Expense_Risk</f>
        <v>81.62408674669274</v>
      </c>
      <c r="CG45" s="114">
        <f>-'Combined IFRS17 Cashflows'!CH18*Expense_Risk</f>
        <v>51.419840925957146</v>
      </c>
      <c r="CH45" s="114">
        <f>-'Combined IFRS17 Cashflows'!CI18*Expense_Risk</f>
        <v>32.907123926480317</v>
      </c>
      <c r="CI45" s="114">
        <f>-'Combined IFRS17 Cashflows'!CJ18*Expense_Risk</f>
        <v>19.772992848575512</v>
      </c>
      <c r="CJ45" s="114">
        <f>-'Combined IFRS17 Cashflows'!CK18*Expense_Risk</f>
        <v>10.637580054031572</v>
      </c>
      <c r="CK45" s="114">
        <f>-'Combined IFRS17 Cashflows'!CL18*Expense_Risk</f>
        <v>4.3552058446997632</v>
      </c>
      <c r="CL45" s="114">
        <f>-'Combined IFRS17 Cashflows'!CM18*Expense_Risk</f>
        <v>0</v>
      </c>
      <c r="CM45" s="114">
        <f>-'Combined IFRS17 Cashflows'!CN18*Expense_Risk</f>
        <v>0</v>
      </c>
      <c r="CN45" s="114">
        <f>-'Combined IFRS17 Cashflows'!CO18*Expense_Risk</f>
        <v>0</v>
      </c>
      <c r="CO45" s="114">
        <f>-'Combined IFRS17 Cashflows'!CP18*Expense_Risk</f>
        <v>0</v>
      </c>
      <c r="CP45" s="114">
        <f>-'Combined IFRS17 Cashflows'!CQ18*Expense_Risk</f>
        <v>0</v>
      </c>
      <c r="CQ45" s="114">
        <f>-'Combined IFRS17 Cashflows'!CR18*Expense_Risk</f>
        <v>0</v>
      </c>
      <c r="CR45" s="114">
        <f>-'Combined IFRS17 Cashflows'!CS18*Expense_Risk</f>
        <v>0</v>
      </c>
      <c r="CS45" s="114">
        <f>-'Combined IFRS17 Cashflows'!CT18*Expense_Risk</f>
        <v>0</v>
      </c>
      <c r="CT45" s="114">
        <f>-'Combined IFRS17 Cashflows'!CU18*Expense_Risk</f>
        <v>0</v>
      </c>
      <c r="CU45" s="114">
        <f>-'Combined IFRS17 Cashflows'!CV18*Expense_Risk</f>
        <v>0</v>
      </c>
      <c r="CV45" s="114">
        <f>-'Combined IFRS17 Cashflows'!CW18*Expense_Risk</f>
        <v>0</v>
      </c>
      <c r="CW45" s="114">
        <f>-'Combined IFRS17 Cashflows'!CX18*Expense_Risk</f>
        <v>0</v>
      </c>
      <c r="CX45" s="114">
        <f>-'Combined IFRS17 Cashflows'!CY18*Expense_Risk</f>
        <v>0</v>
      </c>
      <c r="CY45" s="114">
        <f>-'Combined IFRS17 Cashflows'!CZ18*Expense_Risk</f>
        <v>0</v>
      </c>
      <c r="DB45" s="101">
        <f t="shared" si="95"/>
        <v>42</v>
      </c>
      <c r="DC45" s="207">
        <f ca="1">OFFSET($C$14,0,COUNTA($DB$4:DB45))</f>
        <v>27399411.082726616</v>
      </c>
      <c r="DD45" s="207">
        <f ca="1">OFFSET($C$30,0,COUNTA($DB$4:DB45))</f>
        <v>-5.2031928836252935E-10</v>
      </c>
      <c r="DE45" s="100">
        <f ca="1">OFFSET($C$59,0,COUNTA($DB$4:DB45))</f>
        <v>4693303.2811544901</v>
      </c>
      <c r="DH45" s="101">
        <f t="shared" si="96"/>
        <v>42</v>
      </c>
      <c r="DI45" s="100">
        <f ca="1">OFFSET($C$39,0,COUNTA(DH$4:$DH45))</f>
        <v>1039132.0477190553</v>
      </c>
      <c r="DJ45" s="100">
        <f ca="1">OFFSET($C$43,0,COUNTA(DH$4:$DH45))</f>
        <v>2.0812771534501175E-10</v>
      </c>
      <c r="DK45" s="100">
        <f ca="1">OFFSET($C$45,0,COUNTA(DH$4:$DH45))</f>
        <v>146610.67635299877</v>
      </c>
      <c r="DL45" s="100">
        <f ca="1">OFFSET($C$46,0,COUNTA(DH$4:$DH45))</f>
        <v>2297671.7075279038</v>
      </c>
      <c r="DM45" s="100">
        <f ca="1">OFFSET($C$47,0,COUNTA(DH$4:$DH45))</f>
        <v>1260372.9098054245</v>
      </c>
      <c r="DN45" s="100">
        <f ca="1">OFFSET($C$48,0,COUNTA(DH$4:$DH45))</f>
        <v>30235.957615080399</v>
      </c>
      <c r="DO45" s="100">
        <f ca="1">OFFSET($C$51,0,COUNTA(DH$4:$DH45))</f>
        <v>3326453.2481099907</v>
      </c>
      <c r="DP45" s="100">
        <f ca="1">OFFSET($C$53,0,COUNTA(DH$4:$DH45))</f>
        <v>3754642.624923592</v>
      </c>
    </row>
    <row r="46" spans="1:120" x14ac:dyDescent="0.3">
      <c r="C46" s="4" t="s">
        <v>176</v>
      </c>
      <c r="D46" s="114">
        <f t="shared" ref="D46:M46" si="288">(D14*Equities_Percent*Equity_Stress+(Fixed_Int_Sec_Percent+Property_Percent)*D14*Fixed_Int_Stress)</f>
        <v>13648.79219936851</v>
      </c>
      <c r="E46" s="114">
        <f t="shared" si="288"/>
        <v>61820.76624155735</v>
      </c>
      <c r="F46" s="114">
        <f t="shared" si="288"/>
        <v>102354.99912717685</v>
      </c>
      <c r="G46" s="114">
        <f t="shared" si="288"/>
        <v>142909.38578564956</v>
      </c>
      <c r="H46" s="114">
        <f t="shared" si="288"/>
        <v>202005.87771479622</v>
      </c>
      <c r="I46" s="114">
        <f t="shared" si="288"/>
        <v>254804.65621459484</v>
      </c>
      <c r="J46" s="114">
        <f t="shared" si="288"/>
        <v>325978.30062428309</v>
      </c>
      <c r="K46" s="114">
        <f t="shared" si="288"/>
        <v>437521.27259353455</v>
      </c>
      <c r="L46" s="114">
        <f t="shared" si="288"/>
        <v>605672.51947918744</v>
      </c>
      <c r="M46" s="114">
        <f t="shared" si="288"/>
        <v>844277.21911500569</v>
      </c>
      <c r="N46" s="114">
        <f t="shared" ref="N46:BY46" si="289">(N14*Equities_Percent*Equity_Stress+(Fixed_Int_Sec_Percent+Property_Percent)*N14*Fixed_Int_Stress)</f>
        <v>914609.14630417794</v>
      </c>
      <c r="O46" s="114">
        <f t="shared" si="289"/>
        <v>1154948.4990154074</v>
      </c>
      <c r="P46" s="114">
        <f t="shared" si="289"/>
        <v>1488887.7621195333</v>
      </c>
      <c r="Q46" s="114">
        <f t="shared" si="289"/>
        <v>1874208.9897722472</v>
      </c>
      <c r="R46" s="114">
        <f t="shared" si="289"/>
        <v>2368247.3071550438</v>
      </c>
      <c r="S46" s="114">
        <f t="shared" si="289"/>
        <v>2897449.9778617728</v>
      </c>
      <c r="T46" s="114">
        <f t="shared" si="289"/>
        <v>3410886.6425836533</v>
      </c>
      <c r="U46" s="114">
        <f t="shared" si="289"/>
        <v>3854028.6368545895</v>
      </c>
      <c r="V46" s="114">
        <f t="shared" si="289"/>
        <v>4183982.0645027715</v>
      </c>
      <c r="W46" s="114">
        <f t="shared" si="289"/>
        <v>4517289.4170730375</v>
      </c>
      <c r="X46" s="114">
        <f t="shared" si="289"/>
        <v>4743789.7101549329</v>
      </c>
      <c r="Y46" s="114">
        <f t="shared" si="289"/>
        <v>4885442.8326755259</v>
      </c>
      <c r="Z46" s="114">
        <f t="shared" si="289"/>
        <v>4952434.2908712374</v>
      </c>
      <c r="AA46" s="114">
        <f t="shared" si="289"/>
        <v>4947533.2943977192</v>
      </c>
      <c r="AB46" s="114">
        <f t="shared" si="289"/>
        <v>4951653.538745909</v>
      </c>
      <c r="AC46" s="114">
        <f t="shared" si="289"/>
        <v>4907523.9262211649</v>
      </c>
      <c r="AD46" s="114">
        <f t="shared" si="289"/>
        <v>4829761.6720275106</v>
      </c>
      <c r="AE46" s="114">
        <f t="shared" si="289"/>
        <v>4723170.2831584141</v>
      </c>
      <c r="AF46" s="114">
        <f t="shared" si="289"/>
        <v>4589887.8191880165</v>
      </c>
      <c r="AG46" s="114">
        <f t="shared" si="289"/>
        <v>4474769.8293777658</v>
      </c>
      <c r="AH46" s="114">
        <f t="shared" si="289"/>
        <v>4341784.4929050496</v>
      </c>
      <c r="AI46" s="114">
        <f t="shared" si="289"/>
        <v>4193605.9506781385</v>
      </c>
      <c r="AJ46" s="114">
        <f t="shared" si="289"/>
        <v>4029762.5693691499</v>
      </c>
      <c r="AK46" s="114">
        <f t="shared" si="289"/>
        <v>3849478.312347848</v>
      </c>
      <c r="AL46" s="114">
        <f t="shared" si="289"/>
        <v>3674391.4507196047</v>
      </c>
      <c r="AM46" s="114">
        <f t="shared" si="289"/>
        <v>3492516.8831705661</v>
      </c>
      <c r="AN46" s="114">
        <f t="shared" si="289"/>
        <v>3301452.5056081871</v>
      </c>
      <c r="AO46" s="114">
        <f t="shared" si="289"/>
        <v>3103187.4689529627</v>
      </c>
      <c r="AP46" s="114">
        <f t="shared" si="289"/>
        <v>2898537.1241295179</v>
      </c>
      <c r="AQ46" s="114">
        <f t="shared" si="289"/>
        <v>2699692.0922622606</v>
      </c>
      <c r="AR46" s="114">
        <f t="shared" si="289"/>
        <v>2498570.6904228926</v>
      </c>
      <c r="AS46" s="114">
        <f t="shared" si="289"/>
        <v>2297671.7075279038</v>
      </c>
      <c r="AT46" s="114">
        <f t="shared" si="289"/>
        <v>2099015.9755439647</v>
      </c>
      <c r="AU46" s="114">
        <f t="shared" si="289"/>
        <v>1904352.7946444852</v>
      </c>
      <c r="AV46" s="114">
        <f t="shared" si="289"/>
        <v>1721211.5171113336</v>
      </c>
      <c r="AW46" s="114">
        <f t="shared" si="289"/>
        <v>1547733.5996214554</v>
      </c>
      <c r="AX46" s="114">
        <f t="shared" si="289"/>
        <v>1383901.7491996808</v>
      </c>
      <c r="AY46" s="114">
        <f t="shared" si="289"/>
        <v>1230919.2666909129</v>
      </c>
      <c r="AZ46" s="114">
        <f t="shared" si="289"/>
        <v>1089209.3870763995</v>
      </c>
      <c r="BA46" s="114">
        <f t="shared" si="289"/>
        <v>961310.82677494339</v>
      </c>
      <c r="BB46" s="114">
        <f t="shared" si="289"/>
        <v>844846.06447277672</v>
      </c>
      <c r="BC46" s="114">
        <f t="shared" si="289"/>
        <v>739004.06706342392</v>
      </c>
      <c r="BD46" s="114">
        <f t="shared" si="289"/>
        <v>643014.66709032934</v>
      </c>
      <c r="BE46" s="114">
        <f t="shared" si="289"/>
        <v>556135.5090709267</v>
      </c>
      <c r="BF46" s="114">
        <f t="shared" si="289"/>
        <v>478769.46734178322</v>
      </c>
      <c r="BG46" s="114">
        <f t="shared" si="289"/>
        <v>410270.79736739292</v>
      </c>
      <c r="BH46" s="114">
        <f t="shared" si="289"/>
        <v>349066.18160930689</v>
      </c>
      <c r="BI46" s="114">
        <f t="shared" si="289"/>
        <v>294759.73481192032</v>
      </c>
      <c r="BJ46" s="114">
        <f t="shared" si="289"/>
        <v>246824.08624185619</v>
      </c>
      <c r="BK46" s="114">
        <f t="shared" si="289"/>
        <v>205113.46023942504</v>
      </c>
      <c r="BL46" s="114">
        <f t="shared" si="289"/>
        <v>168805.84284752456</v>
      </c>
      <c r="BM46" s="114">
        <f t="shared" si="289"/>
        <v>137341.03026690902</v>
      </c>
      <c r="BN46" s="114">
        <f t="shared" si="289"/>
        <v>110338.56150016788</v>
      </c>
      <c r="BO46" s="114">
        <f t="shared" si="289"/>
        <v>87407.769276980762</v>
      </c>
      <c r="BP46" s="114">
        <f t="shared" si="289"/>
        <v>68306.153563218148</v>
      </c>
      <c r="BQ46" s="114">
        <f t="shared" si="289"/>
        <v>52673.461729064038</v>
      </c>
      <c r="BR46" s="114">
        <f t="shared" si="289"/>
        <v>39916.516123252331</v>
      </c>
      <c r="BS46" s="114">
        <f t="shared" si="289"/>
        <v>29720.034010831961</v>
      </c>
      <c r="BT46" s="114">
        <f t="shared" si="289"/>
        <v>21743.154044299219</v>
      </c>
      <c r="BU46" s="114">
        <f t="shared" si="289"/>
        <v>15672.749279561249</v>
      </c>
      <c r="BV46" s="114">
        <f t="shared" si="289"/>
        <v>11229.138614785319</v>
      </c>
      <c r="BW46" s="114">
        <f t="shared" si="289"/>
        <v>7942.3565242357117</v>
      </c>
      <c r="BX46" s="114">
        <f t="shared" si="289"/>
        <v>5538.6636137308051</v>
      </c>
      <c r="BY46" s="114">
        <f t="shared" si="289"/>
        <v>3797.2261298536237</v>
      </c>
      <c r="BZ46" s="114">
        <f t="shared" ref="BZ46:CY46" si="290">(BZ14*Equities_Percent*Equity_Stress+(Fixed_Int_Sec_Percent+Property_Percent)*BZ14*Fixed_Int_Stress)</f>
        <v>2548.9780302118374</v>
      </c>
      <c r="CA46" s="114">
        <f t="shared" si="290"/>
        <v>1774.1079075000227</v>
      </c>
      <c r="CB46" s="114">
        <f t="shared" si="290"/>
        <v>1210.068297999858</v>
      </c>
      <c r="CC46" s="114">
        <f t="shared" si="290"/>
        <v>804.423974788142</v>
      </c>
      <c r="CD46" s="114">
        <f t="shared" si="290"/>
        <v>516.12059968354822</v>
      </c>
      <c r="CE46" s="114">
        <f t="shared" si="290"/>
        <v>313.94093458574372</v>
      </c>
      <c r="CF46" s="114">
        <f t="shared" si="290"/>
        <v>195.91729650999531</v>
      </c>
      <c r="CG46" s="114">
        <f t="shared" si="290"/>
        <v>114.74790720881174</v>
      </c>
      <c r="CH46" s="114">
        <f t="shared" si="290"/>
        <v>60.141147570382657</v>
      </c>
      <c r="CI46" s="114">
        <f t="shared" si="290"/>
        <v>23.95972514100524</v>
      </c>
      <c r="CJ46" s="114">
        <f t="shared" si="290"/>
        <v>8.1019894799277555E-10</v>
      </c>
      <c r="CK46" s="114">
        <f t="shared" si="290"/>
        <v>0</v>
      </c>
      <c r="CL46" s="114">
        <f t="shared" si="290"/>
        <v>0</v>
      </c>
      <c r="CM46" s="114">
        <f t="shared" si="290"/>
        <v>0</v>
      </c>
      <c r="CN46" s="114">
        <f t="shared" si="290"/>
        <v>0</v>
      </c>
      <c r="CO46" s="114">
        <f t="shared" si="290"/>
        <v>0</v>
      </c>
      <c r="CP46" s="114">
        <f t="shared" si="290"/>
        <v>0</v>
      </c>
      <c r="CQ46" s="114">
        <f t="shared" si="290"/>
        <v>0</v>
      </c>
      <c r="CR46" s="114">
        <f t="shared" si="290"/>
        <v>0</v>
      </c>
      <c r="CS46" s="114">
        <f t="shared" si="290"/>
        <v>0</v>
      </c>
      <c r="CT46" s="114">
        <f t="shared" si="290"/>
        <v>0</v>
      </c>
      <c r="CU46" s="114">
        <f t="shared" si="290"/>
        <v>0</v>
      </c>
      <c r="CV46" s="114">
        <f t="shared" si="290"/>
        <v>0</v>
      </c>
      <c r="CW46" s="114">
        <f t="shared" si="290"/>
        <v>0</v>
      </c>
      <c r="CX46" s="114">
        <f t="shared" si="290"/>
        <v>0</v>
      </c>
      <c r="CY46" s="114">
        <f t="shared" si="290"/>
        <v>0</v>
      </c>
      <c r="DB46" s="101">
        <f t="shared" si="95"/>
        <v>43</v>
      </c>
      <c r="DC46" s="207">
        <f ca="1">OFFSET($C$14,0,COUNTA($DB$4:DB46))</f>
        <v>25030469.494276557</v>
      </c>
      <c r="DD46" s="207">
        <f ca="1">OFFSET($C$30,0,COUNTA($DB$4:DB46))</f>
        <v>-6.6600868910403747E-10</v>
      </c>
      <c r="DE46" s="100">
        <f ca="1">OFFSET($C$59,0,COUNTA($DB$4:DB46))</f>
        <v>4295278.7896909118</v>
      </c>
      <c r="DH46" s="101">
        <f t="shared" si="96"/>
        <v>43</v>
      </c>
      <c r="DI46" s="100">
        <f ca="1">OFFSET($C$39,0,COUNTA(DH$4:$DH46))</f>
        <v>966815.27935646637</v>
      </c>
      <c r="DJ46" s="100">
        <f ca="1">OFFSET($C$43,0,COUNTA(DH$4:$DH46))</f>
        <v>2.66403475641615E-10</v>
      </c>
      <c r="DK46" s="100">
        <f ca="1">OFFSET($C$45,0,COUNTA(DH$4:$DH46))</f>
        <v>136658.97484545823</v>
      </c>
      <c r="DL46" s="100">
        <f ca="1">OFFSET($C$46,0,COUNTA(DH$4:$DH46))</f>
        <v>2099015.9755439647</v>
      </c>
      <c r="DM46" s="100">
        <f ca="1">OFFSET($C$47,0,COUNTA(DH$4:$DH46))</f>
        <v>1151401.5967367217</v>
      </c>
      <c r="DN46" s="100">
        <f ca="1">OFFSET($C$48,0,COUNTA(DH$4:$DH46))</f>
        <v>27426.202220122283</v>
      </c>
      <c r="DO46" s="100">
        <f ca="1">OFFSET($C$51,0,COUNTA(DH$4:$DH46))</f>
        <v>3044347.0676351893</v>
      </c>
      <c r="DP46" s="100">
        <f ca="1">OFFSET($C$53,0,COUNTA(DH$4:$DH46))</f>
        <v>3436223.0317527293</v>
      </c>
    </row>
    <row r="47" spans="1:120" x14ac:dyDescent="0.3">
      <c r="C47" s="4" t="s">
        <v>177</v>
      </c>
      <c r="D47" s="114">
        <f t="shared" ref="D47:M47" si="291">D14*Credit_Factor*Fixed_Int_Sec_Percent</f>
        <v>7486.9564190944166</v>
      </c>
      <c r="E47" s="114">
        <f t="shared" si="291"/>
        <v>33911.380280738529</v>
      </c>
      <c r="F47" s="114">
        <f t="shared" si="291"/>
        <v>56146.170778178879</v>
      </c>
      <c r="G47" s="114">
        <f t="shared" si="291"/>
        <v>78392.016496977143</v>
      </c>
      <c r="H47" s="114">
        <f t="shared" si="291"/>
        <v>110809.01377644025</v>
      </c>
      <c r="I47" s="114">
        <f t="shared" si="291"/>
        <v>139771.44120849541</v>
      </c>
      <c r="J47" s="114">
        <f t="shared" si="291"/>
        <v>178813.28213476532</v>
      </c>
      <c r="K47" s="114">
        <f t="shared" si="291"/>
        <v>239999.45581163431</v>
      </c>
      <c r="L47" s="114">
        <f t="shared" si="291"/>
        <v>332237.73146708141</v>
      </c>
      <c r="M47" s="114">
        <f t="shared" si="291"/>
        <v>463122.79158596409</v>
      </c>
      <c r="N47" s="114">
        <f t="shared" ref="N47:BY47" si="292">N14*Credit_Factor*Fixed_Int_Sec_Percent</f>
        <v>501702.91399127239</v>
      </c>
      <c r="O47" s="114">
        <f t="shared" si="292"/>
        <v>633539.5068017036</v>
      </c>
      <c r="P47" s="114">
        <f t="shared" si="292"/>
        <v>816719.72326076671</v>
      </c>
      <c r="Q47" s="114">
        <f t="shared" si="292"/>
        <v>1028085.1830500439</v>
      </c>
      <c r="R47" s="114">
        <f t="shared" si="292"/>
        <v>1299086.6971458383</v>
      </c>
      <c r="S47" s="114">
        <f t="shared" si="292"/>
        <v>1589377.3891407656</v>
      </c>
      <c r="T47" s="114">
        <f t="shared" si="292"/>
        <v>1871019.7408292738</v>
      </c>
      <c r="U47" s="114">
        <f t="shared" si="292"/>
        <v>2114102.4070545379</v>
      </c>
      <c r="V47" s="114">
        <f t="shared" si="292"/>
        <v>2295096.219330987</v>
      </c>
      <c r="W47" s="114">
        <f t="shared" si="292"/>
        <v>2477929.8053660044</v>
      </c>
      <c r="X47" s="114">
        <f t="shared" si="292"/>
        <v>2602175.0717929285</v>
      </c>
      <c r="Y47" s="114">
        <f t="shared" si="292"/>
        <v>2679877.9732254371</v>
      </c>
      <c r="Z47" s="114">
        <f t="shared" si="292"/>
        <v>2716625.7030345323</v>
      </c>
      <c r="AA47" s="114">
        <f t="shared" si="292"/>
        <v>2713937.2932125218</v>
      </c>
      <c r="AB47" s="114">
        <f t="shared" si="292"/>
        <v>2716197.4265210452</v>
      </c>
      <c r="AC47" s="114">
        <f t="shared" si="292"/>
        <v>2691990.4138463582</v>
      </c>
      <c r="AD47" s="114">
        <f t="shared" si="292"/>
        <v>2649334.4337644456</v>
      </c>
      <c r="AE47" s="114">
        <f t="shared" si="292"/>
        <v>2590864.4188754656</v>
      </c>
      <c r="AF47" s="114">
        <f t="shared" si="292"/>
        <v>2517753.1878888831</v>
      </c>
      <c r="AG47" s="114">
        <f t="shared" si="292"/>
        <v>2454605.9613670395</v>
      </c>
      <c r="AH47" s="114">
        <f t="shared" si="292"/>
        <v>2381657.7177417977</v>
      </c>
      <c r="AI47" s="114">
        <f t="shared" si="292"/>
        <v>2300375.3396608159</v>
      </c>
      <c r="AJ47" s="114">
        <f t="shared" si="292"/>
        <v>2210500.1157216444</v>
      </c>
      <c r="AK47" s="114">
        <f t="shared" si="292"/>
        <v>2111606.3560650381</v>
      </c>
      <c r="AL47" s="114">
        <f t="shared" si="292"/>
        <v>2015563.5939349704</v>
      </c>
      <c r="AM47" s="114">
        <f t="shared" si="292"/>
        <v>1915797.4797549706</v>
      </c>
      <c r="AN47" s="114">
        <f t="shared" si="292"/>
        <v>1810990.3549079006</v>
      </c>
      <c r="AO47" s="114">
        <f t="shared" si="292"/>
        <v>1702233.3552272618</v>
      </c>
      <c r="AP47" s="114">
        <f t="shared" si="292"/>
        <v>1589973.7361734482</v>
      </c>
      <c r="AQ47" s="114">
        <f t="shared" si="292"/>
        <v>1480898.5838817693</v>
      </c>
      <c r="AR47" s="114">
        <f t="shared" si="292"/>
        <v>1370574.7436090605</v>
      </c>
      <c r="AS47" s="114">
        <f t="shared" si="292"/>
        <v>1260372.9098054245</v>
      </c>
      <c r="AT47" s="114">
        <f t="shared" si="292"/>
        <v>1151401.5967367217</v>
      </c>
      <c r="AU47" s="114">
        <f t="shared" si="292"/>
        <v>1044620.3716650903</v>
      </c>
      <c r="AV47" s="114">
        <f t="shared" si="292"/>
        <v>944159.41194065253</v>
      </c>
      <c r="AW47" s="114">
        <f t="shared" si="292"/>
        <v>848999.22568021051</v>
      </c>
      <c r="AX47" s="114">
        <f t="shared" si="292"/>
        <v>759130.32693441724</v>
      </c>
      <c r="AY47" s="114">
        <f t="shared" si="292"/>
        <v>675212.7785757418</v>
      </c>
      <c r="AZ47" s="114">
        <f t="shared" si="292"/>
        <v>597478.74340755551</v>
      </c>
      <c r="BA47" s="114">
        <f t="shared" si="292"/>
        <v>527320.81785233866</v>
      </c>
      <c r="BB47" s="114">
        <f t="shared" si="292"/>
        <v>463434.82801677979</v>
      </c>
      <c r="BC47" s="114">
        <f t="shared" si="292"/>
        <v>405375.88695162151</v>
      </c>
      <c r="BD47" s="114">
        <f t="shared" si="292"/>
        <v>352721.52429476805</v>
      </c>
      <c r="BE47" s="114">
        <f t="shared" si="292"/>
        <v>305064.52576203493</v>
      </c>
      <c r="BF47" s="114">
        <f t="shared" si="292"/>
        <v>262625.88545723655</v>
      </c>
      <c r="BG47" s="114">
        <f t="shared" si="292"/>
        <v>225051.384404468</v>
      </c>
      <c r="BH47" s="114">
        <f t="shared" si="292"/>
        <v>191477.98947437224</v>
      </c>
      <c r="BI47" s="114">
        <f t="shared" si="292"/>
        <v>161688.5403781574</v>
      </c>
      <c r="BJ47" s="114">
        <f t="shared" si="292"/>
        <v>135393.75132116661</v>
      </c>
      <c r="BK47" s="114">
        <f t="shared" si="292"/>
        <v>112513.65801094705</v>
      </c>
      <c r="BL47" s="114">
        <f t="shared" si="292"/>
        <v>92597.350023864492</v>
      </c>
      <c r="BM47" s="114">
        <f t="shared" si="292"/>
        <v>75337.53119997312</v>
      </c>
      <c r="BN47" s="114">
        <f t="shared" si="292"/>
        <v>60525.502127253952</v>
      </c>
      <c r="BO47" s="114">
        <f t="shared" si="292"/>
        <v>47946.964808892961</v>
      </c>
      <c r="BP47" s="114">
        <f t="shared" si="292"/>
        <v>37468.897424304421</v>
      </c>
      <c r="BQ47" s="114">
        <f t="shared" si="292"/>
        <v>28893.685730418412</v>
      </c>
      <c r="BR47" s="114">
        <f t="shared" si="292"/>
        <v>21895.945974669969</v>
      </c>
      <c r="BS47" s="114">
        <f t="shared" si="292"/>
        <v>16302.731858090545</v>
      </c>
      <c r="BT47" s="114">
        <f t="shared" si="292"/>
        <v>11927.066099728341</v>
      </c>
      <c r="BU47" s="114">
        <f t="shared" si="292"/>
        <v>8597.184945705123</v>
      </c>
      <c r="BV47" s="114">
        <f t="shared" si="292"/>
        <v>6159.6711419460025</v>
      </c>
      <c r="BW47" s="114">
        <f t="shared" si="292"/>
        <v>4356.7281480491883</v>
      </c>
      <c r="BX47" s="114">
        <f t="shared" si="292"/>
        <v>3038.1979951270059</v>
      </c>
      <c r="BY47" s="114">
        <f t="shared" si="292"/>
        <v>2082.9437603259862</v>
      </c>
      <c r="BZ47" s="114">
        <f t="shared" ref="BZ47:CY47" si="293">BZ14*Credit_Factor*Fixed_Int_Sec_Percent</f>
        <v>1398.2253628499172</v>
      </c>
      <c r="CA47" s="114">
        <f t="shared" si="293"/>
        <v>973.17538374113485</v>
      </c>
      <c r="CB47" s="114">
        <f t="shared" si="293"/>
        <v>663.77511496378838</v>
      </c>
      <c r="CC47" s="114">
        <f t="shared" si="293"/>
        <v>441.26155294474893</v>
      </c>
      <c r="CD47" s="114">
        <f t="shared" si="293"/>
        <v>283.11460680062112</v>
      </c>
      <c r="CE47" s="114">
        <f t="shared" si="293"/>
        <v>172.21026308261793</v>
      </c>
      <c r="CF47" s="114">
        <f t="shared" si="293"/>
        <v>107.46916205413393</v>
      </c>
      <c r="CG47" s="114">
        <f t="shared" si="293"/>
        <v>62.944220111608992</v>
      </c>
      <c r="CH47" s="114">
        <f t="shared" si="293"/>
        <v>32.990036354617068</v>
      </c>
      <c r="CI47" s="114">
        <f t="shared" si="293"/>
        <v>13.142951795579883</v>
      </c>
      <c r="CJ47" s="114">
        <f t="shared" si="293"/>
        <v>4.4442937703298805E-10</v>
      </c>
      <c r="CK47" s="114">
        <f t="shared" si="293"/>
        <v>0</v>
      </c>
      <c r="CL47" s="114">
        <f t="shared" si="293"/>
        <v>0</v>
      </c>
      <c r="CM47" s="114">
        <f t="shared" si="293"/>
        <v>0</v>
      </c>
      <c r="CN47" s="114">
        <f t="shared" si="293"/>
        <v>0</v>
      </c>
      <c r="CO47" s="114">
        <f t="shared" si="293"/>
        <v>0</v>
      </c>
      <c r="CP47" s="114">
        <f t="shared" si="293"/>
        <v>0</v>
      </c>
      <c r="CQ47" s="114">
        <f t="shared" si="293"/>
        <v>0</v>
      </c>
      <c r="CR47" s="114">
        <f t="shared" si="293"/>
        <v>0</v>
      </c>
      <c r="CS47" s="114">
        <f t="shared" si="293"/>
        <v>0</v>
      </c>
      <c r="CT47" s="114">
        <f t="shared" si="293"/>
        <v>0</v>
      </c>
      <c r="CU47" s="114">
        <f t="shared" si="293"/>
        <v>0</v>
      </c>
      <c r="CV47" s="114">
        <f t="shared" si="293"/>
        <v>0</v>
      </c>
      <c r="CW47" s="114">
        <f t="shared" si="293"/>
        <v>0</v>
      </c>
      <c r="CX47" s="114">
        <f t="shared" si="293"/>
        <v>0</v>
      </c>
      <c r="CY47" s="114">
        <f t="shared" si="293"/>
        <v>0</v>
      </c>
      <c r="DB47" s="101">
        <f t="shared" si="95"/>
        <v>44</v>
      </c>
      <c r="DC47" s="207">
        <f ca="1">OFFSET($C$14,0,COUNTA($DB$4:DB47))</f>
        <v>22709138.514458485</v>
      </c>
      <c r="DD47" s="207">
        <f ca="1">OFFSET($C$30,0,COUNTA($DB$4:DB47))</f>
        <v>-7.7304579985290065E-10</v>
      </c>
      <c r="DE47" s="100">
        <f ca="1">OFFSET($C$59,0,COUNTA($DB$4:DB47))</f>
        <v>3906063.785235771</v>
      </c>
      <c r="DH47" s="101">
        <f t="shared" si="96"/>
        <v>44</v>
      </c>
      <c r="DI47" s="100">
        <f ca="1">OFFSET($C$39,0,COUNTA(DH$4:$DH47))</f>
        <v>897004.19465543109</v>
      </c>
      <c r="DJ47" s="100">
        <f ca="1">OFFSET($C$43,0,COUNTA(DH$4:$DH47))</f>
        <v>3.0921831994116027E-10</v>
      </c>
      <c r="DK47" s="100">
        <f ca="1">OFFSET($C$45,0,COUNTA(DH$4:$DH47))</f>
        <v>126901.48917492508</v>
      </c>
      <c r="DL47" s="100">
        <f ca="1">OFFSET($C$46,0,COUNTA(DH$4:$DH47))</f>
        <v>1904352.7946444852</v>
      </c>
      <c r="DM47" s="100">
        <f ca="1">OFFSET($C$47,0,COUNTA(DH$4:$DH47))</f>
        <v>1044620.3716650903</v>
      </c>
      <c r="DN47" s="100">
        <f ca="1">OFFSET($C$48,0,COUNTA(DH$4:$DH47))</f>
        <v>24794.257405174485</v>
      </c>
      <c r="DO47" s="100">
        <f ca="1">OFFSET($C$51,0,COUNTA(DH$4:$DH47))</f>
        <v>2768484.7510059373</v>
      </c>
      <c r="DP47" s="100">
        <f ca="1">OFFSET($C$53,0,COUNTA(DH$4:$DH47))</f>
        <v>3124851.028188617</v>
      </c>
    </row>
    <row r="48" spans="1:120" x14ac:dyDescent="0.3">
      <c r="A48" s="10" t="s">
        <v>193</v>
      </c>
      <c r="B48" s="10">
        <f>Equities_Percent*Equity_Stress+Fixed_Int_Sec_Percent*Fixed_Int_Stress+Property_Percent*Property_Stress</f>
        <v>8.3858434058694892E-2</v>
      </c>
      <c r="C48" s="4" t="s">
        <v>178</v>
      </c>
      <c r="D48" s="114">
        <f>-'Combined IFRS17 Cashflows'!F110*Operational_Risk_Factor</f>
        <v>11860.992877709234</v>
      </c>
      <c r="E48" s="114">
        <f>-'Combined IFRS17 Cashflows'!G110*Operational_Risk_Factor</f>
        <v>40077.127655259232</v>
      </c>
      <c r="F48" s="114">
        <f>-'Combined IFRS17 Cashflows'!H110*Operational_Risk_Factor</f>
        <v>76821.570159479117</v>
      </c>
      <c r="G48" s="114">
        <f>-'Combined IFRS17 Cashflows'!I110*Operational_Risk_Factor</f>
        <v>117305.71404760118</v>
      </c>
      <c r="H48" s="114">
        <f>-'Combined IFRS17 Cashflows'!J110*Operational_Risk_Factor</f>
        <v>167029.96225169441</v>
      </c>
      <c r="I48" s="114">
        <f>-'Combined IFRS17 Cashflows'!K110*Operational_Risk_Factor</f>
        <v>221327.40930457399</v>
      </c>
      <c r="J48" s="114">
        <f>-'Combined IFRS17 Cashflows'!L110*Operational_Risk_Factor</f>
        <v>277995.31944587809</v>
      </c>
      <c r="K48" s="114">
        <f>-'Combined IFRS17 Cashflows'!M110*Operational_Risk_Factor</f>
        <v>340044.55775612296</v>
      </c>
      <c r="L48" s="114">
        <f>-'Combined IFRS17 Cashflows'!N110*Operational_Risk_Factor</f>
        <v>409923.72951558017</v>
      </c>
      <c r="M48" s="114">
        <f>-'Combined IFRS17 Cashflows'!O110*Operational_Risk_Factor</f>
        <v>490721.1619758223</v>
      </c>
      <c r="N48" s="114">
        <f>-'Combined IFRS17 Cashflows'!P110*Operational_Risk_Factor</f>
        <v>482623.61904759175</v>
      </c>
      <c r="O48" s="114">
        <f>-'Combined IFRS17 Cashflows'!Q110*Operational_Risk_Factor</f>
        <v>436062.36979035963</v>
      </c>
      <c r="P48" s="114">
        <f>-'Combined IFRS17 Cashflows'!R110*Operational_Risk_Factor</f>
        <v>402268.32144545717</v>
      </c>
      <c r="Q48" s="114">
        <f>-'Combined IFRS17 Cashflows'!S110*Operational_Risk_Factor</f>
        <v>370920.35585544264</v>
      </c>
      <c r="R48" s="114">
        <f>-'Combined IFRS17 Cashflows'!T110*Operational_Risk_Factor</f>
        <v>341065.88915289793</v>
      </c>
      <c r="S48" s="114">
        <f>-'Combined IFRS17 Cashflows'!U110*Operational_Risk_Factor</f>
        <v>315366.21349140326</v>
      </c>
      <c r="T48" s="114">
        <f>-'Combined IFRS17 Cashflows'!V110*Operational_Risk_Factor</f>
        <v>291073.79632975615</v>
      </c>
      <c r="U48" s="114">
        <f>-'Combined IFRS17 Cashflows'!W110*Operational_Risk_Factor</f>
        <v>267826.2635254052</v>
      </c>
      <c r="V48" s="114">
        <f>-'Combined IFRS17 Cashflows'!X110*Operational_Risk_Factor</f>
        <v>245425.01229889173</v>
      </c>
      <c r="W48" s="114">
        <f>-'Combined IFRS17 Cashflows'!Y110*Operational_Risk_Factor</f>
        <v>223504.36752776694</v>
      </c>
      <c r="X48" s="114">
        <f>-'Combined IFRS17 Cashflows'!Z110*Operational_Risk_Factor</f>
        <v>206515.47118613482</v>
      </c>
      <c r="Y48" s="114">
        <f>-'Combined IFRS17 Cashflows'!AA110*Operational_Risk_Factor</f>
        <v>190363.78956152714</v>
      </c>
      <c r="Z48" s="114">
        <f>-'Combined IFRS17 Cashflows'!AB110*Operational_Risk_Factor</f>
        <v>174816.67407172453</v>
      </c>
      <c r="AA48" s="114">
        <f>-'Combined IFRS17 Cashflows'!AC110*Operational_Risk_Factor</f>
        <v>159981.34085255853</v>
      </c>
      <c r="AB48" s="114">
        <f>-'Combined IFRS17 Cashflows'!AD110*Operational_Risk_Factor</f>
        <v>145621.98154246365</v>
      </c>
      <c r="AC48" s="114">
        <f>-'Combined IFRS17 Cashflows'!AE110*Operational_Risk_Factor</f>
        <v>131992.78484042705</v>
      </c>
      <c r="AD48" s="114">
        <f>-'Combined IFRS17 Cashflows'!AF110*Operational_Risk_Factor</f>
        <v>119397.8581948918</v>
      </c>
      <c r="AE48" s="114">
        <f>-'Combined IFRS17 Cashflows'!AG110*Operational_Risk_Factor</f>
        <v>107381.10869986513</v>
      </c>
      <c r="AF48" s="114">
        <f>-'Combined IFRS17 Cashflows'!AH110*Operational_Risk_Factor</f>
        <v>95818.076920251755</v>
      </c>
      <c r="AG48" s="114">
        <f>-'Combined IFRS17 Cashflows'!AI110*Operational_Risk_Factor</f>
        <v>84527.395326480153</v>
      </c>
      <c r="AH48" s="114">
        <f>-'Combined IFRS17 Cashflows'!AJ110*Operational_Risk_Factor</f>
        <v>77607.868664381691</v>
      </c>
      <c r="AI48" s="114">
        <f>-'Combined IFRS17 Cashflows'!AK110*Operational_Risk_Factor</f>
        <v>71506.532617179968</v>
      </c>
      <c r="AJ48" s="114">
        <f>-'Combined IFRS17 Cashflows'!AL110*Operational_Risk_Factor</f>
        <v>65904.830644532791</v>
      </c>
      <c r="AK48" s="114">
        <f>-'Combined IFRS17 Cashflows'!AM110*Operational_Risk_Factor</f>
        <v>60724.374617571753</v>
      </c>
      <c r="AL48" s="114">
        <f>-'Combined IFRS17 Cashflows'!AN110*Operational_Risk_Factor</f>
        <v>55903.352686552498</v>
      </c>
      <c r="AM48" s="114">
        <f>-'Combined IFRS17 Cashflows'!AO110*Operational_Risk_Factor</f>
        <v>51390.804977540902</v>
      </c>
      <c r="AN48" s="114">
        <f>-'Combined IFRS17 Cashflows'!AP110*Operational_Risk_Factor</f>
        <v>47317.98624645549</v>
      </c>
      <c r="AO48" s="114">
        <f>-'Combined IFRS17 Cashflows'!AQ110*Operational_Risk_Factor</f>
        <v>43476.627552148806</v>
      </c>
      <c r="AP48" s="114">
        <f>-'Combined IFRS17 Cashflows'!AR110*Operational_Risk_Factor</f>
        <v>39856.744403026431</v>
      </c>
      <c r="AQ48" s="114">
        <f>-'Combined IFRS17 Cashflows'!AS110*Operational_Risk_Factor</f>
        <v>36445.092258290104</v>
      </c>
      <c r="AR48" s="114">
        <f>-'Combined IFRS17 Cashflows'!AT110*Operational_Risk_Factor</f>
        <v>33225.982411157391</v>
      </c>
      <c r="AS48" s="114">
        <f>-'Combined IFRS17 Cashflows'!AU110*Operational_Risk_Factor</f>
        <v>30235.957615080399</v>
      </c>
      <c r="AT48" s="114">
        <f>-'Combined IFRS17 Cashflows'!AV110*Operational_Risk_Factor</f>
        <v>27426.202220122283</v>
      </c>
      <c r="AU48" s="114">
        <f>-'Combined IFRS17 Cashflows'!AW110*Operational_Risk_Factor</f>
        <v>24794.257405174485</v>
      </c>
      <c r="AV48" s="114">
        <f>-'Combined IFRS17 Cashflows'!AX110*Operational_Risk_Factor</f>
        <v>22339.429801335697</v>
      </c>
      <c r="AW48" s="114">
        <f>-'Combined IFRS17 Cashflows'!AY110*Operational_Risk_Factor</f>
        <v>20061.499205469852</v>
      </c>
      <c r="AX48" s="114">
        <f>-'Combined IFRS17 Cashflows'!AZ110*Operational_Risk_Factor</f>
        <v>17981.957360033924</v>
      </c>
      <c r="AY48" s="114">
        <f>-'Combined IFRS17 Cashflows'!BA110*Operational_Risk_Factor</f>
        <v>16071.759804532296</v>
      </c>
      <c r="AZ48" s="114">
        <f>-'Combined IFRS17 Cashflows'!BB110*Operational_Risk_Factor</f>
        <v>14330.734878845184</v>
      </c>
      <c r="BA48" s="114">
        <f>-'Combined IFRS17 Cashflows'!BC110*Operational_Risk_Factor</f>
        <v>12753.859462005601</v>
      </c>
      <c r="BB48" s="114">
        <f>-'Combined IFRS17 Cashflows'!BD110*Operational_Risk_Factor</f>
        <v>11331.390278705298</v>
      </c>
      <c r="BC48" s="114">
        <f>-'Combined IFRS17 Cashflows'!BE110*Operational_Risk_Factor</f>
        <v>10053.178502487515</v>
      </c>
      <c r="BD48" s="114">
        <f>-'Combined IFRS17 Cashflows'!BF110*Operational_Risk_Factor</f>
        <v>8901.6166425472547</v>
      </c>
      <c r="BE48" s="114">
        <f>-'Combined IFRS17 Cashflows'!BG110*Operational_Risk_Factor</f>
        <v>7861.5103058009809</v>
      </c>
      <c r="BF48" s="114">
        <f>-'Combined IFRS17 Cashflows'!BH110*Operational_Risk_Factor</f>
        <v>6920.3022068016226</v>
      </c>
      <c r="BG48" s="114">
        <f>-'Combined IFRS17 Cashflows'!BI110*Operational_Risk_Factor</f>
        <v>6067.5349303429739</v>
      </c>
      <c r="BH48" s="114">
        <f>-'Combined IFRS17 Cashflows'!BJ110*Operational_Risk_Factor</f>
        <v>5310.7603866307272</v>
      </c>
      <c r="BI48" s="114">
        <f>-'Combined IFRS17 Cashflows'!BK110*Operational_Risk_Factor</f>
        <v>4621.87922537947</v>
      </c>
      <c r="BJ48" s="114">
        <f>-'Combined IFRS17 Cashflows'!BL110*Operational_Risk_Factor</f>
        <v>3997.2278107890547</v>
      </c>
      <c r="BK48" s="114">
        <f>-'Combined IFRS17 Cashflows'!BM110*Operational_Risk_Factor</f>
        <v>3432.4362785607809</v>
      </c>
      <c r="BL48" s="114">
        <f>-'Combined IFRS17 Cashflows'!BN110*Operational_Risk_Factor</f>
        <v>2922.7632508559445</v>
      </c>
      <c r="BM48" s="114">
        <f>-'Combined IFRS17 Cashflows'!BO110*Operational_Risk_Factor</f>
        <v>2464.779669176864</v>
      </c>
      <c r="BN48" s="114">
        <f>-'Combined IFRS17 Cashflows'!BP110*Operational_Risk_Factor</f>
        <v>2054.9387666625748</v>
      </c>
      <c r="BO48" s="114">
        <f>-'Combined IFRS17 Cashflows'!BQ110*Operational_Risk_Factor</f>
        <v>1691.4421710575</v>
      </c>
      <c r="BP48" s="114">
        <f>-'Combined IFRS17 Cashflows'!BR110*Operational_Risk_Factor</f>
        <v>1372.5651979145359</v>
      </c>
      <c r="BQ48" s="114">
        <f>-'Combined IFRS17 Cashflows'!BS110*Operational_Risk_Factor</f>
        <v>1096.3920641156137</v>
      </c>
      <c r="BR48" s="114">
        <f>-'Combined IFRS17 Cashflows'!BT110*Operational_Risk_Factor</f>
        <v>863.12570524875923</v>
      </c>
      <c r="BS48" s="114">
        <f>-'Combined IFRS17 Cashflows'!BU110*Operational_Risk_Factor</f>
        <v>667.02895250589052</v>
      </c>
      <c r="BT48" s="114">
        <f>-'Combined IFRS17 Cashflows'!BV110*Operational_Risk_Factor</f>
        <v>506.05260416436164</v>
      </c>
      <c r="BU48" s="114">
        <f>-'Combined IFRS17 Cashflows'!BW110*Operational_Risk_Factor</f>
        <v>377.22408112566467</v>
      </c>
      <c r="BV48" s="114">
        <f>-'Combined IFRS17 Cashflows'!BX110*Operational_Risk_Factor</f>
        <v>276.66718479423628</v>
      </c>
      <c r="BW48" s="114">
        <f>-'Combined IFRS17 Cashflows'!BY110*Operational_Risk_Factor</f>
        <v>201.6420247220457</v>
      </c>
      <c r="BX48" s="114">
        <f>-'Combined IFRS17 Cashflows'!BZ110*Operational_Risk_Factor</f>
        <v>145.29899115934765</v>
      </c>
      <c r="BY48" s="114">
        <f>-'Combined IFRS17 Cashflows'!CA110*Operational_Risk_Factor</f>
        <v>103.2894747731535</v>
      </c>
      <c r="BZ48" s="114">
        <f>-'Combined IFRS17 Cashflows'!CB110*Operational_Risk_Factor</f>
        <v>72.094388318573309</v>
      </c>
      <c r="CA48" s="114">
        <f>-'Combined IFRS17 Cashflows'!CC110*Operational_Risk_Factor</f>
        <v>48.91733509578561</v>
      </c>
      <c r="CB48" s="114">
        <f>-'Combined IFRS17 Cashflows'!CD110*Operational_Risk_Factor</f>
        <v>35.4685350551648</v>
      </c>
      <c r="CC48" s="114">
        <f>-'Combined IFRS17 Cashflows'!CE110*Operational_Risk_Factor</f>
        <v>25.111387047623307</v>
      </c>
      <c r="CD48" s="114">
        <f>-'Combined IFRS17 Cashflows'!CF110*Operational_Risk_Factor</f>
        <v>17.265342347818113</v>
      </c>
      <c r="CE48" s="114">
        <f>-'Combined IFRS17 Cashflows'!CG110*Operational_Risk_Factor</f>
        <v>11.43128034471556</v>
      </c>
      <c r="CF48" s="114">
        <f>-'Combined IFRS17 Cashflows'!CH110*Operational_Risk_Factor</f>
        <v>7.1628630897107195</v>
      </c>
      <c r="CG48" s="114">
        <f>-'Combined IFRS17 Cashflows'!CI110*Operational_Risk_Factor</f>
        <v>4.5733774639935811</v>
      </c>
      <c r="CH48" s="114">
        <f>-'Combined IFRS17 Cashflows'!CJ110*Operational_Risk_Factor</f>
        <v>2.7421814098832362</v>
      </c>
      <c r="CI48" s="114">
        <f>-'Combined IFRS17 Cashflows'!CK110*Operational_Risk_Factor</f>
        <v>1.472452402907201</v>
      </c>
      <c r="CJ48" s="114">
        <f>-'Combined IFRS17 Cashflows'!CL110*Operational_Risk_Factor</f>
        <v>0.6018582286992975</v>
      </c>
      <c r="CK48" s="114">
        <f>-'Combined IFRS17 Cashflows'!CM110*Operational_Risk_Factor</f>
        <v>0</v>
      </c>
      <c r="CL48" s="114">
        <f>-'Combined IFRS17 Cashflows'!CN110*Operational_Risk_Factor</f>
        <v>0</v>
      </c>
      <c r="CM48" s="114">
        <f>-'Combined IFRS17 Cashflows'!CO110*Operational_Risk_Factor</f>
        <v>0</v>
      </c>
      <c r="CN48" s="114">
        <f>-'Combined IFRS17 Cashflows'!CP110*Operational_Risk_Factor</f>
        <v>0</v>
      </c>
      <c r="CO48" s="114">
        <f>-'Combined IFRS17 Cashflows'!CQ110*Operational_Risk_Factor</f>
        <v>0</v>
      </c>
      <c r="CP48" s="114">
        <f>-'Combined IFRS17 Cashflows'!CR110*Operational_Risk_Factor</f>
        <v>0</v>
      </c>
      <c r="CQ48" s="114">
        <f>-'Combined IFRS17 Cashflows'!CS110*Operational_Risk_Factor</f>
        <v>0</v>
      </c>
      <c r="CR48" s="114">
        <f>-'Combined IFRS17 Cashflows'!CT110*Operational_Risk_Factor</f>
        <v>0</v>
      </c>
      <c r="CS48" s="114">
        <f>-'Combined IFRS17 Cashflows'!CU110*Operational_Risk_Factor</f>
        <v>0</v>
      </c>
      <c r="CT48" s="114">
        <f>-'Combined IFRS17 Cashflows'!CV110*Operational_Risk_Factor</f>
        <v>0</v>
      </c>
      <c r="CU48" s="114">
        <f>-'Combined IFRS17 Cashflows'!CW110*Operational_Risk_Factor</f>
        <v>0</v>
      </c>
      <c r="CV48" s="114">
        <f>-'Combined IFRS17 Cashflows'!CX110*Operational_Risk_Factor</f>
        <v>0</v>
      </c>
      <c r="CW48" s="114">
        <f>-'Combined IFRS17 Cashflows'!CY110*Operational_Risk_Factor</f>
        <v>0</v>
      </c>
      <c r="CX48" s="114">
        <f>-'Combined IFRS17 Cashflows'!CZ110*Operational_Risk_Factor</f>
        <v>0</v>
      </c>
      <c r="CY48" s="114">
        <f>-'Combined IFRS17 Cashflows'!DA110*Operational_Risk_Factor</f>
        <v>0</v>
      </c>
      <c r="DB48" s="101">
        <f t="shared" si="95"/>
        <v>45</v>
      </c>
      <c r="DC48" s="207">
        <f ca="1">OFFSET($C$14,0,COUNTA($DB$4:DB48))</f>
        <v>20525204.607405487</v>
      </c>
      <c r="DD48" s="207">
        <f ca="1">OFFSET($C$30,0,COUNTA($DB$4:DB48))</f>
        <v>-1.0079327928851281E-9</v>
      </c>
      <c r="DE48" s="100">
        <f ca="1">OFFSET($C$59,0,COUNTA($DB$4:DB48))</f>
        <v>3539364.3520546914</v>
      </c>
      <c r="DH48" s="101">
        <f t="shared" si="96"/>
        <v>45</v>
      </c>
      <c r="DI48" s="100">
        <f ca="1">OFFSET($C$39,0,COUNTA(DH$4:$DH48))</f>
        <v>829766.50508374453</v>
      </c>
      <c r="DJ48" s="100">
        <f ca="1">OFFSET($C$43,0,COUNTA(DH$4:$DH48))</f>
        <v>4.0317311715405125E-10</v>
      </c>
      <c r="DK48" s="100">
        <f ca="1">OFFSET($C$45,0,COUNTA(DH$4:$DH48))</f>
        <v>117384.32915773339</v>
      </c>
      <c r="DL48" s="100">
        <f ca="1">OFFSET($C$46,0,COUNTA(DH$4:$DH48))</f>
        <v>1721211.5171113336</v>
      </c>
      <c r="DM48" s="100">
        <f ca="1">OFFSET($C$47,0,COUNTA(DH$4:$DH48))</f>
        <v>944159.41194065253</v>
      </c>
      <c r="DN48" s="100">
        <f ca="1">OFFSET($C$48,0,COUNTA(DH$4:$DH48))</f>
        <v>22339.429801335697</v>
      </c>
      <c r="DO48" s="100">
        <f ca="1">OFFSET($C$51,0,COUNTA(DH$4:$DH48))</f>
        <v>2508580.7031504922</v>
      </c>
      <c r="DP48" s="100">
        <f ca="1">OFFSET($C$53,0,COUNTA(DH$4:$DH48))</f>
        <v>2831491.4816437531</v>
      </c>
    </row>
    <row r="49" spans="1:120" x14ac:dyDescent="0.3">
      <c r="A49" s="10" t="s">
        <v>194</v>
      </c>
      <c r="B49" s="10">
        <f>Credit_Factor*Fixed_Int_Sec_Percent</f>
        <v>4.6000000000000006E-2</v>
      </c>
      <c r="C49" s="2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114"/>
      <c r="CR49" s="114"/>
      <c r="CS49" s="114"/>
      <c r="CT49" s="114"/>
      <c r="CU49" s="114"/>
      <c r="CV49" s="114"/>
      <c r="CW49" s="114"/>
      <c r="CX49" s="114"/>
      <c r="CY49" s="114"/>
      <c r="DB49" s="101">
        <f t="shared" si="95"/>
        <v>46</v>
      </c>
      <c r="DC49" s="207">
        <f ca="1">OFFSET($C$14,0,COUNTA($DB$4:DB49))</f>
        <v>18456504.90609153</v>
      </c>
      <c r="DD49" s="207">
        <f ca="1">OFFSET($C$30,0,COUNTA($DB$4:DB49))</f>
        <v>-7.0239871163955806E-9</v>
      </c>
      <c r="DE49" s="100">
        <f ca="1">OFFSET($C$59,0,COUNTA($DB$4:DB49))</f>
        <v>3191680.0676290635</v>
      </c>
      <c r="DH49" s="101">
        <f t="shared" si="96"/>
        <v>46</v>
      </c>
      <c r="DI49" s="100">
        <f ca="1">OFFSET($C$39,0,COUNTA(DH$4:$DH49))</f>
        <v>764837.62503657478</v>
      </c>
      <c r="DJ49" s="100">
        <f ca="1">OFFSET($C$43,0,COUNTA(DH$4:$DH49))</f>
        <v>2.8095948465582325E-9</v>
      </c>
      <c r="DK49" s="100">
        <f ca="1">OFFSET($C$45,0,COUNTA(DH$4:$DH49))</f>
        <v>108158.81901862445</v>
      </c>
      <c r="DL49" s="100">
        <f ca="1">OFFSET($C$46,0,COUNTA(DH$4:$DH49))</f>
        <v>1547733.5996214554</v>
      </c>
      <c r="DM49" s="100">
        <f ca="1">OFFSET($C$47,0,COUNTA(DH$4:$DH49))</f>
        <v>848999.22568021051</v>
      </c>
      <c r="DN49" s="100">
        <f ca="1">OFFSET($C$48,0,COUNTA(DH$4:$DH49))</f>
        <v>20061.499205469852</v>
      </c>
      <c r="DO49" s="100">
        <f ca="1">OFFSET($C$51,0,COUNTA(DH$4:$DH49))</f>
        <v>2262153.9440087024</v>
      </c>
      <c r="DP49" s="100">
        <f ca="1">OFFSET($C$53,0,COUNTA(DH$4:$DH49))</f>
        <v>2553344.0541032506</v>
      </c>
    </row>
    <row r="50" spans="1:120" x14ac:dyDescent="0.3">
      <c r="A50" s="10" t="s">
        <v>195</v>
      </c>
      <c r="B50" s="10">
        <f>SQRT(((B48+B49/2)^2)+(0.75*(B49^2)))</f>
        <v>0.11404264522307629</v>
      </c>
      <c r="C50" s="2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DB50" s="101">
        <f t="shared" si="95"/>
        <v>47</v>
      </c>
      <c r="DC50" s="207">
        <f ca="1">OFFSET($C$14,0,COUNTA($DB$4:DB50))</f>
        <v>16502833.194226461</v>
      </c>
      <c r="DD50" s="207">
        <f ca="1">OFFSET($C$30,0,COUNTA($DB$4:DB50))</f>
        <v>-2.5216095509415825E-8</v>
      </c>
      <c r="DE50" s="100">
        <f ca="1">OFFSET($C$59,0,COUNTA($DB$4:DB50))</f>
        <v>2864103.8477810444</v>
      </c>
      <c r="DH50" s="101">
        <f t="shared" si="96"/>
        <v>47</v>
      </c>
      <c r="DI50" s="100">
        <f ca="1">OFFSET($C$39,0,COUNTA(DH$4:$DH50))</f>
        <v>704451.47200255073</v>
      </c>
      <c r="DJ50" s="100">
        <f ca="1">OFFSET($C$43,0,COUNTA(DH$4:$DH50))</f>
        <v>1.0086438203766331E-8</v>
      </c>
      <c r="DK50" s="100">
        <f ca="1">OFFSET($C$45,0,COUNTA(DH$4:$DH50))</f>
        <v>99276.953810078907</v>
      </c>
      <c r="DL50" s="100">
        <f ca="1">OFFSET($C$46,0,COUNTA(DH$4:$DH50))</f>
        <v>1383901.7491996808</v>
      </c>
      <c r="DM50" s="100">
        <f ca="1">OFFSET($C$47,0,COUNTA(DH$4:$DH50))</f>
        <v>759130.32693441724</v>
      </c>
      <c r="DN50" s="100">
        <f ca="1">OFFSET($C$48,0,COUNTA(DH$4:$DH50))</f>
        <v>17981.957360033924</v>
      </c>
      <c r="DO50" s="100">
        <f ca="1">OFFSET($C$51,0,COUNTA(DH$4:$DH50))</f>
        <v>2029979.0950292023</v>
      </c>
      <c r="DP50" s="100">
        <f ca="1">OFFSET($C$53,0,COUNTA(DH$4:$DH50))</f>
        <v>2291283.0782248355</v>
      </c>
    </row>
    <row r="51" spans="1:120" x14ac:dyDescent="0.3">
      <c r="C51" s="4" t="s">
        <v>179</v>
      </c>
      <c r="D51" s="114">
        <f>SQRT(((D43^2)+(D39^2)+(D45^2)+((D46+0.5*D47)^2)+(0.75*(D47^2))))+D48</f>
        <v>1202257.5045383477</v>
      </c>
      <c r="E51" s="114">
        <f t="shared" ref="E51:M51" si="294">SQRT(((E43^2)+(E39^2)+(E45^2)+((E46+0.5*E47)^2)+(0.75*(E47^2))))+E48</f>
        <v>3223717.9546385873</v>
      </c>
      <c r="F51" s="114">
        <f t="shared" si="294"/>
        <v>5766089.215143932</v>
      </c>
      <c r="G51" s="114">
        <f t="shared" si="294"/>
        <v>8313096.5796456076</v>
      </c>
      <c r="H51" s="114">
        <f t="shared" si="294"/>
        <v>11365919.835579801</v>
      </c>
      <c r="I51" s="114">
        <f t="shared" si="294"/>
        <v>14315607.355277492</v>
      </c>
      <c r="J51" s="114">
        <f t="shared" si="294"/>
        <v>17171365.495936807</v>
      </c>
      <c r="K51" s="114">
        <f t="shared" si="294"/>
        <v>20093596.444913477</v>
      </c>
      <c r="L51" s="114">
        <f t="shared" si="294"/>
        <v>23343950.129352022</v>
      </c>
      <c r="M51" s="114">
        <f t="shared" si="294"/>
        <v>27124897.388351973</v>
      </c>
      <c r="N51" s="114">
        <f t="shared" ref="N51:BY51" si="295">SQRT(((N43^2)+(N39^2)+(N45^2)+((N46+0.5*N47)^2)+(0.75*(N47^2))))+N48</f>
        <v>22096951.378059272</v>
      </c>
      <c r="O51" s="114">
        <f t="shared" si="295"/>
        <v>17390253.076767482</v>
      </c>
      <c r="P51" s="114">
        <f t="shared" si="295"/>
        <v>13610763.446503477</v>
      </c>
      <c r="Q51" s="114">
        <f t="shared" si="295"/>
        <v>10920545.395267865</v>
      </c>
      <c r="R51" s="114">
        <f t="shared" si="295"/>
        <v>8804946.8310948461</v>
      </c>
      <c r="S51" s="114">
        <f t="shared" si="295"/>
        <v>7723218.524124762</v>
      </c>
      <c r="T51" s="114">
        <f t="shared" si="295"/>
        <v>7355987.2239337023</v>
      </c>
      <c r="U51" s="114">
        <f t="shared" si="295"/>
        <v>7310189.1942044497</v>
      </c>
      <c r="V51" s="114">
        <f t="shared" si="295"/>
        <v>7367145.458467612</v>
      </c>
      <c r="W51" s="114">
        <f t="shared" si="295"/>
        <v>7541004.5767247844</v>
      </c>
      <c r="X51" s="114">
        <f t="shared" si="295"/>
        <v>7635952.1063443385</v>
      </c>
      <c r="Y51" s="114">
        <f t="shared" si="295"/>
        <v>7681568.5675870581</v>
      </c>
      <c r="Z51" s="114">
        <f t="shared" si="295"/>
        <v>7657942.4696566854</v>
      </c>
      <c r="AA51" s="114">
        <f t="shared" si="295"/>
        <v>7557646.4893465657</v>
      </c>
      <c r="AB51" s="114">
        <f t="shared" si="295"/>
        <v>7477476.2947842544</v>
      </c>
      <c r="AC51" s="114">
        <f t="shared" si="295"/>
        <v>7343830.5086655244</v>
      </c>
      <c r="AD51" s="114">
        <f t="shared" si="295"/>
        <v>7179038.6953257723</v>
      </c>
      <c r="AE51" s="114">
        <f t="shared" si="295"/>
        <v>6984677.1051497059</v>
      </c>
      <c r="AF51" s="114">
        <f t="shared" si="295"/>
        <v>6764084.4412465282</v>
      </c>
      <c r="AG51" s="114">
        <f t="shared" si="295"/>
        <v>6576317.9742105287</v>
      </c>
      <c r="AH51" s="114">
        <f t="shared" si="295"/>
        <v>6349199.7703856062</v>
      </c>
      <c r="AI51" s="114">
        <f t="shared" si="295"/>
        <v>6111459.8310332047</v>
      </c>
      <c r="AJ51" s="114">
        <f t="shared" si="295"/>
        <v>5857102.543494923</v>
      </c>
      <c r="AK51" s="114">
        <f t="shared" si="295"/>
        <v>5584269.1680967659</v>
      </c>
      <c r="AL51" s="114">
        <f t="shared" si="295"/>
        <v>5320213.4854483875</v>
      </c>
      <c r="AM51" s="114">
        <f t="shared" si="295"/>
        <v>5048721.6036379337</v>
      </c>
      <c r="AN51" s="114">
        <f t="shared" si="295"/>
        <v>4769400.7898504212</v>
      </c>
      <c r="AO51" s="114">
        <f t="shared" si="295"/>
        <v>4481836.829280165</v>
      </c>
      <c r="AP51" s="114">
        <f t="shared" si="295"/>
        <v>4187068.619952207</v>
      </c>
      <c r="AQ51" s="114">
        <f t="shared" si="295"/>
        <v>3900816.6273493711</v>
      </c>
      <c r="AR51" s="114">
        <f t="shared" si="295"/>
        <v>3612516.8651995114</v>
      </c>
      <c r="AS51" s="114">
        <f t="shared" si="295"/>
        <v>3326453.2481099907</v>
      </c>
      <c r="AT51" s="114">
        <f t="shared" si="295"/>
        <v>3044347.0676351893</v>
      </c>
      <c r="AU51" s="114">
        <f t="shared" si="295"/>
        <v>2768484.7510059373</v>
      </c>
      <c r="AV51" s="114">
        <f t="shared" si="295"/>
        <v>2508580.7031504922</v>
      </c>
      <c r="AW51" s="114">
        <f t="shared" si="295"/>
        <v>2262153.9440087024</v>
      </c>
      <c r="AX51" s="114">
        <f t="shared" si="295"/>
        <v>2029979.0950292023</v>
      </c>
      <c r="AY51" s="114">
        <f t="shared" si="295"/>
        <v>1813067.8924750215</v>
      </c>
      <c r="AZ51" s="114">
        <f t="shared" si="295"/>
        <v>1612096.2736564237</v>
      </c>
      <c r="BA51" s="114">
        <f t="shared" si="295"/>
        <v>1430360.559513537</v>
      </c>
      <c r="BB51" s="114">
        <f t="shared" si="295"/>
        <v>1264860.8764901438</v>
      </c>
      <c r="BC51" s="114">
        <f t="shared" si="295"/>
        <v>1114666.0493875579</v>
      </c>
      <c r="BD51" s="114">
        <f t="shared" si="295"/>
        <v>978641.65380612027</v>
      </c>
      <c r="BE51" s="114">
        <f t="shared" si="295"/>
        <v>855683.46632559702</v>
      </c>
      <c r="BF51" s="114">
        <f t="shared" si="295"/>
        <v>746080.48578414274</v>
      </c>
      <c r="BG51" s="114">
        <f t="shared" si="295"/>
        <v>648545.51186195912</v>
      </c>
      <c r="BH51" s="114">
        <f t="shared" si="295"/>
        <v>562095.56491028017</v>
      </c>
      <c r="BI51" s="114">
        <f t="shared" si="295"/>
        <v>485208.51586956455</v>
      </c>
      <c r="BJ51" s="114">
        <f t="shared" si="295"/>
        <v>417163.25442660338</v>
      </c>
      <c r="BK51" s="114">
        <f t="shared" si="295"/>
        <v>357641.79855188634</v>
      </c>
      <c r="BL51" s="114">
        <f t="shared" si="295"/>
        <v>305517.44622278574</v>
      </c>
      <c r="BM51" s="114">
        <f t="shared" si="295"/>
        <v>260034.27635131413</v>
      </c>
      <c r="BN51" s="114">
        <f t="shared" si="295"/>
        <v>220514.11916295663</v>
      </c>
      <c r="BO51" s="114">
        <f t="shared" si="295"/>
        <v>186349.83018271343</v>
      </c>
      <c r="BP51" s="114">
        <f t="shared" si="295"/>
        <v>157063.52166162766</v>
      </c>
      <c r="BQ51" s="114">
        <f t="shared" si="295"/>
        <v>131947.26999970968</v>
      </c>
      <c r="BR51" s="114">
        <f t="shared" si="295"/>
        <v>110581.80769917122</v>
      </c>
      <c r="BS51" s="114">
        <f t="shared" si="295"/>
        <v>92222.654504222766</v>
      </c>
      <c r="BT51" s="114">
        <f t="shared" si="295"/>
        <v>76447.926510155899</v>
      </c>
      <c r="BU51" s="114">
        <f t="shared" si="295"/>
        <v>62931.171922251211</v>
      </c>
      <c r="BV51" s="114">
        <f t="shared" si="295"/>
        <v>51168.641590539926</v>
      </c>
      <c r="BW51" s="114">
        <f t="shared" si="295"/>
        <v>41623.520757334656</v>
      </c>
      <c r="BX51" s="114">
        <f t="shared" si="295"/>
        <v>33660.761397020484</v>
      </c>
      <c r="BY51" s="114">
        <f t="shared" si="295"/>
        <v>27035.186884260336</v>
      </c>
      <c r="BZ51" s="114">
        <f t="shared" ref="BZ51:CY51" si="296">SQRT(((BZ43^2)+(BZ39^2)+(BZ45^2)+((BZ46+0.5*BZ47)^2)+(0.75*(BZ47^2))))+BZ48</f>
        <v>21542.004158261949</v>
      </c>
      <c r="CA51" s="114">
        <f t="shared" si="296"/>
        <v>15755.478012561936</v>
      </c>
      <c r="CB51" s="114">
        <f t="shared" si="296"/>
        <v>12852.09496739414</v>
      </c>
      <c r="CC51" s="114">
        <f t="shared" si="296"/>
        <v>10411.709917223989</v>
      </c>
      <c r="CD51" s="114">
        <f t="shared" si="296"/>
        <v>8369.5788635398148</v>
      </c>
      <c r="CE51" s="114">
        <f t="shared" si="296"/>
        <v>6687.5935720147772</v>
      </c>
      <c r="CF51" s="114">
        <f t="shared" si="296"/>
        <v>4787.8292386354788</v>
      </c>
      <c r="CG51" s="114">
        <f t="shared" si="296"/>
        <v>3808.8348831438821</v>
      </c>
      <c r="CH51" s="114">
        <f t="shared" si="296"/>
        <v>3009.9660498119815</v>
      </c>
      <c r="CI51" s="114">
        <f t="shared" si="296"/>
        <v>2445.6153861179182</v>
      </c>
      <c r="CJ51" s="204">
        <f>SQRT(((CJ43^2)+(CJ39^2)+(CJ45^2)+((CJ46+0.5*CJ47)^2)+(0.75*(CJ47^2))))+CJ48</f>
        <v>11.23943828273087</v>
      </c>
      <c r="CK51" s="114">
        <f t="shared" si="296"/>
        <v>4.3552058446997632</v>
      </c>
      <c r="CL51" s="114">
        <f t="shared" si="296"/>
        <v>0</v>
      </c>
      <c r="CM51" s="114">
        <f t="shared" si="296"/>
        <v>0</v>
      </c>
      <c r="CN51" s="114">
        <f t="shared" si="296"/>
        <v>0</v>
      </c>
      <c r="CO51" s="114">
        <f t="shared" si="296"/>
        <v>0</v>
      </c>
      <c r="CP51" s="114">
        <f t="shared" si="296"/>
        <v>0</v>
      </c>
      <c r="CQ51" s="114">
        <f t="shared" si="296"/>
        <v>0</v>
      </c>
      <c r="CR51" s="114">
        <f t="shared" si="296"/>
        <v>0</v>
      </c>
      <c r="CS51" s="114">
        <f t="shared" si="296"/>
        <v>0</v>
      </c>
      <c r="CT51" s="114">
        <f t="shared" si="296"/>
        <v>0</v>
      </c>
      <c r="CU51" s="114">
        <f t="shared" si="296"/>
        <v>0</v>
      </c>
      <c r="CV51" s="114">
        <f t="shared" si="296"/>
        <v>0</v>
      </c>
      <c r="CW51" s="114">
        <f t="shared" si="296"/>
        <v>0</v>
      </c>
      <c r="CX51" s="114">
        <f t="shared" si="296"/>
        <v>0</v>
      </c>
      <c r="CY51" s="114">
        <f t="shared" si="296"/>
        <v>0</v>
      </c>
      <c r="DB51" s="101">
        <f t="shared" si="95"/>
        <v>48</v>
      </c>
      <c r="DC51" s="207">
        <f ca="1">OFFSET($C$14,0,COUNTA($DB$4:DB51))</f>
        <v>14678538.664690038</v>
      </c>
      <c r="DD51" s="207">
        <f ca="1">OFFSET($C$30,0,COUNTA($DB$4:DB51))</f>
        <v>-3.2095471674640565E-8</v>
      </c>
      <c r="DE51" s="100">
        <f ca="1">OFFSET($C$59,0,COUNTA($DB$4:DB51))</f>
        <v>2558063.1543652802</v>
      </c>
      <c r="DH51" s="101">
        <f t="shared" si="96"/>
        <v>48</v>
      </c>
      <c r="DI51" s="100">
        <f ca="1">OFFSET($C$39,0,COUNTA(DH$4:$DH51))</f>
        <v>647095.86068584339</v>
      </c>
      <c r="DJ51" s="100">
        <f ca="1">OFFSET($C$43,0,COUNTA(DH$4:$DH51))</f>
        <v>1.2838188669856226E-8</v>
      </c>
      <c r="DK51" s="100">
        <f ca="1">OFFSET($C$45,0,COUNTA(DH$4:$DH51))</f>
        <v>90857.537872690271</v>
      </c>
      <c r="DL51" s="100">
        <f ca="1">OFFSET($C$46,0,COUNTA(DH$4:$DH51))</f>
        <v>1230919.2666909129</v>
      </c>
      <c r="DM51" s="100">
        <f ca="1">OFFSET($C$47,0,COUNTA(DH$4:$DH51))</f>
        <v>675212.7785757418</v>
      </c>
      <c r="DN51" s="100">
        <f ca="1">OFFSET($C$48,0,COUNTA(DH$4:$DH51))</f>
        <v>16071.759804532296</v>
      </c>
      <c r="DO51" s="100">
        <f ca="1">OFFSET($C$51,0,COUNTA(DH$4:$DH51))</f>
        <v>1813067.8924750215</v>
      </c>
      <c r="DP51" s="100">
        <f ca="1">OFFSET($C$53,0,COUNTA(DH$4:$DH51))</f>
        <v>2046450.523492224</v>
      </c>
    </row>
    <row r="52" spans="1:120" x14ac:dyDescent="0.3">
      <c r="C52" s="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DB52" s="101">
        <f t="shared" si="95"/>
        <v>49</v>
      </c>
      <c r="DC52" s="207">
        <f ca="1">OFFSET($C$14,0,COUNTA($DB$4:DB52))</f>
        <v>12988668.334946858</v>
      </c>
      <c r="DD52" s="207">
        <f ca="1">OFFSET($C$30,0,COUNTA($DB$4:DB52))</f>
        <v>-3.7240664497284455E-8</v>
      </c>
      <c r="DE52" s="100">
        <f ca="1">OFFSET($C$59,0,COUNTA($DB$4:DB52))</f>
        <v>2274511.6694447659</v>
      </c>
      <c r="DH52" s="101">
        <f t="shared" si="96"/>
        <v>49</v>
      </c>
      <c r="DI52" s="100">
        <f ca="1">OFFSET($C$39,0,COUNTA(DH$4:$DH52))</f>
        <v>593171.60173344123</v>
      </c>
      <c r="DJ52" s="100">
        <f ca="1">OFFSET($C$43,0,COUNTA(DH$4:$DH52))</f>
        <v>1.4896265798913783E-8</v>
      </c>
      <c r="DK52" s="100">
        <f ca="1">OFFSET($C$45,0,COUNTA(DH$4:$DH52))</f>
        <v>82853.932826698685</v>
      </c>
      <c r="DL52" s="100">
        <f ca="1">OFFSET($C$46,0,COUNTA(DH$4:$DH52))</f>
        <v>1089209.3870763995</v>
      </c>
      <c r="DM52" s="100">
        <f ca="1">OFFSET($C$47,0,COUNTA(DH$4:$DH52))</f>
        <v>597478.74340755551</v>
      </c>
      <c r="DN52" s="100">
        <f ca="1">OFFSET($C$48,0,COUNTA(DH$4:$DH52))</f>
        <v>14330.734878845184</v>
      </c>
      <c r="DO52" s="100">
        <f ca="1">OFFSET($C$51,0,COUNTA(DH$4:$DH52))</f>
        <v>1612096.2736564237</v>
      </c>
      <c r="DP52" s="100">
        <f ca="1">OFFSET($C$53,0,COUNTA(DH$4:$DH52))</f>
        <v>1819609.3355558128</v>
      </c>
    </row>
    <row r="53" spans="1:120" x14ac:dyDescent="0.3">
      <c r="C53" s="4" t="s">
        <v>180</v>
      </c>
      <c r="D53" s="114">
        <f>D51/(1-$B$50)</f>
        <v>1357015.095654424</v>
      </c>
      <c r="E53" s="114">
        <f t="shared" ref="E53:M53" si="297">E51/(1-$B$50)</f>
        <v>3638682.9876820552</v>
      </c>
      <c r="F53" s="114">
        <f t="shared" si="297"/>
        <v>6508314.6316853845</v>
      </c>
      <c r="G53" s="114">
        <f t="shared" si="297"/>
        <v>9383179.1505797394</v>
      </c>
      <c r="H53" s="114">
        <f t="shared" si="297"/>
        <v>12828969.446776183</v>
      </c>
      <c r="I53" s="114">
        <f t="shared" si="297"/>
        <v>16158348.116972329</v>
      </c>
      <c r="J53" s="114">
        <f t="shared" si="297"/>
        <v>19381706.583676826</v>
      </c>
      <c r="K53" s="114">
        <f t="shared" si="297"/>
        <v>22680094.404739004</v>
      </c>
      <c r="L53" s="114">
        <f t="shared" si="297"/>
        <v>26348841.739938851</v>
      </c>
      <c r="M53" s="114">
        <f t="shared" si="297"/>
        <v>30616481.980875686</v>
      </c>
      <c r="N53" s="114">
        <f t="shared" ref="N53:BY53" si="298">N51/(1-$B$50)</f>
        <v>24941326.192413732</v>
      </c>
      <c r="O53" s="114">
        <f t="shared" si="298"/>
        <v>19628769.921037786</v>
      </c>
      <c r="P53" s="114">
        <f t="shared" si="298"/>
        <v>15362774.93845124</v>
      </c>
      <c r="Q53" s="114">
        <f t="shared" si="298"/>
        <v>12326265.295260811</v>
      </c>
      <c r="R53" s="114">
        <f t="shared" si="298"/>
        <v>9938341.595811747</v>
      </c>
      <c r="S53" s="114">
        <f t="shared" si="298"/>
        <v>8717370.5173082519</v>
      </c>
      <c r="T53" s="114">
        <f t="shared" si="298"/>
        <v>8302868.2862346973</v>
      </c>
      <c r="U53" s="114">
        <f t="shared" si="298"/>
        <v>8251175.0196431195</v>
      </c>
      <c r="V53" s="114">
        <f t="shared" si="298"/>
        <v>8315462.8366086474</v>
      </c>
      <c r="W53" s="114">
        <f t="shared" si="298"/>
        <v>8511701.535141658</v>
      </c>
      <c r="X53" s="114">
        <f t="shared" si="298"/>
        <v>8618870.9481022414</v>
      </c>
      <c r="Y53" s="114">
        <f t="shared" si="298"/>
        <v>8670359.2742578555</v>
      </c>
      <c r="Z53" s="114">
        <f t="shared" si="298"/>
        <v>8643691.9659467004</v>
      </c>
      <c r="AA53" s="114">
        <f t="shared" si="298"/>
        <v>8530485.6363538112</v>
      </c>
      <c r="AB53" s="114">
        <f t="shared" si="298"/>
        <v>8439995.7339560855</v>
      </c>
      <c r="AC53" s="114">
        <f t="shared" si="298"/>
        <v>8289146.7281905869</v>
      </c>
      <c r="AD53" s="114">
        <f t="shared" si="298"/>
        <v>8103142.5007283688</v>
      </c>
      <c r="AE53" s="114">
        <f t="shared" si="298"/>
        <v>7883762.2008436127</v>
      </c>
      <c r="AF53" s="114">
        <f t="shared" si="298"/>
        <v>7634774.2978550754</v>
      </c>
      <c r="AG53" s="114">
        <f t="shared" si="298"/>
        <v>7422838.0618459769</v>
      </c>
      <c r="AH53" s="114">
        <f t="shared" si="298"/>
        <v>7166484.635125896</v>
      </c>
      <c r="AI53" s="114">
        <f t="shared" si="298"/>
        <v>6898142.2165314229</v>
      </c>
      <c r="AJ53" s="114">
        <f t="shared" si="298"/>
        <v>6611043.4231562875</v>
      </c>
      <c r="AK53" s="114">
        <f t="shared" si="298"/>
        <v>6303090.2537095994</v>
      </c>
      <c r="AL53" s="114">
        <f t="shared" si="298"/>
        <v>6005044.6635639369</v>
      </c>
      <c r="AM53" s="114">
        <f t="shared" si="298"/>
        <v>5698605.668112725</v>
      </c>
      <c r="AN53" s="114">
        <f t="shared" si="298"/>
        <v>5383329.98099137</v>
      </c>
      <c r="AO53" s="114">
        <f t="shared" si="298"/>
        <v>5058750.0686290395</v>
      </c>
      <c r="AP53" s="114">
        <f t="shared" si="298"/>
        <v>4726038.5586013608</v>
      </c>
      <c r="AQ53" s="114">
        <f t="shared" si="298"/>
        <v>4402939.4940025778</v>
      </c>
      <c r="AR53" s="114">
        <f t="shared" si="298"/>
        <v>4077529.0658421265</v>
      </c>
      <c r="AS53" s="114">
        <f t="shared" si="298"/>
        <v>3754642.624923592</v>
      </c>
      <c r="AT53" s="114">
        <f t="shared" si="298"/>
        <v>3436223.0317527293</v>
      </c>
      <c r="AU53" s="114">
        <f t="shared" si="298"/>
        <v>3124851.028188617</v>
      </c>
      <c r="AV53" s="114">
        <f t="shared" si="298"/>
        <v>2831491.4816437531</v>
      </c>
      <c r="AW53" s="114">
        <f t="shared" si="298"/>
        <v>2553344.0541032506</v>
      </c>
      <c r="AX53" s="114">
        <f t="shared" si="298"/>
        <v>2291283.0782248355</v>
      </c>
      <c r="AY53" s="114">
        <f t="shared" si="298"/>
        <v>2046450.523492224</v>
      </c>
      <c r="AZ53" s="114">
        <f t="shared" si="298"/>
        <v>1819609.3355558128</v>
      </c>
      <c r="BA53" s="114">
        <f t="shared" si="298"/>
        <v>1614480.1460265424</v>
      </c>
      <c r="BB53" s="114">
        <f t="shared" si="298"/>
        <v>1427676.9301256319</v>
      </c>
      <c r="BC53" s="114">
        <f t="shared" si="298"/>
        <v>1258148.6494552789</v>
      </c>
      <c r="BD53" s="114">
        <f t="shared" si="298"/>
        <v>1104614.8536715219</v>
      </c>
      <c r="BE53" s="114">
        <f t="shared" si="298"/>
        <v>965829.18095538649</v>
      </c>
      <c r="BF53" s="114">
        <f t="shared" si="298"/>
        <v>842117.83079784829</v>
      </c>
      <c r="BG53" s="114">
        <f t="shared" si="298"/>
        <v>732027.91123649199</v>
      </c>
      <c r="BH53" s="114">
        <f t="shared" si="298"/>
        <v>634449.91102513159</v>
      </c>
      <c r="BI53" s="114">
        <f t="shared" si="298"/>
        <v>547665.76884700707</v>
      </c>
      <c r="BJ53" s="114">
        <f t="shared" si="298"/>
        <v>470861.55126692459</v>
      </c>
      <c r="BK53" s="114">
        <f t="shared" si="298"/>
        <v>403678.34481371555</v>
      </c>
      <c r="BL53" s="114">
        <f t="shared" si="298"/>
        <v>344844.41556412424</v>
      </c>
      <c r="BM53" s="114">
        <f t="shared" si="298"/>
        <v>293506.53837823658</v>
      </c>
      <c r="BN53" s="114">
        <f t="shared" si="298"/>
        <v>248899.24777302644</v>
      </c>
      <c r="BO53" s="114">
        <f t="shared" si="298"/>
        <v>210337.24611906934</v>
      </c>
      <c r="BP53" s="114">
        <f t="shared" si="298"/>
        <v>177281.13076184675</v>
      </c>
      <c r="BQ53" s="114">
        <f t="shared" si="298"/>
        <v>148931.85240607077</v>
      </c>
      <c r="BR53" s="114">
        <f t="shared" si="298"/>
        <v>124816.17439364758</v>
      </c>
      <c r="BS53" s="114">
        <f t="shared" si="298"/>
        <v>104093.78510937879</v>
      </c>
      <c r="BT53" s="114">
        <f t="shared" si="298"/>
        <v>86288.494697811737</v>
      </c>
      <c r="BU53" s="114">
        <f t="shared" si="298"/>
        <v>71031.829673220243</v>
      </c>
      <c r="BV53" s="114">
        <f t="shared" si="298"/>
        <v>57755.197035893158</v>
      </c>
      <c r="BW53" s="114">
        <f t="shared" si="298"/>
        <v>46981.404390299453</v>
      </c>
      <c r="BX53" s="114">
        <f t="shared" si="298"/>
        <v>37993.658741617386</v>
      </c>
      <c r="BY53" s="114">
        <f t="shared" si="298"/>
        <v>30515.22371645931</v>
      </c>
      <c r="BZ53" s="114">
        <f t="shared" ref="BZ53:CY53" si="299">BZ51/(1-$B$50)</f>
        <v>24314.944779352314</v>
      </c>
      <c r="CA53" s="114">
        <f t="shared" si="299"/>
        <v>17783.562524326047</v>
      </c>
      <c r="CB53" s="114">
        <f t="shared" si="299"/>
        <v>14506.448756362754</v>
      </c>
      <c r="CC53" s="114">
        <f t="shared" si="299"/>
        <v>11751.931242611068</v>
      </c>
      <c r="CD53" s="114">
        <f t="shared" si="299"/>
        <v>9446.9319752384708</v>
      </c>
      <c r="CE53" s="114">
        <f t="shared" si="299"/>
        <v>7548.4373327412068</v>
      </c>
      <c r="CF53" s="114">
        <f t="shared" si="299"/>
        <v>5404.130585767316</v>
      </c>
      <c r="CG53" s="114">
        <f t="shared" si="299"/>
        <v>4299.1176297677594</v>
      </c>
      <c r="CH53" s="114">
        <f t="shared" si="299"/>
        <v>3397.4164033774114</v>
      </c>
      <c r="CI53" s="114">
        <f>CI51/(1-$B$50)</f>
        <v>2760.4211116162614</v>
      </c>
      <c r="CJ53" s="204">
        <f>CJ51/(1-$B$50)</f>
        <v>12.686206872294504</v>
      </c>
      <c r="CK53" s="114">
        <f t="shared" si="299"/>
        <v>4.9158188271898995</v>
      </c>
      <c r="CL53" s="114">
        <f t="shared" si="299"/>
        <v>0</v>
      </c>
      <c r="CM53" s="114">
        <f t="shared" si="299"/>
        <v>0</v>
      </c>
      <c r="CN53" s="114">
        <f t="shared" si="299"/>
        <v>0</v>
      </c>
      <c r="CO53" s="114">
        <f t="shared" si="299"/>
        <v>0</v>
      </c>
      <c r="CP53" s="114">
        <f t="shared" si="299"/>
        <v>0</v>
      </c>
      <c r="CQ53" s="114">
        <f t="shared" si="299"/>
        <v>0</v>
      </c>
      <c r="CR53" s="114">
        <f t="shared" si="299"/>
        <v>0</v>
      </c>
      <c r="CS53" s="114">
        <f t="shared" si="299"/>
        <v>0</v>
      </c>
      <c r="CT53" s="114">
        <f t="shared" si="299"/>
        <v>0</v>
      </c>
      <c r="CU53" s="114">
        <f t="shared" si="299"/>
        <v>0</v>
      </c>
      <c r="CV53" s="114">
        <f t="shared" si="299"/>
        <v>0</v>
      </c>
      <c r="CW53" s="114">
        <f t="shared" si="299"/>
        <v>0</v>
      </c>
      <c r="CX53" s="114">
        <f t="shared" si="299"/>
        <v>0</v>
      </c>
      <c r="CY53" s="114">
        <f t="shared" si="299"/>
        <v>0</v>
      </c>
      <c r="DB53" s="101">
        <f t="shared" si="95"/>
        <v>50</v>
      </c>
      <c r="DC53" s="207">
        <f ca="1">OFFSET($C$14,0,COUNTA($DB$4:DB53))</f>
        <v>11463496.040268229</v>
      </c>
      <c r="DD53" s="207">
        <f ca="1">OFFSET($C$30,0,COUNTA($DB$4:DB53))</f>
        <v>-4.8344767491262866E-8</v>
      </c>
      <c r="DE53" s="100">
        <f ca="1">OFFSET($C$59,0,COUNTA($DB$4:DB53))</f>
        <v>2018100.182533178</v>
      </c>
      <c r="DH53" s="101">
        <f t="shared" si="96"/>
        <v>50</v>
      </c>
      <c r="DI53" s="100">
        <f ca="1">OFFSET($C$39,0,COUNTA(DH$4:$DH53))</f>
        <v>542984.15232261328</v>
      </c>
      <c r="DJ53" s="100">
        <f ca="1">OFFSET($C$43,0,COUNTA(DH$4:$DH53))</f>
        <v>1.9337906996505146E-8</v>
      </c>
      <c r="DK53" s="100">
        <f ca="1">OFFSET($C$45,0,COUNTA(DH$4:$DH53))</f>
        <v>75312.710461317896</v>
      </c>
      <c r="DL53" s="100">
        <f ca="1">OFFSET($C$46,0,COUNTA(DH$4:$DH53))</f>
        <v>961310.82677494339</v>
      </c>
      <c r="DM53" s="100">
        <f ca="1">OFFSET($C$47,0,COUNTA(DH$4:$DH53))</f>
        <v>527320.81785233866</v>
      </c>
      <c r="DN53" s="100">
        <f ca="1">OFFSET($C$48,0,COUNTA(DH$4:$DH53))</f>
        <v>12753.859462005601</v>
      </c>
      <c r="DO53" s="100">
        <f ca="1">OFFSET($C$51,0,COUNTA(DH$4:$DH53))</f>
        <v>1430360.559513537</v>
      </c>
      <c r="DP53" s="100">
        <f ca="1">OFFSET($C$53,0,COUNTA(DH$4:$DH53))</f>
        <v>1614480.1460265424</v>
      </c>
    </row>
    <row r="54" spans="1:120" x14ac:dyDescent="0.3">
      <c r="C54" s="20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DB54" s="101">
        <f t="shared" si="95"/>
        <v>51</v>
      </c>
      <c r="DC54" s="207">
        <f ca="1">OFFSET($C$14,0,COUNTA($DB$4:DB54))</f>
        <v>10074670.17427782</v>
      </c>
      <c r="DD54" s="207">
        <f ca="1">OFFSET($C$30,0,COUNTA($DB$4:DB54))</f>
        <v>-5.228657389286178E-8</v>
      </c>
      <c r="DE54" s="100">
        <f ca="1">OFFSET($C$59,0,COUNTA($DB$4:DB54))</f>
        <v>1784596.1626570397</v>
      </c>
      <c r="DH54" s="101">
        <f t="shared" si="96"/>
        <v>51</v>
      </c>
      <c r="DI54" s="100">
        <f ca="1">OFFSET($C$39,0,COUNTA(DH$4:$DH54))</f>
        <v>496597.59416279872</v>
      </c>
      <c r="DJ54" s="100">
        <f ca="1">OFFSET($C$43,0,COUNTA(DH$4:$DH54))</f>
        <v>2.0914629557144712E-8</v>
      </c>
      <c r="DK54" s="100">
        <f ca="1">OFFSET($C$45,0,COUNTA(DH$4:$DH54))</f>
        <v>68258.327034563496</v>
      </c>
      <c r="DL54" s="100">
        <f ca="1">OFFSET($C$46,0,COUNTA(DH$4:$DH54))</f>
        <v>844846.06447277672</v>
      </c>
      <c r="DM54" s="100">
        <f ca="1">OFFSET($C$47,0,COUNTA(DH$4:$DH54))</f>
        <v>463434.82801677979</v>
      </c>
      <c r="DN54" s="100">
        <f ca="1">OFFSET($C$48,0,COUNTA(DH$4:$DH54))</f>
        <v>11331.390278705298</v>
      </c>
      <c r="DO54" s="100">
        <f ca="1">OFFSET($C$51,0,COUNTA(DH$4:$DH54))</f>
        <v>1264860.8764901438</v>
      </c>
      <c r="DP54" s="100">
        <f ca="1">OFFSET($C$53,0,COUNTA(DH$4:$DH54))</f>
        <v>1427676.9301256319</v>
      </c>
    </row>
    <row r="55" spans="1:120" x14ac:dyDescent="0.3">
      <c r="C55" s="5" t="s">
        <v>182</v>
      </c>
      <c r="D55" s="25">
        <f>MAX(D35,D53)</f>
        <v>1357015.095654424</v>
      </c>
      <c r="E55" s="25">
        <f t="shared" ref="E55:M55" si="300">MAX(E35,E53)</f>
        <v>3638682.9876820552</v>
      </c>
      <c r="F55" s="25">
        <f t="shared" si="300"/>
        <v>6508314.6316853845</v>
      </c>
      <c r="G55" s="25">
        <f t="shared" si="300"/>
        <v>9383179.1505797394</v>
      </c>
      <c r="H55" s="25">
        <f t="shared" si="300"/>
        <v>12828969.446776183</v>
      </c>
      <c r="I55" s="25">
        <f t="shared" si="300"/>
        <v>16158348.116972329</v>
      </c>
      <c r="J55" s="25">
        <f t="shared" si="300"/>
        <v>19381706.583676826</v>
      </c>
      <c r="K55" s="25">
        <f t="shared" si="300"/>
        <v>22680094.404739004</v>
      </c>
      <c r="L55" s="25">
        <f t="shared" si="300"/>
        <v>26348841.739938851</v>
      </c>
      <c r="M55" s="25">
        <f t="shared" si="300"/>
        <v>30616481.980875686</v>
      </c>
      <c r="N55" s="25">
        <f t="shared" ref="N55:BY55" si="301">MAX(N35,N53)</f>
        <v>24941326.192413732</v>
      </c>
      <c r="O55" s="25">
        <f t="shared" si="301"/>
        <v>19628769.921037786</v>
      </c>
      <c r="P55" s="25">
        <f t="shared" si="301"/>
        <v>15362774.93845124</v>
      </c>
      <c r="Q55" s="25">
        <f t="shared" si="301"/>
        <v>12326265.295260811</v>
      </c>
      <c r="R55" s="25">
        <f t="shared" si="301"/>
        <v>9938341.595811747</v>
      </c>
      <c r="S55" s="25">
        <f t="shared" si="301"/>
        <v>8717370.5173082519</v>
      </c>
      <c r="T55" s="25">
        <f t="shared" si="301"/>
        <v>8302868.2862346973</v>
      </c>
      <c r="U55" s="25">
        <f t="shared" si="301"/>
        <v>8251175.0196431195</v>
      </c>
      <c r="V55" s="25">
        <f t="shared" si="301"/>
        <v>8315462.8366086474</v>
      </c>
      <c r="W55" s="25">
        <f t="shared" si="301"/>
        <v>8511701.535141658</v>
      </c>
      <c r="X55" s="25">
        <f t="shared" si="301"/>
        <v>8618870.9481022414</v>
      </c>
      <c r="Y55" s="25">
        <f t="shared" si="301"/>
        <v>8670359.2742578555</v>
      </c>
      <c r="Z55" s="25">
        <f t="shared" si="301"/>
        <v>8643691.9659467004</v>
      </c>
      <c r="AA55" s="25">
        <f t="shared" si="301"/>
        <v>8530485.6363538112</v>
      </c>
      <c r="AB55" s="25">
        <f t="shared" si="301"/>
        <v>8439995.7339560855</v>
      </c>
      <c r="AC55" s="25">
        <f t="shared" si="301"/>
        <v>8289146.7281905869</v>
      </c>
      <c r="AD55" s="25">
        <f t="shared" si="301"/>
        <v>8103142.5007283688</v>
      </c>
      <c r="AE55" s="25">
        <f t="shared" si="301"/>
        <v>7883762.2008436127</v>
      </c>
      <c r="AF55" s="25">
        <f t="shared" si="301"/>
        <v>7634774.2978550754</v>
      </c>
      <c r="AG55" s="25">
        <f t="shared" si="301"/>
        <v>7422838.0618459769</v>
      </c>
      <c r="AH55" s="25">
        <f t="shared" si="301"/>
        <v>7166484.635125896</v>
      </c>
      <c r="AI55" s="25">
        <f t="shared" si="301"/>
        <v>6898142.2165314229</v>
      </c>
      <c r="AJ55" s="25">
        <f t="shared" si="301"/>
        <v>6611043.4231562875</v>
      </c>
      <c r="AK55" s="25">
        <f t="shared" si="301"/>
        <v>6303090.2537095994</v>
      </c>
      <c r="AL55" s="25">
        <f t="shared" si="301"/>
        <v>6005044.6635639369</v>
      </c>
      <c r="AM55" s="25">
        <f t="shared" si="301"/>
        <v>5698605.668112725</v>
      </c>
      <c r="AN55" s="25">
        <f t="shared" si="301"/>
        <v>5383329.98099137</v>
      </c>
      <c r="AO55" s="25">
        <f t="shared" si="301"/>
        <v>5058750.0686290395</v>
      </c>
      <c r="AP55" s="25">
        <f t="shared" si="301"/>
        <v>4726038.5586013608</v>
      </c>
      <c r="AQ55" s="25">
        <f t="shared" si="301"/>
        <v>4402939.4940025778</v>
      </c>
      <c r="AR55" s="25">
        <f t="shared" si="301"/>
        <v>4077529.0658421265</v>
      </c>
      <c r="AS55" s="25">
        <f t="shared" si="301"/>
        <v>3754642.624923592</v>
      </c>
      <c r="AT55" s="25">
        <f t="shared" si="301"/>
        <v>3436223.0317527293</v>
      </c>
      <c r="AU55" s="25">
        <f t="shared" si="301"/>
        <v>3124851.028188617</v>
      </c>
      <c r="AV55" s="25">
        <f t="shared" si="301"/>
        <v>2831491.4816437531</v>
      </c>
      <c r="AW55" s="25">
        <f t="shared" si="301"/>
        <v>2553344.0541032506</v>
      </c>
      <c r="AX55" s="25">
        <f t="shared" si="301"/>
        <v>2291283.0782248355</v>
      </c>
      <c r="AY55" s="25">
        <f t="shared" si="301"/>
        <v>2046450.523492224</v>
      </c>
      <c r="AZ55" s="25">
        <f t="shared" si="301"/>
        <v>1819609.3355558128</v>
      </c>
      <c r="BA55" s="25">
        <f t="shared" si="301"/>
        <v>1614480.1460265424</v>
      </c>
      <c r="BB55" s="25">
        <f t="shared" si="301"/>
        <v>1427676.9301256319</v>
      </c>
      <c r="BC55" s="25">
        <f t="shared" si="301"/>
        <v>1258148.6494552789</v>
      </c>
      <c r="BD55" s="25">
        <f t="shared" si="301"/>
        <v>1104614.8536715219</v>
      </c>
      <c r="BE55" s="25">
        <f t="shared" si="301"/>
        <v>965829.18095538649</v>
      </c>
      <c r="BF55" s="25">
        <f t="shared" si="301"/>
        <v>842117.83079784829</v>
      </c>
      <c r="BG55" s="25">
        <f t="shared" si="301"/>
        <v>732027.91123649199</v>
      </c>
      <c r="BH55" s="25">
        <f t="shared" si="301"/>
        <v>634449.91102513159</v>
      </c>
      <c r="BI55" s="25">
        <f t="shared" si="301"/>
        <v>547665.76884700707</v>
      </c>
      <c r="BJ55" s="25">
        <f t="shared" si="301"/>
        <v>470861.55126692459</v>
      </c>
      <c r="BK55" s="25">
        <f t="shared" si="301"/>
        <v>403678.34481371555</v>
      </c>
      <c r="BL55" s="25">
        <f t="shared" si="301"/>
        <v>344844.41556412424</v>
      </c>
      <c r="BM55" s="25">
        <f t="shared" si="301"/>
        <v>293506.53837823658</v>
      </c>
      <c r="BN55" s="25">
        <f t="shared" si="301"/>
        <v>248899.24777302644</v>
      </c>
      <c r="BO55" s="25">
        <f t="shared" si="301"/>
        <v>210337.24611906934</v>
      </c>
      <c r="BP55" s="25">
        <f t="shared" si="301"/>
        <v>177281.13076184675</v>
      </c>
      <c r="BQ55" s="25">
        <f t="shared" si="301"/>
        <v>148931.85240607077</v>
      </c>
      <c r="BR55" s="25">
        <f t="shared" si="301"/>
        <v>124816.17439364758</v>
      </c>
      <c r="BS55" s="25">
        <f t="shared" si="301"/>
        <v>104093.78510937879</v>
      </c>
      <c r="BT55" s="25">
        <f t="shared" si="301"/>
        <v>86288.494697811737</v>
      </c>
      <c r="BU55" s="25">
        <f t="shared" si="301"/>
        <v>71031.829673220243</v>
      </c>
      <c r="BV55" s="25">
        <f t="shared" si="301"/>
        <v>57755.197035893158</v>
      </c>
      <c r="BW55" s="25">
        <f t="shared" si="301"/>
        <v>46981.404390299453</v>
      </c>
      <c r="BX55" s="25">
        <f t="shared" si="301"/>
        <v>37993.658741617386</v>
      </c>
      <c r="BY55" s="25">
        <f t="shared" si="301"/>
        <v>30515.22371645931</v>
      </c>
      <c r="BZ55" s="25">
        <f t="shared" ref="BZ55:CY55" si="302">MAX(BZ35,BZ53)</f>
        <v>24314.944779352314</v>
      </c>
      <c r="CA55" s="25">
        <f t="shared" si="302"/>
        <v>17783.562524326047</v>
      </c>
      <c r="CB55" s="25">
        <f t="shared" si="302"/>
        <v>14506.448756362754</v>
      </c>
      <c r="CC55" s="25">
        <f t="shared" si="302"/>
        <v>11751.931242611068</v>
      </c>
      <c r="CD55" s="25">
        <f t="shared" si="302"/>
        <v>9446.9319752384708</v>
      </c>
      <c r="CE55" s="25">
        <f t="shared" si="302"/>
        <v>7548.4373327412068</v>
      </c>
      <c r="CF55" s="25">
        <f t="shared" si="302"/>
        <v>5404.130585767316</v>
      </c>
      <c r="CG55" s="25">
        <f t="shared" si="302"/>
        <v>4299.1176297677594</v>
      </c>
      <c r="CH55" s="25">
        <f t="shared" si="302"/>
        <v>3397.4164033774114</v>
      </c>
      <c r="CI55" s="25">
        <f t="shared" si="302"/>
        <v>2760.4211116162614</v>
      </c>
      <c r="CJ55" s="25">
        <f>MAX(CJ35,CJ53)</f>
        <v>12.686206872294504</v>
      </c>
      <c r="CK55" s="25">
        <f t="shared" si="302"/>
        <v>4.9158188271898995</v>
      </c>
      <c r="CL55" s="25">
        <f t="shared" si="302"/>
        <v>0</v>
      </c>
      <c r="CM55" s="25">
        <f t="shared" si="302"/>
        <v>0</v>
      </c>
      <c r="CN55" s="25">
        <f t="shared" si="302"/>
        <v>0</v>
      </c>
      <c r="CO55" s="25">
        <f t="shared" si="302"/>
        <v>0</v>
      </c>
      <c r="CP55" s="25">
        <f t="shared" si="302"/>
        <v>0</v>
      </c>
      <c r="CQ55" s="25">
        <f t="shared" si="302"/>
        <v>0</v>
      </c>
      <c r="CR55" s="25">
        <f t="shared" si="302"/>
        <v>0</v>
      </c>
      <c r="CS55" s="25">
        <f t="shared" si="302"/>
        <v>0</v>
      </c>
      <c r="CT55" s="25">
        <f t="shared" si="302"/>
        <v>0</v>
      </c>
      <c r="CU55" s="25">
        <f t="shared" si="302"/>
        <v>0</v>
      </c>
      <c r="CV55" s="25">
        <f t="shared" si="302"/>
        <v>0</v>
      </c>
      <c r="CW55" s="25">
        <f t="shared" si="302"/>
        <v>0</v>
      </c>
      <c r="CX55" s="25">
        <f t="shared" si="302"/>
        <v>0</v>
      </c>
      <c r="CY55" s="25">
        <f t="shared" si="302"/>
        <v>0</v>
      </c>
      <c r="DB55" s="101">
        <f t="shared" si="95"/>
        <v>52</v>
      </c>
      <c r="DC55" s="207">
        <f ca="1">OFFSET($C$14,0,COUNTA($DB$4:DB55))</f>
        <v>8812519.2815569881</v>
      </c>
      <c r="DD55" s="207">
        <f ca="1">OFFSET($C$30,0,COUNTA($DB$4:DB55))</f>
        <v>-6.2567353320493316E-8</v>
      </c>
      <c r="DE55" s="100">
        <f ca="1">OFFSET($C$59,0,COUNTA($DB$4:DB55))</f>
        <v>1572685.8118190987</v>
      </c>
      <c r="DH55" s="101">
        <f t="shared" si="96"/>
        <v>52</v>
      </c>
      <c r="DI55" s="100">
        <f ca="1">OFFSET($C$39,0,COUNTA(DH$4:$DH55))</f>
        <v>454238.51889570983</v>
      </c>
      <c r="DJ55" s="100">
        <f ca="1">OFFSET($C$43,0,COUNTA(DH$4:$DH55))</f>
        <v>2.5026941328197329E-8</v>
      </c>
      <c r="DK55" s="100">
        <f ca="1">OFFSET($C$45,0,COUNTA(DH$4:$DH55))</f>
        <v>61692.077867444968</v>
      </c>
      <c r="DL55" s="100">
        <f ca="1">OFFSET($C$46,0,COUNTA(DH$4:$DH55))</f>
        <v>739004.06706342392</v>
      </c>
      <c r="DM55" s="100">
        <f ca="1">OFFSET($C$47,0,COUNTA(DH$4:$DH55))</f>
        <v>405375.88695162151</v>
      </c>
      <c r="DN55" s="100">
        <f ca="1">OFFSET($C$48,0,COUNTA(DH$4:$DH55))</f>
        <v>10053.178502487515</v>
      </c>
      <c r="DO55" s="100">
        <f ca="1">OFFSET($C$51,0,COUNTA(DH$4:$DH55))</f>
        <v>1114666.0493875579</v>
      </c>
      <c r="DP55" s="100">
        <f ca="1">OFFSET($C$53,0,COUNTA(DH$4:$DH55))</f>
        <v>1258148.6494552789</v>
      </c>
    </row>
    <row r="56" spans="1:120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DB56" s="101">
        <f t="shared" si="95"/>
        <v>53</v>
      </c>
      <c r="DC56" s="207">
        <f ca="1">OFFSET($C$14,0,COUNTA($DB$4:DB56))</f>
        <v>7667859.223799305</v>
      </c>
      <c r="DD56" s="207">
        <f ca="1">OFFSET($C$30,0,COUNTA($DB$4:DB56))</f>
        <v>-7.1736632368030473E-8</v>
      </c>
      <c r="DE56" s="100">
        <f ca="1">OFFSET($C$59,0,COUNTA($DB$4:DB56))</f>
        <v>1380768.5670894023</v>
      </c>
      <c r="DH56" s="101">
        <f t="shared" si="96"/>
        <v>53</v>
      </c>
      <c r="DI56" s="100">
        <f ca="1">OFFSET($C$39,0,COUNTA(DH$4:$DH56))</f>
        <v>415472.90007699194</v>
      </c>
      <c r="DJ56" s="100">
        <f ca="1">OFFSET($C$43,0,COUNTA(DH$4:$DH56))</f>
        <v>2.869465294721219E-8</v>
      </c>
      <c r="DK56" s="100">
        <f ca="1">OFFSET($C$45,0,COUNTA(DH$4:$DH56))</f>
        <v>55610.787312501627</v>
      </c>
      <c r="DL56" s="100">
        <f ca="1">OFFSET($C$46,0,COUNTA(DH$4:$DH56))</f>
        <v>643014.66709032934</v>
      </c>
      <c r="DM56" s="100">
        <f ca="1">OFFSET($C$47,0,COUNTA(DH$4:$DH56))</f>
        <v>352721.52429476805</v>
      </c>
      <c r="DN56" s="100">
        <f ca="1">OFFSET($C$48,0,COUNTA(DH$4:$DH56))</f>
        <v>8901.6166425472547</v>
      </c>
      <c r="DO56" s="100">
        <f ca="1">OFFSET($C$51,0,COUNTA(DH$4:$DH56))</f>
        <v>978641.65380612027</v>
      </c>
      <c r="DP56" s="100">
        <f ca="1">OFFSET($C$53,0,COUNTA(DH$4:$DH56))</f>
        <v>1104614.8536715219</v>
      </c>
    </row>
    <row r="57" spans="1:120" x14ac:dyDescent="0.3">
      <c r="C57" s="9" t="s">
        <v>196</v>
      </c>
      <c r="D57" s="205">
        <f t="shared" ref="D57:M57" si="303">D55*Discretionary_Loading</f>
        <v>339253.77391360601</v>
      </c>
      <c r="E57" s="205">
        <f t="shared" si="303"/>
        <v>909670.7469205138</v>
      </c>
      <c r="F57" s="205">
        <f t="shared" si="303"/>
        <v>1627078.6579213461</v>
      </c>
      <c r="G57" s="205">
        <f t="shared" si="303"/>
        <v>2345794.7876449348</v>
      </c>
      <c r="H57" s="205">
        <f t="shared" si="303"/>
        <v>3207242.3616940458</v>
      </c>
      <c r="I57" s="205">
        <f t="shared" si="303"/>
        <v>4039587.0292430823</v>
      </c>
      <c r="J57" s="205">
        <f t="shared" si="303"/>
        <v>4845426.6459192066</v>
      </c>
      <c r="K57" s="205">
        <f t="shared" si="303"/>
        <v>5670023.6011847509</v>
      </c>
      <c r="L57" s="205">
        <f t="shared" si="303"/>
        <v>6587210.4349847129</v>
      </c>
      <c r="M57" s="205">
        <f t="shared" si="303"/>
        <v>7654120.4952189215</v>
      </c>
      <c r="N57" s="205">
        <f t="shared" ref="N57:BY57" si="304">N55*Discretionary_Loading</f>
        <v>6235331.5481034331</v>
      </c>
      <c r="O57" s="205">
        <f t="shared" si="304"/>
        <v>4907192.4802594464</v>
      </c>
      <c r="P57" s="205">
        <f t="shared" si="304"/>
        <v>3840693.73461281</v>
      </c>
      <c r="Q57" s="205">
        <f t="shared" si="304"/>
        <v>3081566.3238152028</v>
      </c>
      <c r="R57" s="205">
        <f t="shared" si="304"/>
        <v>2484585.3989529368</v>
      </c>
      <c r="S57" s="205">
        <f t="shared" si="304"/>
        <v>2179342.629327063</v>
      </c>
      <c r="T57" s="205">
        <f t="shared" si="304"/>
        <v>2075717.0715586743</v>
      </c>
      <c r="U57" s="205">
        <f t="shared" si="304"/>
        <v>2062793.7549107799</v>
      </c>
      <c r="V57" s="205">
        <f t="shared" si="304"/>
        <v>2078865.7091521618</v>
      </c>
      <c r="W57" s="205">
        <f t="shared" si="304"/>
        <v>2127925.3837854145</v>
      </c>
      <c r="X57" s="205">
        <f t="shared" si="304"/>
        <v>2154717.7370255603</v>
      </c>
      <c r="Y57" s="205">
        <f t="shared" si="304"/>
        <v>2167589.8185644639</v>
      </c>
      <c r="Z57" s="205">
        <f t="shared" si="304"/>
        <v>2160922.9914866751</v>
      </c>
      <c r="AA57" s="205">
        <f t="shared" si="304"/>
        <v>2132621.4090884528</v>
      </c>
      <c r="AB57" s="205">
        <f t="shared" si="304"/>
        <v>2109998.9334890214</v>
      </c>
      <c r="AC57" s="205">
        <f t="shared" si="304"/>
        <v>2072286.6820476467</v>
      </c>
      <c r="AD57" s="205">
        <f t="shared" si="304"/>
        <v>2025785.6251820922</v>
      </c>
      <c r="AE57" s="205">
        <f t="shared" si="304"/>
        <v>1970940.5502109032</v>
      </c>
      <c r="AF57" s="205">
        <f t="shared" si="304"/>
        <v>1908693.5744637689</v>
      </c>
      <c r="AG57" s="205">
        <f t="shared" si="304"/>
        <v>1855709.5154614942</v>
      </c>
      <c r="AH57" s="205">
        <f t="shared" si="304"/>
        <v>1791621.158781474</v>
      </c>
      <c r="AI57" s="205">
        <f t="shared" si="304"/>
        <v>1724535.5541328557</v>
      </c>
      <c r="AJ57" s="205">
        <f t="shared" si="304"/>
        <v>1652760.8557890719</v>
      </c>
      <c r="AK57" s="205">
        <f t="shared" si="304"/>
        <v>1575772.5634273998</v>
      </c>
      <c r="AL57" s="205">
        <f t="shared" si="304"/>
        <v>1501261.1658909842</v>
      </c>
      <c r="AM57" s="205">
        <f t="shared" si="304"/>
        <v>1424651.4170281813</v>
      </c>
      <c r="AN57" s="205">
        <f t="shared" si="304"/>
        <v>1345832.4952478425</v>
      </c>
      <c r="AO57" s="205">
        <f t="shared" si="304"/>
        <v>1264687.5171572599</v>
      </c>
      <c r="AP57" s="205">
        <f t="shared" si="304"/>
        <v>1181509.6396503402</v>
      </c>
      <c r="AQ57" s="205">
        <f t="shared" si="304"/>
        <v>1100734.8735006445</v>
      </c>
      <c r="AR57" s="205">
        <f t="shared" si="304"/>
        <v>1019382.2664605316</v>
      </c>
      <c r="AS57" s="205">
        <f t="shared" si="304"/>
        <v>938660.65623089799</v>
      </c>
      <c r="AT57" s="205">
        <f t="shared" si="304"/>
        <v>859055.75793818233</v>
      </c>
      <c r="AU57" s="205">
        <f t="shared" si="304"/>
        <v>781212.75704715424</v>
      </c>
      <c r="AV57" s="205">
        <f t="shared" si="304"/>
        <v>707872.87041093828</v>
      </c>
      <c r="AW57" s="205">
        <f t="shared" si="304"/>
        <v>638336.01352581265</v>
      </c>
      <c r="AX57" s="205">
        <f t="shared" si="304"/>
        <v>572820.76955620886</v>
      </c>
      <c r="AY57" s="205">
        <f t="shared" si="304"/>
        <v>511612.63087305601</v>
      </c>
      <c r="AZ57" s="205">
        <f t="shared" si="304"/>
        <v>454902.3338889532</v>
      </c>
      <c r="BA57" s="205">
        <f t="shared" si="304"/>
        <v>403620.0365066356</v>
      </c>
      <c r="BB57" s="205">
        <f t="shared" si="304"/>
        <v>356919.23253140796</v>
      </c>
      <c r="BC57" s="205">
        <f t="shared" si="304"/>
        <v>314537.16236381972</v>
      </c>
      <c r="BD57" s="205">
        <f t="shared" si="304"/>
        <v>276153.71341788047</v>
      </c>
      <c r="BE57" s="205">
        <f t="shared" si="304"/>
        <v>241457.29523884662</v>
      </c>
      <c r="BF57" s="205">
        <f t="shared" si="304"/>
        <v>210529.45769946207</v>
      </c>
      <c r="BG57" s="205">
        <f t="shared" si="304"/>
        <v>183006.977809123</v>
      </c>
      <c r="BH57" s="205">
        <f t="shared" si="304"/>
        <v>158612.4777562829</v>
      </c>
      <c r="BI57" s="205">
        <f t="shared" si="304"/>
        <v>136916.44221175177</v>
      </c>
      <c r="BJ57" s="205">
        <f t="shared" si="304"/>
        <v>117715.38781673115</v>
      </c>
      <c r="BK57" s="205">
        <f t="shared" si="304"/>
        <v>100919.58620342889</v>
      </c>
      <c r="BL57" s="205">
        <f t="shared" si="304"/>
        <v>86211.10389103106</v>
      </c>
      <c r="BM57" s="205">
        <f t="shared" si="304"/>
        <v>73376.634594559146</v>
      </c>
      <c r="BN57" s="205">
        <f t="shared" si="304"/>
        <v>62224.811943256609</v>
      </c>
      <c r="BO57" s="205">
        <f t="shared" si="304"/>
        <v>52584.311529767336</v>
      </c>
      <c r="BP57" s="205">
        <f t="shared" si="304"/>
        <v>44320.282690461689</v>
      </c>
      <c r="BQ57" s="205">
        <f t="shared" si="304"/>
        <v>37232.963101517693</v>
      </c>
      <c r="BR57" s="205">
        <f t="shared" si="304"/>
        <v>31204.043598411896</v>
      </c>
      <c r="BS57" s="205">
        <f t="shared" si="304"/>
        <v>26023.446277344698</v>
      </c>
      <c r="BT57" s="205">
        <f t="shared" si="304"/>
        <v>21572.123674452934</v>
      </c>
      <c r="BU57" s="205">
        <f t="shared" si="304"/>
        <v>17757.957418305061</v>
      </c>
      <c r="BV57" s="205">
        <f t="shared" si="304"/>
        <v>14438.799258973289</v>
      </c>
      <c r="BW57" s="205">
        <f t="shared" si="304"/>
        <v>11745.351097574863</v>
      </c>
      <c r="BX57" s="205">
        <f t="shared" si="304"/>
        <v>9498.4146854043465</v>
      </c>
      <c r="BY57" s="205">
        <f t="shared" si="304"/>
        <v>7628.8059291148274</v>
      </c>
      <c r="BZ57" s="205">
        <f t="shared" ref="BZ57:CY57" si="305">BZ55*Discretionary_Loading</f>
        <v>6078.7361948380785</v>
      </c>
      <c r="CA57" s="205">
        <f t="shared" si="305"/>
        <v>4445.8906310815119</v>
      </c>
      <c r="CB57" s="205">
        <f t="shared" si="305"/>
        <v>3626.6121890906884</v>
      </c>
      <c r="CC57" s="205">
        <f t="shared" si="305"/>
        <v>2937.9828106527671</v>
      </c>
      <c r="CD57" s="205">
        <f t="shared" si="305"/>
        <v>2361.7329938096177</v>
      </c>
      <c r="CE57" s="205">
        <f t="shared" si="305"/>
        <v>1887.1093331853017</v>
      </c>
      <c r="CF57" s="205">
        <f t="shared" si="305"/>
        <v>1351.032646441829</v>
      </c>
      <c r="CG57" s="205">
        <f t="shared" si="305"/>
        <v>1074.7794074419398</v>
      </c>
      <c r="CH57" s="205">
        <f t="shared" si="305"/>
        <v>849.35410084435284</v>
      </c>
      <c r="CI57" s="205">
        <f t="shared" si="305"/>
        <v>690.10527790406536</v>
      </c>
      <c r="CJ57" s="205">
        <f t="shared" si="305"/>
        <v>3.1715517180736259</v>
      </c>
      <c r="CK57" s="205">
        <f t="shared" si="305"/>
        <v>1.2289547067974749</v>
      </c>
      <c r="CL57" s="205">
        <f t="shared" si="305"/>
        <v>0</v>
      </c>
      <c r="CM57" s="205">
        <f t="shared" si="305"/>
        <v>0</v>
      </c>
      <c r="CN57" s="205">
        <f t="shared" si="305"/>
        <v>0</v>
      </c>
      <c r="CO57" s="205">
        <f t="shared" si="305"/>
        <v>0</v>
      </c>
      <c r="CP57" s="205">
        <f t="shared" si="305"/>
        <v>0</v>
      </c>
      <c r="CQ57" s="205">
        <f t="shared" si="305"/>
        <v>0</v>
      </c>
      <c r="CR57" s="205">
        <f t="shared" si="305"/>
        <v>0</v>
      </c>
      <c r="CS57" s="205">
        <f t="shared" si="305"/>
        <v>0</v>
      </c>
      <c r="CT57" s="205">
        <f t="shared" si="305"/>
        <v>0</v>
      </c>
      <c r="CU57" s="205">
        <f t="shared" si="305"/>
        <v>0</v>
      </c>
      <c r="CV57" s="205">
        <f t="shared" si="305"/>
        <v>0</v>
      </c>
      <c r="CW57" s="205">
        <f t="shared" si="305"/>
        <v>0</v>
      </c>
      <c r="CX57" s="205">
        <f t="shared" si="305"/>
        <v>0</v>
      </c>
      <c r="CY57" s="205">
        <f t="shared" si="305"/>
        <v>0</v>
      </c>
      <c r="DB57" s="101">
        <f t="shared" si="95"/>
        <v>54</v>
      </c>
      <c r="DC57" s="207">
        <f ca="1">OFFSET($C$14,0,COUNTA($DB$4:DB57))</f>
        <v>6631837.5165659757</v>
      </c>
      <c r="DD57" s="207">
        <f ca="1">OFFSET($C$30,0,COUNTA($DB$4:DB57))</f>
        <v>-8.2666104780211697E-8</v>
      </c>
      <c r="DE57" s="100">
        <f ca="1">OFFSET($C$59,0,COUNTA($DB$4:DB57))</f>
        <v>1207286.4761942332</v>
      </c>
      <c r="DH57" s="101">
        <f t="shared" ref="DH57:DH103" si="306">DH56+1</f>
        <v>54</v>
      </c>
      <c r="DI57" s="100">
        <f ca="1">OFFSET($C$39,0,COUNTA(DH$4:$DH57))</f>
        <v>379863.43109077064</v>
      </c>
      <c r="DJ57" s="100">
        <f ca="1">OFFSET($C$43,0,COUNTA(DH$4:$DH57))</f>
        <v>3.3066441912084679E-8</v>
      </c>
      <c r="DK57" s="100">
        <f ca="1">OFFSET($C$45,0,COUNTA(DH$4:$DH57))</f>
        <v>49975.575704901028</v>
      </c>
      <c r="DL57" s="100">
        <f ca="1">OFFSET($C$46,0,COUNTA(DH$4:$DH57))</f>
        <v>556135.5090709267</v>
      </c>
      <c r="DM57" s="100">
        <f ca="1">OFFSET($C$47,0,COUNTA(DH$4:$DH57))</f>
        <v>305064.52576203493</v>
      </c>
      <c r="DN57" s="100">
        <f ca="1">OFFSET($C$48,0,COUNTA(DH$4:$DH57))</f>
        <v>7861.5103058009809</v>
      </c>
      <c r="DO57" s="100">
        <f ca="1">OFFSET($C$51,0,COUNTA(DH$4:$DH57))</f>
        <v>855683.46632559702</v>
      </c>
      <c r="DP57" s="100">
        <f ca="1">OFFSET($C$53,0,COUNTA(DH$4:$DH57))</f>
        <v>965829.18095538649</v>
      </c>
    </row>
    <row r="58" spans="1:120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DB58" s="101">
        <f t="shared" si="95"/>
        <v>55</v>
      </c>
      <c r="DC58" s="207">
        <f ca="1">OFFSET($C$14,0,COUNTA($DB$4:DB58))</f>
        <v>5709258.3795051426</v>
      </c>
      <c r="DD58" s="207">
        <f ca="1">OFFSET($C$30,0,COUNTA($DB$4:DB58))</f>
        <v>-9.8042214238426454E-8</v>
      </c>
      <c r="DE58" s="100">
        <f ca="1">OFFSET($C$59,0,COUNTA($DB$4:DB58))</f>
        <v>1052647.2884973104</v>
      </c>
      <c r="DH58" s="101">
        <f t="shared" si="306"/>
        <v>55</v>
      </c>
      <c r="DI58" s="100">
        <f ca="1">OFFSET($C$39,0,COUNTA(DH$4:$DH58))</f>
        <v>347023.433329897</v>
      </c>
      <c r="DJ58" s="100">
        <f ca="1">OFFSET($C$43,0,COUNTA(DH$4:$DH58))</f>
        <v>3.9216885695370586E-8</v>
      </c>
      <c r="DK58" s="100">
        <f ca="1">OFFSET($C$45,0,COUNTA(DH$4:$DH58))</f>
        <v>44751.53454979555</v>
      </c>
      <c r="DL58" s="100">
        <f ca="1">OFFSET($C$46,0,COUNTA(DH$4:$DH58))</f>
        <v>478769.46734178322</v>
      </c>
      <c r="DM58" s="100">
        <f ca="1">OFFSET($C$47,0,COUNTA(DH$4:$DH58))</f>
        <v>262625.88545723655</v>
      </c>
      <c r="DN58" s="100">
        <f ca="1">OFFSET($C$48,0,COUNTA(DH$4:$DH58))</f>
        <v>6920.3022068016226</v>
      </c>
      <c r="DO58" s="100">
        <f ca="1">OFFSET($C$51,0,COUNTA(DH$4:$DH58))</f>
        <v>746080.48578414274</v>
      </c>
      <c r="DP58" s="100">
        <f ca="1">OFFSET($C$53,0,COUNTA(DH$4:$DH58))</f>
        <v>842117.83079784829</v>
      </c>
    </row>
    <row r="59" spans="1:120" x14ac:dyDescent="0.3">
      <c r="C59" s="9" t="s">
        <v>172</v>
      </c>
      <c r="D59" s="206">
        <f>D55+D57</f>
        <v>1696268.8695680301</v>
      </c>
      <c r="E59" s="206">
        <f t="shared" ref="E59:M59" si="307">E55+E57</f>
        <v>4548353.7346025687</v>
      </c>
      <c r="F59" s="206">
        <f t="shared" si="307"/>
        <v>8135393.2896067305</v>
      </c>
      <c r="G59" s="206">
        <f t="shared" si="307"/>
        <v>11728973.938224673</v>
      </c>
      <c r="H59" s="206">
        <f t="shared" si="307"/>
        <v>16036211.808470229</v>
      </c>
      <c r="I59" s="206">
        <f t="shared" si="307"/>
        <v>20197935.146215413</v>
      </c>
      <c r="J59" s="206">
        <f t="shared" si="307"/>
        <v>24227133.229596034</v>
      </c>
      <c r="K59" s="206">
        <f t="shared" si="307"/>
        <v>28350118.005923755</v>
      </c>
      <c r="L59" s="206">
        <f t="shared" si="307"/>
        <v>32936052.174923565</v>
      </c>
      <c r="M59" s="206">
        <f t="shared" si="307"/>
        <v>38270602.476094604</v>
      </c>
      <c r="N59" s="206">
        <f t="shared" ref="N59:BY59" si="308">N55+N57</f>
        <v>31176657.740517166</v>
      </c>
      <c r="O59" s="206">
        <f t="shared" si="308"/>
        <v>24535962.401297234</v>
      </c>
      <c r="P59" s="206">
        <f t="shared" si="308"/>
        <v>19203468.673064049</v>
      </c>
      <c r="Q59" s="206">
        <f t="shared" si="308"/>
        <v>15407831.619076014</v>
      </c>
      <c r="R59" s="206">
        <f t="shared" si="308"/>
        <v>12422926.994764684</v>
      </c>
      <c r="S59" s="206">
        <f t="shared" si="308"/>
        <v>10896713.146635314</v>
      </c>
      <c r="T59" s="206">
        <f t="shared" si="308"/>
        <v>10378585.357793372</v>
      </c>
      <c r="U59" s="206">
        <f t="shared" si="308"/>
        <v>10313968.774553899</v>
      </c>
      <c r="V59" s="206">
        <f t="shared" si="308"/>
        <v>10394328.545760809</v>
      </c>
      <c r="W59" s="206">
        <f t="shared" si="308"/>
        <v>10639626.918927073</v>
      </c>
      <c r="X59" s="206">
        <f t="shared" si="308"/>
        <v>10773588.685127802</v>
      </c>
      <c r="Y59" s="206">
        <f t="shared" si="308"/>
        <v>10837949.092822319</v>
      </c>
      <c r="Z59" s="206">
        <f t="shared" si="308"/>
        <v>10804614.957433376</v>
      </c>
      <c r="AA59" s="206">
        <f t="shared" si="308"/>
        <v>10663107.045442265</v>
      </c>
      <c r="AB59" s="206">
        <f t="shared" si="308"/>
        <v>10549994.667445106</v>
      </c>
      <c r="AC59" s="206">
        <f t="shared" si="308"/>
        <v>10361433.410238234</v>
      </c>
      <c r="AD59" s="206">
        <f t="shared" si="308"/>
        <v>10128928.125910461</v>
      </c>
      <c r="AE59" s="206">
        <f t="shared" si="308"/>
        <v>9854702.7510545161</v>
      </c>
      <c r="AF59" s="206">
        <f t="shared" si="308"/>
        <v>9543467.8723188452</v>
      </c>
      <c r="AG59" s="206">
        <f t="shared" si="308"/>
        <v>9278547.5773074701</v>
      </c>
      <c r="AH59" s="206">
        <f t="shared" si="308"/>
        <v>8958105.7939073704</v>
      </c>
      <c r="AI59" s="206">
        <f t="shared" si="308"/>
        <v>8622677.7706642784</v>
      </c>
      <c r="AJ59" s="206">
        <f t="shared" si="308"/>
        <v>8263804.2789453594</v>
      </c>
      <c r="AK59" s="206">
        <f t="shared" si="308"/>
        <v>7878862.8171369992</v>
      </c>
      <c r="AL59" s="206">
        <f t="shared" si="308"/>
        <v>7506305.8294549212</v>
      </c>
      <c r="AM59" s="206">
        <f t="shared" si="308"/>
        <v>7123257.0851409063</v>
      </c>
      <c r="AN59" s="206">
        <f t="shared" si="308"/>
        <v>6729162.4762392128</v>
      </c>
      <c r="AO59" s="206">
        <f t="shared" si="308"/>
        <v>6323437.5857862998</v>
      </c>
      <c r="AP59" s="206">
        <f t="shared" si="308"/>
        <v>5907548.198251701</v>
      </c>
      <c r="AQ59" s="206">
        <f t="shared" si="308"/>
        <v>5503674.3675032221</v>
      </c>
      <c r="AR59" s="206">
        <f t="shared" si="308"/>
        <v>5096911.3323026579</v>
      </c>
      <c r="AS59" s="206">
        <f t="shared" si="308"/>
        <v>4693303.2811544901</v>
      </c>
      <c r="AT59" s="206">
        <f t="shared" si="308"/>
        <v>4295278.7896909118</v>
      </c>
      <c r="AU59" s="206">
        <f t="shared" si="308"/>
        <v>3906063.785235771</v>
      </c>
      <c r="AV59" s="206">
        <f t="shared" si="308"/>
        <v>3539364.3520546914</v>
      </c>
      <c r="AW59" s="206">
        <f t="shared" si="308"/>
        <v>3191680.0676290635</v>
      </c>
      <c r="AX59" s="206">
        <f t="shared" si="308"/>
        <v>2864103.8477810444</v>
      </c>
      <c r="AY59" s="206">
        <f t="shared" si="308"/>
        <v>2558063.1543652802</v>
      </c>
      <c r="AZ59" s="206">
        <f t="shared" si="308"/>
        <v>2274511.6694447659</v>
      </c>
      <c r="BA59" s="206">
        <f t="shared" si="308"/>
        <v>2018100.182533178</v>
      </c>
      <c r="BB59" s="206">
        <f t="shared" si="308"/>
        <v>1784596.1626570397</v>
      </c>
      <c r="BC59" s="206">
        <f t="shared" si="308"/>
        <v>1572685.8118190987</v>
      </c>
      <c r="BD59" s="206">
        <f t="shared" si="308"/>
        <v>1380768.5670894023</v>
      </c>
      <c r="BE59" s="206">
        <f t="shared" si="308"/>
        <v>1207286.4761942332</v>
      </c>
      <c r="BF59" s="206">
        <f t="shared" si="308"/>
        <v>1052647.2884973104</v>
      </c>
      <c r="BG59" s="206">
        <f t="shared" si="308"/>
        <v>915034.88904561498</v>
      </c>
      <c r="BH59" s="206">
        <f t="shared" si="308"/>
        <v>793062.38878141448</v>
      </c>
      <c r="BI59" s="206">
        <f t="shared" si="308"/>
        <v>684582.2110587589</v>
      </c>
      <c r="BJ59" s="206">
        <f t="shared" si="308"/>
        <v>588576.93908365571</v>
      </c>
      <c r="BK59" s="206">
        <f t="shared" si="308"/>
        <v>504597.93101714447</v>
      </c>
      <c r="BL59" s="206">
        <f t="shared" si="308"/>
        <v>431055.5194551553</v>
      </c>
      <c r="BM59" s="206">
        <f t="shared" si="308"/>
        <v>366883.17297279573</v>
      </c>
      <c r="BN59" s="206">
        <f t="shared" si="308"/>
        <v>311124.05971628305</v>
      </c>
      <c r="BO59" s="206">
        <f t="shared" si="308"/>
        <v>262921.55764883669</v>
      </c>
      <c r="BP59" s="206">
        <f t="shared" si="308"/>
        <v>221601.41345230845</v>
      </c>
      <c r="BQ59" s="206">
        <f t="shared" si="308"/>
        <v>186164.81550758847</v>
      </c>
      <c r="BR59" s="206">
        <f t="shared" si="308"/>
        <v>156020.21799205948</v>
      </c>
      <c r="BS59" s="206">
        <f t="shared" si="308"/>
        <v>130117.23138672349</v>
      </c>
      <c r="BT59" s="206">
        <f t="shared" si="308"/>
        <v>107860.61837226467</v>
      </c>
      <c r="BU59" s="206">
        <f t="shared" si="308"/>
        <v>88789.787091525301</v>
      </c>
      <c r="BV59" s="206">
        <f t="shared" si="308"/>
        <v>72193.996294866447</v>
      </c>
      <c r="BW59" s="206">
        <f t="shared" si="308"/>
        <v>58726.755487874318</v>
      </c>
      <c r="BX59" s="206">
        <f t="shared" si="308"/>
        <v>47492.073427021736</v>
      </c>
      <c r="BY59" s="206">
        <f t="shared" si="308"/>
        <v>38144.029645574134</v>
      </c>
      <c r="BZ59" s="206">
        <f t="shared" ref="BZ59:CY59" si="309">BZ55+BZ57</f>
        <v>30393.680974190393</v>
      </c>
      <c r="CA59" s="206">
        <f t="shared" si="309"/>
        <v>22229.453155407558</v>
      </c>
      <c r="CB59" s="206">
        <f t="shared" si="309"/>
        <v>18133.060945453442</v>
      </c>
      <c r="CC59" s="206">
        <f t="shared" si="309"/>
        <v>14689.914053263836</v>
      </c>
      <c r="CD59" s="206">
        <f t="shared" si="309"/>
        <v>11808.664969048088</v>
      </c>
      <c r="CE59" s="206">
        <f t="shared" si="309"/>
        <v>9435.5466659265076</v>
      </c>
      <c r="CF59" s="206">
        <f t="shared" si="309"/>
        <v>6755.1632322091446</v>
      </c>
      <c r="CG59" s="206">
        <f t="shared" si="309"/>
        <v>5373.8970372096992</v>
      </c>
      <c r="CH59" s="206">
        <f t="shared" si="309"/>
        <v>4246.770504221764</v>
      </c>
      <c r="CI59" s="206">
        <f t="shared" si="309"/>
        <v>3450.526389520327</v>
      </c>
      <c r="CJ59" s="206">
        <f t="shared" si="309"/>
        <v>15.85775859036813</v>
      </c>
      <c r="CK59" s="206">
        <f t="shared" si="309"/>
        <v>6.1447735339873741</v>
      </c>
      <c r="CL59" s="206">
        <f t="shared" si="309"/>
        <v>0</v>
      </c>
      <c r="CM59" s="206">
        <f t="shared" si="309"/>
        <v>0</v>
      </c>
      <c r="CN59" s="206">
        <f t="shared" si="309"/>
        <v>0</v>
      </c>
      <c r="CO59" s="206">
        <f t="shared" si="309"/>
        <v>0</v>
      </c>
      <c r="CP59" s="206">
        <f t="shared" si="309"/>
        <v>0</v>
      </c>
      <c r="CQ59" s="206">
        <f t="shared" si="309"/>
        <v>0</v>
      </c>
      <c r="CR59" s="206">
        <f t="shared" si="309"/>
        <v>0</v>
      </c>
      <c r="CS59" s="206">
        <f t="shared" si="309"/>
        <v>0</v>
      </c>
      <c r="CT59" s="206">
        <f t="shared" si="309"/>
        <v>0</v>
      </c>
      <c r="CU59" s="206">
        <f t="shared" si="309"/>
        <v>0</v>
      </c>
      <c r="CV59" s="206">
        <f t="shared" si="309"/>
        <v>0</v>
      </c>
      <c r="CW59" s="206">
        <f t="shared" si="309"/>
        <v>0</v>
      </c>
      <c r="CX59" s="206">
        <f t="shared" si="309"/>
        <v>0</v>
      </c>
      <c r="CY59" s="206">
        <f t="shared" si="309"/>
        <v>0</v>
      </c>
      <c r="DB59" s="101">
        <f t="shared" si="95"/>
        <v>56</v>
      </c>
      <c r="DC59" s="207">
        <f ca="1">OFFSET($C$14,0,COUNTA($DB$4:DB59))</f>
        <v>4892421.4000971299</v>
      </c>
      <c r="DD59" s="207">
        <f ca="1">OFFSET($C$30,0,COUNTA($DB$4:DB59))</f>
        <v>-1.8315295731549081E-8</v>
      </c>
      <c r="DE59" s="100">
        <f ca="1">OFFSET($C$59,0,COUNTA($DB$4:DB59))</f>
        <v>915034.88904561498</v>
      </c>
      <c r="DH59" s="101">
        <f t="shared" si="306"/>
        <v>56</v>
      </c>
      <c r="DI59" s="100">
        <f ca="1">OFFSET($C$39,0,COUNTA(DH$4:$DH59))</f>
        <v>316042.5860631151</v>
      </c>
      <c r="DJ59" s="100">
        <f ca="1">OFFSET($C$43,0,COUNTA(DH$4:$DH59))</f>
        <v>7.3261182926196326E-9</v>
      </c>
      <c r="DK59" s="100">
        <f ca="1">OFFSET($C$45,0,COUNTA(DH$4:$DH59))</f>
        <v>39909.534118805743</v>
      </c>
      <c r="DL59" s="100">
        <f ca="1">OFFSET($C$46,0,COUNTA(DH$4:$DH59))</f>
        <v>410270.79736739292</v>
      </c>
      <c r="DM59" s="100">
        <f ca="1">OFFSET($C$47,0,COUNTA(DH$4:$DH59))</f>
        <v>225051.384404468</v>
      </c>
      <c r="DN59" s="100">
        <f ca="1">OFFSET($C$48,0,COUNTA(DH$4:$DH59))</f>
        <v>6067.5349303429739</v>
      </c>
      <c r="DO59" s="100">
        <f ca="1">OFFSET($C$51,0,COUNTA(DH$4:$DH59))</f>
        <v>648545.51186195912</v>
      </c>
      <c r="DP59" s="100">
        <f ca="1">OFFSET($C$53,0,COUNTA(DH$4:$DH59))</f>
        <v>732027.91123649199</v>
      </c>
    </row>
    <row r="60" spans="1:120" x14ac:dyDescent="0.3">
      <c r="DB60" s="101">
        <f t="shared" si="95"/>
        <v>57</v>
      </c>
      <c r="DC60" s="207">
        <f ca="1">OFFSET($C$14,0,COUNTA($DB$4:DB60))</f>
        <v>4162564.988573309</v>
      </c>
      <c r="DD60" s="207">
        <f ca="1">OFFSET($C$30,0,COUNTA($DB$4:DB60))</f>
        <v>-3.7944600696180461E-8</v>
      </c>
      <c r="DE60" s="100">
        <f ca="1">OFFSET($C$59,0,COUNTA($DB$4:DB60))</f>
        <v>793062.38878141448</v>
      </c>
      <c r="DH60" s="101">
        <f t="shared" si="306"/>
        <v>57</v>
      </c>
      <c r="DI60" s="100">
        <f ca="1">OFFSET($C$39,0,COUNTA(DH$4:$DH60))</f>
        <v>288799.06073313655</v>
      </c>
      <c r="DJ60" s="100">
        <f ca="1">OFFSET($C$43,0,COUNTA(DH$4:$DH60))</f>
        <v>1.5177840278472184E-8</v>
      </c>
      <c r="DK60" s="100">
        <f ca="1">OFFSET($C$45,0,COUNTA(DH$4:$DH60))</f>
        <v>35424.720515495625</v>
      </c>
      <c r="DL60" s="100">
        <f ca="1">OFFSET($C$46,0,COUNTA(DH$4:$DH60))</f>
        <v>349066.18160930689</v>
      </c>
      <c r="DM60" s="100">
        <f ca="1">OFFSET($C$47,0,COUNTA(DH$4:$DH60))</f>
        <v>191477.98947437224</v>
      </c>
      <c r="DN60" s="100">
        <f ca="1">OFFSET($C$48,0,COUNTA(DH$4:$DH60))</f>
        <v>5310.7603866307272</v>
      </c>
      <c r="DO60" s="100">
        <f ca="1">OFFSET($C$51,0,COUNTA(DH$4:$DH60))</f>
        <v>562095.56491028017</v>
      </c>
      <c r="DP60" s="100">
        <f ca="1">OFFSET($C$53,0,COUNTA(DH$4:$DH60))</f>
        <v>634449.91102513159</v>
      </c>
    </row>
    <row r="61" spans="1:120" x14ac:dyDescent="0.3">
      <c r="DB61" s="101">
        <f t="shared" si="95"/>
        <v>58</v>
      </c>
      <c r="DC61" s="207">
        <f ca="1">OFFSET($C$14,0,COUNTA($DB$4:DB61))</f>
        <v>3514968.2690903777</v>
      </c>
      <c r="DD61" s="207">
        <f ca="1">OFFSET($C$30,0,COUNTA($DB$4:DB61))</f>
        <v>-4.6541219787949587E-8</v>
      </c>
      <c r="DE61" s="100">
        <f ca="1">OFFSET($C$59,0,COUNTA($DB$4:DB61))</f>
        <v>684582.2110587589</v>
      </c>
      <c r="DH61" s="101">
        <f t="shared" si="306"/>
        <v>58</v>
      </c>
      <c r="DI61" s="100">
        <f ca="1">OFFSET($C$39,0,COUNTA(DH$4:$DH61))</f>
        <v>263238.94235369132</v>
      </c>
      <c r="DJ61" s="100">
        <f ca="1">OFFSET($C$43,0,COUNTA(DH$4:$DH61))</f>
        <v>1.8616487915179837E-8</v>
      </c>
      <c r="DK61" s="100">
        <f ca="1">OFFSET($C$45,0,COUNTA(DH$4:$DH61))</f>
        <v>31353.116423653359</v>
      </c>
      <c r="DL61" s="100">
        <f ca="1">OFFSET($C$46,0,COUNTA(DH$4:$DH61))</f>
        <v>294759.73481192032</v>
      </c>
      <c r="DM61" s="100">
        <f ca="1">OFFSET($C$47,0,COUNTA(DH$4:$DH61))</f>
        <v>161688.5403781574</v>
      </c>
      <c r="DN61" s="100">
        <f ca="1">OFFSET($C$48,0,COUNTA(DH$4:$DH61))</f>
        <v>4621.87922537947</v>
      </c>
      <c r="DO61" s="100">
        <f ca="1">OFFSET($C$51,0,COUNTA(DH$4:$DH61))</f>
        <v>485208.51586956455</v>
      </c>
      <c r="DP61" s="100">
        <f ca="1">OFFSET($C$53,0,COUNTA(DH$4:$DH61))</f>
        <v>547665.76884700707</v>
      </c>
    </row>
    <row r="62" spans="1:120" x14ac:dyDescent="0.3">
      <c r="D62">
        <f>D59/(D14+D30)</f>
        <v>-1.3803189858677829</v>
      </c>
      <c r="E62">
        <f t="shared" ref="E62:M62" si="310">E59/(E14+E30)</f>
        <v>-0.74545967321033346</v>
      </c>
      <c r="F62">
        <f t="shared" si="310"/>
        <v>-0.68764839095004182</v>
      </c>
      <c r="G62">
        <f t="shared" si="310"/>
        <v>-0.66806026029260568</v>
      </c>
      <c r="H62">
        <f t="shared" si="310"/>
        <v>-0.65884737517920566</v>
      </c>
      <c r="I62">
        <f t="shared" si="310"/>
        <v>-0.65417698070251773</v>
      </c>
      <c r="J62">
        <f t="shared" si="310"/>
        <v>-0.65551686420176591</v>
      </c>
      <c r="K62">
        <f t="shared" si="310"/>
        <v>-0.66375811642787574</v>
      </c>
      <c r="L62">
        <f t="shared" si="310"/>
        <v>-0.67779164916111956</v>
      </c>
      <c r="M62">
        <f t="shared" si="310"/>
        <v>-0.69668929205392693</v>
      </c>
      <c r="DB62" s="101">
        <f t="shared" si="95"/>
        <v>59</v>
      </c>
      <c r="DC62" s="207">
        <f ca="1">OFFSET($C$14,0,COUNTA($DB$4:DB62))</f>
        <v>2943342.4200253612</v>
      </c>
      <c r="DD62" s="207">
        <f ca="1">OFFSET($C$30,0,COUNTA($DB$4:DB62))</f>
        <v>-5.3875426257518141E-8</v>
      </c>
      <c r="DE62" s="100">
        <f ca="1">OFFSET($C$59,0,COUNTA($DB$4:DB62))</f>
        <v>588576.93908365571</v>
      </c>
      <c r="DH62" s="101">
        <f t="shared" si="306"/>
        <v>59</v>
      </c>
      <c r="DI62" s="100">
        <f ca="1">OFFSET($C$39,0,COUNTA(DH$4:$DH62))</f>
        <v>239319.02607085931</v>
      </c>
      <c r="DJ62" s="100">
        <f ca="1">OFFSET($C$43,0,COUNTA(DH$4:$DH62))</f>
        <v>2.1550170503007259E-8</v>
      </c>
      <c r="DK62" s="100">
        <f ca="1">OFFSET($C$45,0,COUNTA(DH$4:$DH62))</f>
        <v>27577.761173560048</v>
      </c>
      <c r="DL62" s="100">
        <f ca="1">OFFSET($C$46,0,COUNTA(DH$4:$DH62))</f>
        <v>246824.08624185619</v>
      </c>
      <c r="DM62" s="100">
        <f ca="1">OFFSET($C$47,0,COUNTA(DH$4:$DH62))</f>
        <v>135393.75132116661</v>
      </c>
      <c r="DN62" s="100">
        <f ca="1">OFFSET($C$48,0,COUNTA(DH$4:$DH62))</f>
        <v>3997.2278107890547</v>
      </c>
      <c r="DO62" s="100">
        <f ca="1">OFFSET($C$51,0,COUNTA(DH$4:$DH62))</f>
        <v>417163.25442660338</v>
      </c>
      <c r="DP62" s="100">
        <f ca="1">OFFSET($C$53,0,COUNTA(DH$4:$DH62))</f>
        <v>470861.55126692459</v>
      </c>
    </row>
    <row r="63" spans="1:120" x14ac:dyDescent="0.3">
      <c r="DB63" s="101">
        <f t="shared" si="95"/>
        <v>60</v>
      </c>
      <c r="DC63" s="207">
        <f ca="1">OFFSET($C$14,0,COUNTA($DB$4:DB63))</f>
        <v>2445949.087194501</v>
      </c>
      <c r="DD63" s="207">
        <f ca="1">OFFSET($C$30,0,COUNTA($DB$4:DB63))</f>
        <v>-6.7879300532393756E-8</v>
      </c>
      <c r="DE63" s="100">
        <f ca="1">OFFSET($C$59,0,COUNTA($DB$4:DB63))</f>
        <v>504597.93101714447</v>
      </c>
      <c r="DH63" s="101">
        <f t="shared" si="306"/>
        <v>60</v>
      </c>
      <c r="DI63" s="100">
        <f ca="1">OFFSET($C$39,0,COUNTA(DH$4:$DH63))</f>
        <v>216967.33128771745</v>
      </c>
      <c r="DJ63" s="100">
        <f ca="1">OFFSET($C$43,0,COUNTA(DH$4:$DH63))</f>
        <v>2.7151720212957504E-8</v>
      </c>
      <c r="DK63" s="100">
        <f ca="1">OFFSET($C$45,0,COUNTA(DH$4:$DH63))</f>
        <v>24094.168314068251</v>
      </c>
      <c r="DL63" s="100">
        <f ca="1">OFFSET($C$46,0,COUNTA(DH$4:$DH63))</f>
        <v>205113.46023942504</v>
      </c>
      <c r="DM63" s="100">
        <f ca="1">OFFSET($C$47,0,COUNTA(DH$4:$DH63))</f>
        <v>112513.65801094705</v>
      </c>
      <c r="DN63" s="100">
        <f ca="1">OFFSET($C$48,0,COUNTA(DH$4:$DH63))</f>
        <v>3432.4362785607809</v>
      </c>
      <c r="DO63" s="100">
        <f ca="1">OFFSET($C$51,0,COUNTA(DH$4:$DH63))</f>
        <v>357641.79855188634</v>
      </c>
      <c r="DP63" s="100">
        <f ca="1">OFFSET($C$53,0,COUNTA(DH$4:$DH63))</f>
        <v>403678.34481371555</v>
      </c>
    </row>
    <row r="64" spans="1:120" x14ac:dyDescent="0.3">
      <c r="DB64" s="101">
        <f t="shared" si="95"/>
        <v>61</v>
      </c>
      <c r="DC64" s="207">
        <f ca="1">OFFSET($C$14,0,COUNTA($DB$4:DB64))</f>
        <v>2012985.8700840105</v>
      </c>
      <c r="DD64" s="207">
        <f ca="1">OFFSET($C$30,0,COUNTA($DB$4:DB64))</f>
        <v>-5.3500184412301964E-8</v>
      </c>
      <c r="DE64" s="100">
        <f ca="1">OFFSET($C$59,0,COUNTA($DB$4:DB64))</f>
        <v>431055.5194551553</v>
      </c>
      <c r="DH64" s="101">
        <f t="shared" si="306"/>
        <v>61</v>
      </c>
      <c r="DI64" s="100">
        <f ca="1">OFFSET($C$39,0,COUNTA(DH$4:$DH64))</f>
        <v>196026.5844535527</v>
      </c>
      <c r="DJ64" s="100">
        <f ca="1">OFFSET($C$43,0,COUNTA(DH$4:$DH64))</f>
        <v>2.1400073764920786E-8</v>
      </c>
      <c r="DK64" s="100">
        <f ca="1">OFFSET($C$45,0,COUNTA(DH$4:$DH64))</f>
        <v>20891.740550417577</v>
      </c>
      <c r="DL64" s="100">
        <f ca="1">OFFSET($C$46,0,COUNTA(DH$4:$DH64))</f>
        <v>168805.84284752456</v>
      </c>
      <c r="DM64" s="100">
        <f ca="1">OFFSET($C$47,0,COUNTA(DH$4:$DH64))</f>
        <v>92597.350023864492</v>
      </c>
      <c r="DN64" s="100">
        <f ca="1">OFFSET($C$48,0,COUNTA(DH$4:$DH64))</f>
        <v>2922.7632508559445</v>
      </c>
      <c r="DO64" s="100">
        <f ca="1">OFFSET($C$51,0,COUNTA(DH$4:$DH64))</f>
        <v>305517.44622278574</v>
      </c>
      <c r="DP64" s="100">
        <f ca="1">OFFSET($C$53,0,COUNTA(DH$4:$DH64))</f>
        <v>344844.41556412424</v>
      </c>
    </row>
    <row r="65" spans="106:120" x14ac:dyDescent="0.3">
      <c r="DB65" s="101">
        <f t="shared" si="95"/>
        <v>62</v>
      </c>
      <c r="DC65" s="207">
        <f ca="1">OFFSET($C$14,0,COUNTA($DB$4:DB65))</f>
        <v>1637772.4173907198</v>
      </c>
      <c r="DD65" s="207">
        <f ca="1">OFFSET($C$30,0,COUNTA($DB$4:DB65))</f>
        <v>-6.6373278958358975E-8</v>
      </c>
      <c r="DE65" s="100">
        <f ca="1">OFFSET($C$59,0,COUNTA($DB$4:DB65))</f>
        <v>366883.17297279573</v>
      </c>
      <c r="DH65" s="101">
        <f t="shared" si="306"/>
        <v>62</v>
      </c>
      <c r="DI65" s="100">
        <f ca="1">OFFSET($C$39,0,COUNTA(DH$4:$DH65))</f>
        <v>176449.42788882868</v>
      </c>
      <c r="DJ65" s="100">
        <f ca="1">OFFSET($C$43,0,COUNTA(DH$4:$DH65))</f>
        <v>2.6549311583343592E-8</v>
      </c>
      <c r="DK65" s="100">
        <f ca="1">OFFSET($C$45,0,COUNTA(DH$4:$DH65))</f>
        <v>17955.741809847324</v>
      </c>
      <c r="DL65" s="100">
        <f ca="1">OFFSET($C$46,0,COUNTA(DH$4:$DH65))</f>
        <v>137341.03026690902</v>
      </c>
      <c r="DM65" s="100">
        <f ca="1">OFFSET($C$47,0,COUNTA(DH$4:$DH65))</f>
        <v>75337.53119997312</v>
      </c>
      <c r="DN65" s="100">
        <f ca="1">OFFSET($C$48,0,COUNTA(DH$4:$DH65))</f>
        <v>2464.779669176864</v>
      </c>
      <c r="DO65" s="100">
        <f ca="1">OFFSET($C$51,0,COUNTA(DH$4:$DH65))</f>
        <v>260034.27635131413</v>
      </c>
      <c r="DP65" s="100">
        <f ca="1">OFFSET($C$53,0,COUNTA(DH$4:$DH65))</f>
        <v>293506.53837823658</v>
      </c>
    </row>
    <row r="66" spans="106:120" x14ac:dyDescent="0.3">
      <c r="DB66" s="101">
        <f t="shared" si="95"/>
        <v>63</v>
      </c>
      <c r="DC66" s="207">
        <f ca="1">OFFSET($C$14,0,COUNTA($DB$4:DB66))</f>
        <v>1315771.7853750859</v>
      </c>
      <c r="DD66" s="207">
        <f ca="1">OFFSET($C$30,0,COUNTA($DB$4:DB66))</f>
        <v>-7.6546098405542369E-8</v>
      </c>
      <c r="DE66" s="100">
        <f ca="1">OFFSET($C$59,0,COUNTA($DB$4:DB66))</f>
        <v>311124.05971628305</v>
      </c>
      <c r="DH66" s="101">
        <f t="shared" si="306"/>
        <v>63</v>
      </c>
      <c r="DI66" s="100">
        <f ca="1">OFFSET($C$39,0,COUNTA(DH$4:$DH66))</f>
        <v>158034.12446910713</v>
      </c>
      <c r="DJ66" s="100">
        <f ca="1">OFFSET($C$43,0,COUNTA(DH$4:$DH66))</f>
        <v>3.0618439362216952E-8</v>
      </c>
      <c r="DK66" s="100">
        <f ca="1">OFFSET($C$45,0,COUNTA(DH$4:$DH66))</f>
        <v>15277.355864945745</v>
      </c>
      <c r="DL66" s="100">
        <f ca="1">OFFSET($C$46,0,COUNTA(DH$4:$DH66))</f>
        <v>110338.56150016788</v>
      </c>
      <c r="DM66" s="100">
        <f ca="1">OFFSET($C$47,0,COUNTA(DH$4:$DH66))</f>
        <v>60525.502127253952</v>
      </c>
      <c r="DN66" s="100">
        <f ca="1">OFFSET($C$48,0,COUNTA(DH$4:$DH66))</f>
        <v>2054.9387666625748</v>
      </c>
      <c r="DO66" s="100">
        <f ca="1">OFFSET($C$51,0,COUNTA(DH$4:$DH66))</f>
        <v>220514.11916295663</v>
      </c>
      <c r="DP66" s="100">
        <f ca="1">OFFSET($C$53,0,COUNTA(DH$4:$DH66))</f>
        <v>248899.24777302644</v>
      </c>
    </row>
    <row r="67" spans="106:120" x14ac:dyDescent="0.3">
      <c r="DB67" s="101">
        <f t="shared" si="95"/>
        <v>64</v>
      </c>
      <c r="DC67" s="207">
        <f ca="1">OFFSET($C$14,0,COUNTA($DB$4:DB67))</f>
        <v>1042325.3219324556</v>
      </c>
      <c r="DD67" s="207">
        <f ca="1">OFFSET($C$30,0,COUNTA($DB$4:DB67))</f>
        <v>-8.8244059625704437E-8</v>
      </c>
      <c r="DE67" s="100">
        <f ca="1">OFFSET($C$59,0,COUNTA($DB$4:DB67))</f>
        <v>262921.55764883669</v>
      </c>
      <c r="DH67" s="101">
        <f t="shared" si="306"/>
        <v>64</v>
      </c>
      <c r="DI67" s="100">
        <f ca="1">OFFSET($C$39,0,COUNTA(DH$4:$DH67))</f>
        <v>140725.69991630412</v>
      </c>
      <c r="DJ67" s="100">
        <f ca="1">OFFSET($C$43,0,COUNTA(DH$4:$DH67))</f>
        <v>3.5297623850281774E-8</v>
      </c>
      <c r="DK67" s="100">
        <f ca="1">OFFSET($C$45,0,COUNTA(DH$4:$DH67))</f>
        <v>12846.433132166911</v>
      </c>
      <c r="DL67" s="100">
        <f ca="1">OFFSET($C$46,0,COUNTA(DH$4:$DH67))</f>
        <v>87407.769276980762</v>
      </c>
      <c r="DM67" s="100">
        <f ca="1">OFFSET($C$47,0,COUNTA(DH$4:$DH67))</f>
        <v>47946.964808892961</v>
      </c>
      <c r="DN67" s="100">
        <f ca="1">OFFSET($C$48,0,COUNTA(DH$4:$DH67))</f>
        <v>1691.4421710575</v>
      </c>
      <c r="DO67" s="100">
        <f ca="1">OFFSET($C$51,0,COUNTA(DH$4:$DH67))</f>
        <v>186349.83018271343</v>
      </c>
      <c r="DP67" s="100">
        <f ca="1">OFFSET($C$53,0,COUNTA(DH$4:$DH67))</f>
        <v>210337.24611906934</v>
      </c>
    </row>
    <row r="68" spans="106:120" x14ac:dyDescent="0.3">
      <c r="DB68" s="101">
        <f t="shared" si="95"/>
        <v>65</v>
      </c>
      <c r="DC68" s="207">
        <f ca="1">OFFSET($C$14,0,COUNTA($DB$4:DB68))</f>
        <v>814541.24835444393</v>
      </c>
      <c r="DD68" s="207">
        <f ca="1">OFFSET($C$30,0,COUNTA($DB$4:DB68))</f>
        <v>-1.052425336408852E-7</v>
      </c>
      <c r="DE68" s="100">
        <f ca="1">OFFSET($C$59,0,COUNTA($DB$4:DB68))</f>
        <v>221601.41345230845</v>
      </c>
      <c r="DH68" s="101">
        <f t="shared" si="306"/>
        <v>65</v>
      </c>
      <c r="DI68" s="100">
        <f ca="1">OFFSET($C$39,0,COUNTA(DH$4:$DH68))</f>
        <v>124486.93304046952</v>
      </c>
      <c r="DJ68" s="100">
        <f ca="1">OFFSET($C$43,0,COUNTA(DH$4:$DH68))</f>
        <v>4.2097013456354085E-8</v>
      </c>
      <c r="DK68" s="100">
        <f ca="1">OFFSET($C$45,0,COUNTA(DH$4:$DH68))</f>
        <v>10661.720154810137</v>
      </c>
      <c r="DL68" s="100">
        <f ca="1">OFFSET($C$46,0,COUNTA(DH$4:$DH68))</f>
        <v>68306.153563218148</v>
      </c>
      <c r="DM68" s="100">
        <f ca="1">OFFSET($C$47,0,COUNTA(DH$4:$DH68))</f>
        <v>37468.897424304421</v>
      </c>
      <c r="DN68" s="100">
        <f ca="1">OFFSET($C$48,0,COUNTA(DH$4:$DH68))</f>
        <v>1372.5651979145359</v>
      </c>
      <c r="DO68" s="100">
        <f ca="1">OFFSET($C$51,0,COUNTA(DH$4:$DH68))</f>
        <v>157063.52166162766</v>
      </c>
      <c r="DP68" s="100">
        <f ca="1">OFFSET($C$53,0,COUNTA(DH$4:$DH68))</f>
        <v>177281.13076184675</v>
      </c>
    </row>
    <row r="69" spans="106:120" x14ac:dyDescent="0.3">
      <c r="DB69" s="101">
        <f t="shared" si="95"/>
        <v>66</v>
      </c>
      <c r="DC69" s="207">
        <f ca="1">OFFSET($C$14,0,COUNTA($DB$4:DB69))</f>
        <v>628123.6028351828</v>
      </c>
      <c r="DD69" s="207">
        <f ca="1">OFFSET($C$30,0,COUNTA($DB$4:DB69))</f>
        <v>-3.0645316195766502E-8</v>
      </c>
      <c r="DE69" s="100">
        <f ca="1">OFFSET($C$59,0,COUNTA($DB$4:DB69))</f>
        <v>186164.81550758847</v>
      </c>
      <c r="DH69" s="101">
        <f t="shared" si="306"/>
        <v>66</v>
      </c>
      <c r="DI69" s="100">
        <f ca="1">OFFSET($C$39,0,COUNTA(DH$4:$DH69))</f>
        <v>109154.10777880556</v>
      </c>
      <c r="DJ69" s="100">
        <f ca="1">OFFSET($C$43,0,COUNTA(DH$4:$DH69))</f>
        <v>1.2258126478306601E-8</v>
      </c>
      <c r="DK69" s="100">
        <f ca="1">OFFSET($C$45,0,COUNTA(DH$4:$DH69))</f>
        <v>8721.4629727174433</v>
      </c>
      <c r="DL69" s="100">
        <f ca="1">OFFSET($C$46,0,COUNTA(DH$4:$DH69))</f>
        <v>52673.461729064038</v>
      </c>
      <c r="DM69" s="100">
        <f ca="1">OFFSET($C$47,0,COUNTA(DH$4:$DH69))</f>
        <v>28893.685730418412</v>
      </c>
      <c r="DN69" s="100">
        <f ca="1">OFFSET($C$48,0,COUNTA(DH$4:$DH69))</f>
        <v>1096.3920641156137</v>
      </c>
      <c r="DO69" s="100">
        <f ca="1">OFFSET($C$51,0,COUNTA(DH$4:$DH69))</f>
        <v>131947.26999970968</v>
      </c>
      <c r="DP69" s="100">
        <f ca="1">OFFSET($C$53,0,COUNTA(DH$4:$DH69))</f>
        <v>148931.85240607077</v>
      </c>
    </row>
    <row r="70" spans="106:120" x14ac:dyDescent="0.3">
      <c r="DB70" s="101">
        <f t="shared" si="95"/>
        <v>67</v>
      </c>
      <c r="DC70" s="207">
        <f ca="1">OFFSET($C$14,0,COUNTA($DB$4:DB70))</f>
        <v>475998.82553630357</v>
      </c>
      <c r="DD70" s="207">
        <f ca="1">OFFSET($C$30,0,COUNTA($DB$4:DB70))</f>
        <v>-6.683395901808746E-8</v>
      </c>
      <c r="DE70" s="100">
        <f ca="1">OFFSET($C$59,0,COUNTA($DB$4:DB70))</f>
        <v>156020.21799205948</v>
      </c>
      <c r="DH70" s="101">
        <f t="shared" si="306"/>
        <v>67</v>
      </c>
      <c r="DI70" s="100">
        <f ca="1">OFFSET($C$39,0,COUNTA(DH$4:$DH70))</f>
        <v>95090.030892773852</v>
      </c>
      <c r="DJ70" s="100">
        <f ca="1">OFFSET($C$43,0,COUNTA(DH$4:$DH70))</f>
        <v>2.6733583607234984E-8</v>
      </c>
      <c r="DK70" s="100">
        <f ca="1">OFFSET($C$45,0,COUNTA(DH$4:$DH70))</f>
        <v>7021.7243764969771</v>
      </c>
      <c r="DL70" s="100">
        <f ca="1">OFFSET($C$46,0,COUNTA(DH$4:$DH70))</f>
        <v>39916.516123252331</v>
      </c>
      <c r="DM70" s="100">
        <f ca="1">OFFSET($C$47,0,COUNTA(DH$4:$DH70))</f>
        <v>21895.945974669969</v>
      </c>
      <c r="DN70" s="100">
        <f ca="1">OFFSET($C$48,0,COUNTA(DH$4:$DH70))</f>
        <v>863.12570524875923</v>
      </c>
      <c r="DO70" s="100">
        <f ca="1">OFFSET($C$51,0,COUNTA(DH$4:$DH70))</f>
        <v>110581.80769917122</v>
      </c>
      <c r="DP70" s="100">
        <f ca="1">OFFSET($C$53,0,COUNTA(DH$4:$DH70))</f>
        <v>124816.17439364758</v>
      </c>
    </row>
    <row r="71" spans="106:120" x14ac:dyDescent="0.3">
      <c r="DB71" s="101">
        <f t="shared" si="95"/>
        <v>68</v>
      </c>
      <c r="DC71" s="207">
        <f ca="1">OFFSET($C$14,0,COUNTA($DB$4:DB71))</f>
        <v>354407.21430631616</v>
      </c>
      <c r="DD71" s="207">
        <f ca="1">OFFSET($C$30,0,COUNTA($DB$4:DB71))</f>
        <v>-8.2341656637870952E-8</v>
      </c>
      <c r="DE71" s="100">
        <f ca="1">OFFSET($C$59,0,COUNTA($DB$4:DB71))</f>
        <v>130117.23138672349</v>
      </c>
      <c r="DH71" s="101">
        <f t="shared" si="306"/>
        <v>68</v>
      </c>
      <c r="DI71" s="100">
        <f ca="1">OFFSET($C$39,0,COUNTA(DH$4:$DH71))</f>
        <v>81962.265501868809</v>
      </c>
      <c r="DJ71" s="100">
        <f ca="1">OFFSET($C$43,0,COUNTA(DH$4:$DH71))</f>
        <v>3.2936662655148384E-8</v>
      </c>
      <c r="DK71" s="100">
        <f ca="1">OFFSET($C$45,0,COUNTA(DH$4:$DH71))</f>
        <v>5571.5680946772636</v>
      </c>
      <c r="DL71" s="100">
        <f ca="1">OFFSET($C$46,0,COUNTA(DH$4:$DH71))</f>
        <v>29720.034010831961</v>
      </c>
      <c r="DM71" s="100">
        <f ca="1">OFFSET($C$47,0,COUNTA(DH$4:$DH71))</f>
        <v>16302.731858090545</v>
      </c>
      <c r="DN71" s="100">
        <f ca="1">OFFSET($C$48,0,COUNTA(DH$4:$DH71))</f>
        <v>667.02895250589052</v>
      </c>
      <c r="DO71" s="100">
        <f ca="1">OFFSET($C$51,0,COUNTA(DH$4:$DH71))</f>
        <v>92222.654504222766</v>
      </c>
      <c r="DP71" s="100">
        <f ca="1">OFFSET($C$53,0,COUNTA(DH$4:$DH71))</f>
        <v>104093.78510937879</v>
      </c>
    </row>
    <row r="72" spans="106:120" x14ac:dyDescent="0.3">
      <c r="DB72" s="101">
        <f t="shared" si="95"/>
        <v>69</v>
      </c>
      <c r="DC72" s="207">
        <f ca="1">OFFSET($C$14,0,COUNTA($DB$4:DB72))</f>
        <v>259284.04564626823</v>
      </c>
      <c r="DD72" s="207">
        <f ca="1">OFFSET($C$30,0,COUNTA($DB$4:DB72))</f>
        <v>-9.5344910269571189E-8</v>
      </c>
      <c r="DE72" s="100">
        <f ca="1">OFFSET($C$59,0,COUNTA($DB$4:DB72))</f>
        <v>107860.61837226467</v>
      </c>
      <c r="DH72" s="101">
        <f t="shared" si="306"/>
        <v>69</v>
      </c>
      <c r="DI72" s="100">
        <f ca="1">OFFSET($C$39,0,COUNTA(DH$4:$DH72))</f>
        <v>69813.898944266941</v>
      </c>
      <c r="DJ72" s="100">
        <f ca="1">OFFSET($C$43,0,COUNTA(DH$4:$DH72))</f>
        <v>3.8137964107828481E-8</v>
      </c>
      <c r="DK72" s="100">
        <f ca="1">OFFSET($C$45,0,COUNTA(DH$4:$DH72))</f>
        <v>4340.0504039533253</v>
      </c>
      <c r="DL72" s="100">
        <f ca="1">OFFSET($C$46,0,COUNTA(DH$4:$DH72))</f>
        <v>21743.154044299219</v>
      </c>
      <c r="DM72" s="100">
        <f ca="1">OFFSET($C$47,0,COUNTA(DH$4:$DH72))</f>
        <v>11927.066099728341</v>
      </c>
      <c r="DN72" s="100">
        <f ca="1">OFFSET($C$48,0,COUNTA(DH$4:$DH72))</f>
        <v>506.05260416436164</v>
      </c>
      <c r="DO72" s="100">
        <f ca="1">OFFSET($C$51,0,COUNTA(DH$4:$DH72))</f>
        <v>76447.926510155899</v>
      </c>
      <c r="DP72" s="100">
        <f ca="1">OFFSET($C$53,0,COUNTA(DH$4:$DH72))</f>
        <v>86288.494697811737</v>
      </c>
    </row>
    <row r="73" spans="106:120" x14ac:dyDescent="0.3">
      <c r="DB73" s="101">
        <f t="shared" si="95"/>
        <v>70</v>
      </c>
      <c r="DC73" s="207">
        <f ca="1">OFFSET($C$14,0,COUNTA($DB$4:DB73))</f>
        <v>186895.32490663309</v>
      </c>
      <c r="DD73" s="207">
        <f ca="1">OFFSET($C$30,0,COUNTA($DB$4:DB73))</f>
        <v>-1.2057479291683666E-7</v>
      </c>
      <c r="DE73" s="100">
        <f ca="1">OFFSET($C$59,0,COUNTA($DB$4:DB73))</f>
        <v>88789.787091525301</v>
      </c>
      <c r="DH73" s="101">
        <f t="shared" si="306"/>
        <v>70</v>
      </c>
      <c r="DI73" s="100">
        <f ca="1">OFFSET($C$39,0,COUNTA(DH$4:$DH73))</f>
        <v>58717.023515150919</v>
      </c>
      <c r="DJ73" s="100">
        <f ca="1">OFFSET($C$43,0,COUNTA(DH$4:$DH73))</f>
        <v>4.8229917166734669E-8</v>
      </c>
      <c r="DK73" s="100">
        <f ca="1">OFFSET($C$45,0,COUNTA(DH$4:$DH73))</f>
        <v>3319.5416696840143</v>
      </c>
      <c r="DL73" s="100">
        <f ca="1">OFFSET($C$46,0,COUNTA(DH$4:$DH73))</f>
        <v>15672.749279561249</v>
      </c>
      <c r="DM73" s="100">
        <f ca="1">OFFSET($C$47,0,COUNTA(DH$4:$DH73))</f>
        <v>8597.184945705123</v>
      </c>
      <c r="DN73" s="100">
        <f ca="1">OFFSET($C$48,0,COUNTA(DH$4:$DH73))</f>
        <v>377.22408112566467</v>
      </c>
      <c r="DO73" s="100">
        <f ca="1">OFFSET($C$51,0,COUNTA(DH$4:$DH73))</f>
        <v>62931.171922251211</v>
      </c>
      <c r="DP73" s="100">
        <f ca="1">OFFSET($C$53,0,COUNTA(DH$4:$DH73))</f>
        <v>71031.829673220243</v>
      </c>
    </row>
    <row r="74" spans="106:120" x14ac:dyDescent="0.3">
      <c r="DB74" s="101">
        <f t="shared" si="95"/>
        <v>71</v>
      </c>
      <c r="DC74" s="207">
        <f ca="1">OFFSET($C$14,0,COUNTA($DB$4:DB74))</f>
        <v>133905.89439013047</v>
      </c>
      <c r="DD74" s="207">
        <f ca="1">OFFSET($C$30,0,COUNTA($DB$4:DB74))</f>
        <v>-1.0383133453412904E-7</v>
      </c>
      <c r="DE74" s="100">
        <f ca="1">OFFSET($C$59,0,COUNTA($DB$4:DB74))</f>
        <v>72193.996294866447</v>
      </c>
      <c r="DH74" s="101">
        <f t="shared" si="306"/>
        <v>71</v>
      </c>
      <c r="DI74" s="100">
        <f ca="1">OFFSET($C$39,0,COUNTA(DH$4:$DH74))</f>
        <v>48482.604131225045</v>
      </c>
      <c r="DJ74" s="100">
        <f ca="1">OFFSET($C$43,0,COUNTA(DH$4:$DH74))</f>
        <v>4.1532533813651622E-8</v>
      </c>
      <c r="DK74" s="100">
        <f ca="1">OFFSET($C$45,0,COUNTA(DH$4:$DH74))</f>
        <v>2495.4462303572955</v>
      </c>
      <c r="DL74" s="100">
        <f ca="1">OFFSET($C$46,0,COUNTA(DH$4:$DH74))</f>
        <v>11229.138614785319</v>
      </c>
      <c r="DM74" s="100">
        <f ca="1">OFFSET($C$47,0,COUNTA(DH$4:$DH74))</f>
        <v>6159.6711419460025</v>
      </c>
      <c r="DN74" s="100">
        <f ca="1">OFFSET($C$48,0,COUNTA(DH$4:$DH74))</f>
        <v>276.66718479423628</v>
      </c>
      <c r="DO74" s="100">
        <f ca="1">OFFSET($C$51,0,COUNTA(DH$4:$DH74))</f>
        <v>51168.641590539926</v>
      </c>
      <c r="DP74" s="100">
        <f ca="1">OFFSET($C$53,0,COUNTA(DH$4:$DH74))</f>
        <v>57755.197035893158</v>
      </c>
    </row>
    <row r="75" spans="106:120" x14ac:dyDescent="0.3">
      <c r="DB75" s="101">
        <f t="shared" si="95"/>
        <v>72</v>
      </c>
      <c r="DC75" s="207">
        <f ca="1">OFFSET($C$14,0,COUNTA($DB$4:DB75))</f>
        <v>94711.481479330178</v>
      </c>
      <c r="DD75" s="207">
        <f ca="1">OFFSET($C$30,0,COUNTA($DB$4:DB75))</f>
        <v>-1.4031370660110409E-7</v>
      </c>
      <c r="DE75" s="100">
        <f ca="1">OFFSET($C$59,0,COUNTA($DB$4:DB75))</f>
        <v>58726.755487874318</v>
      </c>
      <c r="DH75" s="101">
        <f t="shared" si="306"/>
        <v>72</v>
      </c>
      <c r="DI75" s="100">
        <f ca="1">OFFSET($C$39,0,COUNTA(DH$4:$DH75))</f>
        <v>39946.190079752807</v>
      </c>
      <c r="DJ75" s="100">
        <f ca="1">OFFSET($C$43,0,COUNTA(DH$4:$DH75))</f>
        <v>5.6125482640441641E-8</v>
      </c>
      <c r="DK75" s="100">
        <f ca="1">OFFSET($C$45,0,COUNTA(DH$4:$DH75))</f>
        <v>1846.3857415149516</v>
      </c>
      <c r="DL75" s="100">
        <f ca="1">OFFSET($C$46,0,COUNTA(DH$4:$DH75))</f>
        <v>7942.3565242357117</v>
      </c>
      <c r="DM75" s="100">
        <f ca="1">OFFSET($C$47,0,COUNTA(DH$4:$DH75))</f>
        <v>4356.7281480491883</v>
      </c>
      <c r="DN75" s="100">
        <f ca="1">OFFSET($C$48,0,COUNTA(DH$4:$DH75))</f>
        <v>201.6420247220457</v>
      </c>
      <c r="DO75" s="100">
        <f ca="1">OFFSET($C$51,0,COUNTA(DH$4:$DH75))</f>
        <v>41623.520757334656</v>
      </c>
      <c r="DP75" s="100">
        <f ca="1">OFFSET($C$53,0,COUNTA(DH$4:$DH75))</f>
        <v>46981.404390299453</v>
      </c>
    </row>
    <row r="76" spans="106:120" x14ac:dyDescent="0.3">
      <c r="DB76" s="101">
        <f t="shared" si="95"/>
        <v>73</v>
      </c>
      <c r="DC76" s="207">
        <f ca="1">OFFSET($C$14,0,COUNTA($DB$4:DB76))</f>
        <v>66047.782502760994</v>
      </c>
      <c r="DD76" s="207">
        <f ca="1">OFFSET($C$30,0,COUNTA($DB$4:DB76))</f>
        <v>-1.6391972120029579E-7</v>
      </c>
      <c r="DE76" s="100">
        <f ca="1">OFFSET($C$59,0,COUNTA($DB$4:DB76))</f>
        <v>47492.073427021736</v>
      </c>
      <c r="DH76" s="101">
        <f t="shared" si="306"/>
        <v>73</v>
      </c>
      <c r="DI76" s="100">
        <f ca="1">OFFSET($C$39,0,COUNTA(DH$4:$DH76))</f>
        <v>32629.872927614852</v>
      </c>
      <c r="DJ76" s="100">
        <f ca="1">OFFSET($C$43,0,COUNTA(DH$4:$DH76))</f>
        <v>6.5567888480118311E-8</v>
      </c>
      <c r="DK76" s="100">
        <f ca="1">OFFSET($C$45,0,COUNTA(DH$4:$DH76))</f>
        <v>1357.4294220398879</v>
      </c>
      <c r="DL76" s="100">
        <f ca="1">OFFSET($C$46,0,COUNTA(DH$4:$DH76))</f>
        <v>5538.6636137308051</v>
      </c>
      <c r="DM76" s="100">
        <f ca="1">OFFSET($C$47,0,COUNTA(DH$4:$DH76))</f>
        <v>3038.1979951270059</v>
      </c>
      <c r="DN76" s="100">
        <f ca="1">OFFSET($C$48,0,COUNTA(DH$4:$DH76))</f>
        <v>145.29899115934765</v>
      </c>
      <c r="DO76" s="100">
        <f ca="1">OFFSET($C$51,0,COUNTA(DH$4:$DH76))</f>
        <v>33660.761397020484</v>
      </c>
      <c r="DP76" s="100">
        <f ca="1">OFFSET($C$53,0,COUNTA(DH$4:$DH76))</f>
        <v>37993.658741617386</v>
      </c>
    </row>
    <row r="77" spans="106:120" x14ac:dyDescent="0.3">
      <c r="DB77" s="101">
        <f t="shared" si="95"/>
        <v>74</v>
      </c>
      <c r="DC77" s="207">
        <f ca="1">OFFSET($C$14,0,COUNTA($DB$4:DB77))</f>
        <v>45281.386094043177</v>
      </c>
      <c r="DD77" s="207">
        <f ca="1">OFFSET($C$30,0,COUNTA($DB$4:DB77))</f>
        <v>-1.8913776419686753E-7</v>
      </c>
      <c r="DE77" s="100">
        <f ca="1">OFFSET($C$59,0,COUNTA($DB$4:DB77))</f>
        <v>38144.029645574134</v>
      </c>
      <c r="DH77" s="101">
        <f t="shared" si="306"/>
        <v>74</v>
      </c>
      <c r="DI77" s="100">
        <f ca="1">OFFSET($C$39,0,COUNTA(DH$4:$DH77))</f>
        <v>26413.752768711667</v>
      </c>
      <c r="DJ77" s="100">
        <f ca="1">OFFSET($C$43,0,COUNTA(DH$4:$DH77))</f>
        <v>7.5655105678747017E-8</v>
      </c>
      <c r="DK77" s="100">
        <f ca="1">OFFSET($C$45,0,COUNTA(DH$4:$DH77))</f>
        <v>986.79951604640303</v>
      </c>
      <c r="DL77" s="100">
        <f ca="1">OFFSET($C$46,0,COUNTA(DH$4:$DH77))</f>
        <v>3797.2261298536237</v>
      </c>
      <c r="DM77" s="100">
        <f ca="1">OFFSET($C$47,0,COUNTA(DH$4:$DH77))</f>
        <v>2082.9437603259862</v>
      </c>
      <c r="DN77" s="100">
        <f ca="1">OFFSET($C$48,0,COUNTA(DH$4:$DH77))</f>
        <v>103.2894747731535</v>
      </c>
      <c r="DO77" s="100">
        <f ca="1">OFFSET($C$51,0,COUNTA(DH$4:$DH77))</f>
        <v>27035.186884260336</v>
      </c>
      <c r="DP77" s="100">
        <f ca="1">OFFSET($C$53,0,COUNTA(DH$4:$DH77))</f>
        <v>30515.22371645931</v>
      </c>
    </row>
    <row r="78" spans="106:120" x14ac:dyDescent="0.3">
      <c r="DB78" s="101">
        <f t="shared" ref="DB78:DB103" si="311">DB77+1</f>
        <v>75</v>
      </c>
      <c r="DC78" s="207">
        <f ca="1">OFFSET($C$14,0,COUNTA($DB$4:DB78))</f>
        <v>30396.203540215589</v>
      </c>
      <c r="DD78" s="207">
        <f ca="1">OFFSET($C$30,0,COUNTA($DB$4:DB78))</f>
        <v>-2.2831016187801877E-7</v>
      </c>
      <c r="DE78" s="100">
        <f ca="1">OFFSET($C$59,0,COUNTA($DB$4:DB78))</f>
        <v>30393.680974190393</v>
      </c>
      <c r="DH78" s="101">
        <f t="shared" si="306"/>
        <v>75</v>
      </c>
      <c r="DI78" s="100">
        <f ca="1">OFFSET($C$39,0,COUNTA(DH$4:$DH78))</f>
        <v>21176.394356619159</v>
      </c>
      <c r="DJ78" s="100">
        <f ca="1">OFFSET($C$43,0,COUNTA(DH$4:$DH78))</f>
        <v>9.1324064751207513E-8</v>
      </c>
      <c r="DK78" s="100">
        <f ca="1">OFFSET($C$45,0,COUNTA(DH$4:$DH78))</f>
        <v>707.79847940602826</v>
      </c>
      <c r="DL78" s="100">
        <f ca="1">OFFSET($C$46,0,COUNTA(DH$4:$DH78))</f>
        <v>2548.9780302118374</v>
      </c>
      <c r="DM78" s="100">
        <f ca="1">OFFSET($C$47,0,COUNTA(DH$4:$DH78))</f>
        <v>1398.2253628499172</v>
      </c>
      <c r="DN78" s="100">
        <f ca="1">OFFSET($C$48,0,COUNTA(DH$4:$DH78))</f>
        <v>72.094388318573309</v>
      </c>
      <c r="DO78" s="100">
        <f ca="1">OFFSET($C$51,0,COUNTA(DH$4:$DH78))</f>
        <v>21542.004158261949</v>
      </c>
      <c r="DP78" s="100">
        <f ca="1">OFFSET($C$53,0,COUNTA(DH$4:$DH78))</f>
        <v>24314.944779352314</v>
      </c>
    </row>
    <row r="79" spans="106:120" x14ac:dyDescent="0.3">
      <c r="DB79" s="101">
        <f t="shared" si="311"/>
        <v>76</v>
      </c>
      <c r="DC79" s="207">
        <f ca="1">OFFSET($C$14,0,COUNTA($DB$4:DB79))</f>
        <v>21155.986603068148</v>
      </c>
      <c r="DD79" s="207">
        <f ca="1">OFFSET($C$30,0,COUNTA($DB$4:DB79))</f>
        <v>-7.1560312180429433E-8</v>
      </c>
      <c r="DE79" s="100">
        <f ca="1">OFFSET($C$59,0,COUNTA($DB$4:DB79))</f>
        <v>22229.453155407558</v>
      </c>
      <c r="DH79" s="101">
        <f t="shared" si="306"/>
        <v>76</v>
      </c>
      <c r="DI79" s="100">
        <f ca="1">OFFSET($C$39,0,COUNTA(DH$4:$DH79))</f>
        <v>15512.13760947216</v>
      </c>
      <c r="DJ79" s="100">
        <f ca="1">OFFSET($C$43,0,COUNTA(DH$4:$DH79))</f>
        <v>2.8624124872171775E-8</v>
      </c>
      <c r="DK79" s="100">
        <f ca="1">OFFSET($C$45,0,COUNTA(DH$4:$DH79))</f>
        <v>498.58576100000602</v>
      </c>
      <c r="DL79" s="100">
        <f ca="1">OFFSET($C$46,0,COUNTA(DH$4:$DH79))</f>
        <v>1774.1079075000227</v>
      </c>
      <c r="DM79" s="100">
        <f ca="1">OFFSET($C$47,0,COUNTA(DH$4:$DH79))</f>
        <v>973.17538374113485</v>
      </c>
      <c r="DN79" s="100">
        <f ca="1">OFFSET($C$48,0,COUNTA(DH$4:$DH79))</f>
        <v>48.91733509578561</v>
      </c>
      <c r="DO79" s="100">
        <f ca="1">OFFSET($C$51,0,COUNTA(DH$4:$DH79))</f>
        <v>15755.478012561936</v>
      </c>
      <c r="DP79" s="100">
        <f ca="1">OFFSET($C$53,0,COUNTA(DH$4:$DH79))</f>
        <v>17783.562524326047</v>
      </c>
    </row>
    <row r="80" spans="106:120" x14ac:dyDescent="0.3">
      <c r="DB80" s="101">
        <f t="shared" si="311"/>
        <v>77</v>
      </c>
      <c r="DC80" s="207">
        <f ca="1">OFFSET($C$14,0,COUNTA($DB$4:DB80))</f>
        <v>14429.893803560617</v>
      </c>
      <c r="DD80" s="207">
        <f ca="1">OFFSET($C$30,0,COUNTA($DB$4:DB80))</f>
        <v>-7.9926677206119543E-8</v>
      </c>
      <c r="DE80" s="100">
        <f ca="1">OFFSET($C$59,0,COUNTA($DB$4:DB80))</f>
        <v>18133.060945453442</v>
      </c>
      <c r="DH80" s="101">
        <f t="shared" si="306"/>
        <v>77</v>
      </c>
      <c r="DI80" s="100">
        <f ca="1">OFFSET($C$39,0,COUNTA(DH$4:$DH80))</f>
        <v>12705.948702229345</v>
      </c>
      <c r="DJ80" s="100">
        <f ca="1">OFFSET($C$43,0,COUNTA(DH$4:$DH80))</f>
        <v>3.1970670882447821E-8</v>
      </c>
      <c r="DK80" s="100">
        <f ca="1">OFFSET($C$45,0,COUNTA(DH$4:$DH80))</f>
        <v>341.62079819321457</v>
      </c>
      <c r="DL80" s="100">
        <f ca="1">OFFSET($C$46,0,COUNTA(DH$4:$DH80))</f>
        <v>1210.068297999858</v>
      </c>
      <c r="DM80" s="100">
        <f ca="1">OFFSET($C$47,0,COUNTA(DH$4:$DH80))</f>
        <v>663.77511496378838</v>
      </c>
      <c r="DN80" s="100">
        <f ca="1">OFFSET($C$48,0,COUNTA(DH$4:$DH80))</f>
        <v>35.4685350551648</v>
      </c>
      <c r="DO80" s="100">
        <f ca="1">OFFSET($C$51,0,COUNTA(DH$4:$DH80))</f>
        <v>12852.09496739414</v>
      </c>
      <c r="DP80" s="100">
        <f ca="1">OFFSET($C$53,0,COUNTA(DH$4:$DH80))</f>
        <v>14506.448756362754</v>
      </c>
    </row>
    <row r="81" spans="106:120" x14ac:dyDescent="0.3">
      <c r="DB81" s="101">
        <f t="shared" si="311"/>
        <v>78</v>
      </c>
      <c r="DC81" s="207">
        <f ca="1">OFFSET($C$14,0,COUNTA($DB$4:DB81))</f>
        <v>9592.6424553206289</v>
      </c>
      <c r="DD81" s="207">
        <f ca="1">OFFSET($C$30,0,COUNTA($DB$4:DB81))</f>
        <v>-9.055965436094934E-8</v>
      </c>
      <c r="DE81" s="100">
        <f ca="1">OFFSET($C$59,0,COUNTA($DB$4:DB81))</f>
        <v>14689.914053263836</v>
      </c>
      <c r="DH81" s="101">
        <f t="shared" si="306"/>
        <v>78</v>
      </c>
      <c r="DI81" s="100">
        <f ca="1">OFFSET($C$39,0,COUNTA(DH$4:$DH81))</f>
        <v>10325.818472078628</v>
      </c>
      <c r="DJ81" s="100">
        <f ca="1">OFFSET($C$43,0,COUNTA(DH$4:$DH81))</f>
        <v>3.622386174437974E-8</v>
      </c>
      <c r="DK81" s="100">
        <f ca="1">OFFSET($C$45,0,COUNTA(DH$4:$DH81))</f>
        <v>249.26060073630694</v>
      </c>
      <c r="DL81" s="100">
        <f ca="1">OFFSET($C$46,0,COUNTA(DH$4:$DH81))</f>
        <v>804.423974788142</v>
      </c>
      <c r="DM81" s="100">
        <f ca="1">OFFSET($C$47,0,COUNTA(DH$4:$DH81))</f>
        <v>441.26155294474893</v>
      </c>
      <c r="DN81" s="100">
        <f ca="1">OFFSET($C$48,0,COUNTA(DH$4:$DH81))</f>
        <v>25.111387047623307</v>
      </c>
      <c r="DO81" s="100">
        <f ca="1">OFFSET($C$51,0,COUNTA(DH$4:$DH81))</f>
        <v>10411.709917223989</v>
      </c>
      <c r="DP81" s="100">
        <f ca="1">OFFSET($C$53,0,COUNTA(DH$4:$DH81))</f>
        <v>11751.931242611068</v>
      </c>
    </row>
    <row r="82" spans="106:120" x14ac:dyDescent="0.3">
      <c r="DB82" s="101">
        <f t="shared" si="311"/>
        <v>79</v>
      </c>
      <c r="DC82" s="207">
        <f ca="1">OFFSET($C$14,0,COUNTA($DB$4:DB82))</f>
        <v>6154.6653652308933</v>
      </c>
      <c r="DD82" s="207">
        <f ca="1">OFFSET($C$30,0,COUNTA($DB$4:DB82))</f>
        <v>-1.0427030434676646E-7</v>
      </c>
      <c r="DE82" s="100">
        <f ca="1">OFFSET($C$59,0,COUNTA($DB$4:DB82))</f>
        <v>11808.664969048088</v>
      </c>
      <c r="DH82" s="101">
        <f t="shared" si="306"/>
        <v>79</v>
      </c>
      <c r="DI82" s="100">
        <f ca="1">OFFSET($C$39,0,COUNTA(DH$4:$DH82))</f>
        <v>8320.8765862592336</v>
      </c>
      <c r="DJ82" s="100">
        <f ca="1">OFFSET($C$43,0,COUNTA(DH$4:$DH82))</f>
        <v>4.1708121738706586E-8</v>
      </c>
      <c r="DK82" s="100">
        <f ca="1">OFFSET($C$45,0,COUNTA(DH$4:$DH82))</f>
        <v>177.47776730299904</v>
      </c>
      <c r="DL82" s="100">
        <f ca="1">OFFSET($C$46,0,COUNTA(DH$4:$DH82))</f>
        <v>516.12059968354822</v>
      </c>
      <c r="DM82" s="100">
        <f ca="1">OFFSET($C$47,0,COUNTA(DH$4:$DH82))</f>
        <v>283.11460680062112</v>
      </c>
      <c r="DN82" s="100">
        <f ca="1">OFFSET($C$48,0,COUNTA(DH$4:$DH82))</f>
        <v>17.265342347818113</v>
      </c>
      <c r="DO82" s="100">
        <f ca="1">OFFSET($C$51,0,COUNTA(DH$4:$DH82))</f>
        <v>8369.5788635398148</v>
      </c>
      <c r="DP82" s="100">
        <f ca="1">OFFSET($C$53,0,COUNTA(DH$4:$DH82))</f>
        <v>9446.9319752384708</v>
      </c>
    </row>
    <row r="83" spans="106:120" x14ac:dyDescent="0.3">
      <c r="DB83" s="101">
        <f t="shared" si="311"/>
        <v>80</v>
      </c>
      <c r="DC83" s="207">
        <f ca="1">OFFSET($C$14,0,COUNTA($DB$4:DB83))</f>
        <v>3743.7013713612587</v>
      </c>
      <c r="DD83" s="207">
        <f ca="1">OFFSET($C$30,0,COUNTA($DB$4:DB83))</f>
        <v>-1.2224750190784942E-7</v>
      </c>
      <c r="DE83" s="100">
        <f ca="1">OFFSET($C$59,0,COUNTA($DB$4:DB83))</f>
        <v>9435.5466659265076</v>
      </c>
      <c r="DH83" s="101">
        <f t="shared" si="306"/>
        <v>80</v>
      </c>
      <c r="DI83" s="100">
        <f ca="1">OFFSET($C$39,0,COUNTA(DH$4:$DH83))</f>
        <v>6661.3675421753778</v>
      </c>
      <c r="DJ83" s="100">
        <f ca="1">OFFSET($C$43,0,COUNTA(DH$4:$DH83))</f>
        <v>4.8899000763139773E-8</v>
      </c>
      <c r="DK83" s="100">
        <f ca="1">OFFSET($C$45,0,COUNTA(DH$4:$DH83))</f>
        <v>122.66326553881427</v>
      </c>
      <c r="DL83" s="100">
        <f ca="1">OFFSET($C$46,0,COUNTA(DH$4:$DH83))</f>
        <v>313.94093458574372</v>
      </c>
      <c r="DM83" s="100">
        <f ca="1">OFFSET($C$47,0,COUNTA(DH$4:$DH83))</f>
        <v>172.21026308261793</v>
      </c>
      <c r="DN83" s="100">
        <f ca="1">OFFSET($C$48,0,COUNTA(DH$4:$DH83))</f>
        <v>11.43128034471556</v>
      </c>
      <c r="DO83" s="100">
        <f ca="1">OFFSET($C$51,0,COUNTA(DH$4:$DH83))</f>
        <v>6687.5935720147772</v>
      </c>
      <c r="DP83" s="100">
        <f ca="1">OFFSET($C$53,0,COUNTA(DH$4:$DH83))</f>
        <v>7548.4373327412068</v>
      </c>
    </row>
    <row r="84" spans="106:120" x14ac:dyDescent="0.3">
      <c r="DB84" s="101">
        <f t="shared" si="311"/>
        <v>81</v>
      </c>
      <c r="DC84" s="207">
        <f ca="1">OFFSET($C$14,0,COUNTA($DB$4:DB84))</f>
        <v>2336.2861316116068</v>
      </c>
      <c r="DD84" s="207">
        <f ca="1">OFFSET($C$30,0,COUNTA($DB$4:DB84))</f>
        <v>-2.1176669431167124E-10</v>
      </c>
      <c r="DE84" s="100">
        <f ca="1">OFFSET($C$59,0,COUNTA($DB$4:DB84))</f>
        <v>6755.1632322091446</v>
      </c>
      <c r="DH84" s="101">
        <f t="shared" si="306"/>
        <v>81</v>
      </c>
      <c r="DI84" s="100">
        <f ca="1">OFFSET($C$39,0,COUNTA(DH$4:$DH84))</f>
        <v>4772.5381326066363</v>
      </c>
      <c r="DJ84" s="100">
        <f ca="1">OFFSET($C$43,0,COUNTA(DH$4:$DH84))</f>
        <v>8.4706677724668506E-11</v>
      </c>
      <c r="DK84" s="100">
        <f ca="1">OFFSET($C$45,0,COUNTA(DH$4:$DH84))</f>
        <v>81.62408674669274</v>
      </c>
      <c r="DL84" s="100">
        <f ca="1">OFFSET($C$46,0,COUNTA(DH$4:$DH84))</f>
        <v>195.91729650999531</v>
      </c>
      <c r="DM84" s="100">
        <f ca="1">OFFSET($C$47,0,COUNTA(DH$4:$DH84))</f>
        <v>107.46916205413393</v>
      </c>
      <c r="DN84" s="100">
        <f ca="1">OFFSET($C$48,0,COUNTA(DH$4:$DH84))</f>
        <v>7.1628630897107195</v>
      </c>
      <c r="DO84" s="100">
        <f ca="1">OFFSET($C$51,0,COUNTA(DH$4:$DH84))</f>
        <v>4787.8292386354788</v>
      </c>
      <c r="DP84" s="100">
        <f ca="1">OFFSET($C$53,0,COUNTA(DH$4:$DH84))</f>
        <v>5404.130585767316</v>
      </c>
    </row>
    <row r="85" spans="106:120" x14ac:dyDescent="0.3">
      <c r="DB85" s="101">
        <f t="shared" si="311"/>
        <v>82</v>
      </c>
      <c r="DC85" s="207">
        <f ca="1">OFFSET($C$14,0,COUNTA($DB$4:DB85))</f>
        <v>1368.3526111219346</v>
      </c>
      <c r="DD85" s="207">
        <f ca="1">OFFSET($C$30,0,COUNTA($DB$4:DB85))</f>
        <v>-2.3631108206208091E-10</v>
      </c>
      <c r="DE85" s="100">
        <f ca="1">OFFSET($C$59,0,COUNTA($DB$4:DB85))</f>
        <v>5373.8970372096992</v>
      </c>
      <c r="DH85" s="101">
        <f t="shared" si="306"/>
        <v>82</v>
      </c>
      <c r="DI85" s="100">
        <f ca="1">OFFSET($C$39,0,COUNTA(DH$4:$DH85))</f>
        <v>3800.711752944967</v>
      </c>
      <c r="DJ85" s="100">
        <f ca="1">OFFSET($C$43,0,COUNTA(DH$4:$DH85))</f>
        <v>9.4524432824832376E-11</v>
      </c>
      <c r="DK85" s="100">
        <f ca="1">OFFSET($C$45,0,COUNTA(DH$4:$DH85))</f>
        <v>51.419840925957146</v>
      </c>
      <c r="DL85" s="100">
        <f ca="1">OFFSET($C$46,0,COUNTA(DH$4:$DH85))</f>
        <v>114.74790720881174</v>
      </c>
      <c r="DM85" s="100">
        <f ca="1">OFFSET($C$47,0,COUNTA(DH$4:$DH85))</f>
        <v>62.944220111608992</v>
      </c>
      <c r="DN85" s="100">
        <f ca="1">OFFSET($C$48,0,COUNTA(DH$4:$DH85))</f>
        <v>4.5733774639935811</v>
      </c>
      <c r="DO85" s="100">
        <f ca="1">OFFSET($C$51,0,COUNTA(DH$4:$DH85))</f>
        <v>3808.8348831438821</v>
      </c>
      <c r="DP85" s="100">
        <f ca="1">OFFSET($C$53,0,COUNTA(DH$4:$DH85))</f>
        <v>4299.1176297677594</v>
      </c>
    </row>
    <row r="86" spans="106:120" x14ac:dyDescent="0.3">
      <c r="DB86" s="101">
        <f t="shared" si="311"/>
        <v>83</v>
      </c>
      <c r="DC86" s="207">
        <f ca="1">OFFSET($C$14,0,COUNTA($DB$4:DB86))</f>
        <v>717.17470336124052</v>
      </c>
      <c r="DD86" s="207">
        <f ca="1">OFFSET($C$30,0,COUNTA($DB$4:DB86))</f>
        <v>-2.677050663939995E-10</v>
      </c>
      <c r="DE86" s="100">
        <f ca="1">OFFSET($C$59,0,COUNTA($DB$4:DB86))</f>
        <v>4246.770504221764</v>
      </c>
      <c r="DH86" s="101">
        <f t="shared" si="306"/>
        <v>83</v>
      </c>
      <c r="DI86" s="100">
        <f ca="1">OFFSET($C$39,0,COUNTA(DH$4:$DH86))</f>
        <v>3005.93132940652</v>
      </c>
      <c r="DJ86" s="100">
        <f ca="1">OFFSET($C$43,0,COUNTA(DH$4:$DH86))</f>
        <v>1.070820265575998E-10</v>
      </c>
      <c r="DK86" s="100">
        <f ca="1">OFFSET($C$45,0,COUNTA(DH$4:$DH86))</f>
        <v>32.907123926480317</v>
      </c>
      <c r="DL86" s="100">
        <f ca="1">OFFSET($C$46,0,COUNTA(DH$4:$DH86))</f>
        <v>60.141147570382657</v>
      </c>
      <c r="DM86" s="100">
        <f ca="1">OFFSET($C$47,0,COUNTA(DH$4:$DH86))</f>
        <v>32.990036354617068</v>
      </c>
      <c r="DN86" s="100">
        <f ca="1">OFFSET($C$48,0,COUNTA(DH$4:$DH86))</f>
        <v>2.7421814098832362</v>
      </c>
      <c r="DO86" s="100">
        <f ca="1">OFFSET($C$51,0,COUNTA(DH$4:$DH86))</f>
        <v>3009.9660498119815</v>
      </c>
      <c r="DP86" s="100">
        <f ca="1">OFFSET($C$53,0,COUNTA(DH$4:$DH86))</f>
        <v>3397.4164033774114</v>
      </c>
    </row>
    <row r="87" spans="106:120" x14ac:dyDescent="0.3">
      <c r="DB87" s="101">
        <f t="shared" si="311"/>
        <v>84</v>
      </c>
      <c r="DC87" s="207">
        <f ca="1">OFFSET($C$14,0,COUNTA($DB$4:DB87))</f>
        <v>285.71634338217132</v>
      </c>
      <c r="DD87" s="207">
        <f ca="1">OFFSET($C$30,0,COUNTA($DB$4:DB87))</f>
        <v>-3.0823184616793077E-10</v>
      </c>
      <c r="DE87" s="100">
        <f ca="1">OFFSET($C$59,0,COUNTA($DB$4:DB87))</f>
        <v>3450.526389520327</v>
      </c>
      <c r="DH87" s="101">
        <f t="shared" si="306"/>
        <v>84</v>
      </c>
      <c r="DI87" s="100">
        <f ca="1">OFFSET($C$39,0,COUNTA(DH$4:$DH87))</f>
        <v>2443.8457402339318</v>
      </c>
      <c r="DJ87" s="100">
        <f ca="1">OFFSET($C$43,0,COUNTA(DH$4:$DH87))</f>
        <v>1.2329273846717231E-10</v>
      </c>
      <c r="DK87" s="100">
        <f ca="1">OFFSET($C$45,0,COUNTA(DH$4:$DH87))</f>
        <v>19.772992848575512</v>
      </c>
      <c r="DL87" s="100">
        <f ca="1">OFFSET($C$46,0,COUNTA(DH$4:$DH87))</f>
        <v>23.95972514100524</v>
      </c>
      <c r="DM87" s="100">
        <f ca="1">OFFSET($C$47,0,COUNTA(DH$4:$DH87))</f>
        <v>13.142951795579883</v>
      </c>
      <c r="DN87" s="100">
        <f ca="1">OFFSET($C$48,0,COUNTA(DH$4:$DH87))</f>
        <v>1.472452402907201</v>
      </c>
      <c r="DO87" s="100">
        <f ca="1">OFFSET($C$51,0,COUNTA(DH$4:$DH87))</f>
        <v>2445.6153861179182</v>
      </c>
      <c r="DP87" s="100">
        <f ca="1">OFFSET($C$53,0,COUNTA(DH$4:$DH87))</f>
        <v>2760.4211116162614</v>
      </c>
    </row>
    <row r="88" spans="106:120" x14ac:dyDescent="0.3">
      <c r="DB88" s="101">
        <f t="shared" si="311"/>
        <v>85</v>
      </c>
      <c r="DC88" s="207">
        <f ca="1">OFFSET($C$14,0,COUNTA($DB$4:DB88))</f>
        <v>9.6615081963693053E-9</v>
      </c>
      <c r="DD88" s="207">
        <f ca="1">OFFSET($C$30,0,COUNTA($DB$4:DB88))</f>
        <v>-3.6131621967463043E-10</v>
      </c>
      <c r="DE88" s="100">
        <f ca="1">OFFSET($C$59,0,COUNTA($DB$4:DB88))</f>
        <v>15.85775859036813</v>
      </c>
      <c r="DH88" s="101">
        <f t="shared" si="306"/>
        <v>85</v>
      </c>
      <c r="DI88" s="100">
        <f ca="1">OFFSET($C$39,0,COUNTA(DH$4:$DH88))</f>
        <v>0</v>
      </c>
      <c r="DJ88" s="100">
        <f ca="1">OFFSET($C$43,0,COUNTA(DH$4:$DH88))</f>
        <v>1.4452648786985218E-10</v>
      </c>
      <c r="DK88" s="100">
        <f ca="1">OFFSET($C$45,0,COUNTA(DH$4:$DH88))</f>
        <v>10.637580054031572</v>
      </c>
      <c r="DL88" s="100">
        <f ca="1">OFFSET($C$46,0,COUNTA(DH$4:$DH88))</f>
        <v>8.1019894799277555E-10</v>
      </c>
      <c r="DM88" s="100">
        <f ca="1">OFFSET($C$47,0,COUNTA(DH$4:$DH88))</f>
        <v>4.4442937703298805E-10</v>
      </c>
      <c r="DN88" s="100">
        <f ca="1">OFFSET($C$48,0,COUNTA(DH$4:$DH88))</f>
        <v>0.6018582286992975</v>
      </c>
      <c r="DO88" s="100">
        <f ca="1">OFFSET($C$51,0,COUNTA(DH$4:$DH88))</f>
        <v>11.23943828273087</v>
      </c>
      <c r="DP88" s="100">
        <f ca="1">OFFSET($C$53,0,COUNTA(DH$4:$DH88))</f>
        <v>12.686206872294504</v>
      </c>
    </row>
    <row r="89" spans="106:120" x14ac:dyDescent="0.3">
      <c r="DB89" s="101">
        <f t="shared" si="311"/>
        <v>86</v>
      </c>
      <c r="DC89" s="207">
        <f ca="1">OFFSET($C$14,0,COUNTA($DB$4:DB89))</f>
        <v>0</v>
      </c>
      <c r="DD89" s="207">
        <f ca="1">OFFSET($C$30,0,COUNTA($DB$4:DB89))</f>
        <v>0</v>
      </c>
      <c r="DE89" s="100">
        <f ca="1">OFFSET($C$59,0,COUNTA($DB$4:DB89))</f>
        <v>6.1447735339873741</v>
      </c>
      <c r="DH89" s="101">
        <f t="shared" si="306"/>
        <v>86</v>
      </c>
      <c r="DI89" s="100">
        <f ca="1">OFFSET($C$39,0,COUNTA(DH$4:$DH89))</f>
        <v>0</v>
      </c>
      <c r="DJ89" s="100">
        <f ca="1">OFFSET($C$43,0,COUNTA(DH$4:$DH89))</f>
        <v>0</v>
      </c>
      <c r="DK89" s="100">
        <f ca="1">OFFSET($C$45,0,COUNTA(DH$4:$DH89))</f>
        <v>4.3552058446997632</v>
      </c>
      <c r="DL89" s="100">
        <f ca="1">OFFSET($C$46,0,COUNTA(DH$4:$DH89))</f>
        <v>0</v>
      </c>
      <c r="DM89" s="100">
        <f ca="1">OFFSET($C$47,0,COUNTA(DH$4:$DH89))</f>
        <v>0</v>
      </c>
      <c r="DN89" s="100">
        <f ca="1">OFFSET($C$48,0,COUNTA(DH$4:$DH89))</f>
        <v>0</v>
      </c>
      <c r="DO89" s="100">
        <f ca="1">OFFSET($C$51,0,COUNTA(DH$4:$DH89))</f>
        <v>4.3552058446997632</v>
      </c>
      <c r="DP89" s="100">
        <f ca="1">OFFSET($C$53,0,COUNTA(DH$4:$DH89))</f>
        <v>4.9158188271898995</v>
      </c>
    </row>
    <row r="90" spans="106:120" x14ac:dyDescent="0.3">
      <c r="DB90" s="101">
        <f t="shared" si="311"/>
        <v>87</v>
      </c>
      <c r="DC90" s="207">
        <f ca="1">OFFSET($C$14,0,COUNTA($DB$4:DB90))</f>
        <v>0</v>
      </c>
      <c r="DD90" s="207">
        <f ca="1">OFFSET($C$30,0,COUNTA($DB$4:DB90))</f>
        <v>0</v>
      </c>
      <c r="DE90" s="100">
        <f ca="1">OFFSET($C$59,0,COUNTA($DB$4:DB90))</f>
        <v>0</v>
      </c>
      <c r="DH90" s="101">
        <f t="shared" si="306"/>
        <v>87</v>
      </c>
      <c r="DI90" s="100">
        <f ca="1">OFFSET($C$39,0,COUNTA(DH$4:$DH90))</f>
        <v>0</v>
      </c>
      <c r="DJ90" s="100">
        <f ca="1">OFFSET($C$43,0,COUNTA(DH$4:$DH90))</f>
        <v>0</v>
      </c>
      <c r="DK90" s="100">
        <f ca="1">OFFSET($C$45,0,COUNTA(DH$4:$DH90))</f>
        <v>0</v>
      </c>
      <c r="DL90" s="100">
        <f ca="1">OFFSET($C$46,0,COUNTA(DH$4:$DH90))</f>
        <v>0</v>
      </c>
      <c r="DM90" s="100">
        <f ca="1">OFFSET($C$47,0,COUNTA(DH$4:$DH90))</f>
        <v>0</v>
      </c>
      <c r="DN90" s="100">
        <f ca="1">OFFSET($C$48,0,COUNTA(DH$4:$DH90))</f>
        <v>0</v>
      </c>
      <c r="DO90" s="100">
        <f ca="1">OFFSET($C$51,0,COUNTA(DH$4:$DH90))</f>
        <v>0</v>
      </c>
      <c r="DP90" s="100">
        <f ca="1">OFFSET($C$53,0,COUNTA(DH$4:$DH90))</f>
        <v>0</v>
      </c>
    </row>
    <row r="91" spans="106:120" x14ac:dyDescent="0.3">
      <c r="DB91" s="101">
        <f t="shared" si="311"/>
        <v>88</v>
      </c>
      <c r="DC91" s="207">
        <f ca="1">OFFSET($C$14,0,COUNTA($DB$4:DB91))</f>
        <v>0</v>
      </c>
      <c r="DD91" s="207">
        <f ca="1">OFFSET($C$30,0,COUNTA($DB$4:DB91))</f>
        <v>0</v>
      </c>
      <c r="DE91" s="100">
        <f ca="1">OFFSET($C$59,0,COUNTA($DB$4:DB91))</f>
        <v>0</v>
      </c>
      <c r="DH91" s="101">
        <f t="shared" si="306"/>
        <v>88</v>
      </c>
      <c r="DI91" s="100">
        <f ca="1">OFFSET($C$39,0,COUNTA(DH$4:$DH91))</f>
        <v>0</v>
      </c>
      <c r="DJ91" s="100">
        <f ca="1">OFFSET($C$43,0,COUNTA(DH$4:$DH91))</f>
        <v>0</v>
      </c>
      <c r="DK91" s="100">
        <f ca="1">OFFSET($C$45,0,COUNTA(DH$4:$DH91))</f>
        <v>0</v>
      </c>
      <c r="DL91" s="100">
        <f ca="1">OFFSET($C$46,0,COUNTA(DH$4:$DH91))</f>
        <v>0</v>
      </c>
      <c r="DM91" s="100">
        <f ca="1">OFFSET($C$47,0,COUNTA(DH$4:$DH91))</f>
        <v>0</v>
      </c>
      <c r="DN91" s="100">
        <f ca="1">OFFSET($C$48,0,COUNTA(DH$4:$DH91))</f>
        <v>0</v>
      </c>
      <c r="DO91" s="100">
        <f ca="1">OFFSET($C$51,0,COUNTA(DH$4:$DH91))</f>
        <v>0</v>
      </c>
      <c r="DP91" s="100">
        <f ca="1">OFFSET($C$53,0,COUNTA(DH$4:$DH91))</f>
        <v>0</v>
      </c>
    </row>
    <row r="92" spans="106:120" x14ac:dyDescent="0.3">
      <c r="DB92" s="101">
        <f t="shared" si="311"/>
        <v>89</v>
      </c>
      <c r="DC92" s="207">
        <f ca="1">OFFSET($C$14,0,COUNTA($DB$4:DB92))</f>
        <v>0</v>
      </c>
      <c r="DD92" s="207">
        <f ca="1">OFFSET($C$30,0,COUNTA($DB$4:DB92))</f>
        <v>0</v>
      </c>
      <c r="DE92" s="100">
        <f ca="1">OFFSET($C$59,0,COUNTA($DB$4:DB92))</f>
        <v>0</v>
      </c>
      <c r="DH92" s="101">
        <f t="shared" si="306"/>
        <v>89</v>
      </c>
      <c r="DI92" s="100">
        <f ca="1">OFFSET($C$39,0,COUNTA(DH$4:$DH92))</f>
        <v>0</v>
      </c>
      <c r="DJ92" s="100">
        <f ca="1">OFFSET($C$43,0,COUNTA(DH$4:$DH92))</f>
        <v>0</v>
      </c>
      <c r="DK92" s="100">
        <f ca="1">OFFSET($C$45,0,COUNTA(DH$4:$DH92))</f>
        <v>0</v>
      </c>
      <c r="DL92" s="100">
        <f ca="1">OFFSET($C$46,0,COUNTA(DH$4:$DH92))</f>
        <v>0</v>
      </c>
      <c r="DM92" s="100">
        <f ca="1">OFFSET($C$47,0,COUNTA(DH$4:$DH92))</f>
        <v>0</v>
      </c>
      <c r="DN92" s="100">
        <f ca="1">OFFSET($C$48,0,COUNTA(DH$4:$DH92))</f>
        <v>0</v>
      </c>
      <c r="DO92" s="100">
        <f ca="1">OFFSET($C$51,0,COUNTA(DH$4:$DH92))</f>
        <v>0</v>
      </c>
      <c r="DP92" s="100">
        <f ca="1">OFFSET($C$53,0,COUNTA(DH$4:$DH92))</f>
        <v>0</v>
      </c>
    </row>
    <row r="93" spans="106:120" x14ac:dyDescent="0.3">
      <c r="DB93" s="101">
        <f t="shared" si="311"/>
        <v>90</v>
      </c>
      <c r="DC93" s="207">
        <f ca="1">OFFSET($C$14,0,COUNTA($DB$4:DB93))</f>
        <v>0</v>
      </c>
      <c r="DD93" s="207">
        <f ca="1">OFFSET($C$30,0,COUNTA($DB$4:DB93))</f>
        <v>0</v>
      </c>
      <c r="DE93" s="100">
        <f ca="1">OFFSET($C$59,0,COUNTA($DB$4:DB93))</f>
        <v>0</v>
      </c>
      <c r="DH93" s="101">
        <f t="shared" si="306"/>
        <v>90</v>
      </c>
      <c r="DI93" s="100">
        <f ca="1">OFFSET($C$39,0,COUNTA(DH$4:$DH93))</f>
        <v>0</v>
      </c>
      <c r="DJ93" s="100">
        <f ca="1">OFFSET($C$43,0,COUNTA(DH$4:$DH93))</f>
        <v>0</v>
      </c>
      <c r="DK93" s="100">
        <f ca="1">OFFSET($C$45,0,COUNTA(DH$4:$DH93))</f>
        <v>0</v>
      </c>
      <c r="DL93" s="100">
        <f ca="1">OFFSET($C$46,0,COUNTA(DH$4:$DH93))</f>
        <v>0</v>
      </c>
      <c r="DM93" s="100">
        <f ca="1">OFFSET($C$47,0,COUNTA(DH$4:$DH93))</f>
        <v>0</v>
      </c>
      <c r="DN93" s="100">
        <f ca="1">OFFSET($C$48,0,COUNTA(DH$4:$DH93))</f>
        <v>0</v>
      </c>
      <c r="DO93" s="100">
        <f ca="1">OFFSET($C$51,0,COUNTA(DH$4:$DH93))</f>
        <v>0</v>
      </c>
      <c r="DP93" s="100">
        <f ca="1">OFFSET($C$53,0,COUNTA(DH$4:$DH93))</f>
        <v>0</v>
      </c>
    </row>
    <row r="94" spans="106:120" x14ac:dyDescent="0.3">
      <c r="DB94" s="101">
        <f t="shared" si="311"/>
        <v>91</v>
      </c>
      <c r="DC94" s="207">
        <f ca="1">OFFSET($C$14,0,COUNTA($DB$4:DB94))</f>
        <v>0</v>
      </c>
      <c r="DD94" s="207">
        <f ca="1">OFFSET($C$30,0,COUNTA($DB$4:DB94))</f>
        <v>0</v>
      </c>
      <c r="DE94" s="100">
        <f ca="1">OFFSET($C$59,0,COUNTA($DB$4:DB94))</f>
        <v>0</v>
      </c>
      <c r="DH94" s="101">
        <f t="shared" si="306"/>
        <v>91</v>
      </c>
      <c r="DI94" s="100">
        <f ca="1">OFFSET($C$39,0,COUNTA(DH$4:$DH94))</f>
        <v>0</v>
      </c>
      <c r="DJ94" s="100">
        <f ca="1">OFFSET($C$43,0,COUNTA(DH$4:$DH94))</f>
        <v>0</v>
      </c>
      <c r="DK94" s="100">
        <f ca="1">OFFSET($C$45,0,COUNTA(DH$4:$DH94))</f>
        <v>0</v>
      </c>
      <c r="DL94" s="100">
        <f ca="1">OFFSET($C$46,0,COUNTA(DH$4:$DH94))</f>
        <v>0</v>
      </c>
      <c r="DM94" s="100">
        <f ca="1">OFFSET($C$47,0,COUNTA(DH$4:$DH94))</f>
        <v>0</v>
      </c>
      <c r="DN94" s="100">
        <f ca="1">OFFSET($C$48,0,COUNTA(DH$4:$DH94))</f>
        <v>0</v>
      </c>
      <c r="DO94" s="100">
        <f ca="1">OFFSET($C$51,0,COUNTA(DH$4:$DH94))</f>
        <v>0</v>
      </c>
      <c r="DP94" s="100">
        <f ca="1">OFFSET($C$53,0,COUNTA(DH$4:$DH94))</f>
        <v>0</v>
      </c>
    </row>
    <row r="95" spans="106:120" x14ac:dyDescent="0.3">
      <c r="DB95" s="101">
        <f t="shared" si="311"/>
        <v>92</v>
      </c>
      <c r="DC95" s="207">
        <f ca="1">OFFSET($C$14,0,COUNTA($DB$4:DB95))</f>
        <v>0</v>
      </c>
      <c r="DD95" s="207">
        <f ca="1">OFFSET($C$30,0,COUNTA($DB$4:DB95))</f>
        <v>0</v>
      </c>
      <c r="DE95" s="100">
        <f ca="1">OFFSET($C$59,0,COUNTA($DB$4:DB95))</f>
        <v>0</v>
      </c>
      <c r="DH95" s="101">
        <f t="shared" si="306"/>
        <v>92</v>
      </c>
      <c r="DI95" s="100">
        <f ca="1">OFFSET($C$39,0,COUNTA(DH$4:$DH95))</f>
        <v>0</v>
      </c>
      <c r="DJ95" s="100">
        <f ca="1">OFFSET($C$43,0,COUNTA(DH$4:$DH95))</f>
        <v>0</v>
      </c>
      <c r="DK95" s="100">
        <f ca="1">OFFSET($C$45,0,COUNTA(DH$4:$DH95))</f>
        <v>0</v>
      </c>
      <c r="DL95" s="100">
        <f ca="1">OFFSET($C$46,0,COUNTA(DH$4:$DH95))</f>
        <v>0</v>
      </c>
      <c r="DM95" s="100">
        <f ca="1">OFFSET($C$47,0,COUNTA(DH$4:$DH95))</f>
        <v>0</v>
      </c>
      <c r="DN95" s="100">
        <f ca="1">OFFSET($C$48,0,COUNTA(DH$4:$DH95))</f>
        <v>0</v>
      </c>
      <c r="DO95" s="100">
        <f ca="1">OFFSET($C$51,0,COUNTA(DH$4:$DH95))</f>
        <v>0</v>
      </c>
      <c r="DP95" s="100">
        <f ca="1">OFFSET($C$53,0,COUNTA(DH$4:$DH95))</f>
        <v>0</v>
      </c>
    </row>
    <row r="96" spans="106:120" x14ac:dyDescent="0.3">
      <c r="DB96" s="101">
        <f t="shared" si="311"/>
        <v>93</v>
      </c>
      <c r="DC96" s="207">
        <f ca="1">OFFSET($C$14,0,COUNTA($DB$4:DB96))</f>
        <v>0</v>
      </c>
      <c r="DD96" s="207">
        <f ca="1">OFFSET($C$30,0,COUNTA($DB$4:DB96))</f>
        <v>0</v>
      </c>
      <c r="DE96" s="100">
        <f ca="1">OFFSET($C$59,0,COUNTA($DB$4:DB96))</f>
        <v>0</v>
      </c>
      <c r="DH96" s="101">
        <f t="shared" si="306"/>
        <v>93</v>
      </c>
      <c r="DI96" s="100">
        <f ca="1">OFFSET($C$39,0,COUNTA(DH$4:$DH96))</f>
        <v>0</v>
      </c>
      <c r="DJ96" s="100">
        <f ca="1">OFFSET($C$43,0,COUNTA(DH$4:$DH96))</f>
        <v>0</v>
      </c>
      <c r="DK96" s="100">
        <f ca="1">OFFSET($C$45,0,COUNTA(DH$4:$DH96))</f>
        <v>0</v>
      </c>
      <c r="DL96" s="100">
        <f ca="1">OFFSET($C$46,0,COUNTA(DH$4:$DH96))</f>
        <v>0</v>
      </c>
      <c r="DM96" s="100">
        <f ca="1">OFFSET($C$47,0,COUNTA(DH$4:$DH96))</f>
        <v>0</v>
      </c>
      <c r="DN96" s="100">
        <f ca="1">OFFSET($C$48,0,COUNTA(DH$4:$DH96))</f>
        <v>0</v>
      </c>
      <c r="DO96" s="100">
        <f ca="1">OFFSET($C$51,0,COUNTA(DH$4:$DH96))</f>
        <v>0</v>
      </c>
      <c r="DP96" s="100">
        <f ca="1">OFFSET($C$53,0,COUNTA(DH$4:$DH96))</f>
        <v>0</v>
      </c>
    </row>
    <row r="97" spans="106:120" x14ac:dyDescent="0.3">
      <c r="DB97" s="101">
        <f t="shared" si="311"/>
        <v>94</v>
      </c>
      <c r="DC97" s="207">
        <f ca="1">OFFSET($C$14,0,COUNTA($DB$4:DB97))</f>
        <v>0</v>
      </c>
      <c r="DD97" s="207">
        <f ca="1">OFFSET($C$30,0,COUNTA($DB$4:DB97))</f>
        <v>0</v>
      </c>
      <c r="DE97" s="100">
        <f ca="1">OFFSET($C$59,0,COUNTA($DB$4:DB97))</f>
        <v>0</v>
      </c>
      <c r="DH97" s="101">
        <f t="shared" si="306"/>
        <v>94</v>
      </c>
      <c r="DI97" s="100">
        <f ca="1">OFFSET($C$39,0,COUNTA(DH$4:$DH97))</f>
        <v>0</v>
      </c>
      <c r="DJ97" s="100">
        <f ca="1">OFFSET($C$43,0,COUNTA(DH$4:$DH97))</f>
        <v>0</v>
      </c>
      <c r="DK97" s="100">
        <f ca="1">OFFSET($C$45,0,COUNTA(DH$4:$DH97))</f>
        <v>0</v>
      </c>
      <c r="DL97" s="100">
        <f ca="1">OFFSET($C$46,0,COUNTA(DH$4:$DH97))</f>
        <v>0</v>
      </c>
      <c r="DM97" s="100">
        <f ca="1">OFFSET($C$47,0,COUNTA(DH$4:$DH97))</f>
        <v>0</v>
      </c>
      <c r="DN97" s="100">
        <f ca="1">OFFSET($C$48,0,COUNTA(DH$4:$DH97))</f>
        <v>0</v>
      </c>
      <c r="DO97" s="100">
        <f ca="1">OFFSET($C$51,0,COUNTA(DH$4:$DH97))</f>
        <v>0</v>
      </c>
      <c r="DP97" s="100">
        <f ca="1">OFFSET($C$53,0,COUNTA(DH$4:$DH97))</f>
        <v>0</v>
      </c>
    </row>
    <row r="98" spans="106:120" x14ac:dyDescent="0.3">
      <c r="DB98" s="101">
        <f t="shared" si="311"/>
        <v>95</v>
      </c>
      <c r="DC98" s="207">
        <f ca="1">OFFSET($C$14,0,COUNTA($DB$4:DB98))</f>
        <v>0</v>
      </c>
      <c r="DD98" s="207">
        <f ca="1">OFFSET($C$30,0,COUNTA($DB$4:DB98))</f>
        <v>0</v>
      </c>
      <c r="DE98" s="100">
        <f ca="1">OFFSET($C$59,0,COUNTA($DB$4:DB98))</f>
        <v>0</v>
      </c>
      <c r="DH98" s="101">
        <f t="shared" si="306"/>
        <v>95</v>
      </c>
      <c r="DI98" s="100">
        <f ca="1">OFFSET($C$39,0,COUNTA(DH$4:$DH98))</f>
        <v>0</v>
      </c>
      <c r="DJ98" s="100">
        <f ca="1">OFFSET($C$43,0,COUNTA(DH$4:$DH98))</f>
        <v>0</v>
      </c>
      <c r="DK98" s="100">
        <f ca="1">OFFSET($C$45,0,COUNTA(DH$4:$DH98))</f>
        <v>0</v>
      </c>
      <c r="DL98" s="100">
        <f ca="1">OFFSET($C$46,0,COUNTA(DH$4:$DH98))</f>
        <v>0</v>
      </c>
      <c r="DM98" s="100">
        <f ca="1">OFFSET($C$47,0,COUNTA(DH$4:$DH98))</f>
        <v>0</v>
      </c>
      <c r="DN98" s="100">
        <f ca="1">OFFSET($C$48,0,COUNTA(DH$4:$DH98))</f>
        <v>0</v>
      </c>
      <c r="DO98" s="100">
        <f ca="1">OFFSET($C$51,0,COUNTA(DH$4:$DH98))</f>
        <v>0</v>
      </c>
      <c r="DP98" s="100">
        <f ca="1">OFFSET($C$53,0,COUNTA(DH$4:$DH98))</f>
        <v>0</v>
      </c>
    </row>
    <row r="99" spans="106:120" x14ac:dyDescent="0.3">
      <c r="DB99" s="101">
        <f t="shared" si="311"/>
        <v>96</v>
      </c>
      <c r="DC99" s="207">
        <f ca="1">OFFSET($C$14,0,COUNTA($DB$4:DB99))</f>
        <v>0</v>
      </c>
      <c r="DD99" s="207">
        <f ca="1">OFFSET($C$30,0,COUNTA($DB$4:DB99))</f>
        <v>0</v>
      </c>
      <c r="DE99" s="100">
        <f ca="1">OFFSET($C$59,0,COUNTA($DB$4:DB99))</f>
        <v>0</v>
      </c>
      <c r="DH99" s="101">
        <f t="shared" si="306"/>
        <v>96</v>
      </c>
      <c r="DI99" s="100">
        <f ca="1">OFFSET($C$39,0,COUNTA(DH$4:$DH99))</f>
        <v>0</v>
      </c>
      <c r="DJ99" s="100">
        <f ca="1">OFFSET($C$43,0,COUNTA(DH$4:$DH99))</f>
        <v>0</v>
      </c>
      <c r="DK99" s="100">
        <f ca="1">OFFSET($C$45,0,COUNTA(DH$4:$DH99))</f>
        <v>0</v>
      </c>
      <c r="DL99" s="100">
        <f ca="1">OFFSET($C$46,0,COUNTA(DH$4:$DH99))</f>
        <v>0</v>
      </c>
      <c r="DM99" s="100">
        <f ca="1">OFFSET($C$47,0,COUNTA(DH$4:$DH99))</f>
        <v>0</v>
      </c>
      <c r="DN99" s="100">
        <f ca="1">OFFSET($C$48,0,COUNTA(DH$4:$DH99))</f>
        <v>0</v>
      </c>
      <c r="DO99" s="100">
        <f ca="1">OFFSET($C$51,0,COUNTA(DH$4:$DH99))</f>
        <v>0</v>
      </c>
      <c r="DP99" s="100">
        <f ca="1">OFFSET($C$53,0,COUNTA(DH$4:$DH99))</f>
        <v>0</v>
      </c>
    </row>
    <row r="100" spans="106:120" x14ac:dyDescent="0.3">
      <c r="DB100" s="101">
        <f t="shared" si="311"/>
        <v>97</v>
      </c>
      <c r="DC100" s="207">
        <f ca="1">OFFSET($C$14,0,COUNTA($DB$4:DB100))</f>
        <v>0</v>
      </c>
      <c r="DD100" s="207">
        <f ca="1">OFFSET($C$30,0,COUNTA($DB$4:DB100))</f>
        <v>0</v>
      </c>
      <c r="DE100" s="100">
        <f ca="1">OFFSET($C$59,0,COUNTA($DB$4:DB100))</f>
        <v>0</v>
      </c>
      <c r="DH100" s="101">
        <f t="shared" si="306"/>
        <v>97</v>
      </c>
      <c r="DI100" s="100">
        <f ca="1">OFFSET($C$39,0,COUNTA(DH$4:$DH100))</f>
        <v>0</v>
      </c>
      <c r="DJ100" s="100">
        <f ca="1">OFFSET($C$43,0,COUNTA(DH$4:$DH100))</f>
        <v>0</v>
      </c>
      <c r="DK100" s="100">
        <f ca="1">OFFSET($C$45,0,COUNTA(DH$4:$DH100))</f>
        <v>0</v>
      </c>
      <c r="DL100" s="100">
        <f ca="1">OFFSET($C$46,0,COUNTA(DH$4:$DH100))</f>
        <v>0</v>
      </c>
      <c r="DM100" s="100">
        <f ca="1">OFFSET($C$47,0,COUNTA(DH$4:$DH100))</f>
        <v>0</v>
      </c>
      <c r="DN100" s="100">
        <f ca="1">OFFSET($C$48,0,COUNTA(DH$4:$DH100))</f>
        <v>0</v>
      </c>
      <c r="DO100" s="100">
        <f ca="1">OFFSET($C$51,0,COUNTA(DH$4:$DH100))</f>
        <v>0</v>
      </c>
      <c r="DP100" s="100">
        <f ca="1">OFFSET($C$53,0,COUNTA(DH$4:$DH100))</f>
        <v>0</v>
      </c>
    </row>
    <row r="101" spans="106:120" x14ac:dyDescent="0.3">
      <c r="DB101" s="101">
        <f t="shared" si="311"/>
        <v>98</v>
      </c>
      <c r="DC101" s="207">
        <f ca="1">OFFSET($C$14,0,COUNTA($DB$4:DB101))</f>
        <v>0</v>
      </c>
      <c r="DD101" s="207">
        <f ca="1">OFFSET($C$30,0,COUNTA($DB$4:DB101))</f>
        <v>0</v>
      </c>
      <c r="DE101" s="100">
        <f ca="1">OFFSET($C$59,0,COUNTA($DB$4:DB101))</f>
        <v>0</v>
      </c>
      <c r="DH101" s="101">
        <f t="shared" si="306"/>
        <v>98</v>
      </c>
      <c r="DI101" s="100">
        <f ca="1">OFFSET($C$39,0,COUNTA(DH$4:$DH101))</f>
        <v>0</v>
      </c>
      <c r="DJ101" s="100">
        <f ca="1">OFFSET($C$43,0,COUNTA(DH$4:$DH101))</f>
        <v>0</v>
      </c>
      <c r="DK101" s="100">
        <f ca="1">OFFSET($C$45,0,COUNTA(DH$4:$DH101))</f>
        <v>0</v>
      </c>
      <c r="DL101" s="100">
        <f ca="1">OFFSET($C$46,0,COUNTA(DH$4:$DH101))</f>
        <v>0</v>
      </c>
      <c r="DM101" s="100">
        <f ca="1">OFFSET($C$47,0,COUNTA(DH$4:$DH101))</f>
        <v>0</v>
      </c>
      <c r="DN101" s="100">
        <f ca="1">OFFSET($C$48,0,COUNTA(DH$4:$DH101))</f>
        <v>0</v>
      </c>
      <c r="DO101" s="100">
        <f ca="1">OFFSET($C$51,0,COUNTA(DH$4:$DH101))</f>
        <v>0</v>
      </c>
      <c r="DP101" s="100">
        <f ca="1">OFFSET($C$53,0,COUNTA(DH$4:$DH101))</f>
        <v>0</v>
      </c>
    </row>
    <row r="102" spans="106:120" x14ac:dyDescent="0.3">
      <c r="DB102" s="101">
        <f t="shared" si="311"/>
        <v>99</v>
      </c>
      <c r="DC102" s="207">
        <f ca="1">OFFSET($C$14,0,COUNTA($DB$4:DB102))</f>
        <v>0</v>
      </c>
      <c r="DD102" s="207">
        <f ca="1">OFFSET($C$30,0,COUNTA($DB$4:DB102))</f>
        <v>0</v>
      </c>
      <c r="DE102" s="100">
        <f ca="1">OFFSET($C$59,0,COUNTA($DB$4:DB102))</f>
        <v>0</v>
      </c>
      <c r="DH102" s="101">
        <f t="shared" si="306"/>
        <v>99</v>
      </c>
      <c r="DI102" s="100">
        <f ca="1">OFFSET($C$39,0,COUNTA(DH$4:$DH102))</f>
        <v>0</v>
      </c>
      <c r="DJ102" s="100">
        <f ca="1">OFFSET($C$43,0,COUNTA(DH$4:$DH102))</f>
        <v>0</v>
      </c>
      <c r="DK102" s="100">
        <f ca="1">OFFSET($C$45,0,COUNTA(DH$4:$DH102))</f>
        <v>0</v>
      </c>
      <c r="DL102" s="100">
        <f ca="1">OFFSET($C$46,0,COUNTA(DH$4:$DH102))</f>
        <v>0</v>
      </c>
      <c r="DM102" s="100">
        <f ca="1">OFFSET($C$47,0,COUNTA(DH$4:$DH102))</f>
        <v>0</v>
      </c>
      <c r="DN102" s="100">
        <f ca="1">OFFSET($C$48,0,COUNTA(DH$4:$DH102))</f>
        <v>0</v>
      </c>
      <c r="DO102" s="100">
        <f ca="1">OFFSET($C$51,0,COUNTA(DH$4:$DH102))</f>
        <v>0</v>
      </c>
      <c r="DP102" s="100">
        <f ca="1">OFFSET($C$53,0,COUNTA(DH$4:$DH102))</f>
        <v>0</v>
      </c>
    </row>
    <row r="103" spans="106:120" x14ac:dyDescent="0.3">
      <c r="DB103" s="101">
        <f t="shared" si="311"/>
        <v>100</v>
      </c>
      <c r="DC103" s="207">
        <f ca="1">OFFSET($C$14,0,COUNTA($DB$4:DB103))</f>
        <v>0</v>
      </c>
      <c r="DD103" s="207">
        <f ca="1">OFFSET($C$30,0,COUNTA($DB$4:DB103))</f>
        <v>0</v>
      </c>
      <c r="DE103" s="100">
        <f ca="1">OFFSET($C$59,0,COUNTA($DB$4:DB103))</f>
        <v>0</v>
      </c>
      <c r="DH103" s="101">
        <f t="shared" si="306"/>
        <v>100</v>
      </c>
      <c r="DI103" s="100">
        <f ca="1">OFFSET($C$39,0,COUNTA(DH$4:$DH103))</f>
        <v>0</v>
      </c>
      <c r="DJ103" s="100">
        <f ca="1">OFFSET($C$43,0,COUNTA(DH$4:$DH103))</f>
        <v>0</v>
      </c>
      <c r="DK103" s="100">
        <f ca="1">OFFSET($C$45,0,COUNTA(DH$4:$DH103))</f>
        <v>0</v>
      </c>
      <c r="DL103" s="100">
        <f ca="1">OFFSET($C$46,0,COUNTA(DH$4:$DH103))</f>
        <v>0</v>
      </c>
      <c r="DM103" s="100">
        <f ca="1">OFFSET($C$47,0,COUNTA(DH$4:$DH103))</f>
        <v>0</v>
      </c>
      <c r="DN103" s="100">
        <f ca="1">OFFSET($C$48,0,COUNTA(DH$4:$DH103))</f>
        <v>0</v>
      </c>
      <c r="DO103" s="100">
        <f ca="1">OFFSET($C$51,0,COUNTA(DH$4:$DH103))</f>
        <v>0</v>
      </c>
      <c r="DP103" s="100">
        <f ca="1">OFFSET($C$53,0,COUNTA(DH$4:$DH103))</f>
        <v>0</v>
      </c>
    </row>
  </sheetData>
  <mergeCells count="2">
    <mergeCell ref="C2:M2"/>
    <mergeCell ref="C18:M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994-D9B3-4DEC-897A-914EE22186D1}">
  <sheetPr codeName="Sheet4"/>
  <dimension ref="B2:DC33"/>
  <sheetViews>
    <sheetView workbookViewId="0">
      <selection activeCell="CF34" sqref="CF34"/>
    </sheetView>
  </sheetViews>
  <sheetFormatPr defaultRowHeight="14.4" x14ac:dyDescent="0.3"/>
  <cols>
    <col min="2" max="2" width="31.44140625" bestFit="1" customWidth="1"/>
    <col min="3" max="3" width="13.88671875" bestFit="1" customWidth="1"/>
    <col min="4" max="9" width="14.5546875" bestFit="1" customWidth="1"/>
    <col min="10" max="10" width="15" bestFit="1" customWidth="1"/>
    <col min="11" max="12" width="15.6640625" bestFit="1" customWidth="1"/>
    <col min="13" max="107" width="15.6640625" customWidth="1"/>
  </cols>
  <sheetData>
    <row r="2" spans="2:107" x14ac:dyDescent="0.3">
      <c r="B2" s="5" t="s">
        <v>49</v>
      </c>
      <c r="C2" s="5">
        <v>1</v>
      </c>
      <c r="D2" s="5">
        <f>C2+1</f>
        <v>2</v>
      </c>
      <c r="E2" s="5">
        <f t="shared" ref="E2:L2" si="0">D2+1</f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ref="M2" si="1">L2+1</f>
        <v>11</v>
      </c>
      <c r="N2" s="5">
        <f t="shared" ref="N2" si="2">M2+1</f>
        <v>12</v>
      </c>
      <c r="O2" s="5">
        <f t="shared" ref="O2" si="3">N2+1</f>
        <v>13</v>
      </c>
      <c r="P2" s="5">
        <f t="shared" ref="P2" si="4">O2+1</f>
        <v>14</v>
      </c>
      <c r="Q2" s="5">
        <f t="shared" ref="Q2" si="5">P2+1</f>
        <v>15</v>
      </c>
      <c r="R2" s="5">
        <f t="shared" ref="R2" si="6">Q2+1</f>
        <v>16</v>
      </c>
      <c r="S2" s="5">
        <f t="shared" ref="S2" si="7">R2+1</f>
        <v>17</v>
      </c>
      <c r="T2" s="5">
        <f t="shared" ref="T2" si="8">S2+1</f>
        <v>18</v>
      </c>
      <c r="U2" s="5">
        <f t="shared" ref="U2" si="9">T2+1</f>
        <v>19</v>
      </c>
      <c r="V2" s="5">
        <f t="shared" ref="V2" si="10">U2+1</f>
        <v>20</v>
      </c>
      <c r="W2" s="5">
        <f t="shared" ref="W2" si="11">V2+1</f>
        <v>21</v>
      </c>
      <c r="X2" s="5">
        <f t="shared" ref="X2" si="12">W2+1</f>
        <v>22</v>
      </c>
      <c r="Y2" s="5">
        <f t="shared" ref="Y2" si="13">X2+1</f>
        <v>23</v>
      </c>
      <c r="Z2" s="5">
        <f t="shared" ref="Z2" si="14">Y2+1</f>
        <v>24</v>
      </c>
      <c r="AA2" s="5">
        <f t="shared" ref="AA2" si="15">Z2+1</f>
        <v>25</v>
      </c>
      <c r="AB2" s="5">
        <f t="shared" ref="AB2" si="16">AA2+1</f>
        <v>26</v>
      </c>
      <c r="AC2" s="5">
        <f t="shared" ref="AC2" si="17">AB2+1</f>
        <v>27</v>
      </c>
      <c r="AD2" s="5">
        <f t="shared" ref="AD2" si="18">AC2+1</f>
        <v>28</v>
      </c>
      <c r="AE2" s="5">
        <f t="shared" ref="AE2" si="19">AD2+1</f>
        <v>29</v>
      </c>
      <c r="AF2" s="5">
        <f t="shared" ref="AF2" si="20">AE2+1</f>
        <v>30</v>
      </c>
      <c r="AG2" s="5">
        <f t="shared" ref="AG2" si="21">AF2+1</f>
        <v>31</v>
      </c>
      <c r="AH2" s="5">
        <f t="shared" ref="AH2" si="22">AG2+1</f>
        <v>32</v>
      </c>
      <c r="AI2" s="5">
        <f t="shared" ref="AI2" si="23">AH2+1</f>
        <v>33</v>
      </c>
      <c r="AJ2" s="5">
        <f t="shared" ref="AJ2" si="24">AI2+1</f>
        <v>34</v>
      </c>
      <c r="AK2" s="5">
        <f t="shared" ref="AK2" si="25">AJ2+1</f>
        <v>35</v>
      </c>
      <c r="AL2" s="5">
        <f t="shared" ref="AL2" si="26">AK2+1</f>
        <v>36</v>
      </c>
      <c r="AM2" s="5">
        <f t="shared" ref="AM2" si="27">AL2+1</f>
        <v>37</v>
      </c>
      <c r="AN2" s="5">
        <f t="shared" ref="AN2" si="28">AM2+1</f>
        <v>38</v>
      </c>
      <c r="AO2" s="5">
        <f t="shared" ref="AO2" si="29">AN2+1</f>
        <v>39</v>
      </c>
      <c r="AP2" s="5">
        <f t="shared" ref="AP2" si="30">AO2+1</f>
        <v>40</v>
      </c>
      <c r="AQ2" s="5">
        <f t="shared" ref="AQ2" si="31">AP2+1</f>
        <v>41</v>
      </c>
      <c r="AR2" s="5">
        <f t="shared" ref="AR2" si="32">AQ2+1</f>
        <v>42</v>
      </c>
      <c r="AS2" s="5">
        <f t="shared" ref="AS2" si="33">AR2+1</f>
        <v>43</v>
      </c>
      <c r="AT2" s="5">
        <f t="shared" ref="AT2" si="34">AS2+1</f>
        <v>44</v>
      </c>
      <c r="AU2" s="5">
        <f t="shared" ref="AU2" si="35">AT2+1</f>
        <v>45</v>
      </c>
      <c r="AV2" s="5">
        <f t="shared" ref="AV2" si="36">AU2+1</f>
        <v>46</v>
      </c>
      <c r="AW2" s="5">
        <f t="shared" ref="AW2" si="37">AV2+1</f>
        <v>47</v>
      </c>
      <c r="AX2" s="5">
        <f t="shared" ref="AX2" si="38">AW2+1</f>
        <v>48</v>
      </c>
      <c r="AY2" s="5">
        <f t="shared" ref="AY2" si="39">AX2+1</f>
        <v>49</v>
      </c>
      <c r="AZ2" s="5">
        <f t="shared" ref="AZ2" si="40">AY2+1</f>
        <v>50</v>
      </c>
      <c r="BA2" s="5">
        <f t="shared" ref="BA2" si="41">AZ2+1</f>
        <v>51</v>
      </c>
      <c r="BB2" s="5">
        <f t="shared" ref="BB2" si="42">BA2+1</f>
        <v>52</v>
      </c>
      <c r="BC2" s="5">
        <f t="shared" ref="BC2" si="43">BB2+1</f>
        <v>53</v>
      </c>
      <c r="BD2" s="5">
        <f t="shared" ref="BD2" si="44">BC2+1</f>
        <v>54</v>
      </c>
      <c r="BE2" s="5">
        <f t="shared" ref="BE2" si="45">BD2+1</f>
        <v>55</v>
      </c>
      <c r="BF2" s="5">
        <f t="shared" ref="BF2" si="46">BE2+1</f>
        <v>56</v>
      </c>
      <c r="BG2" s="5">
        <f t="shared" ref="BG2" si="47">BF2+1</f>
        <v>57</v>
      </c>
      <c r="BH2" s="5">
        <f t="shared" ref="BH2" si="48">BG2+1</f>
        <v>58</v>
      </c>
      <c r="BI2" s="5">
        <f t="shared" ref="BI2" si="49">BH2+1</f>
        <v>59</v>
      </c>
      <c r="BJ2" s="5">
        <f t="shared" ref="BJ2" si="50">BI2+1</f>
        <v>60</v>
      </c>
      <c r="BK2" s="5">
        <f t="shared" ref="BK2" si="51">BJ2+1</f>
        <v>61</v>
      </c>
      <c r="BL2" s="5">
        <f t="shared" ref="BL2" si="52">BK2+1</f>
        <v>62</v>
      </c>
      <c r="BM2" s="5">
        <f t="shared" ref="BM2" si="53">BL2+1</f>
        <v>63</v>
      </c>
      <c r="BN2" s="5">
        <f t="shared" ref="BN2" si="54">BM2+1</f>
        <v>64</v>
      </c>
      <c r="BO2" s="5">
        <f t="shared" ref="BO2" si="55">BN2+1</f>
        <v>65</v>
      </c>
      <c r="BP2" s="5">
        <f t="shared" ref="BP2" si="56">BO2+1</f>
        <v>66</v>
      </c>
      <c r="BQ2" s="5">
        <f t="shared" ref="BQ2" si="57">BP2+1</f>
        <v>67</v>
      </c>
      <c r="BR2" s="5">
        <f t="shared" ref="BR2" si="58">BQ2+1</f>
        <v>68</v>
      </c>
      <c r="BS2" s="5">
        <f t="shared" ref="BS2" si="59">BR2+1</f>
        <v>69</v>
      </c>
      <c r="BT2" s="5">
        <f t="shared" ref="BT2" si="60">BS2+1</f>
        <v>70</v>
      </c>
      <c r="BU2" s="5">
        <f t="shared" ref="BU2" si="61">BT2+1</f>
        <v>71</v>
      </c>
      <c r="BV2" s="5">
        <f t="shared" ref="BV2" si="62">BU2+1</f>
        <v>72</v>
      </c>
      <c r="BW2" s="5">
        <f t="shared" ref="BW2" si="63">BV2+1</f>
        <v>73</v>
      </c>
      <c r="BX2" s="5">
        <f t="shared" ref="BX2" si="64">BW2+1</f>
        <v>74</v>
      </c>
      <c r="BY2" s="5">
        <f t="shared" ref="BY2" si="65">BX2+1</f>
        <v>75</v>
      </c>
      <c r="BZ2" s="5">
        <f t="shared" ref="BZ2" si="66">BY2+1</f>
        <v>76</v>
      </c>
      <c r="CA2" s="5">
        <f t="shared" ref="CA2" si="67">BZ2+1</f>
        <v>77</v>
      </c>
      <c r="CB2" s="5">
        <f t="shared" ref="CB2" si="68">CA2+1</f>
        <v>78</v>
      </c>
      <c r="CC2" s="5">
        <f t="shared" ref="CC2" si="69">CB2+1</f>
        <v>79</v>
      </c>
      <c r="CD2" s="5">
        <f t="shared" ref="CD2" si="70">CC2+1</f>
        <v>80</v>
      </c>
      <c r="CE2" s="5">
        <f t="shared" ref="CE2" si="71">CD2+1</f>
        <v>81</v>
      </c>
      <c r="CF2" s="5">
        <f t="shared" ref="CF2" si="72">CE2+1</f>
        <v>82</v>
      </c>
      <c r="CG2" s="5">
        <f t="shared" ref="CG2" si="73">CF2+1</f>
        <v>83</v>
      </c>
      <c r="CH2" s="5">
        <f t="shared" ref="CH2" si="74">CG2+1</f>
        <v>84</v>
      </c>
      <c r="CI2" s="5">
        <f t="shared" ref="CI2" si="75">CH2+1</f>
        <v>85</v>
      </c>
      <c r="CJ2" s="5">
        <f t="shared" ref="CJ2" si="76">CI2+1</f>
        <v>86</v>
      </c>
      <c r="CK2" s="5">
        <f t="shared" ref="CK2" si="77">CJ2+1</f>
        <v>87</v>
      </c>
      <c r="CL2" s="5">
        <f t="shared" ref="CL2" si="78">CK2+1</f>
        <v>88</v>
      </c>
      <c r="CM2" s="5">
        <f t="shared" ref="CM2" si="79">CL2+1</f>
        <v>89</v>
      </c>
      <c r="CN2" s="5">
        <f t="shared" ref="CN2" si="80">CM2+1</f>
        <v>90</v>
      </c>
      <c r="CO2" s="5">
        <f t="shared" ref="CO2" si="81">CN2+1</f>
        <v>91</v>
      </c>
      <c r="CP2" s="5">
        <f t="shared" ref="CP2" si="82">CO2+1</f>
        <v>92</v>
      </c>
      <c r="CQ2" s="5">
        <f t="shared" ref="CQ2" si="83">CP2+1</f>
        <v>93</v>
      </c>
      <c r="CR2" s="5">
        <f t="shared" ref="CR2" si="84">CQ2+1</f>
        <v>94</v>
      </c>
      <c r="CS2" s="5">
        <f t="shared" ref="CS2" si="85">CR2+1</f>
        <v>95</v>
      </c>
      <c r="CT2" s="5">
        <f t="shared" ref="CT2" si="86">CS2+1</f>
        <v>96</v>
      </c>
      <c r="CU2" s="5">
        <f t="shared" ref="CU2" si="87">CT2+1</f>
        <v>97</v>
      </c>
      <c r="CV2" s="5">
        <f t="shared" ref="CV2" si="88">CU2+1</f>
        <v>98</v>
      </c>
      <c r="CW2" s="5">
        <f t="shared" ref="CW2" si="89">CV2+1</f>
        <v>99</v>
      </c>
      <c r="CX2" s="5">
        <f t="shared" ref="CX2" si="90">CW2+1</f>
        <v>100</v>
      </c>
      <c r="CY2" s="264"/>
      <c r="CZ2" s="264"/>
      <c r="DA2" s="264"/>
      <c r="DB2" s="264"/>
      <c r="DC2" s="264"/>
    </row>
    <row r="3" spans="2:107" x14ac:dyDescent="0.3">
      <c r="B3" s="113" t="s">
        <v>109</v>
      </c>
      <c r="C3" s="119">
        <f>'Combined IFRS17 Cashflows'!F102</f>
        <v>377311.34859676246</v>
      </c>
      <c r="D3" s="119">
        <f>'Combined IFRS17 Cashflows'!G102</f>
        <v>1326145.2492529545</v>
      </c>
      <c r="E3" s="119">
        <f>'Combined IFRS17 Cashflows'!H102</f>
        <v>2588713.5910160155</v>
      </c>
      <c r="F3" s="119">
        <f>'Combined IFRS17 Cashflows'!I102</f>
        <v>3986402.8229159215</v>
      </c>
      <c r="G3" s="119">
        <f>'Combined IFRS17 Cashflows'!J102</f>
        <v>5689577.0344079593</v>
      </c>
      <c r="H3" s="119">
        <f>'Combined IFRS17 Cashflows'!K102</f>
        <v>7576831.0277580135</v>
      </c>
      <c r="I3" s="119">
        <f>'Combined IFRS17 Cashflows'!L102</f>
        <v>9544883.1596250031</v>
      </c>
      <c r="J3" s="119">
        <f>'Combined IFRS17 Cashflows'!M102</f>
        <v>11698805.043352582</v>
      </c>
      <c r="K3" s="119">
        <f>'Combined IFRS17 Cashflows'!N102</f>
        <v>14121402.994411618</v>
      </c>
      <c r="L3" s="119">
        <f>'Combined IFRS17 Cashflows'!O102</f>
        <v>16917186.825172756</v>
      </c>
      <c r="M3" s="119">
        <f>'Combined IFRS17 Cashflows'!P102</f>
        <v>16920997.853586473</v>
      </c>
      <c r="N3" s="119">
        <f>'Combined IFRS17 Cashflows'!Q102</f>
        <v>15304074.244626345</v>
      </c>
      <c r="O3" s="119">
        <f>'Combined IFRS17 Cashflows'!R102</f>
        <v>14154180.285325559</v>
      </c>
      <c r="P3" s="119">
        <f>'Combined IFRS17 Cashflows'!S102</f>
        <v>13087630.660362605</v>
      </c>
      <c r="Q3" s="119">
        <f>'Combined IFRS17 Cashflows'!T102</f>
        <v>12066584.910080398</v>
      </c>
      <c r="R3" s="119">
        <f>'Combined IFRS17 Cashflows'!U102</f>
        <v>11172954.088345289</v>
      </c>
      <c r="S3" s="119">
        <f>'Combined IFRS17 Cashflows'!V102</f>
        <v>10321197.049512584</v>
      </c>
      <c r="T3" s="119">
        <f>'Combined IFRS17 Cashflows'!W102</f>
        <v>9506279.9853195287</v>
      </c>
      <c r="U3" s="119">
        <f>'Combined IFRS17 Cashflows'!X102</f>
        <v>8723058.6106364671</v>
      </c>
      <c r="V3" s="119">
        <f>'Combined IFRS17 Cashflows'!Y102</f>
        <v>7965507.8947254661</v>
      </c>
      <c r="W3" s="119">
        <f>'Combined IFRS17 Cashflows'!Z102</f>
        <v>7372641.8913745852</v>
      </c>
      <c r="X3" s="119">
        <f>'Combined IFRS17 Cashflows'!AA102</f>
        <v>6803535.9635243909</v>
      </c>
      <c r="Y3" s="119">
        <f>'Combined IFRS17 Cashflows'!AB102</f>
        <v>6262276.4122593394</v>
      </c>
      <c r="Z3" s="119">
        <f>'Combined IFRS17 Cashflows'!AC102</f>
        <v>5750326.7585892556</v>
      </c>
      <c r="AA3" s="119">
        <f>'Combined IFRS17 Cashflows'!AD102</f>
        <v>5261316.7124631619</v>
      </c>
      <c r="AB3" s="119">
        <f>'Combined IFRS17 Cashflows'!AE102</f>
        <v>4801072.2647237331</v>
      </c>
      <c r="AC3" s="119">
        <f>'Combined IFRS17 Cashflows'!AF102</f>
        <v>4366998.3645483842</v>
      </c>
      <c r="AD3" s="119">
        <f>'Combined IFRS17 Cashflows'!AG102</f>
        <v>3955438.2603390105</v>
      </c>
      <c r="AE3" s="119">
        <f>'Combined IFRS17 Cashflows'!AH102</f>
        <v>3563134.8635767223</v>
      </c>
      <c r="AF3" s="119">
        <f>'Combined IFRS17 Cashflows'!AI102</f>
        <v>3185890.6983193294</v>
      </c>
      <c r="AG3" s="119">
        <f>'Combined IFRS17 Cashflows'!AJ102</f>
        <v>2919979.7676020199</v>
      </c>
      <c r="AH3" s="119">
        <f>'Combined IFRS17 Cashflows'!AK102</f>
        <v>2674266.4848463424</v>
      </c>
      <c r="AI3" s="119">
        <f>'Combined IFRS17 Cashflows'!AL102</f>
        <v>2445915.6110090404</v>
      </c>
      <c r="AJ3" s="119">
        <f>'Combined IFRS17 Cashflows'!AM102</f>
        <v>2233579.4010724905</v>
      </c>
      <c r="AK3" s="119">
        <f>'Combined IFRS17 Cashflows'!AN102</f>
        <v>2036151.0044151961</v>
      </c>
      <c r="AL3" s="119">
        <f>'Combined IFRS17 Cashflows'!AO102</f>
        <v>1852708.3062155817</v>
      </c>
      <c r="AM3" s="119">
        <f>'Combined IFRS17 Cashflows'!AP102</f>
        <v>1683804.7750064952</v>
      </c>
      <c r="AN3" s="119">
        <f>'Combined IFRS17 Cashflows'!AQ102</f>
        <v>1526773.1374628886</v>
      </c>
      <c r="AO3" s="119">
        <f>'Combined IFRS17 Cashflows'!AR102</f>
        <v>1381172.3007532544</v>
      </c>
      <c r="AP3" s="119">
        <f>'Combined IFRS17 Cashflows'!AS102</f>
        <v>1246466.4638161177</v>
      </c>
      <c r="AQ3" s="119">
        <f>'Combined IFRS17 Cashflows'!AT102</f>
        <v>1122039.0682518054</v>
      </c>
      <c r="AR3" s="119">
        <f>'Combined IFRS17 Cashflows'!AU102</f>
        <v>1007331.4736063309</v>
      </c>
      <c r="AS3" s="119">
        <f>'Combined IFRS17 Cashflows'!AV102</f>
        <v>901472.59778692876</v>
      </c>
      <c r="AT3" s="119">
        <f>'Combined IFRS17 Cashflows'!AW102</f>
        <v>803921.70935522427</v>
      </c>
      <c r="AU3" s="119">
        <f>'Combined IFRS17 Cashflows'!AX102</f>
        <v>714216.83580950357</v>
      </c>
      <c r="AV3" s="119">
        <f>'Combined IFRS17 Cashflows'!AY102</f>
        <v>631949.64708869555</v>
      </c>
      <c r="AW3" s="119">
        <f>'Combined IFRS17 Cashflows'!AZ102</f>
        <v>557241.83049206703</v>
      </c>
      <c r="AX3" s="119">
        <f>'Combined IFRS17 Cashflows'!BA102</f>
        <v>489113.42805483512</v>
      </c>
      <c r="AY3" s="119">
        <f>'Combined IFRS17 Cashflows'!BB102</f>
        <v>427311.90822848893</v>
      </c>
      <c r="AZ3" s="119">
        <f>'Combined IFRS17 Cashflows'!BC102</f>
        <v>371529.96986538987</v>
      </c>
      <c r="BA3" s="119">
        <f>'Combined IFRS17 Cashflows'!BD102</f>
        <v>321412.3931500928</v>
      </c>
      <c r="BB3" s="119">
        <f>'Combined IFRS17 Cashflows'!BE102</f>
        <v>276597.67417209985</v>
      </c>
      <c r="BC3" s="119">
        <f>'Combined IFRS17 Cashflows'!BF102</f>
        <v>236695.32332754455</v>
      </c>
      <c r="BD3" s="119">
        <f>'Combined IFRS17 Cashflows'!BG102</f>
        <v>201334.99702463692</v>
      </c>
      <c r="BE3" s="119">
        <f>'Combined IFRS17 Cashflows'!BH102</f>
        <v>170158.28252786127</v>
      </c>
      <c r="BF3" s="119">
        <f>'Combined IFRS17 Cashflows'!BI102</f>
        <v>142814.76222016948</v>
      </c>
      <c r="BG3" s="119">
        <f>'Combined IFRS17 Cashflows'!BJ102</f>
        <v>119122.73362429909</v>
      </c>
      <c r="BH3" s="119">
        <f>'Combined IFRS17 Cashflows'!BK102</f>
        <v>98583.543108645405</v>
      </c>
      <c r="BI3" s="119">
        <f>'Combined IFRS17 Cashflows'!BL102</f>
        <v>80935.552674689359</v>
      </c>
      <c r="BJ3" s="119">
        <f>'Combined IFRS17 Cashflows'!BM102</f>
        <v>65908.662714756094</v>
      </c>
      <c r="BK3" s="119">
        <f>'Combined IFRS17 Cashflows'!BN102</f>
        <v>53226.880335269627</v>
      </c>
      <c r="BL3" s="119">
        <f>'Combined IFRS17 Cashflows'!BO102</f>
        <v>42653.046936009261</v>
      </c>
      <c r="BM3" s="119">
        <f>'Combined IFRS17 Cashflows'!BP102</f>
        <v>33874.506340078267</v>
      </c>
      <c r="BN3" s="119">
        <f>'Combined IFRS17 Cashflows'!BQ102</f>
        <v>26655.772421474918</v>
      </c>
      <c r="BO3" s="119">
        <f>'Combined IFRS17 Cashflows'!BR102</f>
        <v>20773.779844843597</v>
      </c>
      <c r="BP3" s="119">
        <f>'Combined IFRS17 Cashflows'!BS102</f>
        <v>16019.260631856781</v>
      </c>
      <c r="BQ3" s="119">
        <f>'Combined IFRS17 Cashflows'!BT102</f>
        <v>12248.605555562799</v>
      </c>
      <c r="BR3" s="119">
        <f>'Combined IFRS17 Cashflows'!BU102</f>
        <v>9238.1427279384679</v>
      </c>
      <c r="BS3" s="119">
        <f>'Combined IFRS17 Cashflows'!BV102</f>
        <v>6858.0556941123968</v>
      </c>
      <c r="BT3" s="119">
        <f>'Combined IFRS17 Cashflows'!BW102</f>
        <v>4998.3132791647922</v>
      </c>
      <c r="BU3" s="119">
        <f>'Combined IFRS17 Cashflows'!BX102</f>
        <v>3564.4217425819165</v>
      </c>
      <c r="BV3" s="119">
        <f>'Combined IFRS17 Cashflows'!BY102</f>
        <v>2521.8570056466319</v>
      </c>
      <c r="BW3" s="119">
        <f>'Combined IFRS17 Cashflows'!BZ102</f>
        <v>1738.8306987958392</v>
      </c>
      <c r="BX3" s="119">
        <f>'Combined IFRS17 Cashflows'!CA102</f>
        <v>1165.7836964203655</v>
      </c>
      <c r="BY3" s="119">
        <f>'Combined IFRS17 Cashflows'!CB102</f>
        <v>758.08828641636808</v>
      </c>
      <c r="BZ3" s="119">
        <f>'Combined IFRS17 Cashflows'!CC102</f>
        <v>476.19392761261776</v>
      </c>
      <c r="CA3" s="119">
        <f>'Combined IFRS17 Cashflows'!CD102</f>
        <v>299.05587207739626</v>
      </c>
      <c r="CB3" s="119">
        <f>'Combined IFRS17 Cashflows'!CE102</f>
        <v>182.24228802816907</v>
      </c>
      <c r="CC3" s="119">
        <f>'Combined IFRS17 Cashflows'!CF102</f>
        <v>106.48118243908576</v>
      </c>
      <c r="CD3" s="119">
        <f>'Combined IFRS17 Cashflows'!CG102</f>
        <v>57.931468731211751</v>
      </c>
      <c r="CE3" s="119">
        <f>'Combined IFRS17 Cashflows'!CH102</f>
        <v>26.850174421356282</v>
      </c>
      <c r="CF3" s="119">
        <f>'Combined IFRS17 Cashflows'!CI102</f>
        <v>16.608913372546798</v>
      </c>
      <c r="CG3" s="119">
        <f>'Combined IFRS17 Cashflows'!CJ102</f>
        <v>9.6615403399162432</v>
      </c>
      <c r="CH3" s="119">
        <f>'Combined IFRS17 Cashflows'!CK102</f>
        <v>5.043485376733476</v>
      </c>
      <c r="CI3" s="119">
        <f>'Combined IFRS17 Cashflows'!CL102</f>
        <v>2.0098839973666442</v>
      </c>
      <c r="CJ3" s="119">
        <f>'Combined IFRS17 Cashflows'!CM102</f>
        <v>0</v>
      </c>
      <c r="CK3" s="119">
        <f>'Combined IFRS17 Cashflows'!CN102</f>
        <v>0</v>
      </c>
      <c r="CL3" s="119">
        <f>'Combined IFRS17 Cashflows'!CO102</f>
        <v>0</v>
      </c>
      <c r="CM3" s="119">
        <f>'Combined IFRS17 Cashflows'!CP102</f>
        <v>0</v>
      </c>
      <c r="CN3" s="119">
        <f>'Combined IFRS17 Cashflows'!CQ102</f>
        <v>0</v>
      </c>
      <c r="CO3" s="119">
        <f>'Combined IFRS17 Cashflows'!CR102</f>
        <v>0</v>
      </c>
      <c r="CP3" s="119">
        <f>'Combined IFRS17 Cashflows'!CS102</f>
        <v>0</v>
      </c>
      <c r="CQ3" s="119">
        <f>'Combined IFRS17 Cashflows'!CT102</f>
        <v>0</v>
      </c>
      <c r="CR3" s="119">
        <f>'Combined IFRS17 Cashflows'!CU102</f>
        <v>0</v>
      </c>
      <c r="CS3" s="119">
        <f>'Combined IFRS17 Cashflows'!CV102</f>
        <v>0</v>
      </c>
      <c r="CT3" s="119">
        <f>'Combined IFRS17 Cashflows'!CW102</f>
        <v>0</v>
      </c>
      <c r="CU3" s="119">
        <f>'Combined IFRS17 Cashflows'!CX102</f>
        <v>0</v>
      </c>
      <c r="CV3" s="119">
        <f>'Combined IFRS17 Cashflows'!CY102</f>
        <v>0</v>
      </c>
      <c r="CW3" s="119">
        <f>'Combined IFRS17 Cashflows'!CZ102</f>
        <v>0</v>
      </c>
      <c r="CX3" s="119">
        <f>'Combined IFRS17 Cashflows'!DA102</f>
        <v>0</v>
      </c>
      <c r="CY3" s="265"/>
      <c r="CZ3" s="265"/>
      <c r="DA3" s="265"/>
      <c r="DB3" s="265"/>
      <c r="DC3" s="265"/>
    </row>
    <row r="4" spans="2:107" x14ac:dyDescent="0.3">
      <c r="B4" s="113" t="s">
        <v>110</v>
      </c>
      <c r="C4" s="119">
        <f>'Combined IFRS17 Cashflows'!F103</f>
        <v>65528.979798451925</v>
      </c>
      <c r="D4" s="119">
        <f>'Combined IFRS17 Cashflows'!G103</f>
        <v>227719.29799301102</v>
      </c>
      <c r="E4" s="119">
        <f>'Combined IFRS17 Cashflows'!H103</f>
        <v>438282.08280671574</v>
      </c>
      <c r="F4" s="119">
        <f>'Combined IFRS17 Cashflows'!I103</f>
        <v>666984.03993893415</v>
      </c>
      <c r="G4" s="119">
        <f>'Combined IFRS17 Cashflows'!J103</f>
        <v>942126.01333463099</v>
      </c>
      <c r="H4" s="119">
        <f>'Combined IFRS17 Cashflows'!K103</f>
        <v>1250113.1594509983</v>
      </c>
      <c r="I4" s="119">
        <f>'Combined IFRS17 Cashflows'!L103</f>
        <v>1576269.3931360641</v>
      </c>
      <c r="J4" s="119">
        <f>'Combined IFRS17 Cashflows'!M103</f>
        <v>1937812.1917907051</v>
      </c>
      <c r="K4" s="119">
        <f>'Combined IFRS17 Cashflows'!N103</f>
        <v>2346433.7415361837</v>
      </c>
      <c r="L4" s="119">
        <f>'Combined IFRS17 Cashflows'!O103</f>
        <v>2820462.2845831672</v>
      </c>
      <c r="M4" s="119">
        <f>'Combined IFRS17 Cashflows'!P103</f>
        <v>2809717.8509896314</v>
      </c>
      <c r="N4" s="119">
        <f>'Combined IFRS17 Cashflows'!Q103</f>
        <v>2538084.175167317</v>
      </c>
      <c r="O4" s="119">
        <f>'Combined IFRS17 Cashflows'!R103</f>
        <v>2376544.4199620602</v>
      </c>
      <c r="P4" s="119">
        <f>'Combined IFRS17 Cashflows'!S103</f>
        <v>2234288.1511508808</v>
      </c>
      <c r="Q4" s="119">
        <f>'Combined IFRS17 Cashflows'!T103</f>
        <v>2140953.7936053374</v>
      </c>
      <c r="R4" s="119">
        <f>'Combined IFRS17 Cashflows'!U103</f>
        <v>2013418.5448571846</v>
      </c>
      <c r="S4" s="119">
        <f>'Combined IFRS17 Cashflows'!V103</f>
        <v>1882046.0570526805</v>
      </c>
      <c r="T4" s="119">
        <f>'Combined IFRS17 Cashflows'!W103</f>
        <v>1754056.671685206</v>
      </c>
      <c r="U4" s="119">
        <f>'Combined IFRS17 Cashflows'!X103</f>
        <v>1622525.6307648276</v>
      </c>
      <c r="V4" s="119">
        <f>'Combined IFRS17 Cashflows'!Y103</f>
        <v>1534698.4364499894</v>
      </c>
      <c r="W4" s="119">
        <f>'Combined IFRS17 Cashflows'!Z103</f>
        <v>1433495.7352770385</v>
      </c>
      <c r="X4" s="119">
        <f>'Combined IFRS17 Cashflows'!AA103</f>
        <v>1354427.3497224599</v>
      </c>
      <c r="Y4" s="119">
        <f>'Combined IFRS17 Cashflows'!AB103</f>
        <v>1288872.1478359131</v>
      </c>
      <c r="Z4" s="119">
        <f>'Combined IFRS17 Cashflows'!AC103</f>
        <v>1235625.15561062</v>
      </c>
      <c r="AA4" s="119">
        <f>'Combined IFRS17 Cashflows'!AD103</f>
        <v>1172226.3303117389</v>
      </c>
      <c r="AB4" s="119">
        <f>'Combined IFRS17 Cashflows'!AE103</f>
        <v>1125643.6641081828</v>
      </c>
      <c r="AC4" s="119">
        <f>'Combined IFRS17 Cashflows'!AF103</f>
        <v>1089947.1459634798</v>
      </c>
      <c r="AD4" s="119">
        <f>'Combined IFRS17 Cashflows'!AG103</f>
        <v>1058944.3623136617</v>
      </c>
      <c r="AE4" s="119">
        <f>'Combined IFRS17 Cashflows'!AH103</f>
        <v>1037600.1972006133</v>
      </c>
      <c r="AF4" s="119">
        <f>'Combined IFRS17 Cashflows'!AI103</f>
        <v>996426.6124264464</v>
      </c>
      <c r="AG4" s="119">
        <f>'Combined IFRS17 Cashflows'!AJ103</f>
        <v>1001866.078885996</v>
      </c>
      <c r="AH4" s="119">
        <f>'Combined IFRS17 Cashflows'!AK103</f>
        <v>1016891.6803971597</v>
      </c>
      <c r="AI4" s="119">
        <f>'Combined IFRS17 Cashflows'!AL103</f>
        <v>1031645.9871437532</v>
      </c>
      <c r="AJ4" s="119">
        <f>'Combined IFRS17 Cashflows'!AM103</f>
        <v>1048598.9209922575</v>
      </c>
      <c r="AK4" s="119">
        <f>'Combined IFRS17 Cashflows'!AN103</f>
        <v>1037664.2339376636</v>
      </c>
      <c r="AL4" s="119">
        <f>'Combined IFRS17 Cashflows'!AO103</f>
        <v>1052207.9360554256</v>
      </c>
      <c r="AM4" s="119">
        <f>'Combined IFRS17 Cashflows'!AP103</f>
        <v>1056347.2338445603</v>
      </c>
      <c r="AN4" s="119">
        <f>'Combined IFRS17 Cashflows'!AQ103</f>
        <v>1054956.2874047384</v>
      </c>
      <c r="AO4" s="119">
        <f>'Combined IFRS17 Cashflows'!AR103</f>
        <v>1051137.3303812053</v>
      </c>
      <c r="AP4" s="119">
        <f>'Combined IFRS17 Cashflows'!AS103</f>
        <v>1025173.9215620572</v>
      </c>
      <c r="AQ4" s="119">
        <f>'Combined IFRS17 Cashflows'!AT103</f>
        <v>1011171.8978692557</v>
      </c>
      <c r="AR4" s="119">
        <f>'Combined IFRS17 Cashflows'!AU103</f>
        <v>992185.29114767758</v>
      </c>
      <c r="AS4" s="119">
        <f>'Combined IFRS17 Cashflows'!AV103</f>
        <v>964760.63583204534</v>
      </c>
      <c r="AT4" s="119">
        <f>'Combined IFRS17 Cashflows'!AW103</f>
        <v>930916.75539026526</v>
      </c>
      <c r="AU4" s="119">
        <f>'Combined IFRS17 Cashflows'!AX103</f>
        <v>879492.30999857176</v>
      </c>
      <c r="AV4" s="119">
        <f>'Combined IFRS17 Cashflows'!AY103</f>
        <v>833595.2331115593</v>
      </c>
      <c r="AW4" s="119">
        <f>'Combined IFRS17 Cashflows'!AZ103</f>
        <v>783446.44396366307</v>
      </c>
      <c r="AX4" s="119">
        <f>'Combined IFRS17 Cashflows'!BA103</f>
        <v>730806.62358564406</v>
      </c>
      <c r="AY4" s="119">
        <f>'Combined IFRS17 Cashflows'!BB103</f>
        <v>677724.42618969455</v>
      </c>
      <c r="AZ4" s="119">
        <f>'Combined IFRS17 Cashflows'!BC103</f>
        <v>619314.43662563548</v>
      </c>
      <c r="BA4" s="119">
        <f>'Combined IFRS17 Cashflows'!BD103</f>
        <v>567638.76322384796</v>
      </c>
      <c r="BB4" s="119">
        <f>'Combined IFRS17 Cashflows'!BE103</f>
        <v>519517.18426606554</v>
      </c>
      <c r="BC4" s="119">
        <f>'Combined IFRS17 Cashflows'!BF103</f>
        <v>473495.22228542727</v>
      </c>
      <c r="BD4" s="119">
        <f>'Combined IFRS17 Cashflows'!BG103</f>
        <v>429494.83183831919</v>
      </c>
      <c r="BE4" s="119">
        <f>'Combined IFRS17 Cashflows'!BH103</f>
        <v>384673.74109178269</v>
      </c>
      <c r="BF4" s="119">
        <f>'Combined IFRS17 Cashflows'!BI103</f>
        <v>345020.80609766894</v>
      </c>
      <c r="BG4" s="119">
        <f>'Combined IFRS17 Cashflows'!BJ103</f>
        <v>306570.0020673502</v>
      </c>
      <c r="BH4" s="119">
        <f>'Combined IFRS17 Cashflows'!BK103</f>
        <v>270412.92998408596</v>
      </c>
      <c r="BI4" s="119">
        <f>'Combined IFRS17 Cashflows'!BL103</f>
        <v>237265.25648485162</v>
      </c>
      <c r="BJ4" s="119">
        <f>'Combined IFRS17 Cashflows'!BM103</f>
        <v>206287.03655119313</v>
      </c>
      <c r="BK4" s="119">
        <f>'Combined IFRS17 Cashflows'!BN103</f>
        <v>179733.50004155978</v>
      </c>
      <c r="BL4" s="119">
        <f>'Combined IFRS17 Cashflows'!BO103</f>
        <v>154192.15924349159</v>
      </c>
      <c r="BM4" s="119">
        <f>'Combined IFRS17 Cashflows'!BP103</f>
        <v>130304.99502606021</v>
      </c>
      <c r="BN4" s="119">
        <f>'Combined IFRS17 Cashflows'!BQ103</f>
        <v>108422.42646705532</v>
      </c>
      <c r="BO4" s="119">
        <f>'Combined IFRS17 Cashflows'!BR103</f>
        <v>88499.861749456657</v>
      </c>
      <c r="BP4" s="119">
        <f>'Combined IFRS17 Cashflows'!BS103</f>
        <v>72407.265678195457</v>
      </c>
      <c r="BQ4" s="119">
        <f>'Combined IFRS17 Cashflows'!BT103</f>
        <v>56851.209997522179</v>
      </c>
      <c r="BR4" s="119">
        <f>'Combined IFRS17 Cashflows'!BU103</f>
        <v>43111.390595371449</v>
      </c>
      <c r="BS4" s="119">
        <f>'Combined IFRS17 Cashflows'!BV103</f>
        <v>31482.717804652402</v>
      </c>
      <c r="BT4" s="119">
        <f>'Combined IFRS17 Cashflows'!BW103</f>
        <v>22084.986175350856</v>
      </c>
      <c r="BU4" s="119">
        <f>'Combined IFRS17 Cashflows'!BX103</f>
        <v>15640.207338397928</v>
      </c>
      <c r="BV4" s="119">
        <f>'Combined IFRS17 Cashflows'!BY103</f>
        <v>10233.672549378036</v>
      </c>
      <c r="BW4" s="119">
        <f>'Combined IFRS17 Cashflows'!BZ103</f>
        <v>6385.493904524129</v>
      </c>
      <c r="BX4" s="119">
        <f>'Combined IFRS17 Cashflows'!CA103</f>
        <v>3758.5837167716654</v>
      </c>
      <c r="BY4" s="119">
        <f>'Combined IFRS17 Cashflows'!CB103</f>
        <v>2165.0846024631205</v>
      </c>
      <c r="BZ4" s="119">
        <f>'Combined IFRS17 Cashflows'!CC103</f>
        <v>1742.6827365826803</v>
      </c>
      <c r="CA4" s="119">
        <f>'Combined IFRS17 Cashflows'!CD103</f>
        <v>1197.4503728274804</v>
      </c>
      <c r="CB4" s="119">
        <f>'Combined IFRS17 Cashflows'!CE103</f>
        <v>770.29658009763034</v>
      </c>
      <c r="CC4" s="119">
        <f>'Combined IFRS17 Cashflows'!CF103</f>
        <v>433.97651204478711</v>
      </c>
      <c r="CD4" s="119">
        <f>'Combined IFRS17 Cashflows'!CG103</f>
        <v>175.69191173381014</v>
      </c>
      <c r="CE4" s="119">
        <f>'Combined IFRS17 Cashflows'!CH103</f>
        <v>132.80643591377509</v>
      </c>
      <c r="CF4" s="119">
        <f>'Combined IFRS17 Cashflows'!CI103</f>
        <v>-19.983148357798896</v>
      </c>
      <c r="CG4" s="119">
        <f>'Combined IFRS17 Cashflows'!CJ103</f>
        <v>-50.616657101979939</v>
      </c>
      <c r="CH4" s="119">
        <f>'Combined IFRS17 Cashflows'!CK103</f>
        <v>-50.148494884855836</v>
      </c>
      <c r="CI4" s="119">
        <f>'Combined IFRS17 Cashflows'!CL103</f>
        <v>-42.539636980504525</v>
      </c>
      <c r="CJ4" s="119">
        <f>'Combined IFRS17 Cashflows'!CM103</f>
        <v>0</v>
      </c>
      <c r="CK4" s="119">
        <f>'Combined IFRS17 Cashflows'!CN103</f>
        <v>0</v>
      </c>
      <c r="CL4" s="119">
        <f>'Combined IFRS17 Cashflows'!CO103</f>
        <v>0</v>
      </c>
      <c r="CM4" s="119">
        <f>'Combined IFRS17 Cashflows'!CP103</f>
        <v>0</v>
      </c>
      <c r="CN4" s="119">
        <f>'Combined IFRS17 Cashflows'!CQ103</f>
        <v>0</v>
      </c>
      <c r="CO4" s="119">
        <f>'Combined IFRS17 Cashflows'!CR103</f>
        <v>0</v>
      </c>
      <c r="CP4" s="119">
        <f>'Combined IFRS17 Cashflows'!CS103</f>
        <v>0</v>
      </c>
      <c r="CQ4" s="119">
        <f>'Combined IFRS17 Cashflows'!CT103</f>
        <v>0</v>
      </c>
      <c r="CR4" s="119">
        <f>'Combined IFRS17 Cashflows'!CU103</f>
        <v>0</v>
      </c>
      <c r="CS4" s="119">
        <f>'Combined IFRS17 Cashflows'!CV103</f>
        <v>0</v>
      </c>
      <c r="CT4" s="119">
        <f>'Combined IFRS17 Cashflows'!CW103</f>
        <v>0</v>
      </c>
      <c r="CU4" s="119">
        <f>'Combined IFRS17 Cashflows'!CX103</f>
        <v>0</v>
      </c>
      <c r="CV4" s="119">
        <f>'Combined IFRS17 Cashflows'!CY103</f>
        <v>0</v>
      </c>
      <c r="CW4" s="119">
        <f>'Combined IFRS17 Cashflows'!CZ103</f>
        <v>0</v>
      </c>
      <c r="CX4" s="119">
        <f>'Combined IFRS17 Cashflows'!DA103</f>
        <v>0</v>
      </c>
      <c r="CY4" s="265"/>
      <c r="CZ4" s="265"/>
      <c r="DA4" s="265"/>
      <c r="DB4" s="265"/>
      <c r="DC4" s="265"/>
    </row>
    <row r="5" spans="2:107" x14ac:dyDescent="0.3">
      <c r="B5" s="113" t="s">
        <v>111</v>
      </c>
      <c r="C5" s="119">
        <f>'Combined IFRS17 Cashflows'!F104</f>
        <v>1860168.1917347617</v>
      </c>
      <c r="D5" s="119">
        <f>'Combined IFRS17 Cashflows'!G104</f>
        <v>5843916.917150856</v>
      </c>
      <c r="E5" s="119">
        <f>'Combined IFRS17 Cashflows'!H104</f>
        <v>10429292.308507152</v>
      </c>
      <c r="F5" s="119">
        <f>'Combined IFRS17 Cashflows'!I104</f>
        <v>14968324.354879815</v>
      </c>
      <c r="G5" s="119">
        <f>'Combined IFRS17 Cashflows'!J104</f>
        <v>20888814.822152406</v>
      </c>
      <c r="H5" s="119">
        <f>'Combined IFRS17 Cashflows'!K104</f>
        <v>27039221.678781562</v>
      </c>
      <c r="I5" s="119">
        <f>'Combined IFRS17 Cashflows'!L104</f>
        <v>33024318.447121594</v>
      </c>
      <c r="J5" s="119">
        <f>'Combined IFRS17 Cashflows'!M104</f>
        <v>39507318.839896642</v>
      </c>
      <c r="K5" s="119">
        <f>'Combined IFRS17 Cashflows'!N104</f>
        <v>47065996.904050723</v>
      </c>
      <c r="L5" s="119">
        <f>'Combined IFRS17 Cashflows'!O104</f>
        <v>55973978.007754698</v>
      </c>
      <c r="M5" s="119">
        <f>'Combined IFRS17 Cashflows'!P104</f>
        <v>50486000.383804061</v>
      </c>
      <c r="N5" s="119">
        <f>'Combined IFRS17 Cashflows'!Q104</f>
        <v>42101357.536889412</v>
      </c>
      <c r="O5" s="119">
        <f>'Combined IFRS17 Cashflows'!R104</f>
        <v>38053881.658243909</v>
      </c>
      <c r="P5" s="119">
        <f>'Combined IFRS17 Cashflows'!S104</f>
        <v>35653414.513269417</v>
      </c>
      <c r="Q5" s="119">
        <f>'Combined IFRS17 Cashflows'!T104</f>
        <v>30829326.262735762</v>
      </c>
      <c r="R5" s="119">
        <f>'Combined IFRS17 Cashflows'!U104</f>
        <v>29211918.484078348</v>
      </c>
      <c r="S5" s="119">
        <f>'Combined IFRS17 Cashflows'!V104</f>
        <v>28065630.832630862</v>
      </c>
      <c r="T5" s="119">
        <f>'Combined IFRS17 Cashflows'!W104</f>
        <v>27034949.779752389</v>
      </c>
      <c r="U5" s="119">
        <f>'Combined IFRS17 Cashflows'!X104</f>
        <v>26540353.387359135</v>
      </c>
      <c r="V5" s="119">
        <f>'Combined IFRS17 Cashflows'!Y104</f>
        <v>24055422.804054439</v>
      </c>
      <c r="W5" s="119">
        <f>'Combined IFRS17 Cashflows'!Z104</f>
        <v>23601168.127810918</v>
      </c>
      <c r="X5" s="119">
        <f>'Combined IFRS17 Cashflows'!AA104</f>
        <v>23010803.598301675</v>
      </c>
      <c r="Y5" s="119">
        <f>'Combined IFRS17 Cashflows'!AB104</f>
        <v>22322755.378806151</v>
      </c>
      <c r="Z5" s="119">
        <f>'Combined IFRS17 Cashflows'!AC104</f>
        <v>21619991.356593274</v>
      </c>
      <c r="AA5" s="119">
        <f>'Combined IFRS17 Cashflows'!AD104</f>
        <v>19606075.32394753</v>
      </c>
      <c r="AB5" s="119">
        <f>'Combined IFRS17 Cashflows'!AE104</f>
        <v>18667881.902288035</v>
      </c>
      <c r="AC5" s="119">
        <f>'Combined IFRS17 Cashflows'!AF104</f>
        <v>17704034.169271041</v>
      </c>
      <c r="AD5" s="119">
        <f>'Combined IFRS17 Cashflows'!AG104</f>
        <v>16755412.787585223</v>
      </c>
      <c r="AE5" s="119">
        <f>'Combined IFRS17 Cashflows'!AH104</f>
        <v>15893292.410063637</v>
      </c>
      <c r="AF5" s="119">
        <f>'Combined IFRS17 Cashflows'!AI104</f>
        <v>14380556.886869702</v>
      </c>
      <c r="AG5" s="119">
        <f>'Combined IFRS17 Cashflows'!AJ104</f>
        <v>13615328.688290017</v>
      </c>
      <c r="AH5" s="119">
        <f>'Combined IFRS17 Cashflows'!AK104</f>
        <v>12962615.387022085</v>
      </c>
      <c r="AI5" s="119">
        <f>'Combined IFRS17 Cashflows'!AL104</f>
        <v>12407627.786387272</v>
      </c>
      <c r="AJ5" s="119">
        <f>'Combined IFRS17 Cashflows'!AM104</f>
        <v>11943450.022506163</v>
      </c>
      <c r="AK5" s="119">
        <f>'Combined IFRS17 Cashflows'!AN104</f>
        <v>11135911.190637385</v>
      </c>
      <c r="AL5" s="119">
        <f>'Combined IFRS17 Cashflows'!AO104</f>
        <v>10577677.970757609</v>
      </c>
      <c r="AM5" s="119">
        <f>'Combined IFRS17 Cashflows'!AP104</f>
        <v>10191657.496041223</v>
      </c>
      <c r="AN5" s="119">
        <f>'Combined IFRS17 Cashflows'!AQ104</f>
        <v>9802250.3328988776</v>
      </c>
      <c r="AO5" s="119">
        <f>'Combined IFRS17 Cashflows'!AR104</f>
        <v>9429673.0369061977</v>
      </c>
      <c r="AP5" s="119">
        <f>'Combined IFRS17 Cashflows'!AS104</f>
        <v>8840852.3466530666</v>
      </c>
      <c r="AQ5" s="119">
        <f>'Combined IFRS17 Cashflows'!AT104</f>
        <v>8450701.5965841208</v>
      </c>
      <c r="AR5" s="119">
        <f>'Combined IFRS17 Cashflows'!AU104</f>
        <v>8047770.281715001</v>
      </c>
      <c r="AS5" s="119">
        <f>'Combined IFRS17 Cashflows'!AV104</f>
        <v>7630888.5866414998</v>
      </c>
      <c r="AT5" s="119">
        <f>'Combined IFRS17 Cashflows'!AW104</f>
        <v>7204527.5808235845</v>
      </c>
      <c r="AU5" s="119">
        <f>'Combined IFRS17 Cashflows'!AX104</f>
        <v>6639219.675156597</v>
      </c>
      <c r="AV5" s="119">
        <f>'Combined IFRS17 Cashflows'!AY104</f>
        <v>6134356.0582223199</v>
      </c>
      <c r="AW5" s="119">
        <f>'Combined IFRS17 Cashflows'!AZ104</f>
        <v>5670669.8133630501</v>
      </c>
      <c r="AX5" s="119">
        <f>'Combined IFRS17 Cashflows'!BA104</f>
        <v>5201822.5837462554</v>
      </c>
      <c r="AY5" s="119">
        <f>'Combined IFRS17 Cashflows'!BB104</f>
        <v>4743605.1370342178</v>
      </c>
      <c r="AZ5" s="119">
        <f>'Combined IFRS17 Cashflows'!BC104</f>
        <v>4244551.0871360525</v>
      </c>
      <c r="BA5" s="119">
        <f>'Combined IFRS17 Cashflows'!BD104</f>
        <v>3821604.1311072353</v>
      </c>
      <c r="BB5" s="119">
        <f>'Combined IFRS17 Cashflows'!BE104</f>
        <v>3437489.9245000663</v>
      </c>
      <c r="BC5" s="119">
        <f>'Combined IFRS17 Cashflows'!BF104</f>
        <v>3088827.8462360026</v>
      </c>
      <c r="BD5" s="119">
        <f>'Combined IFRS17 Cashflows'!BG104</f>
        <v>2772728.2611124236</v>
      </c>
      <c r="BE5" s="119">
        <f>'Combined IFRS17 Cashflows'!BH104</f>
        <v>2457487.4442682271</v>
      </c>
      <c r="BF5" s="119">
        <f>'Combined IFRS17 Cashflows'!BI104</f>
        <v>2158705.639309526</v>
      </c>
      <c r="BG5" s="119">
        <f>'Combined IFRS17 Cashflows'!BJ104</f>
        <v>1923003.3274582534</v>
      </c>
      <c r="BH5" s="119">
        <f>'Combined IFRS17 Cashflows'!BK104</f>
        <v>1703087.3999035188</v>
      </c>
      <c r="BI5" s="119">
        <f>'Combined IFRS17 Cashflows'!BL104</f>
        <v>1501365.2609077175</v>
      </c>
      <c r="BJ5" s="119">
        <f>'Combined IFRS17 Cashflows'!BM104</f>
        <v>1306395.9978907467</v>
      </c>
      <c r="BK5" s="119">
        <f>'Combined IFRS17 Cashflows'!BN104</f>
        <v>1136768.876465179</v>
      </c>
      <c r="BL5" s="119">
        <f>'Combined IFRS17 Cashflows'!BO104</f>
        <v>985499.17889078904</v>
      </c>
      <c r="BM5" s="119">
        <f>'Combined IFRS17 Cashflows'!BP104</f>
        <v>846908.87285804213</v>
      </c>
      <c r="BN5" s="119">
        <f>'Combined IFRS17 Cashflows'!BQ104</f>
        <v>720837.06780175969</v>
      </c>
      <c r="BO5" s="119">
        <f>'Combined IFRS17 Cashflows'!BR104</f>
        <v>602415.57479274797</v>
      </c>
      <c r="BP5" s="119">
        <f>'Combined IFRS17 Cashflows'!BS104</f>
        <v>494775.42511355365</v>
      </c>
      <c r="BQ5" s="119">
        <f>'Combined IFRS17 Cashflows'!BT104</f>
        <v>405674.30153083638</v>
      </c>
      <c r="BR5" s="119">
        <f>'Combined IFRS17 Cashflows'!BU104</f>
        <v>326221.04450166668</v>
      </c>
      <c r="BS5" s="119">
        <f>'Combined IFRS17 Cashflows'!BV104</f>
        <v>256832.53547474876</v>
      </c>
      <c r="BT5" s="119">
        <f>'Combined IFRS17 Cashflows'!BW104</f>
        <v>196589.09860757133</v>
      </c>
      <c r="BU5" s="119">
        <f>'Combined IFRS17 Cashflows'!BX104</f>
        <v>143840.53671588365</v>
      </c>
      <c r="BV5" s="119">
        <f>'Combined IFRS17 Cashflows'!BY104</f>
        <v>106619.02826800702</v>
      </c>
      <c r="BW5" s="119">
        <f>'Combined IFRS17 Cashflows'!BZ104</f>
        <v>77937.671221033583</v>
      </c>
      <c r="BX5" s="119">
        <f>'Combined IFRS17 Cashflows'!CA104</f>
        <v>56258.259640492688</v>
      </c>
      <c r="BY5" s="119">
        <f>'Combined IFRS17 Cashflows'!CB104</f>
        <v>40034.203928154348</v>
      </c>
      <c r="BZ5" s="119">
        <f>'Combined IFRS17 Cashflows'!CC104</f>
        <v>23368.59296981752</v>
      </c>
      <c r="CA5" s="119">
        <f>'Combined IFRS17 Cashflows'!CD104</f>
        <v>16680.270325309793</v>
      </c>
      <c r="CB5" s="119">
        <f>'Combined IFRS17 Cashflows'!CE104</f>
        <v>11757.907853683617</v>
      </c>
      <c r="CC5" s="119">
        <f>'Combined IFRS17 Cashflows'!CF104</f>
        <v>8186.6581493239073</v>
      </c>
      <c r="CD5" s="119">
        <f>'Combined IFRS17 Cashflows'!CG104</f>
        <v>5633.0428071984306</v>
      </c>
      <c r="CE5" s="119">
        <f>'Combined IFRS17 Cashflows'!CH104</f>
        <v>2852.7139550370985</v>
      </c>
      <c r="CF5" s="119">
        <f>'Combined IFRS17 Cashflows'!CI104</f>
        <v>1956.2766430776105</v>
      </c>
      <c r="CG5" s="119">
        <f>'Combined IFRS17 Cashflows'!CJ104</f>
        <v>1316.82650663094</v>
      </c>
      <c r="CH5" s="119">
        <f>'Combined IFRS17 Cashflows'!CK104</f>
        <v>878.89410145171223</v>
      </c>
      <c r="CI5" s="119">
        <f>'Combined IFRS17 Cashflows'!CL104</f>
        <v>593.0357067787229</v>
      </c>
      <c r="CJ5" s="119">
        <f>'Combined IFRS17 Cashflows'!CM104</f>
        <v>0</v>
      </c>
      <c r="CK5" s="119">
        <f>'Combined IFRS17 Cashflows'!CN104</f>
        <v>0</v>
      </c>
      <c r="CL5" s="119">
        <f>'Combined IFRS17 Cashflows'!CO104</f>
        <v>0</v>
      </c>
      <c r="CM5" s="119">
        <f>'Combined IFRS17 Cashflows'!CP104</f>
        <v>0</v>
      </c>
      <c r="CN5" s="119">
        <f>'Combined IFRS17 Cashflows'!CQ104</f>
        <v>0</v>
      </c>
      <c r="CO5" s="119">
        <f>'Combined IFRS17 Cashflows'!CR104</f>
        <v>0</v>
      </c>
      <c r="CP5" s="119">
        <f>'Combined IFRS17 Cashflows'!CS104</f>
        <v>0</v>
      </c>
      <c r="CQ5" s="119">
        <f>'Combined IFRS17 Cashflows'!CT104</f>
        <v>0</v>
      </c>
      <c r="CR5" s="119">
        <f>'Combined IFRS17 Cashflows'!CU104</f>
        <v>0</v>
      </c>
      <c r="CS5" s="119">
        <f>'Combined IFRS17 Cashflows'!CV104</f>
        <v>0</v>
      </c>
      <c r="CT5" s="119">
        <f>'Combined IFRS17 Cashflows'!CW104</f>
        <v>0</v>
      </c>
      <c r="CU5" s="119">
        <f>'Combined IFRS17 Cashflows'!CX104</f>
        <v>0</v>
      </c>
      <c r="CV5" s="119">
        <f>'Combined IFRS17 Cashflows'!CY104</f>
        <v>0</v>
      </c>
      <c r="CW5" s="119">
        <f>'Combined IFRS17 Cashflows'!CZ104</f>
        <v>0</v>
      </c>
      <c r="CX5" s="119">
        <f>'Combined IFRS17 Cashflows'!DA104</f>
        <v>0</v>
      </c>
      <c r="CY5" s="265"/>
      <c r="CZ5" s="265"/>
      <c r="DA5" s="265"/>
      <c r="DB5" s="265"/>
      <c r="DC5" s="265"/>
    </row>
    <row r="6" spans="2:107" x14ac:dyDescent="0.3">
      <c r="B6" s="113" t="s">
        <v>112</v>
      </c>
      <c r="C6" s="119">
        <f>'Combined IFRS17 Cashflows'!F105</f>
        <v>844426.20117359958</v>
      </c>
      <c r="D6" s="119">
        <f>'Combined IFRS17 Cashflows'!G105</f>
        <v>2917374.125096539</v>
      </c>
      <c r="E6" s="119">
        <f>'Combined IFRS17 Cashflows'!H105</f>
        <v>5653249.9147662232</v>
      </c>
      <c r="F6" s="119">
        <f>'Combined IFRS17 Cashflows'!I105</f>
        <v>8677433.5091500022</v>
      </c>
      <c r="G6" s="119">
        <f>'Combined IFRS17 Cashflows'!J105</f>
        <v>12372787.040488254</v>
      </c>
      <c r="H6" s="119">
        <f>'Combined IFRS17 Cashflows'!K105</f>
        <v>16437757.857642587</v>
      </c>
      <c r="I6" s="119">
        <f>'Combined IFRS17 Cashflows'!L105</f>
        <v>20674928.232592009</v>
      </c>
      <c r="J6" s="119">
        <f>'Combined IFRS17 Cashflows'!M105</f>
        <v>25310130.74849394</v>
      </c>
      <c r="K6" s="119">
        <f>'Combined IFRS17 Cashflows'!N105</f>
        <v>30525278.065662675</v>
      </c>
      <c r="L6" s="119">
        <f>'Combined IFRS17 Cashflows'!O105</f>
        <v>36549285.7408228</v>
      </c>
      <c r="M6" s="119">
        <f>'Combined IFRS17 Cashflows'!P105</f>
        <v>36287490.153954268</v>
      </c>
      <c r="N6" s="119">
        <f>'Combined IFRS17 Cashflows'!Q105</f>
        <v>32786644.345139824</v>
      </c>
      <c r="O6" s="119">
        <f>'Combined IFRS17 Cashflows'!R105</f>
        <v>30245738.454545654</v>
      </c>
      <c r="P6" s="119">
        <f>'Combined IFRS17 Cashflows'!S105</f>
        <v>27888748.560559597</v>
      </c>
      <c r="Q6" s="119">
        <f>'Combined IFRS17 Cashflows'!T105</f>
        <v>25644051.816007365</v>
      </c>
      <c r="R6" s="119">
        <f>'Combined IFRS17 Cashflows'!U105</f>
        <v>23711745.375293478</v>
      </c>
      <c r="S6" s="119">
        <f>'Combined IFRS17 Cashflows'!V105</f>
        <v>21885247.844342567</v>
      </c>
      <c r="T6" s="119">
        <f>'Combined IFRS17 Cashflows'!W105</f>
        <v>20137313.04702295</v>
      </c>
      <c r="U6" s="119">
        <f>'Combined IFRS17 Cashflows'!X105</f>
        <v>18453008.443525694</v>
      </c>
      <c r="V6" s="119">
        <f>'Combined IFRS17 Cashflows'!Y105</f>
        <v>16804839.663741875</v>
      </c>
      <c r="W6" s="119">
        <f>'Combined IFRS17 Cashflows'!Z105</f>
        <v>15527479.03655149</v>
      </c>
      <c r="X6" s="119">
        <f>'Combined IFRS17 Cashflows'!AA105</f>
        <v>14313066.88432535</v>
      </c>
      <c r="Y6" s="119">
        <f>'Combined IFRS17 Cashflows'!AB105</f>
        <v>13144110.832460491</v>
      </c>
      <c r="Z6" s="119">
        <f>'Combined IFRS17 Cashflows'!AC105</f>
        <v>12028672.244553274</v>
      </c>
      <c r="AA6" s="119">
        <f>'Combined IFRS17 Cashflows'!AD105</f>
        <v>10949021.168606289</v>
      </c>
      <c r="AB6" s="119">
        <f>'Combined IFRS17 Cashflows'!AE105</f>
        <v>9924269.5368742142</v>
      </c>
      <c r="AC6" s="119">
        <f>'Combined IFRS17 Cashflows'!AF105</f>
        <v>8977282.5710444972</v>
      </c>
      <c r="AD6" s="119">
        <f>'Combined IFRS17 Cashflows'!AG105</f>
        <v>8073767.5714184316</v>
      </c>
      <c r="AE6" s="119">
        <f>'Combined IFRS17 Cashflows'!AH105</f>
        <v>7204366.685733215</v>
      </c>
      <c r="AF6" s="119">
        <f>'Combined IFRS17 Cashflows'!AI105</f>
        <v>6355443.2576300874</v>
      </c>
      <c r="AG6" s="119">
        <f>'Combined IFRS17 Cashflows'!AJ105</f>
        <v>5835178.0950662931</v>
      </c>
      <c r="AH6" s="119">
        <f>'Combined IFRS17 Cashflows'!AK105</f>
        <v>5376431.0238481183</v>
      </c>
      <c r="AI6" s="119">
        <f>'Combined IFRS17 Cashflows'!AL105</f>
        <v>4955250.424400962</v>
      </c>
      <c r="AJ6" s="119">
        <f>'Combined IFRS17 Cashflows'!AM105</f>
        <v>4565742.4524490042</v>
      </c>
      <c r="AK6" s="119">
        <f>'Combined IFRS17 Cashflows'!AN105</f>
        <v>4203259.6004926693</v>
      </c>
      <c r="AL6" s="119">
        <f>'Combined IFRS17 Cashflows'!AO105</f>
        <v>3863970.2990632257</v>
      </c>
      <c r="AM6" s="119">
        <f>'Combined IFRS17 Cashflows'!AP105</f>
        <v>3557743.326801165</v>
      </c>
      <c r="AN6" s="119">
        <f>'Combined IFRS17 Cashflows'!AQ105</f>
        <v>3268919.3648232189</v>
      </c>
      <c r="AO6" s="119">
        <f>'Combined IFRS17 Cashflows'!AR105</f>
        <v>2996747.6994756716</v>
      </c>
      <c r="AP6" s="119">
        <f>'Combined IFRS17 Cashflows'!AS105</f>
        <v>2740232.500623316</v>
      </c>
      <c r="AQ6" s="119">
        <f>'Combined IFRS17 Cashflows'!AT105</f>
        <v>2498194.1662524357</v>
      </c>
      <c r="AR6" s="119">
        <f>'Combined IFRS17 Cashflows'!AU105</f>
        <v>2273380.2718105563</v>
      </c>
      <c r="AS6" s="119">
        <f>'Combined IFRS17 Cashflows'!AV105</f>
        <v>2062120.4676783672</v>
      </c>
      <c r="AT6" s="119">
        <f>'Combined IFRS17 Cashflows'!AW105</f>
        <v>1864229.8800883072</v>
      </c>
      <c r="AU6" s="119">
        <f>'Combined IFRS17 Cashflows'!AX105</f>
        <v>1679656.376040278</v>
      </c>
      <c r="AV6" s="119">
        <f>'Combined IFRS17 Cashflows'!AY105</f>
        <v>1508383.3989075078</v>
      </c>
      <c r="AW6" s="119">
        <f>'Combined IFRS17 Cashflows'!AZ105</f>
        <v>1352026.8691754832</v>
      </c>
      <c r="AX6" s="119">
        <f>'Combined IFRS17 Cashflows'!BA105</f>
        <v>1208402.9928219772</v>
      </c>
      <c r="AY6" s="119">
        <f>'Combined IFRS17 Cashflows'!BB105</f>
        <v>1077498.8630710666</v>
      </c>
      <c r="AZ6" s="119">
        <f>'Combined IFRS17 Cashflows'!BC105</f>
        <v>958936.80165455653</v>
      </c>
      <c r="BA6" s="119">
        <f>'Combined IFRS17 Cashflows'!BD105</f>
        <v>851984.23148160137</v>
      </c>
      <c r="BB6" s="119">
        <f>'Combined IFRS17 Cashflows'!BE105</f>
        <v>755878.08289379813</v>
      </c>
      <c r="BC6" s="119">
        <f>'Combined IFRS17 Cashflows'!BF105</f>
        <v>669294.48440204922</v>
      </c>
      <c r="BD6" s="119">
        <f>'Combined IFRS17 Cashflows'!BG105</f>
        <v>591091.00043616397</v>
      </c>
      <c r="BE6" s="119">
        <f>'Combined IFRS17 Cashflows'!BH105</f>
        <v>520323.47419561073</v>
      </c>
      <c r="BF6" s="119">
        <f>'Combined IFRS17 Cashflows'!BI105</f>
        <v>456205.63386037399</v>
      </c>
      <c r="BG6" s="119">
        <f>'Combined IFRS17 Cashflows'!BJ105</f>
        <v>399305.29222787428</v>
      </c>
      <c r="BH6" s="119">
        <f>'Combined IFRS17 Cashflows'!BK105</f>
        <v>347509.71619394515</v>
      </c>
      <c r="BI6" s="119">
        <f>'Combined IFRS17 Cashflows'!BL105</f>
        <v>300543.4444202297</v>
      </c>
      <c r="BJ6" s="119">
        <f>'Combined IFRS17 Cashflows'!BM105</f>
        <v>258077.91568126174</v>
      </c>
      <c r="BK6" s="119">
        <f>'Combined IFRS17 Cashflows'!BN105</f>
        <v>219756.63540270261</v>
      </c>
      <c r="BL6" s="119">
        <f>'Combined IFRS17 Cashflows'!BO105</f>
        <v>185321.77963735821</v>
      </c>
      <c r="BM6" s="119">
        <f>'Combined IFRS17 Cashflows'!BP105</f>
        <v>154506.67418515601</v>
      </c>
      <c r="BN6" s="119">
        <f>'Combined IFRS17 Cashflows'!BQ105</f>
        <v>127176.10308703009</v>
      </c>
      <c r="BO6" s="119">
        <f>'Combined IFRS17 Cashflows'!BR105</f>
        <v>103200.39082064181</v>
      </c>
      <c r="BP6" s="119">
        <f>'Combined IFRS17 Cashflows'!BS105</f>
        <v>82435.493542527343</v>
      </c>
      <c r="BQ6" s="119">
        <f>'Combined IFRS17 Cashflows'!BT105</f>
        <v>64896.669567575882</v>
      </c>
      <c r="BR6" s="119">
        <f>'Combined IFRS17 Cashflows'!BU105</f>
        <v>50152.552819991768</v>
      </c>
      <c r="BS6" s="119">
        <f>'Combined IFRS17 Cashflows'!BV105</f>
        <v>38049.067982282832</v>
      </c>
      <c r="BT6" s="119">
        <f>'Combined IFRS17 Cashflows'!BW105</f>
        <v>28362.71286659133</v>
      </c>
      <c r="BU6" s="119">
        <f>'Combined IFRS17 Cashflows'!BX105</f>
        <v>20802.043969491449</v>
      </c>
      <c r="BV6" s="119">
        <f>'Combined IFRS17 Cashflows'!BY105</f>
        <v>15161.054490379376</v>
      </c>
      <c r="BW6" s="119">
        <f>'Combined IFRS17 Cashflows'!BZ105</f>
        <v>10924.736177394561</v>
      </c>
      <c r="BX6" s="119">
        <f>'Combined IFRS17 Cashflows'!CA105</f>
        <v>7766.125922793497</v>
      </c>
      <c r="BY6" s="119">
        <f>'Combined IFRS17 Cashflows'!CB105</f>
        <v>5420.6307006446104</v>
      </c>
      <c r="BZ6" s="119">
        <f>'Combined IFRS17 Cashflows'!CC105</f>
        <v>3677.9951199838806</v>
      </c>
      <c r="CA6" s="119">
        <f>'Combined IFRS17 Cashflows'!CD105</f>
        <v>2666.8071470048721</v>
      </c>
      <c r="CB6" s="119">
        <f>'Combined IFRS17 Cashflows'!CE105</f>
        <v>1888.0742141070157</v>
      </c>
      <c r="CC6" s="119">
        <f>'Combined IFRS17 Cashflows'!CF105</f>
        <v>1298.1460411893318</v>
      </c>
      <c r="CD6" s="119">
        <f>'Combined IFRS17 Cashflows'!CG105</f>
        <v>859.49476276056851</v>
      </c>
      <c r="CE6" s="119">
        <f>'Combined IFRS17 Cashflows'!CH105</f>
        <v>538.56113456471576</v>
      </c>
      <c r="CF6" s="119">
        <f>'Combined IFRS17 Cashflows'!CI105</f>
        <v>343.86296721756253</v>
      </c>
      <c r="CG6" s="119">
        <f>'Combined IFRS17 Cashflows'!CJ105</f>
        <v>206.17905337467943</v>
      </c>
      <c r="CH6" s="119">
        <f>'Combined IFRS17 Cashflows'!CK105</f>
        <v>110.71070698550385</v>
      </c>
      <c r="CI6" s="119">
        <f>'Combined IFRS17 Cashflows'!CL105</f>
        <v>45.252498398443421</v>
      </c>
      <c r="CJ6" s="119">
        <f>'Combined IFRS17 Cashflows'!CM105</f>
        <v>0</v>
      </c>
      <c r="CK6" s="119">
        <f>'Combined IFRS17 Cashflows'!CN105</f>
        <v>0</v>
      </c>
      <c r="CL6" s="119">
        <f>'Combined IFRS17 Cashflows'!CO105</f>
        <v>0</v>
      </c>
      <c r="CM6" s="119">
        <f>'Combined IFRS17 Cashflows'!CP105</f>
        <v>0</v>
      </c>
      <c r="CN6" s="119">
        <f>'Combined IFRS17 Cashflows'!CQ105</f>
        <v>0</v>
      </c>
      <c r="CO6" s="119">
        <f>'Combined IFRS17 Cashflows'!CR105</f>
        <v>0</v>
      </c>
      <c r="CP6" s="119">
        <f>'Combined IFRS17 Cashflows'!CS105</f>
        <v>0</v>
      </c>
      <c r="CQ6" s="119">
        <f>'Combined IFRS17 Cashflows'!CT105</f>
        <v>0</v>
      </c>
      <c r="CR6" s="119">
        <f>'Combined IFRS17 Cashflows'!CU105</f>
        <v>0</v>
      </c>
      <c r="CS6" s="119">
        <f>'Combined IFRS17 Cashflows'!CV105</f>
        <v>0</v>
      </c>
      <c r="CT6" s="119">
        <f>'Combined IFRS17 Cashflows'!CW105</f>
        <v>0</v>
      </c>
      <c r="CU6" s="119">
        <f>'Combined IFRS17 Cashflows'!CX105</f>
        <v>0</v>
      </c>
      <c r="CV6" s="119">
        <f>'Combined IFRS17 Cashflows'!CY105</f>
        <v>0</v>
      </c>
      <c r="CW6" s="119">
        <f>'Combined IFRS17 Cashflows'!CZ105</f>
        <v>0</v>
      </c>
      <c r="CX6" s="119">
        <f>'Combined IFRS17 Cashflows'!DA105</f>
        <v>0</v>
      </c>
      <c r="CY6" s="265"/>
      <c r="CZ6" s="265"/>
      <c r="DA6" s="265"/>
      <c r="DB6" s="265"/>
      <c r="DC6" s="265"/>
    </row>
    <row r="7" spans="2:107" x14ac:dyDescent="0.3">
      <c r="B7" s="113" t="s">
        <v>113</v>
      </c>
      <c r="C7" s="119">
        <f>'Combined IFRS17 Cashflows'!F106</f>
        <v>7563.5676930012714</v>
      </c>
      <c r="D7" s="119">
        <f>'Combined IFRS17 Cashflows'!G106</f>
        <v>26715.637562410924</v>
      </c>
      <c r="E7" s="119">
        <f>'Combined IFRS17 Cashflows'!H106</f>
        <v>52367.358703172387</v>
      </c>
      <c r="F7" s="119">
        <f>'Combined IFRS17 Cashflows'!I106</f>
        <v>80943.505337505499</v>
      </c>
      <c r="G7" s="119">
        <f>'Combined IFRS17 Cashflows'!J106</f>
        <v>115862.12191122223</v>
      </c>
      <c r="H7" s="119">
        <f>'Combined IFRS17 Cashflows'!K106</f>
        <v>154961.51802845954</v>
      </c>
      <c r="I7" s="119">
        <f>'Combined IFRS17 Cashflows'!L106</f>
        <v>196130.84624795974</v>
      </c>
      <c r="J7" s="119">
        <f>'Combined IFRS17 Cashflows'!M106</f>
        <v>241384.35474309549</v>
      </c>
      <c r="K7" s="119">
        <f>'Combined IFRS17 Cashflows'!N106</f>
        <v>292371.91950017423</v>
      </c>
      <c r="L7" s="119">
        <f>'Combined IFRS17 Cashflows'!O106</f>
        <v>351320.82177155005</v>
      </c>
      <c r="M7" s="119">
        <f>'Combined IFRS17 Cashflows'!P106</f>
        <v>355098.29514859314</v>
      </c>
      <c r="N7" s="119">
        <f>'Combined IFRS17 Cashflows'!Q106</f>
        <v>326102.65542440576</v>
      </c>
      <c r="O7" s="119">
        <f>'Combined IFRS17 Cashflows'!R106</f>
        <v>306409.98999632511</v>
      </c>
      <c r="P7" s="119">
        <f>'Combined IFRS17 Cashflows'!S106</f>
        <v>288345.02416330052</v>
      </c>
      <c r="Q7" s="119">
        <f>'Combined IFRS17 Cashflows'!T106</f>
        <v>271377.448930541</v>
      </c>
      <c r="R7" s="119">
        <f>'Combined IFRS17 Cashflows'!U106</f>
        <v>255312.02114047547</v>
      </c>
      <c r="S7" s="119">
        <f>'Combined IFRS17 Cashflows'!V106</f>
        <v>240059.31091956588</v>
      </c>
      <c r="T7" s="119">
        <f>'Combined IFRS17 Cashflows'!W106</f>
        <v>225580.76435101093</v>
      </c>
      <c r="U7" s="119">
        <f>'Combined IFRS17 Cashflows'!X106</f>
        <v>211848.56343267768</v>
      </c>
      <c r="V7" s="119">
        <f>'Combined IFRS17 Cashflows'!Y106</f>
        <v>198833.89650364337</v>
      </c>
      <c r="W7" s="119">
        <f>'Combined IFRS17 Cashflows'!Z106</f>
        <v>186495.62397516894</v>
      </c>
      <c r="X7" s="119">
        <f>'Combined IFRS17 Cashflows'!AA106</f>
        <v>174813.98422877601</v>
      </c>
      <c r="Y7" s="119">
        <f>'Combined IFRS17 Cashflows'!AB106</f>
        <v>163723.43628796464</v>
      </c>
      <c r="Z7" s="119">
        <f>'Combined IFRS17 Cashflows'!AC106</f>
        <v>153202.46569858247</v>
      </c>
      <c r="AA7" s="119">
        <f>'Combined IFRS17 Cashflows'!AD106</f>
        <v>143232.99258661122</v>
      </c>
      <c r="AB7" s="119">
        <f>'Combined IFRS17 Cashflows'!AE106</f>
        <v>133799.70792697469</v>
      </c>
      <c r="AC7" s="119">
        <f>'Combined IFRS17 Cashflows'!AF106</f>
        <v>124880.66442519167</v>
      </c>
      <c r="AD7" s="119">
        <f>'Combined IFRS17 Cashflows'!AG106</f>
        <v>116374.19302531672</v>
      </c>
      <c r="AE7" s="119">
        <f>'Combined IFRS17 Cashflows'!AH106</f>
        <v>108267.40887666478</v>
      </c>
      <c r="AF7" s="119">
        <f>'Combined IFRS17 Cashflows'!AI106</f>
        <v>100547.17258594748</v>
      </c>
      <c r="AG7" s="119">
        <f>'Combined IFRS17 Cashflows'!AJ106</f>
        <v>93201.10637537943</v>
      </c>
      <c r="AH7" s="119">
        <f>'Combined IFRS17 Cashflows'!AK106</f>
        <v>86219.75999336371</v>
      </c>
      <c r="AI7" s="119">
        <f>'Combined IFRS17 Cashflows'!AL106</f>
        <v>79593.220710449532</v>
      </c>
      <c r="AJ7" s="119">
        <f>'Combined IFRS17 Cashflows'!AM106</f>
        <v>73312.778165516764</v>
      </c>
      <c r="AK7" s="119">
        <f>'Combined IFRS17 Cashflows'!AN106</f>
        <v>67371.041831510011</v>
      </c>
      <c r="AL7" s="119">
        <f>'Combined IFRS17 Cashflows'!AO106</f>
        <v>61761.660769009781</v>
      </c>
      <c r="AM7" s="119">
        <f>'Combined IFRS17 Cashflows'!AP106</f>
        <v>56479.218125410225</v>
      </c>
      <c r="AN7" s="119">
        <f>'Combined IFRS17 Cashflows'!AQ106</f>
        <v>51492.668534837634</v>
      </c>
      <c r="AO7" s="119">
        <f>'Combined IFRS17 Cashflows'!AR106</f>
        <v>46796.142248687509</v>
      </c>
      <c r="AP7" s="119">
        <f>'Combined IFRS17 Cashflows'!AS106</f>
        <v>42383.827575641786</v>
      </c>
      <c r="AQ7" s="119">
        <f>'Combined IFRS17 Cashflows'!AT106</f>
        <v>38249.800619622802</v>
      </c>
      <c r="AR7" s="119">
        <f>'Combined IFRS17 Cashflows'!AU106</f>
        <v>34387.97272909867</v>
      </c>
      <c r="AS7" s="119">
        <f>'Combined IFRS17 Cashflows'!AV106</f>
        <v>30793.546606104952</v>
      </c>
      <c r="AT7" s="119">
        <f>'Combined IFRS17 Cashflows'!AW106</f>
        <v>27460.626277302788</v>
      </c>
      <c r="AU7" s="119">
        <f>'Combined IFRS17 Cashflows'!AX106</f>
        <v>24382.350781142028</v>
      </c>
      <c r="AV7" s="119">
        <f>'Combined IFRS17 Cashflows'!AY106</f>
        <v>21550.978733334076</v>
      </c>
      <c r="AW7" s="119">
        <f>'Combined IFRS17 Cashflows'!AZ106</f>
        <v>18957.566593112271</v>
      </c>
      <c r="AX7" s="119">
        <f>'Combined IFRS17 Cashflows'!BA106</f>
        <v>16591.461391996865</v>
      </c>
      <c r="AY7" s="119">
        <f>'Combined IFRS17 Cashflows'!BB106</f>
        <v>14442.809788765499</v>
      </c>
      <c r="AZ7" s="119">
        <f>'Combined IFRS17 Cashflows'!BC106</f>
        <v>12501.040803361075</v>
      </c>
      <c r="BA7" s="119">
        <f>'Combined IFRS17 Cashflows'!BD106</f>
        <v>10754.904508940306</v>
      </c>
      <c r="BB7" s="119">
        <f>'Combined IFRS17 Cashflows'!BE106</f>
        <v>9192.9196684375129</v>
      </c>
      <c r="BC7" s="119">
        <f>'Combined IFRS17 Cashflows'!BF106</f>
        <v>7806.1021122374977</v>
      </c>
      <c r="BD7" s="119">
        <f>'Combined IFRS17 Cashflows'!BG106</f>
        <v>6584.8701269467429</v>
      </c>
      <c r="BE7" s="119">
        <f>'Combined IFRS17 Cashflows'!BH106</f>
        <v>5518.691847004694</v>
      </c>
      <c r="BF7" s="119">
        <f>'Combined IFRS17 Cashflows'!BI106</f>
        <v>4596.0248843246682</v>
      </c>
      <c r="BG7" s="119">
        <f>'Combined IFRS17 Cashflows'!BJ106</f>
        <v>3805.8688364121817</v>
      </c>
      <c r="BH7" s="119">
        <f>'Combined IFRS17 Cashflows'!BK106</f>
        <v>3132.8290181980351</v>
      </c>
      <c r="BI7" s="119">
        <f>'Combined IFRS17 Cashflows'!BL106</f>
        <v>2564.2131635702858</v>
      </c>
      <c r="BJ7" s="119">
        <f>'Combined IFRS17 Cashflows'!BM106</f>
        <v>2086.9805566081382</v>
      </c>
      <c r="BK7" s="119">
        <f>'Combined IFRS17 Cashflows'!BN106</f>
        <v>1688.2112986882191</v>
      </c>
      <c r="BL7" s="119">
        <f>'Combined IFRS17 Cashflows'!BO106</f>
        <v>1356.6050651014966</v>
      </c>
      <c r="BM7" s="119">
        <f>'Combined IFRS17 Cashflows'!BP106</f>
        <v>1081.2823868748662</v>
      </c>
      <c r="BN7" s="119">
        <f>'Combined IFRS17 Cashflows'!BQ106</f>
        <v>853.76020681890304</v>
      </c>
      <c r="BO7" s="119">
        <f>'Combined IFRS17 Cashflows'!BR106</f>
        <v>667.07948644506064</v>
      </c>
      <c r="BP7" s="119">
        <f>'Combined IFRS17 Cashflows'!BS106</f>
        <v>515.35449524550563</v>
      </c>
      <c r="BQ7" s="119">
        <f>'Combined IFRS17 Cashflows'!BT106</f>
        <v>397.31207378396516</v>
      </c>
      <c r="BR7" s="119">
        <f>'Combined IFRS17 Cashflows'!BU106</f>
        <v>303.13689419189154</v>
      </c>
      <c r="BS7" s="119">
        <f>'Combined IFRS17 Cashflows'!BV106</f>
        <v>229.47505222824637</v>
      </c>
      <c r="BT7" s="119">
        <f>'Combined IFRS17 Cashflows'!BW106</f>
        <v>172.86776747273416</v>
      </c>
      <c r="BU7" s="119">
        <f>'Combined IFRS17 Cashflows'!BX106</f>
        <v>129.90331575046309</v>
      </c>
      <c r="BV7" s="119">
        <f>'Combined IFRS17 Cashflows'!BY106</f>
        <v>97.683081670742411</v>
      </c>
      <c r="BW7" s="119">
        <f>'Combined IFRS17 Cashflows'!BZ106</f>
        <v>73.321295432002486</v>
      </c>
      <c r="BX7" s="119">
        <f>'Combined IFRS17 Cashflows'!CA106</f>
        <v>54.704586404605877</v>
      </c>
      <c r="BY7" s="119">
        <f>'Combined IFRS17 Cashflows'!CB106</f>
        <v>40.313022537382217</v>
      </c>
      <c r="BZ7" s="119">
        <f>'Combined IFRS17 Cashflows'!CC106</f>
        <v>29.070747850715946</v>
      </c>
      <c r="CA7" s="119">
        <f>'Combined IFRS17 Cashflows'!CD106</f>
        <v>21.626134046670437</v>
      </c>
      <c r="CB7" s="119">
        <f>'Combined IFRS17 Cashflows'!CE106</f>
        <v>15.607918937491142</v>
      </c>
      <c r="CC7" s="119">
        <f>'Combined IFRS17 Cashflows'!CF106</f>
        <v>10.896588254793452</v>
      </c>
      <c r="CD7" s="119">
        <f>'Combined IFRS17 Cashflows'!CG106</f>
        <v>7.3336397651526104</v>
      </c>
      <c r="CE7" s="119">
        <f>'Combined IFRS17 Cashflows'!CH106</f>
        <v>4.7281134040263675</v>
      </c>
      <c r="CF7" s="119">
        <f>'Combined IFRS17 Cashflows'!CI106</f>
        <v>2.9222947590825572</v>
      </c>
      <c r="CG7" s="119">
        <f>'Combined IFRS17 Cashflows'!CJ106</f>
        <v>1.6985785925923214</v>
      </c>
      <c r="CH7" s="119">
        <f>'Combined IFRS17 Cashflows'!CK106</f>
        <v>0.88603159172409141</v>
      </c>
      <c r="CI7" s="119">
        <f>'Combined IFRS17 Cashflows'!CL106</f>
        <v>0.35285906497846942</v>
      </c>
      <c r="CJ7" s="119">
        <f>'Combined IFRS17 Cashflows'!CM106</f>
        <v>0</v>
      </c>
      <c r="CK7" s="119">
        <f>'Combined IFRS17 Cashflows'!CN106</f>
        <v>0</v>
      </c>
      <c r="CL7" s="119">
        <f>'Combined IFRS17 Cashflows'!CO106</f>
        <v>0</v>
      </c>
      <c r="CM7" s="119">
        <f>'Combined IFRS17 Cashflows'!CP106</f>
        <v>0</v>
      </c>
      <c r="CN7" s="119">
        <f>'Combined IFRS17 Cashflows'!CQ106</f>
        <v>0</v>
      </c>
      <c r="CO7" s="119">
        <f>'Combined IFRS17 Cashflows'!CR106</f>
        <v>0</v>
      </c>
      <c r="CP7" s="119">
        <f>'Combined IFRS17 Cashflows'!CS106</f>
        <v>0</v>
      </c>
      <c r="CQ7" s="119">
        <f>'Combined IFRS17 Cashflows'!CT106</f>
        <v>0</v>
      </c>
      <c r="CR7" s="119">
        <f>'Combined IFRS17 Cashflows'!CU106</f>
        <v>0</v>
      </c>
      <c r="CS7" s="119">
        <f>'Combined IFRS17 Cashflows'!CV106</f>
        <v>0</v>
      </c>
      <c r="CT7" s="119">
        <f>'Combined IFRS17 Cashflows'!CW106</f>
        <v>0</v>
      </c>
      <c r="CU7" s="119">
        <f>'Combined IFRS17 Cashflows'!CX106</f>
        <v>0</v>
      </c>
      <c r="CV7" s="119">
        <f>'Combined IFRS17 Cashflows'!CY106</f>
        <v>0</v>
      </c>
      <c r="CW7" s="119">
        <f>'Combined IFRS17 Cashflows'!CZ106</f>
        <v>0</v>
      </c>
      <c r="CX7" s="119">
        <f>'Combined IFRS17 Cashflows'!DA106</f>
        <v>0</v>
      </c>
      <c r="CY7" s="265"/>
      <c r="CZ7" s="265"/>
      <c r="DA7" s="265"/>
      <c r="DB7" s="265"/>
      <c r="DC7" s="265"/>
    </row>
    <row r="8" spans="2:107" x14ac:dyDescent="0.3">
      <c r="B8" s="117" t="s">
        <v>114</v>
      </c>
      <c r="C8" s="120">
        <f>SUM(C3:C7)</f>
        <v>3154998.2889965768</v>
      </c>
      <c r="D8" s="120">
        <f t="shared" ref="D8:L8" si="91">SUM(D3:D7)</f>
        <v>10341871.227055771</v>
      </c>
      <c r="E8" s="120">
        <f t="shared" si="91"/>
        <v>19161905.255799279</v>
      </c>
      <c r="F8" s="120">
        <f t="shared" si="91"/>
        <v>28380088.232222181</v>
      </c>
      <c r="G8" s="120">
        <f t="shared" si="91"/>
        <v>40009167.032294475</v>
      </c>
      <c r="H8" s="120">
        <f t="shared" si="91"/>
        <v>52458885.241661616</v>
      </c>
      <c r="I8" s="120">
        <f t="shared" si="91"/>
        <v>65016530.078722626</v>
      </c>
      <c r="J8" s="120">
        <f t="shared" si="91"/>
        <v>78695451.178276956</v>
      </c>
      <c r="K8" s="120">
        <f t="shared" si="91"/>
        <v>94351483.62516138</v>
      </c>
      <c r="L8" s="120">
        <f t="shared" si="91"/>
        <v>112612233.68010496</v>
      </c>
      <c r="M8" s="120">
        <f t="shared" ref="M8:AM8" si="92">SUM(M3:M7)</f>
        <v>106859304.53748302</v>
      </c>
      <c r="N8" s="120">
        <f t="shared" si="92"/>
        <v>93056262.957247302</v>
      </c>
      <c r="O8" s="120">
        <f t="shared" si="92"/>
        <v>85136754.808073506</v>
      </c>
      <c r="P8" s="120">
        <f t="shared" si="92"/>
        <v>79152426.909505799</v>
      </c>
      <c r="Q8" s="120">
        <f t="shared" si="92"/>
        <v>70952294.231359407</v>
      </c>
      <c r="R8" s="120">
        <f t="shared" si="92"/>
        <v>66365348.513714783</v>
      </c>
      <c r="S8" s="120">
        <f t="shared" si="92"/>
        <v>62394181.09445826</v>
      </c>
      <c r="T8" s="120">
        <f t="shared" si="92"/>
        <v>58658180.248131081</v>
      </c>
      <c r="U8" s="120">
        <f t="shared" si="92"/>
        <v>55550794.6357188</v>
      </c>
      <c r="V8" s="120">
        <f t="shared" si="92"/>
        <v>50559302.695475414</v>
      </c>
      <c r="W8" s="120">
        <f t="shared" si="92"/>
        <v>48121280.414989203</v>
      </c>
      <c r="X8" s="120">
        <f t="shared" si="92"/>
        <v>45656647.780102648</v>
      </c>
      <c r="Y8" s="120">
        <f t="shared" si="92"/>
        <v>43181738.207649857</v>
      </c>
      <c r="Z8" s="120">
        <f t="shared" si="92"/>
        <v>40787817.981045008</v>
      </c>
      <c r="AA8" s="120">
        <f t="shared" si="92"/>
        <v>37131872.527915329</v>
      </c>
      <c r="AB8" s="120">
        <f t="shared" si="92"/>
        <v>34652667.075921141</v>
      </c>
      <c r="AC8" s="120">
        <f t="shared" si="92"/>
        <v>32263142.915252592</v>
      </c>
      <c r="AD8" s="120">
        <f t="shared" si="92"/>
        <v>29959937.174681641</v>
      </c>
      <c r="AE8" s="120">
        <f t="shared" si="92"/>
        <v>27806661.565450851</v>
      </c>
      <c r="AF8" s="120">
        <f t="shared" si="92"/>
        <v>25018864.627831515</v>
      </c>
      <c r="AG8" s="120">
        <f t="shared" si="92"/>
        <v>23465553.736219704</v>
      </c>
      <c r="AH8" s="120">
        <f t="shared" si="92"/>
        <v>22116424.336107071</v>
      </c>
      <c r="AI8" s="120">
        <f t="shared" si="92"/>
        <v>20920033.029651478</v>
      </c>
      <c r="AJ8" s="120">
        <f t="shared" si="92"/>
        <v>19864683.575185429</v>
      </c>
      <c r="AK8" s="120">
        <f t="shared" si="92"/>
        <v>18480357.071314424</v>
      </c>
      <c r="AL8" s="120">
        <f t="shared" si="92"/>
        <v>17408326.17286085</v>
      </c>
      <c r="AM8" s="120">
        <f t="shared" si="92"/>
        <v>16546032.049818855</v>
      </c>
      <c r="AN8" s="120">
        <f t="shared" ref="AN8:BJ8" si="93">SUM(AN3:AN7)</f>
        <v>15704391.79112456</v>
      </c>
      <c r="AO8" s="120">
        <f t="shared" si="93"/>
        <v>14905526.509765018</v>
      </c>
      <c r="AP8" s="120">
        <f t="shared" si="93"/>
        <v>13895109.060230199</v>
      </c>
      <c r="AQ8" s="120">
        <f t="shared" si="93"/>
        <v>13120356.52957724</v>
      </c>
      <c r="AR8" s="120">
        <f t="shared" si="93"/>
        <v>12355055.291008664</v>
      </c>
      <c r="AS8" s="120">
        <f t="shared" si="93"/>
        <v>11590035.834544946</v>
      </c>
      <c r="AT8" s="120">
        <f t="shared" si="93"/>
        <v>10831056.551934684</v>
      </c>
      <c r="AU8" s="120">
        <f t="shared" si="93"/>
        <v>9936967.5477860942</v>
      </c>
      <c r="AV8" s="120">
        <f t="shared" si="93"/>
        <v>9129835.3160634171</v>
      </c>
      <c r="AW8" s="120">
        <f t="shared" si="93"/>
        <v>8382342.5235873759</v>
      </c>
      <c r="AX8" s="120">
        <f t="shared" si="93"/>
        <v>7646737.0896007083</v>
      </c>
      <c r="AY8" s="120">
        <f t="shared" si="93"/>
        <v>6940583.1443122327</v>
      </c>
      <c r="AZ8" s="120">
        <f t="shared" si="93"/>
        <v>6206833.3360849954</v>
      </c>
      <c r="BA8" s="120">
        <f t="shared" si="93"/>
        <v>5573394.4234717172</v>
      </c>
      <c r="BB8" s="120">
        <f t="shared" si="93"/>
        <v>4998675.7855004678</v>
      </c>
      <c r="BC8" s="120">
        <f t="shared" si="93"/>
        <v>4476118.9783632606</v>
      </c>
      <c r="BD8" s="120">
        <f t="shared" si="93"/>
        <v>4001233.9605384907</v>
      </c>
      <c r="BE8" s="120">
        <f t="shared" si="93"/>
        <v>3538161.6339304862</v>
      </c>
      <c r="BF8" s="120">
        <f t="shared" si="93"/>
        <v>3107342.8663720628</v>
      </c>
      <c r="BG8" s="120">
        <f t="shared" si="93"/>
        <v>2751807.2242141888</v>
      </c>
      <c r="BH8" s="120">
        <f t="shared" si="93"/>
        <v>2422726.4182083933</v>
      </c>
      <c r="BI8" s="120">
        <f t="shared" si="93"/>
        <v>2122673.7276510587</v>
      </c>
      <c r="BJ8" s="120">
        <f t="shared" si="93"/>
        <v>1838756.5933945659</v>
      </c>
      <c r="BK8" s="120">
        <f t="shared" ref="BK8:CX8" si="94">SUM(BK3:BK7)</f>
        <v>1591174.1035433994</v>
      </c>
      <c r="BL8" s="120">
        <f t="shared" si="94"/>
        <v>1369022.7697727496</v>
      </c>
      <c r="BM8" s="120">
        <f t="shared" si="94"/>
        <v>1166676.3307962115</v>
      </c>
      <c r="BN8" s="120">
        <f t="shared" si="94"/>
        <v>983945.129984139</v>
      </c>
      <c r="BO8" s="120">
        <f t="shared" si="94"/>
        <v>815556.68669413507</v>
      </c>
      <c r="BP8" s="120">
        <f t="shared" si="94"/>
        <v>666152.79946137872</v>
      </c>
      <c r="BQ8" s="120">
        <f t="shared" si="94"/>
        <v>540068.09872528119</v>
      </c>
      <c r="BR8" s="120">
        <f t="shared" si="94"/>
        <v>429026.26753916027</v>
      </c>
      <c r="BS8" s="120">
        <f t="shared" si="94"/>
        <v>333451.85200802464</v>
      </c>
      <c r="BT8" s="120">
        <f t="shared" si="94"/>
        <v>252207.97869615103</v>
      </c>
      <c r="BU8" s="120">
        <f t="shared" si="94"/>
        <v>183977.11308210541</v>
      </c>
      <c r="BV8" s="120">
        <f t="shared" si="94"/>
        <v>134633.2953950818</v>
      </c>
      <c r="BW8" s="120">
        <f t="shared" si="94"/>
        <v>97060.053297180115</v>
      </c>
      <c r="BX8" s="120">
        <f t="shared" si="94"/>
        <v>69003.457562882817</v>
      </c>
      <c r="BY8" s="120">
        <f t="shared" si="94"/>
        <v>48418.320540215827</v>
      </c>
      <c r="BZ8" s="120">
        <f t="shared" si="94"/>
        <v>29294.535501847415</v>
      </c>
      <c r="CA8" s="120">
        <f t="shared" si="94"/>
        <v>20865.209851266212</v>
      </c>
      <c r="CB8" s="120">
        <f t="shared" si="94"/>
        <v>14614.128854853921</v>
      </c>
      <c r="CC8" s="120">
        <f t="shared" si="94"/>
        <v>10036.158473251904</v>
      </c>
      <c r="CD8" s="120">
        <f t="shared" si="94"/>
        <v>6733.4945901891742</v>
      </c>
      <c r="CE8" s="120">
        <f t="shared" si="94"/>
        <v>3555.6598133409721</v>
      </c>
      <c r="CF8" s="120">
        <f t="shared" si="94"/>
        <v>2299.6876700690036</v>
      </c>
      <c r="CG8" s="120">
        <f t="shared" si="94"/>
        <v>1483.7490218361481</v>
      </c>
      <c r="CH8" s="120">
        <f t="shared" si="94"/>
        <v>945.38583052081776</v>
      </c>
      <c r="CI8" s="120">
        <f t="shared" si="94"/>
        <v>598.11131125900692</v>
      </c>
      <c r="CJ8" s="120">
        <f t="shared" si="94"/>
        <v>0</v>
      </c>
      <c r="CK8" s="120">
        <f t="shared" si="94"/>
        <v>0</v>
      </c>
      <c r="CL8" s="120">
        <f t="shared" si="94"/>
        <v>0</v>
      </c>
      <c r="CM8" s="120">
        <f t="shared" si="94"/>
        <v>0</v>
      </c>
      <c r="CN8" s="120">
        <f t="shared" si="94"/>
        <v>0</v>
      </c>
      <c r="CO8" s="120">
        <f t="shared" si="94"/>
        <v>0</v>
      </c>
      <c r="CP8" s="120">
        <f t="shared" si="94"/>
        <v>0</v>
      </c>
      <c r="CQ8" s="120">
        <f t="shared" si="94"/>
        <v>0</v>
      </c>
      <c r="CR8" s="120">
        <f t="shared" si="94"/>
        <v>0</v>
      </c>
      <c r="CS8" s="120">
        <f t="shared" si="94"/>
        <v>0</v>
      </c>
      <c r="CT8" s="120">
        <f t="shared" si="94"/>
        <v>0</v>
      </c>
      <c r="CU8" s="120">
        <f t="shared" si="94"/>
        <v>0</v>
      </c>
      <c r="CV8" s="120">
        <f t="shared" si="94"/>
        <v>0</v>
      </c>
      <c r="CW8" s="120">
        <f t="shared" si="94"/>
        <v>0</v>
      </c>
      <c r="CX8" s="120">
        <f t="shared" si="94"/>
        <v>0</v>
      </c>
      <c r="CY8" s="266"/>
      <c r="CZ8" s="266"/>
      <c r="DA8" s="266"/>
      <c r="DB8" s="266"/>
      <c r="DC8" s="266"/>
    </row>
    <row r="9" spans="2:107" x14ac:dyDescent="0.3">
      <c r="B9" s="117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265"/>
      <c r="CZ9" s="265"/>
      <c r="DA9" s="265"/>
      <c r="DB9" s="265"/>
      <c r="DC9" s="265"/>
    </row>
    <row r="10" spans="2:107" x14ac:dyDescent="0.3">
      <c r="B10" s="113" t="s">
        <v>115</v>
      </c>
      <c r="C10" s="119">
        <f>'Combined IFRS17 Cashflows'!F109</f>
        <v>-1860168.1917347617</v>
      </c>
      <c r="D10" s="119">
        <f>'Combined IFRS17 Cashflows'!G109</f>
        <v>-5843916.917150856</v>
      </c>
      <c r="E10" s="119">
        <f>'Combined IFRS17 Cashflows'!H109</f>
        <v>-10429292.308507152</v>
      </c>
      <c r="F10" s="119">
        <f>'Combined IFRS17 Cashflows'!I109</f>
        <v>-14968324.354879815</v>
      </c>
      <c r="G10" s="119">
        <f>'Combined IFRS17 Cashflows'!J109</f>
        <v>-20888814.822152406</v>
      </c>
      <c r="H10" s="119">
        <f>'Combined IFRS17 Cashflows'!K109</f>
        <v>-27039221.678781562</v>
      </c>
      <c r="I10" s="119">
        <f>'Combined IFRS17 Cashflows'!L109</f>
        <v>-33024318.447121594</v>
      </c>
      <c r="J10" s="119">
        <f>'Combined IFRS17 Cashflows'!M109</f>
        <v>-39507318.839896642</v>
      </c>
      <c r="K10" s="119">
        <f>'Combined IFRS17 Cashflows'!N109</f>
        <v>-47065996.904050723</v>
      </c>
      <c r="L10" s="119">
        <f>'Combined IFRS17 Cashflows'!O109</f>
        <v>-55973978.007754698</v>
      </c>
      <c r="M10" s="119">
        <f>'Combined IFRS17 Cashflows'!P109</f>
        <v>-50486000.383804061</v>
      </c>
      <c r="N10" s="119">
        <f>'Combined IFRS17 Cashflows'!Q109</f>
        <v>-42101357.536889412</v>
      </c>
      <c r="O10" s="119">
        <f>'Combined IFRS17 Cashflows'!R109</f>
        <v>-38053881.658243909</v>
      </c>
      <c r="P10" s="119">
        <f>'Combined IFRS17 Cashflows'!S109</f>
        <v>-35653414.513269417</v>
      </c>
      <c r="Q10" s="119">
        <f>'Combined IFRS17 Cashflows'!T109</f>
        <v>-30829326.262735762</v>
      </c>
      <c r="R10" s="119">
        <f>'Combined IFRS17 Cashflows'!U109</f>
        <v>-29211918.484078348</v>
      </c>
      <c r="S10" s="119">
        <f>'Combined IFRS17 Cashflows'!V109</f>
        <v>-28065630.832630862</v>
      </c>
      <c r="T10" s="119">
        <f>'Combined IFRS17 Cashflows'!W109</f>
        <v>-27034949.779752389</v>
      </c>
      <c r="U10" s="119">
        <f>'Combined IFRS17 Cashflows'!X109</f>
        <v>-26540353.387359135</v>
      </c>
      <c r="V10" s="119">
        <f>'Combined IFRS17 Cashflows'!Y109</f>
        <v>-24055422.804054439</v>
      </c>
      <c r="W10" s="119">
        <f>'Combined IFRS17 Cashflows'!Z109</f>
        <v>-23601168.127810918</v>
      </c>
      <c r="X10" s="119">
        <f>'Combined IFRS17 Cashflows'!AA109</f>
        <v>-23010803.598301675</v>
      </c>
      <c r="Y10" s="119">
        <f>'Combined IFRS17 Cashflows'!AB109</f>
        <v>-22322755.378806151</v>
      </c>
      <c r="Z10" s="119">
        <f>'Combined IFRS17 Cashflows'!AC109</f>
        <v>-21619991.356593274</v>
      </c>
      <c r="AA10" s="119">
        <f>'Combined IFRS17 Cashflows'!AD109</f>
        <v>-19606075.32394753</v>
      </c>
      <c r="AB10" s="119">
        <f>'Combined IFRS17 Cashflows'!AE109</f>
        <v>-18667881.902288035</v>
      </c>
      <c r="AC10" s="119">
        <f>'Combined IFRS17 Cashflows'!AF109</f>
        <v>-17704034.169271041</v>
      </c>
      <c r="AD10" s="119">
        <f>'Combined IFRS17 Cashflows'!AG109</f>
        <v>-16755412.787585223</v>
      </c>
      <c r="AE10" s="119">
        <f>'Combined IFRS17 Cashflows'!AH109</f>
        <v>-15893292.410063637</v>
      </c>
      <c r="AF10" s="119">
        <f>'Combined IFRS17 Cashflows'!AI109</f>
        <v>-14380556.886869702</v>
      </c>
      <c r="AG10" s="119">
        <f>'Combined IFRS17 Cashflows'!AJ109</f>
        <v>-13615328.688290017</v>
      </c>
      <c r="AH10" s="119">
        <f>'Combined IFRS17 Cashflows'!AK109</f>
        <v>-12962615.387022085</v>
      </c>
      <c r="AI10" s="119">
        <f>'Combined IFRS17 Cashflows'!AL109</f>
        <v>-12407627.786387272</v>
      </c>
      <c r="AJ10" s="119">
        <f>'Combined IFRS17 Cashflows'!AM109</f>
        <v>-11943450.022506163</v>
      </c>
      <c r="AK10" s="119">
        <f>'Combined IFRS17 Cashflows'!AN109</f>
        <v>-11135911.190637385</v>
      </c>
      <c r="AL10" s="119">
        <f>'Combined IFRS17 Cashflows'!AO109</f>
        <v>-10577677.970757609</v>
      </c>
      <c r="AM10" s="119">
        <f>'Combined IFRS17 Cashflows'!AP109</f>
        <v>-10191657.496041223</v>
      </c>
      <c r="AN10" s="119">
        <f>'Combined IFRS17 Cashflows'!AQ109</f>
        <v>-9802250.3328988776</v>
      </c>
      <c r="AO10" s="119">
        <f>'Combined IFRS17 Cashflows'!AR109</f>
        <v>-9429673.0369061977</v>
      </c>
      <c r="AP10" s="119">
        <f>'Combined IFRS17 Cashflows'!AS109</f>
        <v>-8840852.3466530666</v>
      </c>
      <c r="AQ10" s="119">
        <f>'Combined IFRS17 Cashflows'!AT109</f>
        <v>-8450701.5965841208</v>
      </c>
      <c r="AR10" s="119">
        <f>'Combined IFRS17 Cashflows'!AU109</f>
        <v>-8047770.281715001</v>
      </c>
      <c r="AS10" s="119">
        <f>'Combined IFRS17 Cashflows'!AV109</f>
        <v>-7630888.5866414998</v>
      </c>
      <c r="AT10" s="119">
        <f>'Combined IFRS17 Cashflows'!AW109</f>
        <v>-7204527.5808235845</v>
      </c>
      <c r="AU10" s="119">
        <f>'Combined IFRS17 Cashflows'!AX109</f>
        <v>-6639219.675156597</v>
      </c>
      <c r="AV10" s="119">
        <f>'Combined IFRS17 Cashflows'!AY109</f>
        <v>-6134356.0582223199</v>
      </c>
      <c r="AW10" s="119">
        <f>'Combined IFRS17 Cashflows'!AZ109</f>
        <v>-5670669.8133630501</v>
      </c>
      <c r="AX10" s="119">
        <f>'Combined IFRS17 Cashflows'!BA109</f>
        <v>-5201822.5837462554</v>
      </c>
      <c r="AY10" s="119">
        <f>'Combined IFRS17 Cashflows'!BB109</f>
        <v>-4743605.1370342178</v>
      </c>
      <c r="AZ10" s="119">
        <f>'Combined IFRS17 Cashflows'!BC109</f>
        <v>-4244551.0871360525</v>
      </c>
      <c r="BA10" s="119">
        <f>'Combined IFRS17 Cashflows'!BD109</f>
        <v>-3821604.1311072353</v>
      </c>
      <c r="BB10" s="119">
        <f>'Combined IFRS17 Cashflows'!BE109</f>
        <v>-3437489.9245000663</v>
      </c>
      <c r="BC10" s="119">
        <f>'Combined IFRS17 Cashflows'!BF109</f>
        <v>-3088827.8462360026</v>
      </c>
      <c r="BD10" s="119">
        <f>'Combined IFRS17 Cashflows'!BG109</f>
        <v>-2772728.2611124236</v>
      </c>
      <c r="BE10" s="119">
        <f>'Combined IFRS17 Cashflows'!BH109</f>
        <v>-2457487.4442682271</v>
      </c>
      <c r="BF10" s="119">
        <f>'Combined IFRS17 Cashflows'!BI109</f>
        <v>-2158705.639309526</v>
      </c>
      <c r="BG10" s="119">
        <f>'Combined IFRS17 Cashflows'!BJ109</f>
        <v>-1923003.3274582534</v>
      </c>
      <c r="BH10" s="119">
        <f>'Combined IFRS17 Cashflows'!BK109</f>
        <v>-1703087.3999035188</v>
      </c>
      <c r="BI10" s="119">
        <f>'Combined IFRS17 Cashflows'!BL109</f>
        <v>-1501365.2609077175</v>
      </c>
      <c r="BJ10" s="119">
        <f>'Combined IFRS17 Cashflows'!BM109</f>
        <v>-1306395.9978907467</v>
      </c>
      <c r="BK10" s="119">
        <f>'Combined IFRS17 Cashflows'!BN109</f>
        <v>-1136768.876465179</v>
      </c>
      <c r="BL10" s="119">
        <f>'Combined IFRS17 Cashflows'!BO109</f>
        <v>-985499.17889078904</v>
      </c>
      <c r="BM10" s="119">
        <f>'Combined IFRS17 Cashflows'!BP109</f>
        <v>-846908.87285804213</v>
      </c>
      <c r="BN10" s="119">
        <f>'Combined IFRS17 Cashflows'!BQ109</f>
        <v>-720837.06780175969</v>
      </c>
      <c r="BO10" s="119">
        <f>'Combined IFRS17 Cashflows'!BR109</f>
        <v>-602415.57479274797</v>
      </c>
      <c r="BP10" s="119">
        <f>'Combined IFRS17 Cashflows'!BS109</f>
        <v>-494775.42511355365</v>
      </c>
      <c r="BQ10" s="119">
        <f>'Combined IFRS17 Cashflows'!BT109</f>
        <v>-405674.30153083638</v>
      </c>
      <c r="BR10" s="119">
        <f>'Combined IFRS17 Cashflows'!BU109</f>
        <v>-326221.04450166668</v>
      </c>
      <c r="BS10" s="119">
        <f>'Combined IFRS17 Cashflows'!BV109</f>
        <v>-256832.53547474876</v>
      </c>
      <c r="BT10" s="119">
        <f>'Combined IFRS17 Cashflows'!BW109</f>
        <v>-196589.09860757133</v>
      </c>
      <c r="BU10" s="119">
        <f>'Combined IFRS17 Cashflows'!BX109</f>
        <v>-143840.53671588365</v>
      </c>
      <c r="BV10" s="119">
        <f>'Combined IFRS17 Cashflows'!BY109</f>
        <v>-106619.02826800702</v>
      </c>
      <c r="BW10" s="119">
        <f>'Combined IFRS17 Cashflows'!BZ109</f>
        <v>-77937.671221033583</v>
      </c>
      <c r="BX10" s="119">
        <f>'Combined IFRS17 Cashflows'!CA109</f>
        <v>-56258.259640492688</v>
      </c>
      <c r="BY10" s="119">
        <f>'Combined IFRS17 Cashflows'!CB109</f>
        <v>-40034.203928154348</v>
      </c>
      <c r="BZ10" s="119">
        <f>'Combined IFRS17 Cashflows'!CC109</f>
        <v>-23368.59296981752</v>
      </c>
      <c r="CA10" s="119">
        <f>'Combined IFRS17 Cashflows'!CD109</f>
        <v>-16680.270325309793</v>
      </c>
      <c r="CB10" s="119">
        <f>'Combined IFRS17 Cashflows'!CE109</f>
        <v>-11757.907853683617</v>
      </c>
      <c r="CC10" s="119">
        <f>'Combined IFRS17 Cashflows'!CF109</f>
        <v>-8186.6581493239073</v>
      </c>
      <c r="CD10" s="119">
        <f>'Combined IFRS17 Cashflows'!CG109</f>
        <v>-5633.0428071984306</v>
      </c>
      <c r="CE10" s="119">
        <f>'Combined IFRS17 Cashflows'!CH109</f>
        <v>-2852.7139550370985</v>
      </c>
      <c r="CF10" s="119">
        <f>'Combined IFRS17 Cashflows'!CI109</f>
        <v>-1956.2766430776105</v>
      </c>
      <c r="CG10" s="119">
        <f>'Combined IFRS17 Cashflows'!CJ109</f>
        <v>-1316.82650663094</v>
      </c>
      <c r="CH10" s="119">
        <f>'Combined IFRS17 Cashflows'!CK109</f>
        <v>-878.89410145171223</v>
      </c>
      <c r="CI10" s="119">
        <f>'Combined IFRS17 Cashflows'!CL109</f>
        <v>-593.0357067787229</v>
      </c>
      <c r="CJ10" s="119">
        <f>'Combined IFRS17 Cashflows'!CM109</f>
        <v>0</v>
      </c>
      <c r="CK10" s="119">
        <f>'Combined IFRS17 Cashflows'!CN109</f>
        <v>0</v>
      </c>
      <c r="CL10" s="119">
        <f>'Combined IFRS17 Cashflows'!CO109</f>
        <v>0</v>
      </c>
      <c r="CM10" s="119">
        <f>'Combined IFRS17 Cashflows'!CP109</f>
        <v>0</v>
      </c>
      <c r="CN10" s="119">
        <f>'Combined IFRS17 Cashflows'!CQ109</f>
        <v>0</v>
      </c>
      <c r="CO10" s="119">
        <f>'Combined IFRS17 Cashflows'!CR109</f>
        <v>0</v>
      </c>
      <c r="CP10" s="119">
        <f>'Combined IFRS17 Cashflows'!CS109</f>
        <v>0</v>
      </c>
      <c r="CQ10" s="119">
        <f>'Combined IFRS17 Cashflows'!CT109</f>
        <v>0</v>
      </c>
      <c r="CR10" s="119">
        <f>'Combined IFRS17 Cashflows'!CU109</f>
        <v>0</v>
      </c>
      <c r="CS10" s="119">
        <f>'Combined IFRS17 Cashflows'!CV109</f>
        <v>0</v>
      </c>
      <c r="CT10" s="119">
        <f>'Combined IFRS17 Cashflows'!CW109</f>
        <v>0</v>
      </c>
      <c r="CU10" s="119">
        <f>'Combined IFRS17 Cashflows'!CX109</f>
        <v>0</v>
      </c>
      <c r="CV10" s="119">
        <f>'Combined IFRS17 Cashflows'!CY109</f>
        <v>0</v>
      </c>
      <c r="CW10" s="119">
        <f>'Combined IFRS17 Cashflows'!CZ109</f>
        <v>0</v>
      </c>
      <c r="CX10" s="119">
        <f>'Combined IFRS17 Cashflows'!DA109</f>
        <v>0</v>
      </c>
      <c r="CY10" s="265"/>
      <c r="CZ10" s="265"/>
      <c r="DA10" s="265"/>
      <c r="DB10" s="265"/>
      <c r="DC10" s="265"/>
    </row>
    <row r="11" spans="2:107" x14ac:dyDescent="0.3">
      <c r="B11" s="113" t="s">
        <v>116</v>
      </c>
      <c r="C11" s="119">
        <f>'Combined IFRS17 Cashflows'!F110</f>
        <v>-891803.97576761164</v>
      </c>
      <c r="D11" s="119">
        <f>'Combined IFRS17 Cashflows'!G110</f>
        <v>-3013317.8688164838</v>
      </c>
      <c r="E11" s="119">
        <f>'Combined IFRS17 Cashflows'!H110</f>
        <v>-5776057.9067277536</v>
      </c>
      <c r="F11" s="119">
        <f>'Combined IFRS17 Cashflows'!I110</f>
        <v>-8819978.4998196382</v>
      </c>
      <c r="G11" s="119">
        <f>'Combined IFRS17 Cashflows'!J110</f>
        <v>-12558643.778322889</v>
      </c>
      <c r="H11" s="119">
        <f>'Combined IFRS17 Cashflows'!K110</f>
        <v>-16641158.594328873</v>
      </c>
      <c r="I11" s="119">
        <f>'Combined IFRS17 Cashflows'!L110</f>
        <v>-20901903.717735197</v>
      </c>
      <c r="J11" s="119">
        <f>'Combined IFRS17 Cashflows'!M110</f>
        <v>-25567259.981663384</v>
      </c>
      <c r="K11" s="119">
        <f>'Combined IFRS17 Cashflows'!N110</f>
        <v>-30821333.046284225</v>
      </c>
      <c r="L11" s="119">
        <f>'Combined IFRS17 Cashflows'!O110</f>
        <v>-36896327.96810694</v>
      </c>
      <c r="M11" s="119">
        <f>'Combined IFRS17 Cashflows'!P110</f>
        <v>-36287490.153954268</v>
      </c>
      <c r="N11" s="119">
        <f>'Combined IFRS17 Cashflows'!Q110</f>
        <v>-32786644.345139824</v>
      </c>
      <c r="O11" s="119">
        <f>'Combined IFRS17 Cashflows'!R110</f>
        <v>-30245738.454545654</v>
      </c>
      <c r="P11" s="119">
        <f>'Combined IFRS17 Cashflows'!S110</f>
        <v>-27888748.560559597</v>
      </c>
      <c r="Q11" s="119">
        <f>'Combined IFRS17 Cashflows'!T110</f>
        <v>-25644051.816007365</v>
      </c>
      <c r="R11" s="119">
        <f>'Combined IFRS17 Cashflows'!U110</f>
        <v>-23711745.375293478</v>
      </c>
      <c r="S11" s="119">
        <f>'Combined IFRS17 Cashflows'!V110</f>
        <v>-21885247.844342567</v>
      </c>
      <c r="T11" s="119">
        <f>'Combined IFRS17 Cashflows'!W110</f>
        <v>-20137313.04702295</v>
      </c>
      <c r="U11" s="119">
        <f>'Combined IFRS17 Cashflows'!X110</f>
        <v>-18453008.443525694</v>
      </c>
      <c r="V11" s="119">
        <f>'Combined IFRS17 Cashflows'!Y110</f>
        <v>-16804839.663741875</v>
      </c>
      <c r="W11" s="119">
        <f>'Combined IFRS17 Cashflows'!Z110</f>
        <v>-15527479.03655149</v>
      </c>
      <c r="X11" s="119">
        <f>'Combined IFRS17 Cashflows'!AA110</f>
        <v>-14313066.88432535</v>
      </c>
      <c r="Y11" s="119">
        <f>'Combined IFRS17 Cashflows'!AB110</f>
        <v>-13144110.832460491</v>
      </c>
      <c r="Z11" s="119">
        <f>'Combined IFRS17 Cashflows'!AC110</f>
        <v>-12028672.244553274</v>
      </c>
      <c r="AA11" s="119">
        <f>'Combined IFRS17 Cashflows'!AD110</f>
        <v>-10949021.168606289</v>
      </c>
      <c r="AB11" s="119">
        <f>'Combined IFRS17 Cashflows'!AE110</f>
        <v>-9924269.5368742142</v>
      </c>
      <c r="AC11" s="119">
        <f>'Combined IFRS17 Cashflows'!AF110</f>
        <v>-8977282.5710444972</v>
      </c>
      <c r="AD11" s="119">
        <f>'Combined IFRS17 Cashflows'!AG110</f>
        <v>-8073767.5714184316</v>
      </c>
      <c r="AE11" s="119">
        <f>'Combined IFRS17 Cashflows'!AH110</f>
        <v>-7204366.685733215</v>
      </c>
      <c r="AF11" s="119">
        <f>'Combined IFRS17 Cashflows'!AI110</f>
        <v>-6355443.2576300874</v>
      </c>
      <c r="AG11" s="119">
        <f>'Combined IFRS17 Cashflows'!AJ110</f>
        <v>-5835178.0950662931</v>
      </c>
      <c r="AH11" s="119">
        <f>'Combined IFRS17 Cashflows'!AK110</f>
        <v>-5376431.0238481183</v>
      </c>
      <c r="AI11" s="119">
        <f>'Combined IFRS17 Cashflows'!AL110</f>
        <v>-4955250.424400962</v>
      </c>
      <c r="AJ11" s="119">
        <f>'Combined IFRS17 Cashflows'!AM110</f>
        <v>-4565742.4524490042</v>
      </c>
      <c r="AK11" s="119">
        <f>'Combined IFRS17 Cashflows'!AN110</f>
        <v>-4203259.6004926693</v>
      </c>
      <c r="AL11" s="119">
        <f>'Combined IFRS17 Cashflows'!AO110</f>
        <v>-3863970.2990632257</v>
      </c>
      <c r="AM11" s="119">
        <f>'Combined IFRS17 Cashflows'!AP110</f>
        <v>-3557743.326801165</v>
      </c>
      <c r="AN11" s="119">
        <f>'Combined IFRS17 Cashflows'!AQ110</f>
        <v>-3268919.3648232189</v>
      </c>
      <c r="AO11" s="119">
        <f>'Combined IFRS17 Cashflows'!AR110</f>
        <v>-2996747.6994756716</v>
      </c>
      <c r="AP11" s="119">
        <f>'Combined IFRS17 Cashflows'!AS110</f>
        <v>-2740232.500623316</v>
      </c>
      <c r="AQ11" s="119">
        <f>'Combined IFRS17 Cashflows'!AT110</f>
        <v>-2498194.1662524357</v>
      </c>
      <c r="AR11" s="119">
        <f>'Combined IFRS17 Cashflows'!AU110</f>
        <v>-2273380.2718105563</v>
      </c>
      <c r="AS11" s="119">
        <f>'Combined IFRS17 Cashflows'!AV110</f>
        <v>-2062120.4676783672</v>
      </c>
      <c r="AT11" s="119">
        <f>'Combined IFRS17 Cashflows'!AW110</f>
        <v>-1864229.8800883072</v>
      </c>
      <c r="AU11" s="119">
        <f>'Combined IFRS17 Cashflows'!AX110</f>
        <v>-1679656.376040278</v>
      </c>
      <c r="AV11" s="119">
        <f>'Combined IFRS17 Cashflows'!AY110</f>
        <v>-1508383.3989075078</v>
      </c>
      <c r="AW11" s="119">
        <f>'Combined IFRS17 Cashflows'!AZ110</f>
        <v>-1352026.8691754832</v>
      </c>
      <c r="AX11" s="119">
        <f>'Combined IFRS17 Cashflows'!BA110</f>
        <v>-1208402.9928219772</v>
      </c>
      <c r="AY11" s="119">
        <f>'Combined IFRS17 Cashflows'!BB110</f>
        <v>-1077498.8630710666</v>
      </c>
      <c r="AZ11" s="119">
        <f>'Combined IFRS17 Cashflows'!BC110</f>
        <v>-958936.80165455653</v>
      </c>
      <c r="BA11" s="119">
        <f>'Combined IFRS17 Cashflows'!BD110</f>
        <v>-851984.23148160137</v>
      </c>
      <c r="BB11" s="119">
        <f>'Combined IFRS17 Cashflows'!BE110</f>
        <v>-755878.08289379813</v>
      </c>
      <c r="BC11" s="119">
        <f>'Combined IFRS17 Cashflows'!BF110</f>
        <v>-669294.48440204922</v>
      </c>
      <c r="BD11" s="119">
        <f>'Combined IFRS17 Cashflows'!BG110</f>
        <v>-591091.00043616397</v>
      </c>
      <c r="BE11" s="119">
        <f>'Combined IFRS17 Cashflows'!BH110</f>
        <v>-520323.47419561073</v>
      </c>
      <c r="BF11" s="119">
        <f>'Combined IFRS17 Cashflows'!BI110</f>
        <v>-456205.63386037399</v>
      </c>
      <c r="BG11" s="119">
        <f>'Combined IFRS17 Cashflows'!BJ110</f>
        <v>-399305.29222787428</v>
      </c>
      <c r="BH11" s="119">
        <f>'Combined IFRS17 Cashflows'!BK110</f>
        <v>-347509.71619394515</v>
      </c>
      <c r="BI11" s="119">
        <f>'Combined IFRS17 Cashflows'!BL110</f>
        <v>-300543.4444202297</v>
      </c>
      <c r="BJ11" s="119">
        <f>'Combined IFRS17 Cashflows'!BM110</f>
        <v>-258077.91568126174</v>
      </c>
      <c r="BK11" s="119">
        <f>'Combined IFRS17 Cashflows'!BN110</f>
        <v>-219756.63540270261</v>
      </c>
      <c r="BL11" s="119">
        <f>'Combined IFRS17 Cashflows'!BO110</f>
        <v>-185321.77963735821</v>
      </c>
      <c r="BM11" s="119">
        <f>'Combined IFRS17 Cashflows'!BP110</f>
        <v>-154506.67418515601</v>
      </c>
      <c r="BN11" s="119">
        <f>'Combined IFRS17 Cashflows'!BQ110</f>
        <v>-127176.10308703009</v>
      </c>
      <c r="BO11" s="119">
        <f>'Combined IFRS17 Cashflows'!BR110</f>
        <v>-103200.39082064181</v>
      </c>
      <c r="BP11" s="119">
        <f>'Combined IFRS17 Cashflows'!BS110</f>
        <v>-82435.493542527343</v>
      </c>
      <c r="BQ11" s="119">
        <f>'Combined IFRS17 Cashflows'!BT110</f>
        <v>-64896.669567575882</v>
      </c>
      <c r="BR11" s="119">
        <f>'Combined IFRS17 Cashflows'!BU110</f>
        <v>-50152.552819991768</v>
      </c>
      <c r="BS11" s="119">
        <f>'Combined IFRS17 Cashflows'!BV110</f>
        <v>-38049.067982282832</v>
      </c>
      <c r="BT11" s="119">
        <f>'Combined IFRS17 Cashflows'!BW110</f>
        <v>-28362.71286659133</v>
      </c>
      <c r="BU11" s="119">
        <f>'Combined IFRS17 Cashflows'!BX110</f>
        <v>-20802.043969491449</v>
      </c>
      <c r="BV11" s="119">
        <f>'Combined IFRS17 Cashflows'!BY110</f>
        <v>-15161.054490379376</v>
      </c>
      <c r="BW11" s="119">
        <f>'Combined IFRS17 Cashflows'!BZ110</f>
        <v>-10924.736177394561</v>
      </c>
      <c r="BX11" s="119">
        <f>'Combined IFRS17 Cashflows'!CA110</f>
        <v>-7766.125922793497</v>
      </c>
      <c r="BY11" s="119">
        <f>'Combined IFRS17 Cashflows'!CB110</f>
        <v>-5420.6307006446104</v>
      </c>
      <c r="BZ11" s="119">
        <f>'Combined IFRS17 Cashflows'!CC110</f>
        <v>-3677.9951199838806</v>
      </c>
      <c r="CA11" s="119">
        <f>'Combined IFRS17 Cashflows'!CD110</f>
        <v>-2666.8071470048721</v>
      </c>
      <c r="CB11" s="119">
        <f>'Combined IFRS17 Cashflows'!CE110</f>
        <v>-1888.0742141070157</v>
      </c>
      <c r="CC11" s="119">
        <f>'Combined IFRS17 Cashflows'!CF110</f>
        <v>-1298.1460411893318</v>
      </c>
      <c r="CD11" s="119">
        <f>'Combined IFRS17 Cashflows'!CG110</f>
        <v>-859.49476276056851</v>
      </c>
      <c r="CE11" s="119">
        <f>'Combined IFRS17 Cashflows'!CH110</f>
        <v>-538.56113456471576</v>
      </c>
      <c r="CF11" s="119">
        <f>'Combined IFRS17 Cashflows'!CI110</f>
        <v>-343.86296721756253</v>
      </c>
      <c r="CG11" s="119">
        <f>'Combined IFRS17 Cashflows'!CJ110</f>
        <v>-206.17905337467943</v>
      </c>
      <c r="CH11" s="119">
        <f>'Combined IFRS17 Cashflows'!CK110</f>
        <v>-110.71070698550385</v>
      </c>
      <c r="CI11" s="119">
        <f>'Combined IFRS17 Cashflows'!CL110</f>
        <v>-45.252498398443421</v>
      </c>
      <c r="CJ11" s="119">
        <f>'Combined IFRS17 Cashflows'!CM110</f>
        <v>0</v>
      </c>
      <c r="CK11" s="119">
        <f>'Combined IFRS17 Cashflows'!CN110</f>
        <v>0</v>
      </c>
      <c r="CL11" s="119">
        <f>'Combined IFRS17 Cashflows'!CO110</f>
        <v>0</v>
      </c>
      <c r="CM11" s="119">
        <f>'Combined IFRS17 Cashflows'!CP110</f>
        <v>0</v>
      </c>
      <c r="CN11" s="119">
        <f>'Combined IFRS17 Cashflows'!CQ110</f>
        <v>0</v>
      </c>
      <c r="CO11" s="119">
        <f>'Combined IFRS17 Cashflows'!CR110</f>
        <v>0</v>
      </c>
      <c r="CP11" s="119">
        <f>'Combined IFRS17 Cashflows'!CS110</f>
        <v>0</v>
      </c>
      <c r="CQ11" s="119">
        <f>'Combined IFRS17 Cashflows'!CT110</f>
        <v>0</v>
      </c>
      <c r="CR11" s="119">
        <f>'Combined IFRS17 Cashflows'!CU110</f>
        <v>0</v>
      </c>
      <c r="CS11" s="119">
        <f>'Combined IFRS17 Cashflows'!CV110</f>
        <v>0</v>
      </c>
      <c r="CT11" s="119">
        <f>'Combined IFRS17 Cashflows'!CW110</f>
        <v>0</v>
      </c>
      <c r="CU11" s="119">
        <f>'Combined IFRS17 Cashflows'!CX110</f>
        <v>0</v>
      </c>
      <c r="CV11" s="119">
        <f>'Combined IFRS17 Cashflows'!CY110</f>
        <v>0</v>
      </c>
      <c r="CW11" s="119">
        <f>'Combined IFRS17 Cashflows'!CZ110</f>
        <v>0</v>
      </c>
      <c r="CX11" s="119">
        <f>'Combined IFRS17 Cashflows'!DA110</f>
        <v>0</v>
      </c>
      <c r="CY11" s="265"/>
      <c r="CZ11" s="265"/>
      <c r="DA11" s="265"/>
      <c r="DB11" s="265"/>
      <c r="DC11" s="265"/>
    </row>
    <row r="12" spans="2:107" x14ac:dyDescent="0.3">
      <c r="B12" s="113" t="s">
        <v>117</v>
      </c>
      <c r="C12" s="119">
        <f>'Combined IFRS17 Cashflows'!F111</f>
        <v>-7563.5676930012714</v>
      </c>
      <c r="D12" s="119">
        <f>'Combined IFRS17 Cashflows'!G111</f>
        <v>-26715.637562410924</v>
      </c>
      <c r="E12" s="119">
        <f>'Combined IFRS17 Cashflows'!H111</f>
        <v>-52367.358703172387</v>
      </c>
      <c r="F12" s="119">
        <f>'Combined IFRS17 Cashflows'!I111</f>
        <v>-80943.505337505499</v>
      </c>
      <c r="G12" s="119">
        <f>'Combined IFRS17 Cashflows'!J111</f>
        <v>-115862.12191122223</v>
      </c>
      <c r="H12" s="119">
        <f>'Combined IFRS17 Cashflows'!K111</f>
        <v>-154961.51802845954</v>
      </c>
      <c r="I12" s="119">
        <f>'Combined IFRS17 Cashflows'!L111</f>
        <v>-196130.84624795974</v>
      </c>
      <c r="J12" s="119">
        <f>'Combined IFRS17 Cashflows'!M111</f>
        <v>-241384.35474309549</v>
      </c>
      <c r="K12" s="119">
        <f>'Combined IFRS17 Cashflows'!N111</f>
        <v>-292371.91950017423</v>
      </c>
      <c r="L12" s="119">
        <f>'Combined IFRS17 Cashflows'!O111</f>
        <v>-351320.82177155005</v>
      </c>
      <c r="M12" s="119">
        <f>'Combined IFRS17 Cashflows'!P111</f>
        <v>-355098.29514859314</v>
      </c>
      <c r="N12" s="119">
        <f>'Combined IFRS17 Cashflows'!Q111</f>
        <v>-326102.65542440576</v>
      </c>
      <c r="O12" s="119">
        <f>'Combined IFRS17 Cashflows'!R111</f>
        <v>-306409.98999632511</v>
      </c>
      <c r="P12" s="119">
        <f>'Combined IFRS17 Cashflows'!S111</f>
        <v>-288345.02416330052</v>
      </c>
      <c r="Q12" s="119">
        <f>'Combined IFRS17 Cashflows'!T111</f>
        <v>-271377.448930541</v>
      </c>
      <c r="R12" s="119">
        <f>'Combined IFRS17 Cashflows'!U111</f>
        <v>-255312.02114047547</v>
      </c>
      <c r="S12" s="119">
        <f>'Combined IFRS17 Cashflows'!V111</f>
        <v>-240059.31091956588</v>
      </c>
      <c r="T12" s="119">
        <f>'Combined IFRS17 Cashflows'!W111</f>
        <v>-225580.76435101093</v>
      </c>
      <c r="U12" s="119">
        <f>'Combined IFRS17 Cashflows'!X111</f>
        <v>-211848.56343267768</v>
      </c>
      <c r="V12" s="119">
        <f>'Combined IFRS17 Cashflows'!Y111</f>
        <v>-198833.89650364337</v>
      </c>
      <c r="W12" s="119">
        <f>'Combined IFRS17 Cashflows'!Z111</f>
        <v>-186495.62397516894</v>
      </c>
      <c r="X12" s="119">
        <f>'Combined IFRS17 Cashflows'!AA111</f>
        <v>-174813.98422877601</v>
      </c>
      <c r="Y12" s="119">
        <f>'Combined IFRS17 Cashflows'!AB111</f>
        <v>-163723.43628796464</v>
      </c>
      <c r="Z12" s="119">
        <f>'Combined IFRS17 Cashflows'!AC111</f>
        <v>-153202.46569858247</v>
      </c>
      <c r="AA12" s="119">
        <f>'Combined IFRS17 Cashflows'!AD111</f>
        <v>-143232.99258661122</v>
      </c>
      <c r="AB12" s="119">
        <f>'Combined IFRS17 Cashflows'!AE111</f>
        <v>-133799.70792697469</v>
      </c>
      <c r="AC12" s="119">
        <f>'Combined IFRS17 Cashflows'!AF111</f>
        <v>-124880.66442519167</v>
      </c>
      <c r="AD12" s="119">
        <f>'Combined IFRS17 Cashflows'!AG111</f>
        <v>-116374.19302531672</v>
      </c>
      <c r="AE12" s="119">
        <f>'Combined IFRS17 Cashflows'!AH111</f>
        <v>-108267.40887666478</v>
      </c>
      <c r="AF12" s="119">
        <f>'Combined IFRS17 Cashflows'!AI111</f>
        <v>-100547.17258594748</v>
      </c>
      <c r="AG12" s="119">
        <f>'Combined IFRS17 Cashflows'!AJ111</f>
        <v>-93201.10637537943</v>
      </c>
      <c r="AH12" s="119">
        <f>'Combined IFRS17 Cashflows'!AK111</f>
        <v>-86219.75999336371</v>
      </c>
      <c r="AI12" s="119">
        <f>'Combined IFRS17 Cashflows'!AL111</f>
        <v>-79593.220710449532</v>
      </c>
      <c r="AJ12" s="119">
        <f>'Combined IFRS17 Cashflows'!AM111</f>
        <v>-73312.778165516764</v>
      </c>
      <c r="AK12" s="119">
        <f>'Combined IFRS17 Cashflows'!AN111</f>
        <v>-67371.041831510011</v>
      </c>
      <c r="AL12" s="119">
        <f>'Combined IFRS17 Cashflows'!AO111</f>
        <v>-61761.660769009781</v>
      </c>
      <c r="AM12" s="119">
        <f>'Combined IFRS17 Cashflows'!AP111</f>
        <v>-56479.218125410225</v>
      </c>
      <c r="AN12" s="119">
        <f>'Combined IFRS17 Cashflows'!AQ111</f>
        <v>-51492.668534837634</v>
      </c>
      <c r="AO12" s="119">
        <f>'Combined IFRS17 Cashflows'!AR111</f>
        <v>-46796.142248687509</v>
      </c>
      <c r="AP12" s="119">
        <f>'Combined IFRS17 Cashflows'!AS111</f>
        <v>-42383.827575641786</v>
      </c>
      <c r="AQ12" s="119">
        <f>'Combined IFRS17 Cashflows'!AT111</f>
        <v>-38249.800619622802</v>
      </c>
      <c r="AR12" s="119">
        <f>'Combined IFRS17 Cashflows'!AU111</f>
        <v>-34387.97272909867</v>
      </c>
      <c r="AS12" s="119">
        <f>'Combined IFRS17 Cashflows'!AV111</f>
        <v>-30793.546606104952</v>
      </c>
      <c r="AT12" s="119">
        <f>'Combined IFRS17 Cashflows'!AW111</f>
        <v>-27460.626277302788</v>
      </c>
      <c r="AU12" s="119">
        <f>'Combined IFRS17 Cashflows'!AX111</f>
        <v>-24382.350781142028</v>
      </c>
      <c r="AV12" s="119">
        <f>'Combined IFRS17 Cashflows'!AY111</f>
        <v>-21550.978733334076</v>
      </c>
      <c r="AW12" s="119">
        <f>'Combined IFRS17 Cashflows'!AZ111</f>
        <v>-18957.566593112271</v>
      </c>
      <c r="AX12" s="119">
        <f>'Combined IFRS17 Cashflows'!BA111</f>
        <v>-16591.461391996865</v>
      </c>
      <c r="AY12" s="119">
        <f>'Combined IFRS17 Cashflows'!BB111</f>
        <v>-14442.809788765499</v>
      </c>
      <c r="AZ12" s="119">
        <f>'Combined IFRS17 Cashflows'!BC111</f>
        <v>-12501.040803361075</v>
      </c>
      <c r="BA12" s="119">
        <f>'Combined IFRS17 Cashflows'!BD111</f>
        <v>-10754.904508940306</v>
      </c>
      <c r="BB12" s="119">
        <f>'Combined IFRS17 Cashflows'!BE111</f>
        <v>-9192.9196684375129</v>
      </c>
      <c r="BC12" s="119">
        <f>'Combined IFRS17 Cashflows'!BF111</f>
        <v>-7806.1021122374977</v>
      </c>
      <c r="BD12" s="119">
        <f>'Combined IFRS17 Cashflows'!BG111</f>
        <v>-6584.8701269467429</v>
      </c>
      <c r="BE12" s="119">
        <f>'Combined IFRS17 Cashflows'!BH111</f>
        <v>-5518.691847004694</v>
      </c>
      <c r="BF12" s="119">
        <f>'Combined IFRS17 Cashflows'!BI111</f>
        <v>-4596.0248843246682</v>
      </c>
      <c r="BG12" s="119">
        <f>'Combined IFRS17 Cashflows'!BJ111</f>
        <v>-3805.8688364121817</v>
      </c>
      <c r="BH12" s="119">
        <f>'Combined IFRS17 Cashflows'!BK111</f>
        <v>-3132.8290181980351</v>
      </c>
      <c r="BI12" s="119">
        <f>'Combined IFRS17 Cashflows'!BL111</f>
        <v>-2564.2131635702858</v>
      </c>
      <c r="BJ12" s="119">
        <f>'Combined IFRS17 Cashflows'!BM111</f>
        <v>-2086.9805566081382</v>
      </c>
      <c r="BK12" s="119">
        <f>'Combined IFRS17 Cashflows'!BN111</f>
        <v>-1688.2112986882191</v>
      </c>
      <c r="BL12" s="119">
        <f>'Combined IFRS17 Cashflows'!BO111</f>
        <v>-1356.6050651014966</v>
      </c>
      <c r="BM12" s="119">
        <f>'Combined IFRS17 Cashflows'!BP111</f>
        <v>-1081.2823868748662</v>
      </c>
      <c r="BN12" s="119">
        <f>'Combined IFRS17 Cashflows'!BQ111</f>
        <v>-853.76020681890304</v>
      </c>
      <c r="BO12" s="119">
        <f>'Combined IFRS17 Cashflows'!BR111</f>
        <v>-667.07948644506064</v>
      </c>
      <c r="BP12" s="119">
        <f>'Combined IFRS17 Cashflows'!BS111</f>
        <v>-515.35449524550563</v>
      </c>
      <c r="BQ12" s="119">
        <f>'Combined IFRS17 Cashflows'!BT111</f>
        <v>-397.31207378396516</v>
      </c>
      <c r="BR12" s="119">
        <f>'Combined IFRS17 Cashflows'!BU111</f>
        <v>-303.13689419189154</v>
      </c>
      <c r="BS12" s="119">
        <f>'Combined IFRS17 Cashflows'!BV111</f>
        <v>-229.47505222824637</v>
      </c>
      <c r="BT12" s="119">
        <f>'Combined IFRS17 Cashflows'!BW111</f>
        <v>-172.86776747273416</v>
      </c>
      <c r="BU12" s="119">
        <f>'Combined IFRS17 Cashflows'!BX111</f>
        <v>-129.90331575046309</v>
      </c>
      <c r="BV12" s="119">
        <f>'Combined IFRS17 Cashflows'!BY111</f>
        <v>-97.683081670742411</v>
      </c>
      <c r="BW12" s="119">
        <f>'Combined IFRS17 Cashflows'!BZ111</f>
        <v>-73.321295432002486</v>
      </c>
      <c r="BX12" s="119">
        <f>'Combined IFRS17 Cashflows'!CA111</f>
        <v>-54.704586404605877</v>
      </c>
      <c r="BY12" s="119">
        <f>'Combined IFRS17 Cashflows'!CB111</f>
        <v>-40.313022537382217</v>
      </c>
      <c r="BZ12" s="119">
        <f>'Combined IFRS17 Cashflows'!CC111</f>
        <v>-29.070747850715946</v>
      </c>
      <c r="CA12" s="119">
        <f>'Combined IFRS17 Cashflows'!CD111</f>
        <v>-21.626134046670437</v>
      </c>
      <c r="CB12" s="119">
        <f>'Combined IFRS17 Cashflows'!CE111</f>
        <v>-15.607918937491142</v>
      </c>
      <c r="CC12" s="119">
        <f>'Combined IFRS17 Cashflows'!CF111</f>
        <v>-10.896588254793452</v>
      </c>
      <c r="CD12" s="119">
        <f>'Combined IFRS17 Cashflows'!CG111</f>
        <v>-7.3336397651526104</v>
      </c>
      <c r="CE12" s="119">
        <f>'Combined IFRS17 Cashflows'!CH111</f>
        <v>-4.7281134040263675</v>
      </c>
      <c r="CF12" s="119">
        <f>'Combined IFRS17 Cashflows'!CI111</f>
        <v>-2.9222947590825572</v>
      </c>
      <c r="CG12" s="119">
        <f>'Combined IFRS17 Cashflows'!CJ111</f>
        <v>-1.6985785925923214</v>
      </c>
      <c r="CH12" s="119">
        <f>'Combined IFRS17 Cashflows'!CK111</f>
        <v>-0.88603159172409141</v>
      </c>
      <c r="CI12" s="119">
        <f>'Combined IFRS17 Cashflows'!CL111</f>
        <v>-0.35285906497846942</v>
      </c>
      <c r="CJ12" s="119">
        <f>'Combined IFRS17 Cashflows'!CM111</f>
        <v>0</v>
      </c>
      <c r="CK12" s="119">
        <f>'Combined IFRS17 Cashflows'!CN111</f>
        <v>0</v>
      </c>
      <c r="CL12" s="119">
        <f>'Combined IFRS17 Cashflows'!CO111</f>
        <v>0</v>
      </c>
      <c r="CM12" s="119">
        <f>'Combined IFRS17 Cashflows'!CP111</f>
        <v>0</v>
      </c>
      <c r="CN12" s="119">
        <f>'Combined IFRS17 Cashflows'!CQ111</f>
        <v>0</v>
      </c>
      <c r="CO12" s="119">
        <f>'Combined IFRS17 Cashflows'!CR111</f>
        <v>0</v>
      </c>
      <c r="CP12" s="119">
        <f>'Combined IFRS17 Cashflows'!CS111</f>
        <v>0</v>
      </c>
      <c r="CQ12" s="119">
        <f>'Combined IFRS17 Cashflows'!CT111</f>
        <v>0</v>
      </c>
      <c r="CR12" s="119">
        <f>'Combined IFRS17 Cashflows'!CU111</f>
        <v>0</v>
      </c>
      <c r="CS12" s="119">
        <f>'Combined IFRS17 Cashflows'!CV111</f>
        <v>0</v>
      </c>
      <c r="CT12" s="119">
        <f>'Combined IFRS17 Cashflows'!CW111</f>
        <v>0</v>
      </c>
      <c r="CU12" s="119">
        <f>'Combined IFRS17 Cashflows'!CX111</f>
        <v>0</v>
      </c>
      <c r="CV12" s="119">
        <f>'Combined IFRS17 Cashflows'!CY111</f>
        <v>0</v>
      </c>
      <c r="CW12" s="119">
        <f>'Combined IFRS17 Cashflows'!CZ111</f>
        <v>0</v>
      </c>
      <c r="CX12" s="119">
        <f>'Combined IFRS17 Cashflows'!DA111</f>
        <v>0</v>
      </c>
      <c r="CY12" s="265"/>
      <c r="CZ12" s="265"/>
      <c r="DA12" s="265"/>
      <c r="DB12" s="265"/>
      <c r="DC12" s="265"/>
    </row>
    <row r="13" spans="2:107" x14ac:dyDescent="0.3">
      <c r="B13" s="117" t="s">
        <v>118</v>
      </c>
      <c r="C13" s="120">
        <f>SUM(C10:C12)</f>
        <v>-2759535.7351953746</v>
      </c>
      <c r="D13" s="120">
        <f t="shared" ref="D13:L13" si="95">SUM(D10:D12)</f>
        <v>-8883950.4235297497</v>
      </c>
      <c r="E13" s="120">
        <f t="shared" si="95"/>
        <v>-16257717.573938077</v>
      </c>
      <c r="F13" s="120">
        <f t="shared" si="95"/>
        <v>-23869246.360036962</v>
      </c>
      <c r="G13" s="120">
        <f t="shared" si="95"/>
        <v>-33563320.722386517</v>
      </c>
      <c r="H13" s="120">
        <f t="shared" si="95"/>
        <v>-43835341.791138895</v>
      </c>
      <c r="I13" s="120">
        <f t="shared" si="95"/>
        <v>-54122353.011104748</v>
      </c>
      <c r="J13" s="120">
        <f t="shared" si="95"/>
        <v>-65315963.176303118</v>
      </c>
      <c r="K13" s="120">
        <f t="shared" si="95"/>
        <v>-78179701.869835123</v>
      </c>
      <c r="L13" s="120">
        <f t="shared" si="95"/>
        <v>-93221626.797633186</v>
      </c>
      <c r="M13" s="120">
        <f t="shared" ref="M13:AM13" si="96">SUM(M10:M12)</f>
        <v>-87128588.832906917</v>
      </c>
      <c r="N13" s="120">
        <f t="shared" si="96"/>
        <v>-75214104.537453637</v>
      </c>
      <c r="O13" s="120">
        <f t="shared" si="96"/>
        <v>-68606030.1027859</v>
      </c>
      <c r="P13" s="120">
        <f t="shared" si="96"/>
        <v>-63830508.097992308</v>
      </c>
      <c r="Q13" s="120">
        <f t="shared" si="96"/>
        <v>-56744755.527673669</v>
      </c>
      <c r="R13" s="120">
        <f t="shared" si="96"/>
        <v>-53178975.880512305</v>
      </c>
      <c r="S13" s="120">
        <f t="shared" si="96"/>
        <v>-50190937.987893</v>
      </c>
      <c r="T13" s="120">
        <f t="shared" si="96"/>
        <v>-47397843.591126353</v>
      </c>
      <c r="U13" s="120">
        <f t="shared" si="96"/>
        <v>-45205210.394317508</v>
      </c>
      <c r="V13" s="120">
        <f t="shared" si="96"/>
        <v>-41059096.364299953</v>
      </c>
      <c r="W13" s="120">
        <f t="shared" si="96"/>
        <v>-39315142.788337581</v>
      </c>
      <c r="X13" s="120">
        <f t="shared" si="96"/>
        <v>-37498684.466855802</v>
      </c>
      <c r="Y13" s="120">
        <f t="shared" si="96"/>
        <v>-35630589.647554606</v>
      </c>
      <c r="Z13" s="120">
        <f t="shared" si="96"/>
        <v>-33801866.066845134</v>
      </c>
      <c r="AA13" s="120">
        <f t="shared" si="96"/>
        <v>-30698329.485140432</v>
      </c>
      <c r="AB13" s="120">
        <f t="shared" si="96"/>
        <v>-28725951.147089221</v>
      </c>
      <c r="AC13" s="120">
        <f t="shared" si="96"/>
        <v>-26806197.404740728</v>
      </c>
      <c r="AD13" s="120">
        <f t="shared" si="96"/>
        <v>-24945554.552028973</v>
      </c>
      <c r="AE13" s="120">
        <f t="shared" si="96"/>
        <v>-23205926.504673518</v>
      </c>
      <c r="AF13" s="120">
        <f t="shared" si="96"/>
        <v>-20836547.317085739</v>
      </c>
      <c r="AG13" s="120">
        <f t="shared" si="96"/>
        <v>-19543707.889731687</v>
      </c>
      <c r="AH13" s="120">
        <f t="shared" si="96"/>
        <v>-18425266.170863565</v>
      </c>
      <c r="AI13" s="120">
        <f t="shared" si="96"/>
        <v>-17442471.431498684</v>
      </c>
      <c r="AJ13" s="120">
        <f t="shared" si="96"/>
        <v>-16582505.253120685</v>
      </c>
      <c r="AK13" s="120">
        <f t="shared" si="96"/>
        <v>-15406541.832961565</v>
      </c>
      <c r="AL13" s="120">
        <f t="shared" si="96"/>
        <v>-14503409.930589845</v>
      </c>
      <c r="AM13" s="120">
        <f t="shared" si="96"/>
        <v>-13805880.0409678</v>
      </c>
      <c r="AN13" s="120">
        <f t="shared" ref="AN13:BJ13" si="97">SUM(AN10:AN12)</f>
        <v>-13122662.366256934</v>
      </c>
      <c r="AO13" s="120">
        <f t="shared" si="97"/>
        <v>-12473216.878630558</v>
      </c>
      <c r="AP13" s="120">
        <f t="shared" si="97"/>
        <v>-11623468.674852025</v>
      </c>
      <c r="AQ13" s="120">
        <f t="shared" si="97"/>
        <v>-10987145.56345618</v>
      </c>
      <c r="AR13" s="120">
        <f t="shared" si="97"/>
        <v>-10355538.526254656</v>
      </c>
      <c r="AS13" s="120">
        <f t="shared" si="97"/>
        <v>-9723802.6009259708</v>
      </c>
      <c r="AT13" s="120">
        <f t="shared" si="97"/>
        <v>-9096218.0871891957</v>
      </c>
      <c r="AU13" s="120">
        <f t="shared" si="97"/>
        <v>-8343258.4019780168</v>
      </c>
      <c r="AV13" s="120">
        <f t="shared" si="97"/>
        <v>-7664290.4358631615</v>
      </c>
      <c r="AW13" s="120">
        <f t="shared" si="97"/>
        <v>-7041654.249131646</v>
      </c>
      <c r="AX13" s="120">
        <f t="shared" si="97"/>
        <v>-6426817.0379602294</v>
      </c>
      <c r="AY13" s="120">
        <f t="shared" si="97"/>
        <v>-5835546.8098940495</v>
      </c>
      <c r="AZ13" s="120">
        <f t="shared" si="97"/>
        <v>-5215988.9295939701</v>
      </c>
      <c r="BA13" s="120">
        <f t="shared" si="97"/>
        <v>-4684343.2670977768</v>
      </c>
      <c r="BB13" s="120">
        <f t="shared" si="97"/>
        <v>-4202560.9270623019</v>
      </c>
      <c r="BC13" s="120">
        <f t="shared" si="97"/>
        <v>-3765928.4327502893</v>
      </c>
      <c r="BD13" s="120">
        <f t="shared" si="97"/>
        <v>-3370404.1316755344</v>
      </c>
      <c r="BE13" s="120">
        <f t="shared" si="97"/>
        <v>-2983329.6103108423</v>
      </c>
      <c r="BF13" s="120">
        <f t="shared" si="97"/>
        <v>-2619507.2980542243</v>
      </c>
      <c r="BG13" s="120">
        <f t="shared" si="97"/>
        <v>-2326114.4885225398</v>
      </c>
      <c r="BH13" s="120">
        <f t="shared" si="97"/>
        <v>-2053729.9451156619</v>
      </c>
      <c r="BI13" s="120">
        <f t="shared" si="97"/>
        <v>-1804472.9184915174</v>
      </c>
      <c r="BJ13" s="120">
        <f t="shared" si="97"/>
        <v>-1566560.8941286167</v>
      </c>
      <c r="BK13" s="120">
        <f t="shared" ref="BK13:CX13" si="98">SUM(BK10:BK12)</f>
        <v>-1358213.7231665701</v>
      </c>
      <c r="BL13" s="120">
        <f t="shared" si="98"/>
        <v>-1172177.5635932488</v>
      </c>
      <c r="BM13" s="120">
        <f t="shared" si="98"/>
        <v>-1002496.829430073</v>
      </c>
      <c r="BN13" s="120">
        <f t="shared" si="98"/>
        <v>-848866.93109560874</v>
      </c>
      <c r="BO13" s="120">
        <f t="shared" si="98"/>
        <v>-706283.0450998348</v>
      </c>
      <c r="BP13" s="120">
        <f t="shared" si="98"/>
        <v>-577726.27315132646</v>
      </c>
      <c r="BQ13" s="120">
        <f t="shared" si="98"/>
        <v>-470968.28317219624</v>
      </c>
      <c r="BR13" s="120">
        <f t="shared" si="98"/>
        <v>-376676.73421585036</v>
      </c>
      <c r="BS13" s="120">
        <f t="shared" si="98"/>
        <v>-295111.07850925985</v>
      </c>
      <c r="BT13" s="120">
        <f t="shared" si="98"/>
        <v>-225124.67924163537</v>
      </c>
      <c r="BU13" s="120">
        <f t="shared" si="98"/>
        <v>-164772.48400112556</v>
      </c>
      <c r="BV13" s="120">
        <f t="shared" si="98"/>
        <v>-121877.76584005714</v>
      </c>
      <c r="BW13" s="120">
        <f t="shared" si="98"/>
        <v>-88935.728693860146</v>
      </c>
      <c r="BX13" s="120">
        <f t="shared" si="98"/>
        <v>-64079.09014969079</v>
      </c>
      <c r="BY13" s="120">
        <f t="shared" si="98"/>
        <v>-45495.147651336338</v>
      </c>
      <c r="BZ13" s="120">
        <f t="shared" si="98"/>
        <v>-27075.658837652118</v>
      </c>
      <c r="CA13" s="120">
        <f t="shared" si="98"/>
        <v>-19368.703606361334</v>
      </c>
      <c r="CB13" s="120">
        <f t="shared" si="98"/>
        <v>-13661.589986728122</v>
      </c>
      <c r="CC13" s="120">
        <f t="shared" si="98"/>
        <v>-9495.7007787680323</v>
      </c>
      <c r="CD13" s="120">
        <f t="shared" si="98"/>
        <v>-6499.8712097241523</v>
      </c>
      <c r="CE13" s="120">
        <f t="shared" si="98"/>
        <v>-3396.0032030058405</v>
      </c>
      <c r="CF13" s="120">
        <f t="shared" si="98"/>
        <v>-2303.0619050542555</v>
      </c>
      <c r="CG13" s="120">
        <f t="shared" si="98"/>
        <v>-1524.7041385982118</v>
      </c>
      <c r="CH13" s="120">
        <f t="shared" si="98"/>
        <v>-990.49084002894017</v>
      </c>
      <c r="CI13" s="120">
        <f t="shared" si="98"/>
        <v>-638.64106424214481</v>
      </c>
      <c r="CJ13" s="120">
        <f t="shared" si="98"/>
        <v>0</v>
      </c>
      <c r="CK13" s="120">
        <f t="shared" si="98"/>
        <v>0</v>
      </c>
      <c r="CL13" s="120">
        <f t="shared" si="98"/>
        <v>0</v>
      </c>
      <c r="CM13" s="120">
        <f t="shared" si="98"/>
        <v>0</v>
      </c>
      <c r="CN13" s="120">
        <f t="shared" si="98"/>
        <v>0</v>
      </c>
      <c r="CO13" s="120">
        <f t="shared" si="98"/>
        <v>0</v>
      </c>
      <c r="CP13" s="120">
        <f t="shared" si="98"/>
        <v>0</v>
      </c>
      <c r="CQ13" s="120">
        <f t="shared" si="98"/>
        <v>0</v>
      </c>
      <c r="CR13" s="120">
        <f t="shared" si="98"/>
        <v>0</v>
      </c>
      <c r="CS13" s="120">
        <f t="shared" si="98"/>
        <v>0</v>
      </c>
      <c r="CT13" s="120">
        <f t="shared" si="98"/>
        <v>0</v>
      </c>
      <c r="CU13" s="120">
        <f t="shared" si="98"/>
        <v>0</v>
      </c>
      <c r="CV13" s="120">
        <f t="shared" si="98"/>
        <v>0</v>
      </c>
      <c r="CW13" s="120">
        <f t="shared" si="98"/>
        <v>0</v>
      </c>
      <c r="CX13" s="120">
        <f t="shared" si="98"/>
        <v>0</v>
      </c>
      <c r="CY13" s="266"/>
      <c r="CZ13" s="266"/>
      <c r="DA13" s="266"/>
      <c r="DB13" s="266"/>
      <c r="DC13" s="266"/>
    </row>
    <row r="14" spans="2:107" x14ac:dyDescent="0.3">
      <c r="B14" s="117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20"/>
      <c r="CI14" s="120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266"/>
      <c r="CZ14" s="266"/>
      <c r="DA14" s="266"/>
      <c r="DB14" s="266"/>
      <c r="DC14" s="266"/>
    </row>
    <row r="15" spans="2:107" x14ac:dyDescent="0.3">
      <c r="B15" s="117" t="s">
        <v>119</v>
      </c>
      <c r="C15" s="120">
        <f>C8+C13</f>
        <v>395462.55380120222</v>
      </c>
      <c r="D15" s="120">
        <f t="shared" ref="D15:L15" si="99">D8+D13</f>
        <v>1457920.8035260215</v>
      </c>
      <c r="E15" s="120">
        <f t="shared" si="99"/>
        <v>2904187.6818612013</v>
      </c>
      <c r="F15" s="120">
        <f t="shared" si="99"/>
        <v>4510841.8721852191</v>
      </c>
      <c r="G15" s="120">
        <f t="shared" si="99"/>
        <v>6445846.3099079579</v>
      </c>
      <c r="H15" s="120">
        <f t="shared" si="99"/>
        <v>8623543.4505227208</v>
      </c>
      <c r="I15" s="120">
        <f t="shared" si="99"/>
        <v>10894177.067617878</v>
      </c>
      <c r="J15" s="120">
        <f t="shared" si="99"/>
        <v>13379488.001973838</v>
      </c>
      <c r="K15" s="120">
        <f t="shared" si="99"/>
        <v>16171781.755326256</v>
      </c>
      <c r="L15" s="120">
        <f t="shared" si="99"/>
        <v>19390606.88247177</v>
      </c>
      <c r="M15" s="120">
        <f t="shared" ref="M15:AM15" si="100">M8+M13</f>
        <v>19730715.704576105</v>
      </c>
      <c r="N15" s="120">
        <f t="shared" si="100"/>
        <v>17842158.419793665</v>
      </c>
      <c r="O15" s="120">
        <f t="shared" si="100"/>
        <v>16530724.705287606</v>
      </c>
      <c r="P15" s="120">
        <f t="shared" si="100"/>
        <v>15321918.811513491</v>
      </c>
      <c r="Q15" s="120">
        <f t="shared" si="100"/>
        <v>14207538.703685738</v>
      </c>
      <c r="R15" s="120">
        <f t="shared" si="100"/>
        <v>13186372.633202478</v>
      </c>
      <c r="S15" s="120">
        <f t="shared" si="100"/>
        <v>12203243.106565259</v>
      </c>
      <c r="T15" s="120">
        <f t="shared" si="100"/>
        <v>11260336.657004729</v>
      </c>
      <c r="U15" s="120">
        <f t="shared" si="100"/>
        <v>10345584.241401292</v>
      </c>
      <c r="V15" s="120">
        <f t="shared" si="100"/>
        <v>9500206.3311754614</v>
      </c>
      <c r="W15" s="120">
        <f t="shared" si="100"/>
        <v>8806137.6266516224</v>
      </c>
      <c r="X15" s="120">
        <f t="shared" si="100"/>
        <v>8157963.3132468462</v>
      </c>
      <c r="Y15" s="120">
        <f t="shared" si="100"/>
        <v>7551148.5600952506</v>
      </c>
      <c r="Z15" s="120">
        <f t="shared" si="100"/>
        <v>6985951.9141998738</v>
      </c>
      <c r="AA15" s="120">
        <f t="shared" si="100"/>
        <v>6433543.0427748971</v>
      </c>
      <c r="AB15" s="120">
        <f t="shared" si="100"/>
        <v>5926715.92883192</v>
      </c>
      <c r="AC15" s="120">
        <f t="shared" si="100"/>
        <v>5456945.510511864</v>
      </c>
      <c r="AD15" s="120">
        <f t="shared" si="100"/>
        <v>5014382.6226526685</v>
      </c>
      <c r="AE15" s="120">
        <f t="shared" si="100"/>
        <v>4600735.0607773326</v>
      </c>
      <c r="AF15" s="120">
        <f t="shared" si="100"/>
        <v>4182317.3107457757</v>
      </c>
      <c r="AG15" s="120">
        <f t="shared" si="100"/>
        <v>3921845.8464880176</v>
      </c>
      <c r="AH15" s="120">
        <f t="shared" si="100"/>
        <v>3691158.1652435064</v>
      </c>
      <c r="AI15" s="120">
        <f t="shared" si="100"/>
        <v>3477561.5981527939</v>
      </c>
      <c r="AJ15" s="120">
        <f t="shared" si="100"/>
        <v>3282178.3220647443</v>
      </c>
      <c r="AK15" s="120">
        <f t="shared" si="100"/>
        <v>3073815.2383528594</v>
      </c>
      <c r="AL15" s="120">
        <f t="shared" si="100"/>
        <v>2904916.2422710042</v>
      </c>
      <c r="AM15" s="120">
        <f t="shared" si="100"/>
        <v>2740152.0088510551</v>
      </c>
      <c r="AN15" s="120">
        <f t="shared" ref="AN15:BJ15" si="101">AN8+AN13</f>
        <v>2581729.4248676263</v>
      </c>
      <c r="AO15" s="120">
        <f t="shared" si="101"/>
        <v>2432309.6311344597</v>
      </c>
      <c r="AP15" s="120">
        <f t="shared" si="101"/>
        <v>2271640.3853781745</v>
      </c>
      <c r="AQ15" s="120">
        <f t="shared" si="101"/>
        <v>2133210.9661210608</v>
      </c>
      <c r="AR15" s="120">
        <f t="shared" si="101"/>
        <v>1999516.7647540085</v>
      </c>
      <c r="AS15" s="120">
        <f t="shared" si="101"/>
        <v>1866233.2336189747</v>
      </c>
      <c r="AT15" s="120">
        <f t="shared" si="101"/>
        <v>1734838.464745488</v>
      </c>
      <c r="AU15" s="120">
        <f t="shared" si="101"/>
        <v>1593709.1458080774</v>
      </c>
      <c r="AV15" s="120">
        <f t="shared" si="101"/>
        <v>1465544.8802002557</v>
      </c>
      <c r="AW15" s="120">
        <f t="shared" si="101"/>
        <v>1340688.2744557299</v>
      </c>
      <c r="AX15" s="120">
        <f t="shared" si="101"/>
        <v>1219920.0516404789</v>
      </c>
      <c r="AY15" s="120">
        <f t="shared" si="101"/>
        <v>1105036.3344181832</v>
      </c>
      <c r="AZ15" s="120">
        <f t="shared" si="101"/>
        <v>990844.40649102535</v>
      </c>
      <c r="BA15" s="120">
        <f t="shared" si="101"/>
        <v>889051.15637394041</v>
      </c>
      <c r="BB15" s="120">
        <f t="shared" si="101"/>
        <v>796114.85843816586</v>
      </c>
      <c r="BC15" s="120">
        <f t="shared" si="101"/>
        <v>710190.5456129713</v>
      </c>
      <c r="BD15" s="120">
        <f t="shared" si="101"/>
        <v>630829.82886295626</v>
      </c>
      <c r="BE15" s="120">
        <f t="shared" si="101"/>
        <v>554832.02361964388</v>
      </c>
      <c r="BF15" s="120">
        <f t="shared" si="101"/>
        <v>487835.56831783848</v>
      </c>
      <c r="BG15" s="120">
        <f t="shared" si="101"/>
        <v>425692.73569164891</v>
      </c>
      <c r="BH15" s="120">
        <f t="shared" si="101"/>
        <v>368996.47309273132</v>
      </c>
      <c r="BI15" s="120">
        <f t="shared" si="101"/>
        <v>318200.80915954127</v>
      </c>
      <c r="BJ15" s="120">
        <f t="shared" si="101"/>
        <v>272195.6992659492</v>
      </c>
      <c r="BK15" s="120">
        <f t="shared" ref="BK15:CX15" si="102">BK8+BK13</f>
        <v>232960.3803768293</v>
      </c>
      <c r="BL15" s="120">
        <f t="shared" si="102"/>
        <v>196845.20617950079</v>
      </c>
      <c r="BM15" s="120">
        <f t="shared" si="102"/>
        <v>164179.50136613846</v>
      </c>
      <c r="BN15" s="120">
        <f t="shared" si="102"/>
        <v>135078.19888853026</v>
      </c>
      <c r="BO15" s="120">
        <f t="shared" si="102"/>
        <v>109273.64159430028</v>
      </c>
      <c r="BP15" s="120">
        <f t="shared" si="102"/>
        <v>88426.526310052257</v>
      </c>
      <c r="BQ15" s="120">
        <f t="shared" si="102"/>
        <v>69099.815553084947</v>
      </c>
      <c r="BR15" s="120">
        <f t="shared" si="102"/>
        <v>52349.533323309908</v>
      </c>
      <c r="BS15" s="120">
        <f t="shared" si="102"/>
        <v>38340.773498764785</v>
      </c>
      <c r="BT15" s="120">
        <f t="shared" si="102"/>
        <v>27083.299454515654</v>
      </c>
      <c r="BU15" s="120">
        <f t="shared" si="102"/>
        <v>19204.629080979852</v>
      </c>
      <c r="BV15" s="120">
        <f t="shared" si="102"/>
        <v>12755.529555024666</v>
      </c>
      <c r="BW15" s="120">
        <f t="shared" si="102"/>
        <v>8124.3246033199684</v>
      </c>
      <c r="BX15" s="120">
        <f t="shared" si="102"/>
        <v>4924.367413192027</v>
      </c>
      <c r="BY15" s="120">
        <f t="shared" si="102"/>
        <v>2923.1728888794896</v>
      </c>
      <c r="BZ15" s="120">
        <f t="shared" si="102"/>
        <v>2218.8766641952971</v>
      </c>
      <c r="CA15" s="120">
        <f t="shared" si="102"/>
        <v>1496.5062449048783</v>
      </c>
      <c r="CB15" s="120">
        <f t="shared" si="102"/>
        <v>952.53886812579913</v>
      </c>
      <c r="CC15" s="120">
        <f t="shared" si="102"/>
        <v>540.45769448387182</v>
      </c>
      <c r="CD15" s="120">
        <f t="shared" si="102"/>
        <v>233.62338046502191</v>
      </c>
      <c r="CE15" s="120">
        <f t="shared" si="102"/>
        <v>159.65661033513152</v>
      </c>
      <c r="CF15" s="120">
        <f t="shared" si="102"/>
        <v>-3.3742349852518601</v>
      </c>
      <c r="CG15" s="120">
        <f t="shared" si="102"/>
        <v>-40.955116762063653</v>
      </c>
      <c r="CH15" s="120">
        <f t="shared" si="102"/>
        <v>-45.105009508122407</v>
      </c>
      <c r="CI15" s="120">
        <f t="shared" si="102"/>
        <v>-40.529752983137882</v>
      </c>
      <c r="CJ15" s="120">
        <f t="shared" si="102"/>
        <v>0</v>
      </c>
      <c r="CK15" s="120">
        <f t="shared" si="102"/>
        <v>0</v>
      </c>
      <c r="CL15" s="120">
        <f t="shared" si="102"/>
        <v>0</v>
      </c>
      <c r="CM15" s="120">
        <f t="shared" si="102"/>
        <v>0</v>
      </c>
      <c r="CN15" s="120">
        <f t="shared" si="102"/>
        <v>0</v>
      </c>
      <c r="CO15" s="120">
        <f t="shared" si="102"/>
        <v>0</v>
      </c>
      <c r="CP15" s="120">
        <f t="shared" si="102"/>
        <v>0</v>
      </c>
      <c r="CQ15" s="120">
        <f t="shared" si="102"/>
        <v>0</v>
      </c>
      <c r="CR15" s="120">
        <f t="shared" si="102"/>
        <v>0</v>
      </c>
      <c r="CS15" s="120">
        <f t="shared" si="102"/>
        <v>0</v>
      </c>
      <c r="CT15" s="120">
        <f t="shared" si="102"/>
        <v>0</v>
      </c>
      <c r="CU15" s="120">
        <f t="shared" si="102"/>
        <v>0</v>
      </c>
      <c r="CV15" s="120">
        <f t="shared" si="102"/>
        <v>0</v>
      </c>
      <c r="CW15" s="120">
        <f t="shared" si="102"/>
        <v>0</v>
      </c>
      <c r="CX15" s="120">
        <f t="shared" si="102"/>
        <v>0</v>
      </c>
      <c r="CY15" s="266"/>
      <c r="CZ15" s="266"/>
      <c r="DA15" s="266"/>
      <c r="DB15" s="266"/>
      <c r="DC15" s="266"/>
    </row>
    <row r="16" spans="2:107" x14ac:dyDescent="0.3">
      <c r="B16" s="117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265"/>
      <c r="CZ16" s="265"/>
      <c r="DA16" s="265"/>
      <c r="DB16" s="265"/>
      <c r="DC16" s="265"/>
    </row>
    <row r="17" spans="2:107" x14ac:dyDescent="0.3">
      <c r="B17" s="117" t="s">
        <v>120</v>
      </c>
      <c r="C17" s="120">
        <f>'Combined IFRS17 Cashflows'!F116</f>
        <v>-9774.6087250126166</v>
      </c>
      <c r="D17" s="120">
        <f>'Combined IFRS17 Cashflows'!G116</f>
        <v>-32879.527127720256</v>
      </c>
      <c r="E17" s="120">
        <f>'Combined IFRS17 Cashflows'!H116</f>
        <v>-63663.229051129762</v>
      </c>
      <c r="F17" s="120">
        <f>'Combined IFRS17 Cashflows'!I116</f>
        <v>-98834.963506666434</v>
      </c>
      <c r="G17" s="120">
        <f>'Combined IFRS17 Cashflows'!J116</f>
        <v>-143053.68252577828</v>
      </c>
      <c r="H17" s="120">
        <f>'Combined IFRS17 Cashflows'!K116</f>
        <v>-191898.66140847115</v>
      </c>
      <c r="I17" s="120">
        <f>'Combined IFRS17 Cashflows'!L116</f>
        <v>-244075.4462991718</v>
      </c>
      <c r="J17" s="120">
        <f>'Combined IFRS17 Cashflows'!M116</f>
        <v>-302190.38741410879</v>
      </c>
      <c r="K17" s="120">
        <f>'Combined IFRS17 Cashflows'!N116</f>
        <v>-368395.97013136355</v>
      </c>
      <c r="L17" s="120">
        <f>'Combined IFRS17 Cashflows'!O116</f>
        <v>-445127.68968764914</v>
      </c>
      <c r="M17" s="120">
        <f>'Combined IFRS17 Cashflows'!P116</f>
        <v>-449638.22662643285</v>
      </c>
      <c r="N17" s="120">
        <f>'Combined IFRS17 Cashflows'!Q116</f>
        <v>-425094.78188748786</v>
      </c>
      <c r="O17" s="120">
        <f>'Combined IFRS17 Cashflows'!R116</f>
        <v>-406626.95347055083</v>
      </c>
      <c r="P17" s="120">
        <f>'Combined IFRS17 Cashflows'!S116</f>
        <v>-387142.16222838691</v>
      </c>
      <c r="Q17" s="120">
        <f>'Combined IFRS17 Cashflows'!T116</f>
        <v>-365757.74262361991</v>
      </c>
      <c r="R17" s="120">
        <f>'Combined IFRS17 Cashflows'!U116</f>
        <v>-349904.92803232896</v>
      </c>
      <c r="S17" s="120">
        <f>'Combined IFRS17 Cashflows'!V116</f>
        <v>-333528.02451298578</v>
      </c>
      <c r="T17" s="120">
        <f>'Combined IFRS17 Cashflows'!W116</f>
        <v>-316332.24683775072</v>
      </c>
      <c r="U17" s="120">
        <f>'Combined IFRS17 Cashflows'!X116</f>
        <v>-298047.88939114584</v>
      </c>
      <c r="V17" s="120">
        <f>'Combined IFRS17 Cashflows'!Y116</f>
        <v>-278214.18635144626</v>
      </c>
      <c r="W17" s="120">
        <f>'Combined IFRS17 Cashflows'!Z116</f>
        <v>-268193.85655028839</v>
      </c>
      <c r="X17" s="120">
        <f>'Combined IFRS17 Cashflows'!AA116</f>
        <v>-256791.28324948775</v>
      </c>
      <c r="Y17" s="120">
        <f>'Combined IFRS17 Cashflows'!AB116</f>
        <v>-244629.33218821869</v>
      </c>
      <c r="Z17" s="120">
        <f>'Combined IFRS17 Cashflows'!AC116</f>
        <v>-231980.03276488083</v>
      </c>
      <c r="AA17" s="120">
        <f>'Combined IFRS17 Cashflows'!AD116</f>
        <v>-218192.64780735609</v>
      </c>
      <c r="AB17" s="120">
        <f>'Combined IFRS17 Cashflows'!AE116</f>
        <v>-204082.620772561</v>
      </c>
      <c r="AC17" s="120">
        <f>'Combined IFRS17 Cashflows'!AF116</f>
        <v>-189648.4102211378</v>
      </c>
      <c r="AD17" s="120">
        <f>'Combined IFRS17 Cashflows'!AG116</f>
        <v>-174563.47693513942</v>
      </c>
      <c r="AE17" s="120">
        <f>'Combined IFRS17 Cashflows'!AH116</f>
        <v>-158596.44870014873</v>
      </c>
      <c r="AF17" s="120">
        <f>'Combined IFRS17 Cashflows'!AI116</f>
        <v>-141399.62932820548</v>
      </c>
      <c r="AG17" s="120">
        <f>'Combined IFRS17 Cashflows'!AJ116</f>
        <v>-134839.17273653077</v>
      </c>
      <c r="AH17" s="120">
        <f>'Combined IFRS17 Cashflows'!AK116</f>
        <v>-128538.20772240583</v>
      </c>
      <c r="AI17" s="120">
        <f>'Combined IFRS17 Cashflows'!AL116</f>
        <v>-122390.1636713164</v>
      </c>
      <c r="AJ17" s="120">
        <f>'Combined IFRS17 Cashflows'!AM116</f>
        <v>-116365.1766016827</v>
      </c>
      <c r="AK17" s="120">
        <f>'Combined IFRS17 Cashflows'!AN116</f>
        <v>-110441.5470470944</v>
      </c>
      <c r="AL17" s="120">
        <f>'Combined IFRS17 Cashflows'!AO116</f>
        <v>-104603.2632360992</v>
      </c>
      <c r="AM17" s="120">
        <f>'Combined IFRS17 Cashflows'!AP116</f>
        <v>-98991.408032815336</v>
      </c>
      <c r="AN17" s="120">
        <f>'Combined IFRS17 Cashflows'!AQ116</f>
        <v>-93432.369664944476</v>
      </c>
      <c r="AO17" s="120">
        <f>'Combined IFRS17 Cashflows'!AR116</f>
        <v>-87937.806504014065</v>
      </c>
      <c r="AP17" s="120">
        <f>'Combined IFRS17 Cashflows'!AS116</f>
        <v>-82514.10404084975</v>
      </c>
      <c r="AQ17" s="120">
        <f>'Combined IFRS17 Cashflows'!AT116</f>
        <v>-77163.513869999457</v>
      </c>
      <c r="AR17" s="120">
        <f>'Combined IFRS17 Cashflows'!AU116</f>
        <v>-71925.776234451769</v>
      </c>
      <c r="AS17" s="120">
        <f>'Combined IFRS17 Cashflows'!AV116</f>
        <v>-66790.257460486901</v>
      </c>
      <c r="AT17" s="120">
        <f>'Combined IFRS17 Cashflows'!AW116</f>
        <v>-61781.225872491268</v>
      </c>
      <c r="AU17" s="120">
        <f>'Combined IFRS17 Cashflows'!AX116</f>
        <v>-56925.694220328696</v>
      </c>
      <c r="AV17" s="120">
        <f>'Combined IFRS17 Cashflows'!AY116</f>
        <v>-52251.028321094156</v>
      </c>
      <c r="AW17" s="120">
        <f>'Combined IFRS17 Cashflows'!AZ116</f>
        <v>-47819.75677510017</v>
      </c>
      <c r="AX17" s="120">
        <f>'Combined IFRS17 Cashflows'!BA116</f>
        <v>-43607.333066683539</v>
      </c>
      <c r="AY17" s="120">
        <f>'Combined IFRS17 Cashflows'!BB116</f>
        <v>-39638.268663851573</v>
      </c>
      <c r="AZ17" s="120">
        <f>'Combined IFRS17 Cashflows'!BC116</f>
        <v>-35925.435281349222</v>
      </c>
      <c r="BA17" s="120">
        <f>'Combined IFRS17 Cashflows'!BD116</f>
        <v>-32469.514667076299</v>
      </c>
      <c r="BB17" s="120">
        <f>'Combined IFRS17 Cashflows'!BE116</f>
        <v>-29268.835427632468</v>
      </c>
      <c r="BC17" s="120">
        <f>'Combined IFRS17 Cashflows'!BF116</f>
        <v>-26302.934581526864</v>
      </c>
      <c r="BD17" s="120">
        <f>'Combined IFRS17 Cashflows'!BG116</f>
        <v>-23553.439236734517</v>
      </c>
      <c r="BE17" s="120">
        <f>'Combined IFRS17 Cashflows'!BH116</f>
        <v>-21005.017957266191</v>
      </c>
      <c r="BF17" s="120">
        <f>'Combined IFRS17 Cashflows'!BI116</f>
        <v>-18644.589744997687</v>
      </c>
      <c r="BG17" s="120">
        <f>'Combined IFRS17 Cashflows'!BJ116</f>
        <v>-16501.640222975475</v>
      </c>
      <c r="BH17" s="120">
        <f>'Combined IFRS17 Cashflows'!BK116</f>
        <v>-14514.61114397898</v>
      </c>
      <c r="BI17" s="120">
        <f>'Combined IFRS17 Cashflows'!BL116</f>
        <v>-12681.141217930675</v>
      </c>
      <c r="BJ17" s="120">
        <f>'Combined IFRS17 Cashflows'!BM116</f>
        <v>-10995.652921272418</v>
      </c>
      <c r="BK17" s="120">
        <f>'Combined IFRS17 Cashflows'!BN116</f>
        <v>-9450.3904262354426</v>
      </c>
      <c r="BL17" s="120">
        <f>'Combined IFRS17 Cashflows'!BO116</f>
        <v>-8040.7136131293482</v>
      </c>
      <c r="BM17" s="120">
        <f>'Combined IFRS17 Cashflows'!BP116</f>
        <v>-6761.280595877327</v>
      </c>
      <c r="BN17" s="120">
        <f>'Combined IFRS17 Cashflows'!BQ116</f>
        <v>-5611.4316604263913</v>
      </c>
      <c r="BO17" s="120">
        <f>'Combined IFRS17 Cashflows'!BR116</f>
        <v>-4590.2436698512911</v>
      </c>
      <c r="BP17" s="120">
        <f>'Combined IFRS17 Cashflows'!BS116</f>
        <v>-3695.6444086826223</v>
      </c>
      <c r="BQ17" s="120">
        <f>'Combined IFRS17 Cashflows'!BT116</f>
        <v>-2932.4042603564594</v>
      </c>
      <c r="BR17" s="120">
        <f>'Combined IFRS17 Cashflows'!BU116</f>
        <v>-2284.2370547122782</v>
      </c>
      <c r="BS17" s="120">
        <f>'Combined IFRS17 Cashflows'!BV116</f>
        <v>-1747.127194570535</v>
      </c>
      <c r="BT17" s="120">
        <f>'Combined IFRS17 Cashflows'!BW116</f>
        <v>-1313.3927528196295</v>
      </c>
      <c r="BU17" s="120">
        <f>'Combined IFRS17 Cashflows'!BX116</f>
        <v>-971.78196921839617</v>
      </c>
      <c r="BV17" s="120">
        <f>'Combined IFRS17 Cashflows'!BY116</f>
        <v>-714.43653791573115</v>
      </c>
      <c r="BW17" s="120">
        <f>'Combined IFRS17 Cashflows'!BZ116</f>
        <v>-519.36816634021272</v>
      </c>
      <c r="BX17" s="120">
        <f>'Combined IFRS17 Cashflows'!CA116</f>
        <v>-372.52551547685727</v>
      </c>
      <c r="BY17" s="120">
        <f>'Combined IFRS17 Cashflows'!CB116</f>
        <v>-262.413558421056</v>
      </c>
      <c r="BZ17" s="120">
        <f>'Combined IFRS17 Cashflows'!CC116</f>
        <v>-179.80042010169205</v>
      </c>
      <c r="CA17" s="120">
        <f>'Combined IFRS17 Cashflows'!CD116</f>
        <v>-131.18978986121431</v>
      </c>
      <c r="CB17" s="120">
        <f>'Combined IFRS17 Cashflows'!CE116</f>
        <v>-93.409351212104866</v>
      </c>
      <c r="CC17" s="120">
        <f>'Combined IFRS17 Cashflows'!CF116</f>
        <v>-64.559613441481261</v>
      </c>
      <c r="CD17" s="120">
        <f>'Combined IFRS17 Cashflows'!CG116</f>
        <v>-42.960045656154108</v>
      </c>
      <c r="CE17" s="120">
        <f>'Combined IFRS17 Cashflows'!CH116</f>
        <v>-27.063074171556416</v>
      </c>
      <c r="CF17" s="120">
        <f>'Combined IFRS17 Cashflows'!CI116</f>
        <v>-17.319538908673859</v>
      </c>
      <c r="CG17" s="120">
        <f>'Combined IFRS17 Cashflows'!CJ116</f>
        <v>-10.406838341355542</v>
      </c>
      <c r="CH17" s="120">
        <f>'Combined IFRS17 Cashflows'!CK116</f>
        <v>-5.5987263442271473</v>
      </c>
      <c r="CI17" s="120">
        <f>'Combined IFRS17 Cashflows'!CL116</f>
        <v>-2.2922136024735615</v>
      </c>
      <c r="CJ17" s="120">
        <f>'Combined IFRS17 Cashflows'!CM116</f>
        <v>0</v>
      </c>
      <c r="CK17" s="120">
        <f>'Combined IFRS17 Cashflows'!CN116</f>
        <v>0</v>
      </c>
      <c r="CL17" s="120">
        <f>'Combined IFRS17 Cashflows'!CO116</f>
        <v>0</v>
      </c>
      <c r="CM17" s="120">
        <f>'Combined IFRS17 Cashflows'!CP116</f>
        <v>0</v>
      </c>
      <c r="CN17" s="120">
        <f>'Combined IFRS17 Cashflows'!CQ116</f>
        <v>0</v>
      </c>
      <c r="CO17" s="120">
        <f>'Combined IFRS17 Cashflows'!CR116</f>
        <v>0</v>
      </c>
      <c r="CP17" s="120">
        <f>'Combined IFRS17 Cashflows'!CS116</f>
        <v>0</v>
      </c>
      <c r="CQ17" s="120">
        <f>'Combined IFRS17 Cashflows'!CT116</f>
        <v>0</v>
      </c>
      <c r="CR17" s="120">
        <f>'Combined IFRS17 Cashflows'!CU116</f>
        <v>0</v>
      </c>
      <c r="CS17" s="120">
        <f>'Combined IFRS17 Cashflows'!CV116</f>
        <v>0</v>
      </c>
      <c r="CT17" s="120">
        <f>'Combined IFRS17 Cashflows'!CW116</f>
        <v>0</v>
      </c>
      <c r="CU17" s="120">
        <f>'Combined IFRS17 Cashflows'!CX116</f>
        <v>0</v>
      </c>
      <c r="CV17" s="120">
        <f>'Combined IFRS17 Cashflows'!CY116</f>
        <v>0</v>
      </c>
      <c r="CW17" s="120">
        <f>'Combined IFRS17 Cashflows'!CZ116</f>
        <v>0</v>
      </c>
      <c r="CX17" s="120">
        <f>'Combined IFRS17 Cashflows'!DA116</f>
        <v>0</v>
      </c>
      <c r="CY17" s="266"/>
      <c r="CZ17" s="266"/>
      <c r="DA17" s="266"/>
      <c r="DB17" s="266"/>
      <c r="DC17" s="266"/>
    </row>
    <row r="18" spans="2:107" x14ac:dyDescent="0.3">
      <c r="B18" s="113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265"/>
      <c r="CZ18" s="265"/>
      <c r="DA18" s="265"/>
      <c r="DB18" s="265"/>
      <c r="DC18" s="265"/>
    </row>
    <row r="19" spans="2:107" x14ac:dyDescent="0.3">
      <c r="B19" s="113" t="s">
        <v>121</v>
      </c>
      <c r="C19" s="119">
        <f>'Combined IFRS17 Cashflows'!F118</f>
        <v>200343.46210573689</v>
      </c>
      <c r="D19" s="119">
        <f>'Combined IFRS17 Cashflows'!G118</f>
        <v>703828.89467045618</v>
      </c>
      <c r="E19" s="119">
        <f>'Combined IFRS17 Cashflows'!H118</f>
        <v>1323669.8775551226</v>
      </c>
      <c r="F19" s="119">
        <f>'Combined IFRS17 Cashflows'!I118</f>
        <v>1963695.8538288088</v>
      </c>
      <c r="G19" s="119">
        <f>'Combined IFRS17 Cashflows'!J118</f>
        <v>2757249.1189020323</v>
      </c>
      <c r="H19" s="119">
        <f>'Combined IFRS17 Cashflows'!K118</f>
        <v>3655402.71739825</v>
      </c>
      <c r="I19" s="119">
        <f>'Combined IFRS17 Cashflows'!L118</f>
        <v>4595047.521528706</v>
      </c>
      <c r="J19" s="119">
        <f>'Combined IFRS17 Cashflows'!M118</f>
        <v>5679172.9639475429</v>
      </c>
      <c r="K19" s="119">
        <f>'Combined IFRS17 Cashflows'!N118</f>
        <v>6966941.8601525342</v>
      </c>
      <c r="L19" s="119">
        <f>'Combined IFRS17 Cashflows'!O118</f>
        <v>8508337.6511667632</v>
      </c>
      <c r="M19" s="119">
        <f>'Combined IFRS17 Cashflows'!P118</f>
        <v>8625341.0269382857</v>
      </c>
      <c r="N19" s="119">
        <f>'Combined IFRS17 Cashflows'!Q118</f>
        <v>7937338.5333250631</v>
      </c>
      <c r="O19" s="119">
        <f>'Combined IFRS17 Cashflows'!R118</f>
        <v>7980719.4413534477</v>
      </c>
      <c r="P19" s="119">
        <f>'Combined IFRS17 Cashflows'!S118</f>
        <v>8202370.0502186958</v>
      </c>
      <c r="Q19" s="119">
        <f>'Combined IFRS17 Cashflows'!T118</f>
        <v>8420853.7458106503</v>
      </c>
      <c r="R19" s="119">
        <f>'Combined IFRS17 Cashflows'!U118</f>
        <v>8771067.7474069316</v>
      </c>
      <c r="S19" s="119">
        <f>'Combined IFRS17 Cashflows'!V118</f>
        <v>9061961.8388910498</v>
      </c>
      <c r="T19" s="119">
        <f>'Combined IFRS17 Cashflows'!W118</f>
        <v>9271964.8485011812</v>
      </c>
      <c r="U19" s="119">
        <f>'Combined IFRS17 Cashflows'!X118</f>
        <v>9401372.4900126345</v>
      </c>
      <c r="V19" s="119">
        <f>'Combined IFRS17 Cashflows'!Y118</f>
        <v>9423349.1879245434</v>
      </c>
      <c r="W19" s="119">
        <f>'Combined IFRS17 Cashflows'!Z118</f>
        <v>9471154.4241358191</v>
      </c>
      <c r="X19" s="119">
        <f>'Combined IFRS17 Cashflows'!AA118</f>
        <v>9428898.554921886</v>
      </c>
      <c r="Y19" s="119">
        <f>'Combined IFRS17 Cashflows'!AB118</f>
        <v>9308119.5817438141</v>
      </c>
      <c r="Z19" s="119">
        <f>'Combined IFRS17 Cashflows'!AC118</f>
        <v>9119177.3425892387</v>
      </c>
      <c r="AA19" s="119">
        <f>'Combined IFRS17 Cashflows'!AD118</f>
        <v>8867739.0838831384</v>
      </c>
      <c r="AB19" s="119">
        <f>'Combined IFRS17 Cashflows'!AE118</f>
        <v>8641458.7942089662</v>
      </c>
      <c r="AC19" s="119">
        <f>'Combined IFRS17 Cashflows'!AF118</f>
        <v>8387860.3835862838</v>
      </c>
      <c r="AD19" s="119">
        <f>'Combined IFRS17 Cashflows'!AG118</f>
        <v>8115243.8225551499</v>
      </c>
      <c r="AE19" s="119">
        <f>'Combined IFRS17 Cashflows'!AH118</f>
        <v>7829892.9038791247</v>
      </c>
      <c r="AF19" s="119">
        <f>'Combined IFRS17 Cashflows'!AI118</f>
        <v>7533125.2286329232</v>
      </c>
      <c r="AG19" s="119">
        <f>'Combined IFRS17 Cashflows'!AJ118</f>
        <v>7274773.7261872739</v>
      </c>
      <c r="AH19" s="119">
        <f>'Combined IFRS17 Cashflows'!AK118</f>
        <v>7010982.4853423275</v>
      </c>
      <c r="AI19" s="119">
        <f>'Combined IFRS17 Cashflows'!AL118</f>
        <v>6738600.3136199582</v>
      </c>
      <c r="AJ19" s="119">
        <f>'Combined IFRS17 Cashflows'!AM118</f>
        <v>6455068.3784062108</v>
      </c>
      <c r="AK19" s="119">
        <f>'Combined IFRS17 Cashflows'!AN118</f>
        <v>6157300.1828469457</v>
      </c>
      <c r="AL19" s="119">
        <f>'Combined IFRS17 Cashflows'!AO118</f>
        <v>5870186.3836363778</v>
      </c>
      <c r="AM19" s="119">
        <f>'Combined IFRS17 Cashflows'!AP118</f>
        <v>5581377.9723149091</v>
      </c>
      <c r="AN19" s="119">
        <f>'Combined IFRS17 Cashflows'!AQ118</f>
        <v>5282719.8700606916</v>
      </c>
      <c r="AO19" s="119">
        <f>'Combined IFRS17 Cashflows'!AR118</f>
        <v>4976088.1149993492</v>
      </c>
      <c r="AP19" s="119">
        <f>'Combined IFRS17 Cashflows'!AS118</f>
        <v>4661853.8982220218</v>
      </c>
      <c r="AQ19" s="119">
        <f>'Combined IFRS17 Cashflows'!AT118</f>
        <v>4355856.104450359</v>
      </c>
      <c r="AR19" s="119">
        <f>'Combined IFRS17 Cashflows'!AU118</f>
        <v>4047493.0288093309</v>
      </c>
      <c r="AS19" s="119">
        <f>'Combined IFRS17 Cashflows'!AV118</f>
        <v>3739060.8764041457</v>
      </c>
      <c r="AT19" s="119">
        <f>'Combined IFRS17 Cashflows'!AW118</f>
        <v>3433194.2018108857</v>
      </c>
      <c r="AU19" s="119">
        <f>'Combined IFRS17 Cashflows'!AX118</f>
        <v>3132190.3123042043</v>
      </c>
      <c r="AV19" s="119">
        <f>'Combined IFRS17 Cashflows'!AY118</f>
        <v>2847085.5824290169</v>
      </c>
      <c r="AW19" s="119">
        <f>'Combined IFRS17 Cashflows'!AZ118</f>
        <v>2575868.1395773948</v>
      </c>
      <c r="AX19" s="119">
        <f>'Combined IFRS17 Cashflows'!BA118</f>
        <v>2317913.6986820498</v>
      </c>
      <c r="AY19" s="119">
        <f>'Combined IFRS17 Cashflows'!BB118</f>
        <v>2075262.5807914136</v>
      </c>
      <c r="AZ19" s="119">
        <f>'Combined IFRS17 Cashflows'!BC118</f>
        <v>1848867.978587379</v>
      </c>
      <c r="BA19" s="119">
        <f>'Combined IFRS17 Cashflows'!BD118</f>
        <v>1643112.2440340735</v>
      </c>
      <c r="BB19" s="119">
        <f>'Combined IFRS17 Cashflows'!BE118</f>
        <v>1454565.3176652172</v>
      </c>
      <c r="BC19" s="119">
        <f>'Combined IFRS17 Cashflows'!BF118</f>
        <v>1281966.7099411443</v>
      </c>
      <c r="BD19" s="119">
        <f>'Combined IFRS17 Cashflows'!BG118</f>
        <v>1124181.6160675143</v>
      </c>
      <c r="BE19" s="119">
        <f>'Combined IFRS17 Cashflows'!BH118</f>
        <v>980113.37901949137</v>
      </c>
      <c r="BF19" s="119">
        <f>'Combined IFRS17 Cashflows'!BI118</f>
        <v>850675.6348127916</v>
      </c>
      <c r="BG19" s="119">
        <f>'Combined IFRS17 Cashflows'!BJ118</f>
        <v>735491.89540252206</v>
      </c>
      <c r="BH19" s="119">
        <f>'Combined IFRS17 Cashflows'!BK118</f>
        <v>631440.62244416156</v>
      </c>
      <c r="BI19" s="119">
        <f>'Combined IFRS17 Cashflows'!BL118</f>
        <v>538056.79407876648</v>
      </c>
      <c r="BJ19" s="119">
        <f>'Combined IFRS17 Cashflows'!BM118</f>
        <v>454636.65987670131</v>
      </c>
      <c r="BK19" s="119">
        <f>'Combined IFRS17 Cashflows'!BN118</f>
        <v>381180.97967880615</v>
      </c>
      <c r="BL19" s="119">
        <f>'Combined IFRS17 Cashflows'!BO118</f>
        <v>316393.9541650649</v>
      </c>
      <c r="BM19" s="119">
        <f>'Combined IFRS17 Cashflows'!BP118</f>
        <v>259534.14944140977</v>
      </c>
      <c r="BN19" s="119">
        <f>'Combined IFRS17 Cashflows'!BQ118</f>
        <v>210123.9869465791</v>
      </c>
      <c r="BO19" s="119">
        <f>'Combined IFRS17 Cashflows'!BR118</f>
        <v>167640.34050777624</v>
      </c>
      <c r="BP19" s="119">
        <f>'Combined IFRS17 Cashflows'!BS118</f>
        <v>131829.13843292295</v>
      </c>
      <c r="BQ19" s="119">
        <f>'Combined IFRS17 Cashflows'!BT118</f>
        <v>102105.28410359469</v>
      </c>
      <c r="BR19" s="119">
        <f>'Combined IFRS17 Cashflows'!BU118</f>
        <v>77577.77746952766</v>
      </c>
      <c r="BS19" s="119">
        <f>'Combined IFRS17 Cashflows'!BV118</f>
        <v>57775.905529133939</v>
      </c>
      <c r="BT19" s="119">
        <f>'Combined IFRS17 Cashflows'!BW118</f>
        <v>42159.095419147037</v>
      </c>
      <c r="BU19" s="119">
        <f>'Combined IFRS17 Cashflows'!BX118</f>
        <v>30209.021527720379</v>
      </c>
      <c r="BV19" s="119">
        <f>'Combined IFRS17 Cashflows'!BY118</f>
        <v>21437.695064617634</v>
      </c>
      <c r="BW19" s="119">
        <f>'Combined IFRS17 Cashflows'!BZ118</f>
        <v>14959.345762479788</v>
      </c>
      <c r="BX19" s="119">
        <f>'Combined IFRS17 Cashflows'!CA118</f>
        <v>10247.304308049203</v>
      </c>
      <c r="BY19" s="119">
        <f>'Combined IFRS17 Cashflows'!CB118</f>
        <v>6866.651678428726</v>
      </c>
      <c r="BZ19" s="119">
        <f>'Combined IFRS17 Cashflows'!CC118</f>
        <v>4470.2355918139474</v>
      </c>
      <c r="CA19" s="119">
        <f>'Combined IFRS17 Cashflows'!CD118</f>
        <v>3041.2645477020696</v>
      </c>
      <c r="CB19" s="119">
        <f>'Combined IFRS17 Cashflows'!CE118</f>
        <v>2015.7392876319107</v>
      </c>
      <c r="CC19" s="119">
        <f>'Combined IFRS17 Cashflows'!CF118</f>
        <v>1291.2827261487744</v>
      </c>
      <c r="CD19" s="119">
        <f>'Combined IFRS17 Cashflows'!CG118</f>
        <v>788.69524139816724</v>
      </c>
      <c r="CE19" s="119">
        <f>'Combined IFRS17 Cashflows'!CH118</f>
        <v>447.22746759175141</v>
      </c>
      <c r="CF19" s="119">
        <f>'Combined IFRS17 Cashflows'!CI118</f>
        <v>270.88980878501502</v>
      </c>
      <c r="CG19" s="119">
        <f>'Combined IFRS17 Cashflows'!CJ118</f>
        <v>156.15561476064934</v>
      </c>
      <c r="CH19" s="119">
        <f>'Combined IFRS17 Cashflows'!CK118</f>
        <v>81.109265694149656</v>
      </c>
      <c r="CI19" s="119">
        <f>'Combined IFRS17 Cashflows'!CL118</f>
        <v>32.17544191897764</v>
      </c>
      <c r="CJ19" s="119">
        <f>'Combined IFRS17 Cashflows'!CM118</f>
        <v>1.2318694766467609E-9</v>
      </c>
      <c r="CK19" s="119">
        <f>'Combined IFRS17 Cashflows'!CN118</f>
        <v>0</v>
      </c>
      <c r="CL19" s="119">
        <f>'Combined IFRS17 Cashflows'!CO118</f>
        <v>0</v>
      </c>
      <c r="CM19" s="119">
        <f>'Combined IFRS17 Cashflows'!CP118</f>
        <v>0</v>
      </c>
      <c r="CN19" s="119">
        <f>'Combined IFRS17 Cashflows'!CQ118</f>
        <v>0</v>
      </c>
      <c r="CO19" s="119">
        <f>'Combined IFRS17 Cashflows'!CR118</f>
        <v>0</v>
      </c>
      <c r="CP19" s="119">
        <f>'Combined IFRS17 Cashflows'!CS118</f>
        <v>0</v>
      </c>
      <c r="CQ19" s="119">
        <f>'Combined IFRS17 Cashflows'!CT118</f>
        <v>0</v>
      </c>
      <c r="CR19" s="119">
        <f>'Combined IFRS17 Cashflows'!CU118</f>
        <v>0</v>
      </c>
      <c r="CS19" s="119">
        <f>'Combined IFRS17 Cashflows'!CV118</f>
        <v>0</v>
      </c>
      <c r="CT19" s="119">
        <f>'Combined IFRS17 Cashflows'!CW118</f>
        <v>0</v>
      </c>
      <c r="CU19" s="119">
        <f>'Combined IFRS17 Cashflows'!CX118</f>
        <v>0</v>
      </c>
      <c r="CV19" s="119">
        <f>'Combined IFRS17 Cashflows'!CY118</f>
        <v>0</v>
      </c>
      <c r="CW19" s="119">
        <f>'Combined IFRS17 Cashflows'!CZ118</f>
        <v>0</v>
      </c>
      <c r="CX19" s="119">
        <f>'Combined IFRS17 Cashflows'!DA118</f>
        <v>0</v>
      </c>
      <c r="CY19" s="265"/>
      <c r="CZ19" s="265"/>
      <c r="DA19" s="265"/>
      <c r="DB19" s="265"/>
      <c r="DC19" s="265"/>
    </row>
    <row r="20" spans="2:107" x14ac:dyDescent="0.3">
      <c r="B20" s="113" t="s">
        <v>122</v>
      </c>
      <c r="C20" s="119">
        <f>'Combined IFRS17 Cashflows'!F119</f>
        <v>-200343.46210573686</v>
      </c>
      <c r="D20" s="119">
        <f>'Combined IFRS17 Cashflows'!G119</f>
        <v>-703828.89467045618</v>
      </c>
      <c r="E20" s="119">
        <f>'Combined IFRS17 Cashflows'!H119</f>
        <v>-1323669.8775551228</v>
      </c>
      <c r="F20" s="119">
        <f>'Combined IFRS17 Cashflows'!I119</f>
        <v>-1963695.8538288083</v>
      </c>
      <c r="G20" s="119">
        <f>'Combined IFRS17 Cashflows'!J119</f>
        <v>-2757249.1189020318</v>
      </c>
      <c r="H20" s="119">
        <f>'Combined IFRS17 Cashflows'!K119</f>
        <v>-3655402.7173982505</v>
      </c>
      <c r="I20" s="119">
        <f>'Combined IFRS17 Cashflows'!L119</f>
        <v>-4595047.521528705</v>
      </c>
      <c r="J20" s="119">
        <f>'Combined IFRS17 Cashflows'!M119</f>
        <v>-5679172.9639475411</v>
      </c>
      <c r="K20" s="119">
        <f>'Combined IFRS17 Cashflows'!N119</f>
        <v>-6966941.8601525342</v>
      </c>
      <c r="L20" s="119">
        <f>'Combined IFRS17 Cashflows'!O119</f>
        <v>-8508337.6511667632</v>
      </c>
      <c r="M20" s="119">
        <f>'Combined IFRS17 Cashflows'!P119</f>
        <v>-8625341.0269382838</v>
      </c>
      <c r="N20" s="119">
        <f>'Combined IFRS17 Cashflows'!Q119</f>
        <v>-7937338.5333250631</v>
      </c>
      <c r="O20" s="119">
        <f>'Combined IFRS17 Cashflows'!R119</f>
        <v>-7980719.4413534477</v>
      </c>
      <c r="P20" s="119">
        <f>'Combined IFRS17 Cashflows'!S119</f>
        <v>-8202370.0502186958</v>
      </c>
      <c r="Q20" s="119">
        <f>'Combined IFRS17 Cashflows'!T119</f>
        <v>-8420853.7458106503</v>
      </c>
      <c r="R20" s="119">
        <f>'Combined IFRS17 Cashflows'!U119</f>
        <v>-8771067.7474069316</v>
      </c>
      <c r="S20" s="119">
        <f>'Combined IFRS17 Cashflows'!V119</f>
        <v>-9061961.8388910498</v>
      </c>
      <c r="T20" s="119">
        <f>'Combined IFRS17 Cashflows'!W119</f>
        <v>-9271964.8485011812</v>
      </c>
      <c r="U20" s="119">
        <f>'Combined IFRS17 Cashflows'!X119</f>
        <v>-9401372.4900126364</v>
      </c>
      <c r="V20" s="119">
        <f>'Combined IFRS17 Cashflows'!Y119</f>
        <v>-9423349.1879245434</v>
      </c>
      <c r="W20" s="119">
        <f>'Combined IFRS17 Cashflows'!Z119</f>
        <v>-9471154.4241358191</v>
      </c>
      <c r="X20" s="119">
        <f>'Combined IFRS17 Cashflows'!AA119</f>
        <v>-9428898.554921886</v>
      </c>
      <c r="Y20" s="119">
        <f>'Combined IFRS17 Cashflows'!AB119</f>
        <v>-9308119.5817438141</v>
      </c>
      <c r="Z20" s="119">
        <f>'Combined IFRS17 Cashflows'!AC119</f>
        <v>-9119177.3425892387</v>
      </c>
      <c r="AA20" s="119">
        <f>'Combined IFRS17 Cashflows'!AD119</f>
        <v>-8867739.0838831402</v>
      </c>
      <c r="AB20" s="119">
        <f>'Combined IFRS17 Cashflows'!AE119</f>
        <v>-8641458.7942089662</v>
      </c>
      <c r="AC20" s="119">
        <f>'Combined IFRS17 Cashflows'!AF119</f>
        <v>-8387860.3835862838</v>
      </c>
      <c r="AD20" s="119">
        <f>'Combined IFRS17 Cashflows'!AG119</f>
        <v>-8115243.822555149</v>
      </c>
      <c r="AE20" s="119">
        <f>'Combined IFRS17 Cashflows'!AH119</f>
        <v>-7829892.9038791228</v>
      </c>
      <c r="AF20" s="119">
        <f>'Combined IFRS17 Cashflows'!AI119</f>
        <v>-7533125.2286329241</v>
      </c>
      <c r="AG20" s="119">
        <f>'Combined IFRS17 Cashflows'!AJ119</f>
        <v>-7274773.7261872739</v>
      </c>
      <c r="AH20" s="119">
        <f>'Combined IFRS17 Cashflows'!AK119</f>
        <v>-7010982.4853423275</v>
      </c>
      <c r="AI20" s="119">
        <f>'Combined IFRS17 Cashflows'!AL119</f>
        <v>-6738600.3136199582</v>
      </c>
      <c r="AJ20" s="119">
        <f>'Combined IFRS17 Cashflows'!AM119</f>
        <v>-6455068.3784062108</v>
      </c>
      <c r="AK20" s="119">
        <f>'Combined IFRS17 Cashflows'!AN119</f>
        <v>-6157300.1828469457</v>
      </c>
      <c r="AL20" s="119">
        <f>'Combined IFRS17 Cashflows'!AO119</f>
        <v>-5870186.3836363778</v>
      </c>
      <c r="AM20" s="119">
        <f>'Combined IFRS17 Cashflows'!AP119</f>
        <v>-5581377.9723149091</v>
      </c>
      <c r="AN20" s="119">
        <f>'Combined IFRS17 Cashflows'!AQ119</f>
        <v>-5282719.8700606907</v>
      </c>
      <c r="AO20" s="119">
        <f>'Combined IFRS17 Cashflows'!AR119</f>
        <v>-4976088.1149993483</v>
      </c>
      <c r="AP20" s="119">
        <f>'Combined IFRS17 Cashflows'!AS119</f>
        <v>-4661853.8982220218</v>
      </c>
      <c r="AQ20" s="119">
        <f>'Combined IFRS17 Cashflows'!AT119</f>
        <v>-4355856.104450359</v>
      </c>
      <c r="AR20" s="119">
        <f>'Combined IFRS17 Cashflows'!AU119</f>
        <v>-4047493.0288093309</v>
      </c>
      <c r="AS20" s="119">
        <f>'Combined IFRS17 Cashflows'!AV119</f>
        <v>-3739060.8764041457</v>
      </c>
      <c r="AT20" s="119">
        <f>'Combined IFRS17 Cashflows'!AW119</f>
        <v>-3433194.2018108852</v>
      </c>
      <c r="AU20" s="119">
        <f>'Combined IFRS17 Cashflows'!AX119</f>
        <v>-3132190.3123042043</v>
      </c>
      <c r="AV20" s="119">
        <f>'Combined IFRS17 Cashflows'!AY119</f>
        <v>-2847085.5824290169</v>
      </c>
      <c r="AW20" s="119">
        <f>'Combined IFRS17 Cashflows'!AZ119</f>
        <v>-2575868.1395773953</v>
      </c>
      <c r="AX20" s="119">
        <f>'Combined IFRS17 Cashflows'!BA119</f>
        <v>-2317913.6986820498</v>
      </c>
      <c r="AY20" s="119">
        <f>'Combined IFRS17 Cashflows'!BB119</f>
        <v>-2075262.5807914136</v>
      </c>
      <c r="AZ20" s="119">
        <f>'Combined IFRS17 Cashflows'!BC119</f>
        <v>-1848867.9785873785</v>
      </c>
      <c r="BA20" s="119">
        <f>'Combined IFRS17 Cashflows'!BD119</f>
        <v>-1643112.2440340738</v>
      </c>
      <c r="BB20" s="119">
        <f>'Combined IFRS17 Cashflows'!BE119</f>
        <v>-1454565.3176652174</v>
      </c>
      <c r="BC20" s="119">
        <f>'Combined IFRS17 Cashflows'!BF119</f>
        <v>-1281966.7099411443</v>
      </c>
      <c r="BD20" s="119">
        <f>'Combined IFRS17 Cashflows'!BG119</f>
        <v>-1124181.6160675143</v>
      </c>
      <c r="BE20" s="119">
        <f>'Combined IFRS17 Cashflows'!BH119</f>
        <v>-980113.37901949137</v>
      </c>
      <c r="BF20" s="119">
        <f>'Combined IFRS17 Cashflows'!BI119</f>
        <v>-850675.6348127916</v>
      </c>
      <c r="BG20" s="119">
        <f>'Combined IFRS17 Cashflows'!BJ119</f>
        <v>-735491.89540252206</v>
      </c>
      <c r="BH20" s="119">
        <f>'Combined IFRS17 Cashflows'!BK119</f>
        <v>-631440.62244416145</v>
      </c>
      <c r="BI20" s="119">
        <f>'Combined IFRS17 Cashflows'!BL119</f>
        <v>-538056.7940787666</v>
      </c>
      <c r="BJ20" s="119">
        <f>'Combined IFRS17 Cashflows'!BM119</f>
        <v>-454636.65987670131</v>
      </c>
      <c r="BK20" s="119">
        <f>'Combined IFRS17 Cashflows'!BN119</f>
        <v>-381180.97967880609</v>
      </c>
      <c r="BL20" s="119">
        <f>'Combined IFRS17 Cashflows'!BO119</f>
        <v>-316393.9541650649</v>
      </c>
      <c r="BM20" s="119">
        <f>'Combined IFRS17 Cashflows'!BP119</f>
        <v>-259534.14944140977</v>
      </c>
      <c r="BN20" s="119">
        <f>'Combined IFRS17 Cashflows'!BQ119</f>
        <v>-210123.98694657904</v>
      </c>
      <c r="BO20" s="119">
        <f>'Combined IFRS17 Cashflows'!BR119</f>
        <v>-167640.34050777624</v>
      </c>
      <c r="BP20" s="119">
        <f>'Combined IFRS17 Cashflows'!BS119</f>
        <v>-131829.13843292295</v>
      </c>
      <c r="BQ20" s="119">
        <f>'Combined IFRS17 Cashflows'!BT119</f>
        <v>-102105.28410359469</v>
      </c>
      <c r="BR20" s="119">
        <f>'Combined IFRS17 Cashflows'!BU119</f>
        <v>-77577.77746952766</v>
      </c>
      <c r="BS20" s="119">
        <f>'Combined IFRS17 Cashflows'!BV119</f>
        <v>-57775.905529133932</v>
      </c>
      <c r="BT20" s="119">
        <f>'Combined IFRS17 Cashflows'!BW119</f>
        <v>-42159.095419147037</v>
      </c>
      <c r="BU20" s="119">
        <f>'Combined IFRS17 Cashflows'!BX119</f>
        <v>-30209.021527720379</v>
      </c>
      <c r="BV20" s="119">
        <f>'Combined IFRS17 Cashflows'!BY119</f>
        <v>-21437.695064617626</v>
      </c>
      <c r="BW20" s="119">
        <f>'Combined IFRS17 Cashflows'!BZ119</f>
        <v>-14959.345762479788</v>
      </c>
      <c r="BX20" s="119">
        <f>'Combined IFRS17 Cashflows'!CA119</f>
        <v>-10247.304308049203</v>
      </c>
      <c r="BY20" s="119">
        <f>'Combined IFRS17 Cashflows'!CB119</f>
        <v>-6866.651678428726</v>
      </c>
      <c r="BZ20" s="119">
        <f>'Combined IFRS17 Cashflows'!CC119</f>
        <v>-4470.2355918139474</v>
      </c>
      <c r="CA20" s="119">
        <f>'Combined IFRS17 Cashflows'!CD119</f>
        <v>-3041.2645477020696</v>
      </c>
      <c r="CB20" s="119">
        <f>'Combined IFRS17 Cashflows'!CE119</f>
        <v>-2015.7392876319111</v>
      </c>
      <c r="CC20" s="119">
        <f>'Combined IFRS17 Cashflows'!CF119</f>
        <v>-1291.2827261487741</v>
      </c>
      <c r="CD20" s="119">
        <f>'Combined IFRS17 Cashflows'!CG119</f>
        <v>-788.69524139816701</v>
      </c>
      <c r="CE20" s="119">
        <f>'Combined IFRS17 Cashflows'!CH119</f>
        <v>-447.22746759175146</v>
      </c>
      <c r="CF20" s="119">
        <f>'Combined IFRS17 Cashflows'!CI119</f>
        <v>-270.88980878501502</v>
      </c>
      <c r="CG20" s="119">
        <f>'Combined IFRS17 Cashflows'!CJ119</f>
        <v>-156.15561476064934</v>
      </c>
      <c r="CH20" s="119">
        <f>'Combined IFRS17 Cashflows'!CK119</f>
        <v>-81.109265694149656</v>
      </c>
      <c r="CI20" s="119">
        <f>'Combined IFRS17 Cashflows'!CL119</f>
        <v>-32.17544191897764</v>
      </c>
      <c r="CJ20" s="119">
        <f>'Combined IFRS17 Cashflows'!CM119</f>
        <v>-1.2318694766467609E-9</v>
      </c>
      <c r="CK20" s="119">
        <f>'Combined IFRS17 Cashflows'!CN119</f>
        <v>0</v>
      </c>
      <c r="CL20" s="119">
        <f>'Combined IFRS17 Cashflows'!CO119</f>
        <v>0</v>
      </c>
      <c r="CM20" s="119">
        <f>'Combined IFRS17 Cashflows'!CP119</f>
        <v>0</v>
      </c>
      <c r="CN20" s="119">
        <f>'Combined IFRS17 Cashflows'!CQ119</f>
        <v>0</v>
      </c>
      <c r="CO20" s="119">
        <f>'Combined IFRS17 Cashflows'!CR119</f>
        <v>0</v>
      </c>
      <c r="CP20" s="119">
        <f>'Combined IFRS17 Cashflows'!CS119</f>
        <v>0</v>
      </c>
      <c r="CQ20" s="119">
        <f>'Combined IFRS17 Cashflows'!CT119</f>
        <v>0</v>
      </c>
      <c r="CR20" s="119">
        <f>'Combined IFRS17 Cashflows'!CU119</f>
        <v>0</v>
      </c>
      <c r="CS20" s="119">
        <f>'Combined IFRS17 Cashflows'!CV119</f>
        <v>0</v>
      </c>
      <c r="CT20" s="119">
        <f>'Combined IFRS17 Cashflows'!CW119</f>
        <v>0</v>
      </c>
      <c r="CU20" s="119">
        <f>'Combined IFRS17 Cashflows'!CX119</f>
        <v>0</v>
      </c>
      <c r="CV20" s="119">
        <f>'Combined IFRS17 Cashflows'!CY119</f>
        <v>0</v>
      </c>
      <c r="CW20" s="119">
        <f>'Combined IFRS17 Cashflows'!CZ119</f>
        <v>0</v>
      </c>
      <c r="CX20" s="119">
        <f>'Combined IFRS17 Cashflows'!DA119</f>
        <v>0</v>
      </c>
      <c r="CY20" s="265"/>
      <c r="CZ20" s="265"/>
      <c r="DA20" s="265"/>
      <c r="DB20" s="265"/>
      <c r="DC20" s="265"/>
    </row>
    <row r="21" spans="2:107" x14ac:dyDescent="0.3">
      <c r="B21" s="117" t="s">
        <v>123</v>
      </c>
      <c r="C21" s="120">
        <f>SUM(C19:C20)</f>
        <v>0</v>
      </c>
      <c r="D21" s="120">
        <f t="shared" ref="D21:L21" si="103">SUM(D19:D20)</f>
        <v>0</v>
      </c>
      <c r="E21" s="120">
        <f t="shared" si="103"/>
        <v>0</v>
      </c>
      <c r="F21" s="120">
        <f t="shared" si="103"/>
        <v>0</v>
      </c>
      <c r="G21" s="120">
        <f t="shared" si="103"/>
        <v>0</v>
      </c>
      <c r="H21" s="120">
        <f t="shared" si="103"/>
        <v>0</v>
      </c>
      <c r="I21" s="120">
        <f t="shared" si="103"/>
        <v>0</v>
      </c>
      <c r="J21" s="120">
        <f t="shared" si="103"/>
        <v>0</v>
      </c>
      <c r="K21" s="120">
        <f t="shared" si="103"/>
        <v>0</v>
      </c>
      <c r="L21" s="120">
        <f t="shared" si="103"/>
        <v>0</v>
      </c>
      <c r="M21" s="120">
        <f t="shared" ref="M21:AM21" si="104">SUM(M19:M20)</f>
        <v>0</v>
      </c>
      <c r="N21" s="120">
        <f t="shared" si="104"/>
        <v>0</v>
      </c>
      <c r="O21" s="120">
        <f t="shared" si="104"/>
        <v>0</v>
      </c>
      <c r="P21" s="120">
        <f t="shared" si="104"/>
        <v>0</v>
      </c>
      <c r="Q21" s="120">
        <f t="shared" si="104"/>
        <v>0</v>
      </c>
      <c r="R21" s="120">
        <f t="shared" si="104"/>
        <v>0</v>
      </c>
      <c r="S21" s="120">
        <f t="shared" si="104"/>
        <v>0</v>
      </c>
      <c r="T21" s="120">
        <f t="shared" si="104"/>
        <v>0</v>
      </c>
      <c r="U21" s="120">
        <f t="shared" si="104"/>
        <v>0</v>
      </c>
      <c r="V21" s="120">
        <f t="shared" si="104"/>
        <v>0</v>
      </c>
      <c r="W21" s="120">
        <f t="shared" si="104"/>
        <v>0</v>
      </c>
      <c r="X21" s="120">
        <f t="shared" si="104"/>
        <v>0</v>
      </c>
      <c r="Y21" s="120">
        <f t="shared" si="104"/>
        <v>0</v>
      </c>
      <c r="Z21" s="120">
        <f t="shared" si="104"/>
        <v>0</v>
      </c>
      <c r="AA21" s="120">
        <f t="shared" si="104"/>
        <v>0</v>
      </c>
      <c r="AB21" s="120">
        <f t="shared" si="104"/>
        <v>0</v>
      </c>
      <c r="AC21" s="120">
        <f t="shared" si="104"/>
        <v>0</v>
      </c>
      <c r="AD21" s="120">
        <f t="shared" si="104"/>
        <v>0</v>
      </c>
      <c r="AE21" s="120">
        <f t="shared" si="104"/>
        <v>0</v>
      </c>
      <c r="AF21" s="120">
        <f t="shared" si="104"/>
        <v>0</v>
      </c>
      <c r="AG21" s="120">
        <f t="shared" si="104"/>
        <v>0</v>
      </c>
      <c r="AH21" s="120">
        <f t="shared" si="104"/>
        <v>0</v>
      </c>
      <c r="AI21" s="120">
        <f t="shared" si="104"/>
        <v>0</v>
      </c>
      <c r="AJ21" s="120">
        <f t="shared" si="104"/>
        <v>0</v>
      </c>
      <c r="AK21" s="120">
        <f t="shared" si="104"/>
        <v>0</v>
      </c>
      <c r="AL21" s="120">
        <f t="shared" si="104"/>
        <v>0</v>
      </c>
      <c r="AM21" s="120">
        <f t="shared" si="104"/>
        <v>0</v>
      </c>
      <c r="AN21" s="120">
        <f t="shared" ref="AN21:BJ21" si="105">SUM(AN19:AN20)</f>
        <v>0</v>
      </c>
      <c r="AO21" s="120">
        <f t="shared" si="105"/>
        <v>0</v>
      </c>
      <c r="AP21" s="120">
        <f t="shared" si="105"/>
        <v>0</v>
      </c>
      <c r="AQ21" s="120">
        <f t="shared" si="105"/>
        <v>0</v>
      </c>
      <c r="AR21" s="120">
        <f t="shared" si="105"/>
        <v>0</v>
      </c>
      <c r="AS21" s="120">
        <f t="shared" si="105"/>
        <v>0</v>
      </c>
      <c r="AT21" s="120">
        <f t="shared" si="105"/>
        <v>0</v>
      </c>
      <c r="AU21" s="120">
        <f t="shared" si="105"/>
        <v>0</v>
      </c>
      <c r="AV21" s="120">
        <f t="shared" si="105"/>
        <v>0</v>
      </c>
      <c r="AW21" s="120">
        <f t="shared" si="105"/>
        <v>0</v>
      </c>
      <c r="AX21" s="120">
        <f t="shared" si="105"/>
        <v>0</v>
      </c>
      <c r="AY21" s="120">
        <f t="shared" si="105"/>
        <v>0</v>
      </c>
      <c r="AZ21" s="120">
        <f t="shared" si="105"/>
        <v>0</v>
      </c>
      <c r="BA21" s="120">
        <f t="shared" si="105"/>
        <v>0</v>
      </c>
      <c r="BB21" s="120">
        <f t="shared" si="105"/>
        <v>0</v>
      </c>
      <c r="BC21" s="120">
        <f t="shared" si="105"/>
        <v>0</v>
      </c>
      <c r="BD21" s="120">
        <f t="shared" si="105"/>
        <v>0</v>
      </c>
      <c r="BE21" s="120">
        <f t="shared" si="105"/>
        <v>0</v>
      </c>
      <c r="BF21" s="120">
        <f t="shared" si="105"/>
        <v>0</v>
      </c>
      <c r="BG21" s="120">
        <f t="shared" si="105"/>
        <v>0</v>
      </c>
      <c r="BH21" s="120">
        <f t="shared" si="105"/>
        <v>0</v>
      </c>
      <c r="BI21" s="120">
        <f t="shared" si="105"/>
        <v>0</v>
      </c>
      <c r="BJ21" s="120">
        <f t="shared" si="105"/>
        <v>0</v>
      </c>
      <c r="BK21" s="120">
        <f t="shared" ref="BK21:CX21" si="106">SUM(BK19:BK20)</f>
        <v>0</v>
      </c>
      <c r="BL21" s="120">
        <f t="shared" si="106"/>
        <v>0</v>
      </c>
      <c r="BM21" s="120">
        <f t="shared" si="106"/>
        <v>0</v>
      </c>
      <c r="BN21" s="120">
        <f t="shared" si="106"/>
        <v>0</v>
      </c>
      <c r="BO21" s="120">
        <f t="shared" si="106"/>
        <v>0</v>
      </c>
      <c r="BP21" s="120">
        <f t="shared" si="106"/>
        <v>0</v>
      </c>
      <c r="BQ21" s="120">
        <f t="shared" si="106"/>
        <v>0</v>
      </c>
      <c r="BR21" s="120">
        <f t="shared" si="106"/>
        <v>0</v>
      </c>
      <c r="BS21" s="120">
        <f t="shared" si="106"/>
        <v>0</v>
      </c>
      <c r="BT21" s="120">
        <f t="shared" si="106"/>
        <v>0</v>
      </c>
      <c r="BU21" s="120">
        <f t="shared" si="106"/>
        <v>0</v>
      </c>
      <c r="BV21" s="120">
        <f t="shared" si="106"/>
        <v>0</v>
      </c>
      <c r="BW21" s="120">
        <f t="shared" si="106"/>
        <v>0</v>
      </c>
      <c r="BX21" s="120">
        <f t="shared" si="106"/>
        <v>0</v>
      </c>
      <c r="BY21" s="120">
        <f t="shared" si="106"/>
        <v>0</v>
      </c>
      <c r="BZ21" s="120">
        <f t="shared" si="106"/>
        <v>0</v>
      </c>
      <c r="CA21" s="120">
        <f t="shared" si="106"/>
        <v>0</v>
      </c>
      <c r="CB21" s="120">
        <f t="shared" si="106"/>
        <v>0</v>
      </c>
      <c r="CC21" s="120">
        <f t="shared" si="106"/>
        <v>0</v>
      </c>
      <c r="CD21" s="120">
        <f t="shared" si="106"/>
        <v>0</v>
      </c>
      <c r="CE21" s="120">
        <f t="shared" si="106"/>
        <v>0</v>
      </c>
      <c r="CF21" s="120">
        <f t="shared" si="106"/>
        <v>0</v>
      </c>
      <c r="CG21" s="120">
        <f t="shared" si="106"/>
        <v>0</v>
      </c>
      <c r="CH21" s="120">
        <f t="shared" si="106"/>
        <v>0</v>
      </c>
      <c r="CI21" s="120">
        <f t="shared" si="106"/>
        <v>0</v>
      </c>
      <c r="CJ21" s="120">
        <f t="shared" si="106"/>
        <v>0</v>
      </c>
      <c r="CK21" s="120">
        <f t="shared" si="106"/>
        <v>0</v>
      </c>
      <c r="CL21" s="120">
        <f t="shared" si="106"/>
        <v>0</v>
      </c>
      <c r="CM21" s="120">
        <f t="shared" si="106"/>
        <v>0</v>
      </c>
      <c r="CN21" s="120">
        <f t="shared" si="106"/>
        <v>0</v>
      </c>
      <c r="CO21" s="120">
        <f t="shared" si="106"/>
        <v>0</v>
      </c>
      <c r="CP21" s="120">
        <f t="shared" si="106"/>
        <v>0</v>
      </c>
      <c r="CQ21" s="120">
        <f t="shared" si="106"/>
        <v>0</v>
      </c>
      <c r="CR21" s="120">
        <f t="shared" si="106"/>
        <v>0</v>
      </c>
      <c r="CS21" s="120">
        <f t="shared" si="106"/>
        <v>0</v>
      </c>
      <c r="CT21" s="120">
        <f t="shared" si="106"/>
        <v>0</v>
      </c>
      <c r="CU21" s="120">
        <f t="shared" si="106"/>
        <v>0</v>
      </c>
      <c r="CV21" s="120">
        <f t="shared" si="106"/>
        <v>0</v>
      </c>
      <c r="CW21" s="120">
        <f t="shared" si="106"/>
        <v>0</v>
      </c>
      <c r="CX21" s="120">
        <f t="shared" si="106"/>
        <v>0</v>
      </c>
      <c r="CY21" s="266"/>
      <c r="CZ21" s="266"/>
      <c r="DA21" s="266"/>
      <c r="DB21" s="266"/>
      <c r="DC21" s="266"/>
    </row>
    <row r="22" spans="2:107" x14ac:dyDescent="0.3">
      <c r="B22" s="113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265"/>
      <c r="CZ22" s="265"/>
      <c r="DA22" s="265"/>
      <c r="DB22" s="265"/>
      <c r="DC22" s="265"/>
    </row>
    <row r="23" spans="2:107" x14ac:dyDescent="0.3">
      <c r="B23" s="117" t="s">
        <v>124</v>
      </c>
      <c r="C23" s="120">
        <f t="shared" ref="C23:L23" si="107">C8+C13+C17+C21</f>
        <v>385687.94507618959</v>
      </c>
      <c r="D23" s="120">
        <f t="shared" si="107"/>
        <v>1425041.2763983014</v>
      </c>
      <c r="E23" s="120">
        <f t="shared" si="107"/>
        <v>2840524.4528100714</v>
      </c>
      <c r="F23" s="120">
        <f t="shared" si="107"/>
        <v>4412006.9086785531</v>
      </c>
      <c r="G23" s="120">
        <f t="shared" si="107"/>
        <v>6302792.6273821797</v>
      </c>
      <c r="H23" s="120">
        <f t="shared" si="107"/>
        <v>8431644.7891142499</v>
      </c>
      <c r="I23" s="120">
        <f t="shared" si="107"/>
        <v>10650101.621318707</v>
      </c>
      <c r="J23" s="120">
        <f t="shared" si="107"/>
        <v>13077297.614559729</v>
      </c>
      <c r="K23" s="120">
        <f t="shared" si="107"/>
        <v>15803385.785194892</v>
      </c>
      <c r="L23" s="120">
        <f t="shared" si="107"/>
        <v>18945479.192784119</v>
      </c>
      <c r="M23" s="120">
        <f t="shared" ref="M23:AM23" si="108">M8+M13+M17+M21</f>
        <v>19281077.477949671</v>
      </c>
      <c r="N23" s="120">
        <f t="shared" si="108"/>
        <v>17417063.637906179</v>
      </c>
      <c r="O23" s="120">
        <f t="shared" si="108"/>
        <v>16124097.751817055</v>
      </c>
      <c r="P23" s="120">
        <f t="shared" si="108"/>
        <v>14934776.649285104</v>
      </c>
      <c r="Q23" s="120">
        <f t="shared" si="108"/>
        <v>13841780.961062118</v>
      </c>
      <c r="R23" s="120">
        <f t="shared" si="108"/>
        <v>12836467.705170149</v>
      </c>
      <c r="S23" s="120">
        <f t="shared" si="108"/>
        <v>11869715.082052274</v>
      </c>
      <c r="T23" s="120">
        <f t="shared" si="108"/>
        <v>10944004.410166979</v>
      </c>
      <c r="U23" s="120">
        <f t="shared" si="108"/>
        <v>10047536.352010146</v>
      </c>
      <c r="V23" s="120">
        <f t="shared" si="108"/>
        <v>9221992.144824015</v>
      </c>
      <c r="W23" s="120">
        <f t="shared" si="108"/>
        <v>8537943.7701013349</v>
      </c>
      <c r="X23" s="120">
        <f t="shared" si="108"/>
        <v>7901172.0299973581</v>
      </c>
      <c r="Y23" s="120">
        <f t="shared" si="108"/>
        <v>7306519.2279070318</v>
      </c>
      <c r="Z23" s="120">
        <f t="shared" si="108"/>
        <v>6753971.8814349929</v>
      </c>
      <c r="AA23" s="120">
        <f t="shared" si="108"/>
        <v>6215350.3949675411</v>
      </c>
      <c r="AB23" s="120">
        <f t="shared" si="108"/>
        <v>5722633.308059359</v>
      </c>
      <c r="AC23" s="120">
        <f t="shared" si="108"/>
        <v>5267297.1002907259</v>
      </c>
      <c r="AD23" s="120">
        <f t="shared" si="108"/>
        <v>4839819.1457175286</v>
      </c>
      <c r="AE23" s="120">
        <f t="shared" si="108"/>
        <v>4442138.612077184</v>
      </c>
      <c r="AF23" s="120">
        <f t="shared" si="108"/>
        <v>4040917.6814175704</v>
      </c>
      <c r="AG23" s="120">
        <f t="shared" si="108"/>
        <v>3787006.6737514869</v>
      </c>
      <c r="AH23" s="120">
        <f t="shared" si="108"/>
        <v>3562619.9575211005</v>
      </c>
      <c r="AI23" s="120">
        <f t="shared" si="108"/>
        <v>3355171.4344814774</v>
      </c>
      <c r="AJ23" s="120">
        <f t="shared" si="108"/>
        <v>3165813.1454630615</v>
      </c>
      <c r="AK23" s="120">
        <f t="shared" si="108"/>
        <v>2963373.691305765</v>
      </c>
      <c r="AL23" s="120">
        <f t="shared" si="108"/>
        <v>2800312.9790349049</v>
      </c>
      <c r="AM23" s="120">
        <f t="shared" si="108"/>
        <v>2641160.6008182396</v>
      </c>
      <c r="AN23" s="120">
        <f t="shared" ref="AN23:BJ23" si="109">AN8+AN13+AN17+AN21</f>
        <v>2488297.0552026816</v>
      </c>
      <c r="AO23" s="120">
        <f t="shared" si="109"/>
        <v>2344371.8246304458</v>
      </c>
      <c r="AP23" s="120">
        <f t="shared" si="109"/>
        <v>2189126.2813373245</v>
      </c>
      <c r="AQ23" s="120">
        <f t="shared" si="109"/>
        <v>2056047.4522510613</v>
      </c>
      <c r="AR23" s="120">
        <f t="shared" si="109"/>
        <v>1927590.9885195568</v>
      </c>
      <c r="AS23" s="120">
        <f t="shared" si="109"/>
        <v>1799442.9761584878</v>
      </c>
      <c r="AT23" s="120">
        <f t="shared" si="109"/>
        <v>1673057.2388729968</v>
      </c>
      <c r="AU23" s="120">
        <f t="shared" si="109"/>
        <v>1536783.4515877487</v>
      </c>
      <c r="AV23" s="120">
        <f t="shared" si="109"/>
        <v>1413293.8518791615</v>
      </c>
      <c r="AW23" s="120">
        <f t="shared" si="109"/>
        <v>1292868.5176806296</v>
      </c>
      <c r="AX23" s="120">
        <f t="shared" si="109"/>
        <v>1176312.7185737954</v>
      </c>
      <c r="AY23" s="120">
        <f t="shared" si="109"/>
        <v>1065398.0657543316</v>
      </c>
      <c r="AZ23" s="120">
        <f t="shared" si="109"/>
        <v>954918.97120967612</v>
      </c>
      <c r="BA23" s="120">
        <f t="shared" si="109"/>
        <v>856581.64170686412</v>
      </c>
      <c r="BB23" s="120">
        <f t="shared" si="109"/>
        <v>766846.02301053342</v>
      </c>
      <c r="BC23" s="120">
        <f t="shared" si="109"/>
        <v>683887.61103144439</v>
      </c>
      <c r="BD23" s="120">
        <f t="shared" si="109"/>
        <v>607276.38962622173</v>
      </c>
      <c r="BE23" s="120">
        <f t="shared" si="109"/>
        <v>533827.00566237769</v>
      </c>
      <c r="BF23" s="120">
        <f t="shared" si="109"/>
        <v>469190.9785728408</v>
      </c>
      <c r="BG23" s="120">
        <f t="shared" si="109"/>
        <v>409191.09546867345</v>
      </c>
      <c r="BH23" s="120">
        <f t="shared" si="109"/>
        <v>354481.86194875237</v>
      </c>
      <c r="BI23" s="120">
        <f t="shared" si="109"/>
        <v>305519.66794161062</v>
      </c>
      <c r="BJ23" s="120">
        <f t="shared" si="109"/>
        <v>261200.04634467678</v>
      </c>
      <c r="BK23" s="120">
        <f t="shared" ref="BK23:CX23" si="110">BK8+BK13+BK17+BK21</f>
        <v>223509.98995059385</v>
      </c>
      <c r="BL23" s="120">
        <f t="shared" si="110"/>
        <v>188804.49256637145</v>
      </c>
      <c r="BM23" s="120">
        <f t="shared" si="110"/>
        <v>157418.22077026113</v>
      </c>
      <c r="BN23" s="120">
        <f t="shared" si="110"/>
        <v>129466.76722810387</v>
      </c>
      <c r="BO23" s="120">
        <f t="shared" si="110"/>
        <v>104683.39792444899</v>
      </c>
      <c r="BP23" s="120">
        <f t="shared" si="110"/>
        <v>84730.881901369634</v>
      </c>
      <c r="BQ23" s="120">
        <f t="shared" si="110"/>
        <v>66167.411292728488</v>
      </c>
      <c r="BR23" s="120">
        <f t="shared" si="110"/>
        <v>50065.296268597631</v>
      </c>
      <c r="BS23" s="120">
        <f t="shared" si="110"/>
        <v>36593.646304194248</v>
      </c>
      <c r="BT23" s="120">
        <f t="shared" si="110"/>
        <v>25769.906701696025</v>
      </c>
      <c r="BU23" s="120">
        <f t="shared" si="110"/>
        <v>18232.847111761457</v>
      </c>
      <c r="BV23" s="120">
        <f t="shared" si="110"/>
        <v>12041.093017108935</v>
      </c>
      <c r="BW23" s="120">
        <f t="shared" si="110"/>
        <v>7604.9564369797554</v>
      </c>
      <c r="BX23" s="120">
        <f t="shared" si="110"/>
        <v>4551.8418977151696</v>
      </c>
      <c r="BY23" s="120">
        <f t="shared" si="110"/>
        <v>2660.7593304584334</v>
      </c>
      <c r="BZ23" s="120">
        <f t="shared" si="110"/>
        <v>2039.0762440936051</v>
      </c>
      <c r="CA23" s="120">
        <f t="shared" si="110"/>
        <v>1365.3164550436641</v>
      </c>
      <c r="CB23" s="120">
        <f t="shared" si="110"/>
        <v>859.12951691369426</v>
      </c>
      <c r="CC23" s="120">
        <f t="shared" si="110"/>
        <v>475.89808104239057</v>
      </c>
      <c r="CD23" s="120">
        <f t="shared" si="110"/>
        <v>190.6633348088678</v>
      </c>
      <c r="CE23" s="120">
        <f t="shared" si="110"/>
        <v>132.5935361635751</v>
      </c>
      <c r="CF23" s="120">
        <f t="shared" si="110"/>
        <v>-20.693773893925719</v>
      </c>
      <c r="CG23" s="120">
        <f t="shared" si="110"/>
        <v>-51.361955103419191</v>
      </c>
      <c r="CH23" s="120">
        <f t="shared" si="110"/>
        <v>-50.703735852349553</v>
      </c>
      <c r="CI23" s="120">
        <f t="shared" si="110"/>
        <v>-42.821966585611442</v>
      </c>
      <c r="CJ23" s="120">
        <f t="shared" si="110"/>
        <v>0</v>
      </c>
      <c r="CK23" s="120">
        <f t="shared" si="110"/>
        <v>0</v>
      </c>
      <c r="CL23" s="120">
        <f t="shared" si="110"/>
        <v>0</v>
      </c>
      <c r="CM23" s="120">
        <f t="shared" si="110"/>
        <v>0</v>
      </c>
      <c r="CN23" s="120">
        <f t="shared" si="110"/>
        <v>0</v>
      </c>
      <c r="CO23" s="120">
        <f t="shared" si="110"/>
        <v>0</v>
      </c>
      <c r="CP23" s="120">
        <f t="shared" si="110"/>
        <v>0</v>
      </c>
      <c r="CQ23" s="120">
        <f t="shared" si="110"/>
        <v>0</v>
      </c>
      <c r="CR23" s="120">
        <f t="shared" si="110"/>
        <v>0</v>
      </c>
      <c r="CS23" s="120">
        <f t="shared" si="110"/>
        <v>0</v>
      </c>
      <c r="CT23" s="120">
        <f t="shared" si="110"/>
        <v>0</v>
      </c>
      <c r="CU23" s="120">
        <f t="shared" si="110"/>
        <v>0</v>
      </c>
      <c r="CV23" s="120">
        <f t="shared" si="110"/>
        <v>0</v>
      </c>
      <c r="CW23" s="120">
        <f t="shared" si="110"/>
        <v>0</v>
      </c>
      <c r="CX23" s="120">
        <f t="shared" si="110"/>
        <v>0</v>
      </c>
      <c r="CY23" s="266"/>
      <c r="CZ23" s="266"/>
      <c r="DA23" s="266"/>
      <c r="DB23" s="266"/>
      <c r="DC23" s="266"/>
    </row>
    <row r="24" spans="2:107" x14ac:dyDescent="0.3"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</row>
    <row r="25" spans="2:107" x14ac:dyDescent="0.3"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</row>
    <row r="26" spans="2:107" x14ac:dyDescent="0.3">
      <c r="B26" s="10" t="s">
        <v>197</v>
      </c>
      <c r="C26" s="122">
        <f>'Combined IFRS17 Cashflows'!F69</f>
        <v>-1860761.5722492847</v>
      </c>
      <c r="D26" s="122">
        <f>'Combined IFRS17 Cashflows'!G69</f>
        <v>-9243099.9117318913</v>
      </c>
      <c r="E26" s="122">
        <f>'Combined IFRS17 Cashflows'!H69</f>
        <v>-17984619.949160423</v>
      </c>
      <c r="F26" s="122">
        <f>'Combined IFRS17 Cashflows'!I69</f>
        <v>-26931552.874478135</v>
      </c>
      <c r="G26" s="122">
        <f>'Combined IFRS17 Cashflows'!J69</f>
        <v>-37717445.342129491</v>
      </c>
      <c r="H26" s="122">
        <f>'Combined IFRS17 Cashflows'!K69</f>
        <v>-48290358.68514137</v>
      </c>
      <c r="I26" s="122">
        <f>'Combined IFRS17 Cashflows'!L69</f>
        <v>-58486861.261336148</v>
      </c>
      <c r="J26" s="122">
        <f>'Combined IFRS17 Cashflows'!M69</f>
        <v>-68517386.914668635</v>
      </c>
      <c r="K26" s="122">
        <f>'Combined IFRS17 Cashflows'!N69</f>
        <v>-79019085.822583705</v>
      </c>
      <c r="L26" s="122">
        <f>'Combined IFRS17 Cashflows'!O69</f>
        <v>-90531337.208625227</v>
      </c>
      <c r="M26" s="122">
        <f>'Combined IFRS17 Cashflows'!P69</f>
        <v>-71647516.244579971</v>
      </c>
      <c r="N26" s="122">
        <f>'Combined IFRS17 Cashflows'!Q69</f>
        <v>-51622480.481154479</v>
      </c>
      <c r="O26" s="122">
        <f>'Combined IFRS17 Cashflows'!R69</f>
        <v>-32446083.64938337</v>
      </c>
      <c r="P26" s="122">
        <f>'Combined IFRS17 Cashflows'!S69</f>
        <v>-15287700.516875412</v>
      </c>
      <c r="Q26" s="122">
        <f>'Combined IFRS17 Cashflows'!T69</f>
        <v>2682739.5780499252</v>
      </c>
      <c r="R26" s="122">
        <f>'Combined IFRS17 Cashflows'!U69</f>
        <v>18673506.317332506</v>
      </c>
      <c r="S26" s="122">
        <f>'Combined IFRS17 Cashflows'!V69</f>
        <v>32528277.380311579</v>
      </c>
      <c r="T26" s="122">
        <f>'Combined IFRS17 Cashflows'!W69</f>
        <v>44294315.797482148</v>
      </c>
      <c r="U26" s="122">
        <f>'Combined IFRS17 Cashflows'!X69</f>
        <v>53581884.316721581</v>
      </c>
      <c r="V26" s="122">
        <f>'Combined IFRS17 Cashflows'!Y69</f>
        <v>62499206.716103196</v>
      </c>
      <c r="W26" s="122">
        <f>'Combined IFRS17 Cashflows'!Z69</f>
        <v>69268032.14761582</v>
      </c>
      <c r="X26" s="122">
        <f>'Combined IFRS17 Cashflows'!AA69</f>
        <v>74234467.257615879</v>
      </c>
      <c r="Y26" s="122">
        <f>'Combined IFRS17 Cashflows'!AB69</f>
        <v>77580017.266135976</v>
      </c>
      <c r="Z26" s="122">
        <f>'Combined IFRS17 Cashflows'!AC69</f>
        <v>79421182.812406093</v>
      </c>
      <c r="AA26" s="122">
        <f>'Combined IFRS17 Cashflows'!AD69</f>
        <v>81197678.518494993</v>
      </c>
      <c r="AB26" s="122">
        <f>'Combined IFRS17 Cashflows'!AE69</f>
        <v>81983686.326013386</v>
      </c>
      <c r="AC26" s="122">
        <f>'Combined IFRS17 Cashflows'!AF69</f>
        <v>82012882.243625388</v>
      </c>
      <c r="AD26" s="122">
        <f>'Combined IFRS17 Cashflows'!AG69</f>
        <v>81416130.943366006</v>
      </c>
      <c r="AE26" s="122">
        <f>'Combined IFRS17 Cashflows'!AH69</f>
        <v>80240130.308333889</v>
      </c>
      <c r="AF26" s="122">
        <f>'Combined IFRS17 Cashflows'!AI69</f>
        <v>79270754.458299875</v>
      </c>
      <c r="AG26" s="122">
        <f>'Combined IFRS17 Cashflows'!AJ69</f>
        <v>77917921.286450103</v>
      </c>
      <c r="AH26" s="122">
        <f>'Combined IFRS17 Cashflows'!AK69</f>
        <v>76227148.337176129</v>
      </c>
      <c r="AI26" s="122">
        <f>'Combined IFRS17 Cashflows'!AL69</f>
        <v>74181616.692914069</v>
      </c>
      <c r="AJ26" s="122">
        <f>'Combined IFRS17 Cashflows'!AM69</f>
        <v>71755213.858174041</v>
      </c>
      <c r="AK26" s="122">
        <f>'Combined IFRS17 Cashflows'!AN69</f>
        <v>69349114.515043139</v>
      </c>
      <c r="AL26" s="122">
        <f>'Combined IFRS17 Cashflows'!AO69</f>
        <v>66766403.627756797</v>
      </c>
      <c r="AM26" s="122">
        <f>'Combined IFRS17 Cashflows'!AP69</f>
        <v>63908393.312772654</v>
      </c>
      <c r="AN26" s="122">
        <f>'Combined IFRS17 Cashflows'!AQ69</f>
        <v>60813171.490656607</v>
      </c>
      <c r="AO26" s="122">
        <f>'Combined IFRS17 Cashflows'!AR69</f>
        <v>57494115.168587796</v>
      </c>
      <c r="AP26" s="122">
        <f>'Combined IFRS17 Cashflows'!AS69</f>
        <v>54198690.116635747</v>
      </c>
      <c r="AQ26" s="122">
        <f>'Combined IFRS17 Cashflows'!AT69</f>
        <v>50760439.925500996</v>
      </c>
      <c r="AR26" s="122">
        <f>'Combined IFRS17 Cashflows'!AU69</f>
        <v>47229954.44201602</v>
      </c>
      <c r="AS26" s="122">
        <f>'Combined IFRS17 Cashflows'!AV69</f>
        <v>43649238.419170581</v>
      </c>
      <c r="AT26" s="122">
        <f>'Combined IFRS17 Cashflows'!AW69</f>
        <v>40056002.76808548</v>
      </c>
      <c r="AU26" s="122">
        <f>'Combined IFRS17 Cashflows'!AX69</f>
        <v>36619034.45086731</v>
      </c>
      <c r="AV26" s="122">
        <f>'Combined IFRS17 Cashflows'!AY69</f>
        <v>33313010.631783046</v>
      </c>
      <c r="AW26" s="122">
        <f>'Combined IFRS17 Cashflows'!AZ69</f>
        <v>30128703.09307494</v>
      </c>
      <c r="AX26" s="122">
        <f>'Combined IFRS17 Cashflows'!BA69</f>
        <v>27103837.896242023</v>
      </c>
      <c r="AY26" s="122">
        <f>'Combined IFRS17 Cashflows'!BB69</f>
        <v>24257478.520342145</v>
      </c>
      <c r="AZ26" s="122">
        <f>'Combined IFRS17 Cashflows'!BC69</f>
        <v>21659949.103693038</v>
      </c>
      <c r="BA26" s="122">
        <f>'Combined IFRS17 Cashflows'!BD69</f>
        <v>19264827.886636514</v>
      </c>
      <c r="BB26" s="122">
        <f>'Combined IFRS17 Cashflows'!BE69</f>
        <v>17059595.313358814</v>
      </c>
      <c r="BC26" s="122">
        <f>'Combined IFRS17 Cashflows'!BF69</f>
        <v>15031760.95273493</v>
      </c>
      <c r="BD26" s="122">
        <f>'Combined IFRS17 Cashflows'!BG69</f>
        <v>13168569.966622381</v>
      </c>
      <c r="BE26" s="122">
        <f>'Combined IFRS17 Cashflows'!BH69</f>
        <v>11486754.804291604</v>
      </c>
      <c r="BF26" s="122">
        <f>'Combined IFRS17 Cashflows'!BI69</f>
        <v>9986581.5020174496</v>
      </c>
      <c r="BG26" s="122">
        <f>'Combined IFRS17 Cashflows'!BJ69</f>
        <v>8620876.3534121774</v>
      </c>
      <c r="BH26" s="122">
        <f>'Combined IFRS17 Cashflows'!BK69</f>
        <v>7386280.7307066964</v>
      </c>
      <c r="BI26" s="122">
        <f>'Combined IFRS17 Cashflows'!BL69</f>
        <v>6275554.836817571</v>
      </c>
      <c r="BJ26" s="122">
        <f>'Combined IFRS17 Cashflows'!BM69</f>
        <v>5291959.043059852</v>
      </c>
      <c r="BK26" s="122">
        <f>'Combined IFRS17 Cashflows'!BN69</f>
        <v>4419850.4488632279</v>
      </c>
      <c r="BL26" s="122">
        <f>'Combined IFRS17 Cashflows'!BO69</f>
        <v>3648671.9098384846</v>
      </c>
      <c r="BM26" s="122">
        <f>'Combined IFRS17 Cashflows'!BP69</f>
        <v>2973423.4524292895</v>
      </c>
      <c r="BN26" s="122">
        <f>'Combined IFRS17 Cashflows'!BQ69</f>
        <v>2388213.9504125924</v>
      </c>
      <c r="BO26" s="122">
        <f>'Combined IFRS17 Cashflows'!BR69</f>
        <v>1891316.0645798587</v>
      </c>
      <c r="BP26" s="122">
        <f>'Combined IFRS17 Cashflows'!BS69</f>
        <v>1477707.6275956044</v>
      </c>
      <c r="BQ26" s="122">
        <f>'Combined IFRS17 Cashflows'!BT69</f>
        <v>1132967.3946330377</v>
      </c>
      <c r="BR26" s="122">
        <f>'Combined IFRS17 Cashflows'!BU69</f>
        <v>851838.97556249879</v>
      </c>
      <c r="BS26" s="122">
        <f>'Combined IFRS17 Cashflows'!BV69</f>
        <v>627615.99834081309</v>
      </c>
      <c r="BT26" s="122">
        <f>'Combined IFRS17 Cashflows'!BW69</f>
        <v>454006.43149082671</v>
      </c>
      <c r="BU26" s="122">
        <f>'Combined IFRS17 Cashflows'!BX69</f>
        <v>326011.94442255714</v>
      </c>
      <c r="BV26" s="122">
        <f>'Combined IFRS17 Cashflows'!BY69</f>
        <v>230077.35403364725</v>
      </c>
      <c r="BW26" s="122">
        <f>'Combined IFRS17 Cashflows'!BZ69</f>
        <v>159181.44590978598</v>
      </c>
      <c r="BX26" s="122">
        <f>'Combined IFRS17 Cashflows'!CA69</f>
        <v>107397.19721406778</v>
      </c>
      <c r="BY26" s="122">
        <f>'Combined IFRS17 Cashflows'!CB69</f>
        <v>70067.549358317832</v>
      </c>
      <c r="BZ26" s="122">
        <f>'Combined IFRS17 Cashflows'!CC69</f>
        <v>48247.054862764933</v>
      </c>
      <c r="CA26" s="122">
        <f>'Combined IFRS17 Cashflows'!CD69</f>
        <v>32435.452641440832</v>
      </c>
      <c r="CB26" s="122">
        <f>'Combined IFRS17 Cashflows'!CE69</f>
        <v>21144.703364379817</v>
      </c>
      <c r="CC26" s="122">
        <f>'Combined IFRS17 Cashflows'!CF69</f>
        <v>13181.465486107436</v>
      </c>
      <c r="CD26" s="122">
        <f>'Combined IFRS17 Cashflows'!CG69</f>
        <v>7628.8937331082698</v>
      </c>
      <c r="CE26" s="122">
        <f>'Combined IFRS17 Cashflows'!CH69</f>
        <v>4776.3286667481671</v>
      </c>
      <c r="CF26" s="122">
        <f>'Combined IFRS17 Cashflows'!CI69</f>
        <v>2811.1549369986828</v>
      </c>
      <c r="CG26" s="122">
        <f>'Combined IFRS17 Cashflows'!CJ69</f>
        <v>1484.0056925313504</v>
      </c>
      <c r="CH26" s="122">
        <f>'Combined IFRS17 Cashflows'!CK69</f>
        <v>597.16164170320144</v>
      </c>
      <c r="CI26" s="122">
        <f>'Combined IFRS17 Cashflows'!CL69</f>
        <v>2.0321382441590797E-8</v>
      </c>
      <c r="CJ26" s="122">
        <f>'Combined IFRS17 Cashflows'!CM69</f>
        <v>0</v>
      </c>
      <c r="CK26" s="122">
        <f>'Combined IFRS17 Cashflows'!CN69</f>
        <v>0</v>
      </c>
      <c r="CL26" s="122">
        <f>'Combined IFRS17 Cashflows'!CO69</f>
        <v>0</v>
      </c>
      <c r="CM26" s="122">
        <f>'Combined IFRS17 Cashflows'!CP69</f>
        <v>0</v>
      </c>
      <c r="CN26" s="122">
        <f>'Combined IFRS17 Cashflows'!CQ69</f>
        <v>0</v>
      </c>
      <c r="CO26" s="122">
        <f>'Combined IFRS17 Cashflows'!CR69</f>
        <v>0</v>
      </c>
      <c r="CP26" s="122">
        <f>'Combined IFRS17 Cashflows'!CS69</f>
        <v>0</v>
      </c>
      <c r="CQ26" s="122">
        <f>'Combined IFRS17 Cashflows'!CT69</f>
        <v>0</v>
      </c>
      <c r="CR26" s="122">
        <f>'Combined IFRS17 Cashflows'!CU69</f>
        <v>0</v>
      </c>
      <c r="CS26" s="122">
        <f>'Combined IFRS17 Cashflows'!CV69</f>
        <v>0</v>
      </c>
      <c r="CT26" s="122">
        <f>'Combined IFRS17 Cashflows'!CW69</f>
        <v>0</v>
      </c>
      <c r="CU26" s="122">
        <f>'Combined IFRS17 Cashflows'!CX69</f>
        <v>0</v>
      </c>
      <c r="CV26" s="122">
        <f>'Combined IFRS17 Cashflows'!CY69</f>
        <v>0</v>
      </c>
      <c r="CW26" s="122">
        <f>'Combined IFRS17 Cashflows'!CZ69</f>
        <v>0</v>
      </c>
      <c r="CX26" s="122">
        <f>'Combined IFRS17 Cashflows'!DA69</f>
        <v>0</v>
      </c>
      <c r="CY26" s="194"/>
      <c r="CZ26" s="194"/>
      <c r="DA26" s="194"/>
      <c r="DB26" s="194"/>
      <c r="DC26" s="194"/>
    </row>
    <row r="27" spans="2:107" x14ac:dyDescent="0.3">
      <c r="B27" s="10" t="s">
        <v>198</v>
      </c>
      <c r="C27" s="122">
        <f>'Combined IFRS17 Cashflows'!F76</f>
        <v>335719.94377575273</v>
      </c>
      <c r="D27" s="122">
        <f>'Combined IFRS17 Cashflows'!G76</f>
        <v>1681689.1390290051</v>
      </c>
      <c r="E27" s="122">
        <f>'Combined IFRS17 Cashflows'!H76</f>
        <v>3352567.2374933842</v>
      </c>
      <c r="F27" s="122">
        <f>'Combined IFRS17 Cashflows'!I76</f>
        <v>5232720.1695750831</v>
      </c>
      <c r="G27" s="122">
        <f>'Combined IFRS17 Cashflows'!J76</f>
        <v>7644902.0285005374</v>
      </c>
      <c r="H27" s="122">
        <f>'Combined IFRS17 Cashflows'!K76</f>
        <v>10202771.871263606</v>
      </c>
      <c r="I27" s="122">
        <f>'Combined IFRS17 Cashflows'!L76</f>
        <v>12978779.224815778</v>
      </c>
      <c r="J27" s="122">
        <f>'Combined IFRS17 Cashflows'!M76</f>
        <v>16052215.221824436</v>
      </c>
      <c r="K27" s="122">
        <f>'Combined IFRS17 Cashflows'!N76</f>
        <v>19534846.942346156</v>
      </c>
      <c r="L27" s="122">
        <f>'Combined IFRS17 Cashflows'!O76</f>
        <v>23577563.599712335</v>
      </c>
      <c r="M27" s="122">
        <f>'Combined IFRS17 Cashflows'!P76</f>
        <v>22519556.892737556</v>
      </c>
      <c r="N27" s="122">
        <f>'Combined IFRS17 Cashflows'!Q76</f>
        <v>21491771.652559601</v>
      </c>
      <c r="O27" s="122">
        <f>'Combined IFRS17 Cashflows'!R76</f>
        <v>20493719.652375389</v>
      </c>
      <c r="P27" s="122">
        <f>'Combined IFRS17 Cashflows'!S76</f>
        <v>19553648.536164671</v>
      </c>
      <c r="Q27" s="122">
        <f>'Combined IFRS17 Cashflows'!T76</f>
        <v>18642588.996488124</v>
      </c>
      <c r="R27" s="122">
        <f>'Combined IFRS17 Cashflows'!U76</f>
        <v>17799325.265053231</v>
      </c>
      <c r="S27" s="122">
        <f>'Combined IFRS17 Cashflows'!V76</f>
        <v>17033716.523766398</v>
      </c>
      <c r="T27" s="122">
        <f>'Combined IFRS17 Cashflows'!W76</f>
        <v>16348089.894500732</v>
      </c>
      <c r="U27" s="122">
        <f>'Combined IFRS17 Cashflows'!X76</f>
        <v>15750862.927625302</v>
      </c>
      <c r="V27" s="122">
        <f>'Combined IFRS17 Cashflows'!Y76</f>
        <v>15205460.000138219</v>
      </c>
      <c r="W27" s="122">
        <f>'Combined IFRS17 Cashflows'!Z76</f>
        <v>14724415.927375838</v>
      </c>
      <c r="X27" s="122">
        <f>'Combined IFRS17 Cashflows'!AA76</f>
        <v>14292095.073309425</v>
      </c>
      <c r="Y27" s="122">
        <f>'Combined IFRS17 Cashflows'!AB76</f>
        <v>13898728.008362014</v>
      </c>
      <c r="Z27" s="122">
        <f>'Combined IFRS17 Cashflows'!AC76</f>
        <v>13534364.731026303</v>
      </c>
      <c r="AA27" s="122">
        <f>'Combined IFRS17 Cashflows'!AD76</f>
        <v>13212622.359497607</v>
      </c>
      <c r="AB27" s="122">
        <f>'Combined IFRS17 Cashflows'!AE76</f>
        <v>12915918.438952122</v>
      </c>
      <c r="AC27" s="122">
        <f>'Combined IFRS17 Cashflows'!AF76</f>
        <v>12637211.985598247</v>
      </c>
      <c r="AD27" s="122">
        <f>'Combined IFRS17 Cashflows'!AG76</f>
        <v>12372534.088052029</v>
      </c>
      <c r="AE27" s="122">
        <f>'Combined IFRS17 Cashflows'!AH76</f>
        <v>12112882.401901215</v>
      </c>
      <c r="AF27" s="122">
        <f>'Combined IFRS17 Cashflows'!AI76</f>
        <v>11879427.829667555</v>
      </c>
      <c r="AG27" s="122">
        <f>'Combined IFRS17 Cashflows'!AJ76</f>
        <v>11624973.49635295</v>
      </c>
      <c r="AH27" s="122">
        <f>'Combined IFRS17 Cashflows'!AK76</f>
        <v>11339708.834159354</v>
      </c>
      <c r="AI27" s="122">
        <f>'Combined IFRS17 Cashflows'!AL76</f>
        <v>11022179.681275766</v>
      </c>
      <c r="AJ27" s="122">
        <f>'Combined IFRS17 Cashflows'!AM76</f>
        <v>10668042.957142571</v>
      </c>
      <c r="AK27" s="122">
        <f>'Combined IFRS17 Cashflows'!AN76</f>
        <v>10303489.633153265</v>
      </c>
      <c r="AL27" s="122">
        <f>'Combined IFRS17 Cashflows'!AO76</f>
        <v>9900888.9903499801</v>
      </c>
      <c r="AM27" s="122">
        <f>'Combined IFRS17 Cashflows'!AP76</f>
        <v>9468935.4447990861</v>
      </c>
      <c r="AN27" s="122">
        <f>'Combined IFRS17 Cashflows'!AQ76</f>
        <v>9011216.0062338114</v>
      </c>
      <c r="AO27" s="122">
        <f>'Combined IFRS17 Cashflows'!AR76</f>
        <v>8528430.1545883119</v>
      </c>
      <c r="AP27" s="122">
        <f>'Combined IFRS17 Cashflows'!AS76</f>
        <v>8041426.4229995618</v>
      </c>
      <c r="AQ27" s="122">
        <f>'Combined IFRS17 Cashflows'!AT76</f>
        <v>7537240.6250799801</v>
      </c>
      <c r="AR27" s="122">
        <f>'Combined IFRS17 Cashflows'!AU76</f>
        <v>7020061.7218451519</v>
      </c>
      <c r="AS27" s="122">
        <f>'Combined IFRS17 Cashflows'!AV76</f>
        <v>6497661.8663187707</v>
      </c>
      <c r="AT27" s="122">
        <f>'Combined IFRS17 Cashflows'!AW76</f>
        <v>5976171.0345215714</v>
      </c>
      <c r="AU27" s="122">
        <f>'Combined IFRS17 Cashflows'!AX76</f>
        <v>5473403.9201680832</v>
      </c>
      <c r="AV27" s="122">
        <f>'Combined IFRS17 Cashflows'!AY76</f>
        <v>4984641.3544237046</v>
      </c>
      <c r="AW27" s="122">
        <f>'Combined IFRS17 Cashflows'!AZ76</f>
        <v>4515295.808819416</v>
      </c>
      <c r="AX27" s="122">
        <f>'Combined IFRS17 Cashflows'!BA76</f>
        <v>4069016.292708457</v>
      </c>
      <c r="AY27" s="122">
        <f>'Combined IFRS17 Cashflows'!BB76</f>
        <v>3647650.2686923305</v>
      </c>
      <c r="AZ27" s="122">
        <f>'Combined IFRS17 Cashflows'!BC76</f>
        <v>3258136.6918174848</v>
      </c>
      <c r="BA27" s="122">
        <f>'Combined IFRS17 Cashflows'!BD76</f>
        <v>2895613.7843665141</v>
      </c>
      <c r="BB27" s="122">
        <f>'Combined IFRS17 Cashflows'!BE76</f>
        <v>2558444.4920105515</v>
      </c>
      <c r="BC27" s="122">
        <f>'Combined IFRS17 Cashflows'!BF76</f>
        <v>2246077.4542120062</v>
      </c>
      <c r="BD27" s="122">
        <f>'Combined IFRS17 Cashflows'!BG76</f>
        <v>1958024.457792694</v>
      </c>
      <c r="BE27" s="122">
        <f>'Combined IFRS17 Cashflows'!BH76</f>
        <v>1696634.4043714721</v>
      </c>
      <c r="BF27" s="122">
        <f>'Combined IFRS17 Cashflows'!BI76</f>
        <v>1458309.7558101229</v>
      </c>
      <c r="BG27" s="122">
        <f>'Combined IFRS17 Cashflows'!BJ76</f>
        <v>1243510.048737627</v>
      </c>
      <c r="BH27" s="122">
        <f>'Combined IFRS17 Cashflows'!BK76</f>
        <v>1051332.6513670413</v>
      </c>
      <c r="BI27" s="122">
        <f>'Combined IFRS17 Cashflows'!BL76</f>
        <v>880166.74227183149</v>
      </c>
      <c r="BJ27" s="122">
        <f>'Combined IFRS17 Cashflows'!BM76</f>
        <v>729153.16681462969</v>
      </c>
      <c r="BK27" s="122">
        <f>'Combined IFRS17 Cashflows'!BN76</f>
        <v>595095.91768482223</v>
      </c>
      <c r="BL27" s="122">
        <f>'Combined IFRS17 Cashflows'!BO76</f>
        <v>478169.36593438691</v>
      </c>
      <c r="BM27" s="122">
        <f>'Combined IFRS17 Cashflows'!BP76</f>
        <v>377756.77772280423</v>
      </c>
      <c r="BN27" s="122">
        <f>'Combined IFRS17 Cashflows'!BQ76</f>
        <v>292908.29399390647</v>
      </c>
      <c r="BO27" s="122">
        <f>'Combined IFRS17 Cashflows'!BR76</f>
        <v>222648.68024485934</v>
      </c>
      <c r="BP27" s="122">
        <f>'Combined IFRS17 Cashflows'!BS76</f>
        <v>164053.94182942028</v>
      </c>
      <c r="BQ27" s="122">
        <f>'Combined IFRS17 Cashflows'!BT76</f>
        <v>117395.1074237377</v>
      </c>
      <c r="BR27" s="122">
        <f>'Combined IFRS17 Cashflows'!BU76</f>
        <v>81579.216206823068</v>
      </c>
      <c r="BS27" s="122">
        <f>'Combined IFRS17 Cashflows'!BV76</f>
        <v>55168.117316964162</v>
      </c>
      <c r="BT27" s="122">
        <f>'Combined IFRS17 Cashflows'!BW76</f>
        <v>36513.729528794385</v>
      </c>
      <c r="BU27" s="122">
        <f>'Combined IFRS17 Cashflows'!BX76</f>
        <v>23135.822885456164</v>
      </c>
      <c r="BV27" s="122">
        <f>'Combined IFRS17 Cashflows'!BY76</f>
        <v>14343.148585172185</v>
      </c>
      <c r="BW27" s="122">
        <f>'Combined IFRS17 Cashflows'!BZ76</f>
        <v>8846.2484574980499</v>
      </c>
      <c r="BX27" s="122">
        <f>'Combined IFRS17 Cashflows'!CA76</f>
        <v>5634.1885578436541</v>
      </c>
      <c r="BY27" s="122">
        <f>'Combined IFRS17 Cashflows'!CB76</f>
        <v>3816.5548199290547</v>
      </c>
      <c r="BZ27" s="122">
        <f>'Combined IFRS17 Cashflows'!CC76</f>
        <v>2306.9650663557286</v>
      </c>
      <c r="CA27" s="122">
        <f>'Combined IFRS17 Cashflows'!CD76</f>
        <v>1252.1694462311316</v>
      </c>
      <c r="CB27" s="122">
        <f>'Combined IFRS17 Cashflows'!CE76</f>
        <v>559.3027003766349</v>
      </c>
      <c r="CC27" s="122">
        <f>'Combined IFRS17 Cashflows'!CF76</f>
        <v>159.91153579504487</v>
      </c>
      <c r="CD27" s="122">
        <f>'Combined IFRS17 Cashflows'!CG76</f>
        <v>-5.891998814259801</v>
      </c>
      <c r="CE27" s="122">
        <f>'Combined IFRS17 Cashflows'!CH76</f>
        <v>-139.06277558907311</v>
      </c>
      <c r="CF27" s="122">
        <f>'Combined IFRS17 Cashflows'!CI76</f>
        <v>-127.67878902646621</v>
      </c>
      <c r="CG27" s="122">
        <f>'Combined IFRS17 Cashflows'!CJ76</f>
        <v>-84.957347304698985</v>
      </c>
      <c r="CH27" s="122">
        <f>'Combined IFRS17 Cashflows'!CK76</f>
        <v>-40.062321380505949</v>
      </c>
      <c r="CI27" s="122">
        <f>'Combined IFRS17 Cashflows'!CL76</f>
        <v>-4.0000025794571637E-10</v>
      </c>
      <c r="CJ27" s="122">
        <f>'Combined IFRS17 Cashflows'!CM76</f>
        <v>0</v>
      </c>
      <c r="CK27" s="122">
        <f>'Combined IFRS17 Cashflows'!CN76</f>
        <v>0</v>
      </c>
      <c r="CL27" s="122">
        <f>'Combined IFRS17 Cashflows'!CO76</f>
        <v>0</v>
      </c>
      <c r="CM27" s="122">
        <f>'Combined IFRS17 Cashflows'!CP76</f>
        <v>0</v>
      </c>
      <c r="CN27" s="122">
        <f>'Combined IFRS17 Cashflows'!CQ76</f>
        <v>0</v>
      </c>
      <c r="CO27" s="122">
        <f>'Combined IFRS17 Cashflows'!CR76</f>
        <v>0</v>
      </c>
      <c r="CP27" s="122">
        <f>'Combined IFRS17 Cashflows'!CS76</f>
        <v>0</v>
      </c>
      <c r="CQ27" s="122">
        <f>'Combined IFRS17 Cashflows'!CT76</f>
        <v>0</v>
      </c>
      <c r="CR27" s="122">
        <f>'Combined IFRS17 Cashflows'!CU76</f>
        <v>0</v>
      </c>
      <c r="CS27" s="122">
        <f>'Combined IFRS17 Cashflows'!CV76</f>
        <v>0</v>
      </c>
      <c r="CT27" s="122">
        <f>'Combined IFRS17 Cashflows'!CW76</f>
        <v>0</v>
      </c>
      <c r="CU27" s="122">
        <f>'Combined IFRS17 Cashflows'!CX76</f>
        <v>0</v>
      </c>
      <c r="CV27" s="122">
        <f>'Combined IFRS17 Cashflows'!CY76</f>
        <v>0</v>
      </c>
      <c r="CW27" s="122">
        <f>'Combined IFRS17 Cashflows'!CZ76</f>
        <v>0</v>
      </c>
      <c r="CX27" s="122">
        <f>'Combined IFRS17 Cashflows'!DA76</f>
        <v>0</v>
      </c>
      <c r="CY27" s="194"/>
      <c r="CZ27" s="194"/>
      <c r="DA27" s="194"/>
      <c r="DB27" s="194"/>
      <c r="DC27" s="194"/>
    </row>
    <row r="28" spans="2:107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</row>
    <row r="29" spans="2:107" x14ac:dyDescent="0.3">
      <c r="B29" s="10" t="s">
        <v>199</v>
      </c>
      <c r="C29" s="123">
        <f>'Combined IFRS17 Cashflows'!F25</f>
        <v>2659731.8270136411</v>
      </c>
      <c r="D29" s="123">
        <f>'Combined IFRS17 Cashflows'!G25</f>
        <v>9102158.3708133772</v>
      </c>
      <c r="E29" s="123">
        <f>'Combined IFRS17 Cashflows'!H25</f>
        <v>17499754.119359531</v>
      </c>
      <c r="F29" s="123">
        <f>'Combined IFRS17 Cashflows'!I25</f>
        <v>26675636.443888925</v>
      </c>
      <c r="G29" s="123">
        <f>'Combined IFRS17 Cashflows'!J25</f>
        <v>37839743.498056099</v>
      </c>
      <c r="H29" s="123">
        <f>'Combined IFRS17 Cashflows'!K25</f>
        <v>50037806.36000634</v>
      </c>
      <c r="I29" s="123">
        <f>'Combined IFRS17 Cashflows'!L25</f>
        <v>62671512.608169541</v>
      </c>
      <c r="J29" s="123">
        <f>'Combined IFRS17 Cashflows'!M25</f>
        <v>76425475.339635208</v>
      </c>
      <c r="K29" s="123">
        <f>'Combined IFRS17 Cashflows'!N25</f>
        <v>91851200.128553405</v>
      </c>
      <c r="L29" s="123">
        <f>'Combined IFRS17 Cashflows'!O25</f>
        <v>109663999.56107542</v>
      </c>
      <c r="M29" s="123">
        <f>'Combined IFRS17 Cashflows'!P25</f>
        <v>107536293.98469803</v>
      </c>
      <c r="N29" s="123">
        <f>'Combined IFRS17 Cashflows'!Q25</f>
        <v>95774587.167742401</v>
      </c>
      <c r="O29" s="123">
        <f>'Combined IFRS17 Cashflows'!R25</f>
        <v>87286148.599244907</v>
      </c>
      <c r="P29" s="123">
        <f>'Combined IFRS17 Cashflows'!S25</f>
        <v>79585455.341938883</v>
      </c>
      <c r="Q29" s="123">
        <f>'Combined IFRS17 Cashflows'!T25</f>
        <v>72459901.961855128</v>
      </c>
      <c r="R29" s="123">
        <f>'Combined IFRS17 Cashflows'!U25</f>
        <v>66137797.452245072</v>
      </c>
      <c r="S29" s="123">
        <f>'Combined IFRS17 Cashflows'!V25</f>
        <v>60264400.692231938</v>
      </c>
      <c r="T29" s="123">
        <f>'Combined IFRS17 Cashflows'!W25</f>
        <v>54755815.33761894</v>
      </c>
      <c r="U29" s="123">
        <f>'Combined IFRS17 Cashflows'!X25</f>
        <v>49574025.368581116</v>
      </c>
      <c r="V29" s="123">
        <f>'Combined IFRS17 Cashflows'!Y25</f>
        <v>44646395.825831003</v>
      </c>
      <c r="W29" s="123">
        <f>'Combined IFRS17 Cashflows'!Z25</f>
        <v>40433316.907348871</v>
      </c>
      <c r="X29" s="123">
        <f>'Combined IFRS17 Cashflows'!AA25</f>
        <v>36566017.451880127</v>
      </c>
      <c r="Y29" s="123">
        <f>'Combined IFRS17 Cashflows'!AB25</f>
        <v>32930827.600326903</v>
      </c>
      <c r="Z29" s="123">
        <f>'Combined IFRS17 Cashflows'!AC25</f>
        <v>29538959.775273435</v>
      </c>
      <c r="AA29" s="123">
        <f>'Combined IFRS17 Cashflows'!AD25</f>
        <v>26369615.737467114</v>
      </c>
      <c r="AB29" s="123">
        <f>'Combined IFRS17 Cashflows'!AE25</f>
        <v>23436820.706184331</v>
      </c>
      <c r="AC29" s="123">
        <f>'Combined IFRS17 Cashflows'!AF25</f>
        <v>20829313.088538289</v>
      </c>
      <c r="AD29" s="123">
        <f>'Combined IFRS17 Cashflows'!AG25</f>
        <v>18438222.90562319</v>
      </c>
      <c r="AE29" s="123">
        <f>'Combined IFRS17 Cashflows'!AH25</f>
        <v>16244318.451280611</v>
      </c>
      <c r="AF29" s="123">
        <f>'Combined IFRS17 Cashflows'!AI25</f>
        <v>14220350.001527866</v>
      </c>
      <c r="AG29" s="123">
        <f>'Combined IFRS17 Cashflows'!AJ25</f>
        <v>12686952.763845788</v>
      </c>
      <c r="AH29" s="123">
        <f>'Combined IFRS17 Cashflows'!AK25</f>
        <v>11372887.895823285</v>
      </c>
      <c r="AI29" s="123">
        <f>'Combined IFRS17 Cashflows'!AL25</f>
        <v>10193167.886224598</v>
      </c>
      <c r="AJ29" s="123">
        <f>'Combined IFRS17 Cashflows'!AM25</f>
        <v>9127147.6628567204</v>
      </c>
      <c r="AK29" s="123">
        <f>'Combined IFRS17 Cashflows'!AN25</f>
        <v>8158411.6534801377</v>
      </c>
      <c r="AL29" s="123">
        <f>'Combined IFRS17 Cashflows'!AO25</f>
        <v>7273287.9751059851</v>
      </c>
      <c r="AM29" s="123">
        <f>'Combined IFRS17 Cashflows'!AP25</f>
        <v>6499637.8844095981</v>
      </c>
      <c r="AN29" s="123">
        <f>'Combined IFRS17 Cashflows'!AQ25</f>
        <v>5789551.7100359593</v>
      </c>
      <c r="AO29" s="123">
        <f>'Combined IFRS17 Cashflows'!AR25</f>
        <v>5139261.1468969258</v>
      </c>
      <c r="AP29" s="123">
        <f>'Combined IFRS17 Cashflows'!AS25</f>
        <v>4544436.138942522</v>
      </c>
      <c r="AQ29" s="123">
        <f>'Combined IFRS17 Cashflows'!AT25</f>
        <v>4000338.7702420466</v>
      </c>
      <c r="AR29" s="123">
        <f>'Combined IFRS17 Cashflows'!AU25</f>
        <v>3514691.9509921498</v>
      </c>
      <c r="AS29" s="123">
        <f>'Combined IFRS17 Cashflows'!AV25</f>
        <v>3074052.6198802935</v>
      </c>
      <c r="AT29" s="123">
        <f>'Combined IFRS17 Cashflows'!AW25</f>
        <v>2675917.0097324555</v>
      </c>
      <c r="AU29" s="123">
        <f>'Combined IFRS17 Cashflows'!AX25</f>
        <v>2318093.7436202862</v>
      </c>
      <c r="AV29" s="123">
        <f>'Combined IFRS17 Cashflows'!AY25</f>
        <v>1998503.3364601496</v>
      </c>
      <c r="AW29" s="123">
        <f>'Combined IFRS17 Cashflows'!AZ25</f>
        <v>1718804.2265448878</v>
      </c>
      <c r="AX29" s="123">
        <f>'Combined IFRS17 Cashflows'!BA25</f>
        <v>1472339.7850968633</v>
      </c>
      <c r="AY29" s="123">
        <f>'Combined IFRS17 Cashflows'!BB25</f>
        <v>1257254.8777437508</v>
      </c>
      <c r="AZ29" s="123">
        <f>'Combined IFRS17 Cashflows'!BC25</f>
        <v>1071137.7182516342</v>
      </c>
      <c r="BA29" s="123">
        <f>'Combined IFRS17 Cashflows'!BD25</f>
        <v>911098.65429128835</v>
      </c>
      <c r="BB29" s="123">
        <f>'Combined IFRS17 Cashflows'!BE25</f>
        <v>774303.13863869128</v>
      </c>
      <c r="BC29" s="123">
        <f>'Combined IFRS17 Cashflows'!BF25</f>
        <v>657126.85020557872</v>
      </c>
      <c r="BD29" s="123">
        <f>'Combined IFRS17 Cashflows'!BG25</f>
        <v>556494.78658220358</v>
      </c>
      <c r="BE29" s="123">
        <f>'Combined IFRS17 Cashflows'!BH25</f>
        <v>469876.48452540074</v>
      </c>
      <c r="BF29" s="123">
        <f>'Combined IFRS17 Cashflows'!BI25</f>
        <v>395187.70816053532</v>
      </c>
      <c r="BG29" s="123">
        <f>'Combined IFRS17 Cashflows'!BJ25</f>
        <v>332457.86043155188</v>
      </c>
      <c r="BH29" s="123">
        <f>'Combined IFRS17 Cashflows'!BK25</f>
        <v>278031.41262924252</v>
      </c>
      <c r="BI29" s="123">
        <f>'Combined IFRS17 Cashflows'!BL25</f>
        <v>231014.57860289628</v>
      </c>
      <c r="BJ29" s="123">
        <f>'Combined IFRS17 Cashflows'!BM25</f>
        <v>190544.61308948032</v>
      </c>
      <c r="BK29" s="123">
        <f>'Combined IFRS17 Cashflows'!BN25</f>
        <v>155810.91978383437</v>
      </c>
      <c r="BL29" s="123">
        <f>'Combined IFRS17 Cashflows'!BO25</f>
        <v>126155.89530194065</v>
      </c>
      <c r="BM29" s="123">
        <f>'Combined IFRS17 Cashflows'!BP25</f>
        <v>100939.31342436792</v>
      </c>
      <c r="BN29" s="123">
        <f>'Combined IFRS17 Cashflows'!BQ25</f>
        <v>79685.664879568707</v>
      </c>
      <c r="BO29" s="123">
        <f>'Combined IFRS17 Cashflows'!BR25</f>
        <v>61960.314315764939</v>
      </c>
      <c r="BP29" s="123">
        <f>'Combined IFRS17 Cashflows'!BS25</f>
        <v>47357.557277355088</v>
      </c>
      <c r="BQ29" s="123">
        <f>'Combined IFRS17 Cashflows'!BT25</f>
        <v>35585.227212415572</v>
      </c>
      <c r="BR29" s="123">
        <f>'Combined IFRS17 Cashflows'!BU25</f>
        <v>26170.731707203606</v>
      </c>
      <c r="BS29" s="123">
        <f>'Combined IFRS17 Cashflows'!BV25</f>
        <v>18812.601881560815</v>
      </c>
      <c r="BT29" s="123">
        <f>'Combined IFRS17 Cashflows'!BW25</f>
        <v>13210.27350007126</v>
      </c>
      <c r="BU29" s="123">
        <f>'Combined IFRS17 Cashflows'!BX25</f>
        <v>9062.7385827206781</v>
      </c>
      <c r="BV29" s="123">
        <f>'Combined IFRS17 Cashflows'!BY25</f>
        <v>6150.2336045755601</v>
      </c>
      <c r="BW29" s="123">
        <f>'Combined IFRS17 Cashflows'!BZ25</f>
        <v>4095.8954144594013</v>
      </c>
      <c r="BX29" s="123">
        <f>'Combined IFRS17 Cashflows'!CA25</f>
        <v>2667.2136772605218</v>
      </c>
      <c r="BY29" s="123">
        <f>'Combined IFRS17 Cashflows'!CB25</f>
        <v>1685.167018002136</v>
      </c>
      <c r="BZ29" s="123">
        <f>'Combined IFRS17 Cashflows'!CC25</f>
        <v>1014.6788296578926</v>
      </c>
      <c r="CA29" s="123">
        <f>'Combined IFRS17 Cashflows'!CD25</f>
        <v>675.19821566590417</v>
      </c>
      <c r="CB29" s="123">
        <f>'Combined IFRS17 Cashflows'!CE25</f>
        <v>439.13388014350852</v>
      </c>
      <c r="CC29" s="123">
        <f>'Combined IFRS17 Cashflows'!CF25</f>
        <v>277.18366589608019</v>
      </c>
      <c r="CD29" s="123">
        <f>'Combined IFRS17 Cashflows'!CG25</f>
        <v>167.65075695209697</v>
      </c>
      <c r="CE29" s="123">
        <f>'Combined IFRS17 Cashflows'!CH25</f>
        <v>94.429167849396293</v>
      </c>
      <c r="CF29" s="123">
        <f>'Combined IFRS17 Cashflows'!CI25</f>
        <v>57.332278886664334</v>
      </c>
      <c r="CG29" s="123">
        <f>'Combined IFRS17 Cashflows'!CJ25</f>
        <v>32.748546081101921</v>
      </c>
      <c r="CH29" s="123">
        <f>'Combined IFRS17 Cashflows'!CK25</f>
        <v>16.801962965845522</v>
      </c>
      <c r="CI29" s="123">
        <f>'Combined IFRS17 Cashflows'!CL25</f>
        <v>6.5908525249837124</v>
      </c>
      <c r="CJ29" s="123">
        <f>'Combined IFRS17 Cashflows'!CM25</f>
        <v>0</v>
      </c>
      <c r="CK29" s="123">
        <f>'Combined IFRS17 Cashflows'!CN25</f>
        <v>0</v>
      </c>
      <c r="CL29" s="123">
        <f>'Combined IFRS17 Cashflows'!CO25</f>
        <v>0</v>
      </c>
      <c r="CM29" s="123">
        <f>'Combined IFRS17 Cashflows'!CP25</f>
        <v>0</v>
      </c>
      <c r="CN29" s="123">
        <f>'Combined IFRS17 Cashflows'!CQ25</f>
        <v>0</v>
      </c>
      <c r="CO29" s="123">
        <f>'Combined IFRS17 Cashflows'!CR25</f>
        <v>0</v>
      </c>
      <c r="CP29" s="123">
        <f>'Combined IFRS17 Cashflows'!CS25</f>
        <v>0</v>
      </c>
      <c r="CQ29" s="123">
        <f>'Combined IFRS17 Cashflows'!CT25</f>
        <v>0</v>
      </c>
      <c r="CR29" s="123">
        <f>'Combined IFRS17 Cashflows'!CU25</f>
        <v>0</v>
      </c>
      <c r="CS29" s="123">
        <f>'Combined IFRS17 Cashflows'!CV25</f>
        <v>0</v>
      </c>
      <c r="CT29" s="123">
        <f>'Combined IFRS17 Cashflows'!CW25</f>
        <v>0</v>
      </c>
      <c r="CU29" s="123">
        <f>'Combined IFRS17 Cashflows'!CX25</f>
        <v>0</v>
      </c>
      <c r="CV29" s="123">
        <f>'Combined IFRS17 Cashflows'!CY25</f>
        <v>0</v>
      </c>
      <c r="CW29" s="123">
        <f>'Combined IFRS17 Cashflows'!CZ25</f>
        <v>0</v>
      </c>
      <c r="CX29" s="123">
        <f>'Combined IFRS17 Cashflows'!DA25</f>
        <v>0</v>
      </c>
      <c r="CY29" s="267"/>
      <c r="CZ29" s="267"/>
      <c r="DA29" s="267"/>
      <c r="DB29" s="267"/>
      <c r="DC29" s="267"/>
    </row>
    <row r="30" spans="2:107" x14ac:dyDescent="0.3">
      <c r="B30" s="10" t="s">
        <v>200</v>
      </c>
      <c r="C30" s="123">
        <f>SUM('Combined IFRS17 Cashflows'!F26:F32)</f>
        <v>-2758011.4102274999</v>
      </c>
      <c r="D30" s="123">
        <f>SUM('Combined IFRS17 Cashflows'!G26:G32)</f>
        <v>-8882549.9012740254</v>
      </c>
      <c r="E30" s="123">
        <f>SUM('Combined IFRS17 Cashflows'!H26:H32)</f>
        <v>-16259330.997155111</v>
      </c>
      <c r="F30" s="123">
        <f>SUM('Combined IFRS17 Cashflows'!I26:I32)</f>
        <v>-23875899.263500586</v>
      </c>
      <c r="G30" s="123">
        <f>SUM('Combined IFRS17 Cashflows'!J26:J32)</f>
        <v>-33575858.936673477</v>
      </c>
      <c r="H30" s="123">
        <f>SUM('Combined IFRS17 Cashflows'!K26:K32)</f>
        <v>-43856242.381458312</v>
      </c>
      <c r="I30" s="123">
        <f>SUM('Combined IFRS17 Cashflows'!L26:L32)</f>
        <v>-54152402.37404792</v>
      </c>
      <c r="J30" s="123">
        <f>SUM('Combined IFRS17 Cashflows'!M26:M32)</f>
        <v>-65356496.585293755</v>
      </c>
      <c r="K30" s="123">
        <f>SUM('Combined IFRS17 Cashflows'!N26:N32)</f>
        <v>-78232384.30684714</v>
      </c>
      <c r="L30" s="123">
        <f>SUM('Combined IFRS17 Cashflows'!O26:O32)</f>
        <v>-93288072.10736233</v>
      </c>
      <c r="M30" s="123">
        <f>SUM('Combined IFRS17 Cashflows'!P26:P32)</f>
        <v>-87223128.764384791</v>
      </c>
      <c r="N30" s="123">
        <f>SUM('Combined IFRS17 Cashflows'!Q26:Q32)</f>
        <v>-75313096.663916692</v>
      </c>
      <c r="O30" s="123">
        <f>SUM('Combined IFRS17 Cashflows'!R26:R32)</f>
        <v>-68706247.066260129</v>
      </c>
      <c r="P30" s="123">
        <f>SUM('Combined IFRS17 Cashflows'!S26:S32)</f>
        <v>-63929305.236057393</v>
      </c>
      <c r="Q30" s="123">
        <f>SUM('Combined IFRS17 Cashflows'!T26:T32)</f>
        <v>-56839135.821366757</v>
      </c>
      <c r="R30" s="123">
        <f>SUM('Combined IFRS17 Cashflows'!U26:U32)</f>
        <v>-53273568.78740415</v>
      </c>
      <c r="S30" s="123">
        <f>SUM('Combined IFRS17 Cashflows'!V26:V32)</f>
        <v>-50284406.701486409</v>
      </c>
      <c r="T30" s="123">
        <f>SUM('Combined IFRS17 Cashflows'!W26:W32)</f>
        <v>-47488595.073613077</v>
      </c>
      <c r="U30" s="123">
        <f>SUM('Combined IFRS17 Cashflows'!X26:X32)</f>
        <v>-45291409.720275961</v>
      </c>
      <c r="V30" s="123">
        <f>SUM('Combined IFRS17 Cashflows'!Y26:Y32)</f>
        <v>-41138476.654147759</v>
      </c>
      <c r="W30" s="123">
        <f>SUM('Combined IFRS17 Cashflows'!Z26:Z32)</f>
        <v>-39396841.020912692</v>
      </c>
      <c r="X30" s="123">
        <f>SUM('Combined IFRS17 Cashflows'!AA26:AA32)</f>
        <v>-37580661.765876494</v>
      </c>
      <c r="Y30" s="123">
        <f>SUM('Combined IFRS17 Cashflows'!AB26:AB32)</f>
        <v>-35711495.543454856</v>
      </c>
      <c r="Z30" s="123">
        <f>SUM('Combined IFRS17 Cashflows'!AC26:AC32)</f>
        <v>-33880643.633911438</v>
      </c>
      <c r="AA30" s="123">
        <f>SUM('Combined IFRS17 Cashflows'!AD26:AD32)</f>
        <v>-30773289.140361171</v>
      </c>
      <c r="AB30" s="123">
        <f>SUM('Combined IFRS17 Cashflows'!AE26:AE32)</f>
        <v>-28796234.059934806</v>
      </c>
      <c r="AC30" s="123">
        <f>SUM('Combined IFRS17 Cashflows'!AF26:AF32)</f>
        <v>-26870965.150536679</v>
      </c>
      <c r="AD30" s="123">
        <f>SUM('Combined IFRS17 Cashflows'!AG26:AG32)</f>
        <v>-25003743.835938793</v>
      </c>
      <c r="AE30" s="123">
        <f>SUM('Combined IFRS17 Cashflows'!AH26:AH32)</f>
        <v>-23256255.544497002</v>
      </c>
      <c r="AF30" s="123">
        <f>SUM('Combined IFRS17 Cashflows'!AI26:AI32)</f>
        <v>-20877399.773828</v>
      </c>
      <c r="AG30" s="123">
        <f>SUM('Combined IFRS17 Cashflows'!AJ26:AJ32)</f>
        <v>-19585345.956092849</v>
      </c>
      <c r="AH30" s="123">
        <f>SUM('Combined IFRS17 Cashflows'!AK26:AK32)</f>
        <v>-18467584.618592609</v>
      </c>
      <c r="AI30" s="123">
        <f>SUM('Combined IFRS17 Cashflows'!AL26:AL32)</f>
        <v>-17485268.374459546</v>
      </c>
      <c r="AJ30" s="123">
        <f>SUM('Combined IFRS17 Cashflows'!AM26:AM32)</f>
        <v>-16625557.651556849</v>
      </c>
      <c r="AK30" s="123">
        <f>SUM('Combined IFRS17 Cashflows'!AN26:AN32)</f>
        <v>-15449612.338177148</v>
      </c>
      <c r="AL30" s="123">
        <f>SUM('Combined IFRS17 Cashflows'!AO26:AO32)</f>
        <v>-14546251.533056935</v>
      </c>
      <c r="AM30" s="123">
        <f>SUM('Combined IFRS17 Cashflows'!AP26:AP32)</f>
        <v>-13848392.230875202</v>
      </c>
      <c r="AN30" s="123">
        <f>SUM('Combined IFRS17 Cashflows'!AQ26:AQ32)</f>
        <v>-13164602.067387043</v>
      </c>
      <c r="AO30" s="123">
        <f>SUM('Combined IFRS17 Cashflows'!AR26:AR32)</f>
        <v>-12514358.542885885</v>
      </c>
      <c r="AP30" s="123">
        <f>SUM('Combined IFRS17 Cashflows'!AS26:AS32)</f>
        <v>-11663598.951317232</v>
      </c>
      <c r="AQ30" s="123">
        <f>SUM('Combined IFRS17 Cashflows'!AT26:AT32)</f>
        <v>-11026059.276706556</v>
      </c>
      <c r="AR30" s="123">
        <f>SUM('Combined IFRS17 Cashflows'!AU26:AU32)</f>
        <v>-10393076.329760009</v>
      </c>
      <c r="AS30" s="123">
        <f>SUM('Combined IFRS17 Cashflows'!AV26:AV32)</f>
        <v>-9759799.311780354</v>
      </c>
      <c r="AT30" s="123">
        <f>SUM('Combined IFRS17 Cashflows'!AW26:AW32)</f>
        <v>-9130538.6867843829</v>
      </c>
      <c r="AU30" s="123">
        <f>SUM('Combined IFRS17 Cashflows'!AX26:AX32)</f>
        <v>-8375801.7454172038</v>
      </c>
      <c r="AV30" s="123">
        <f>SUM('Combined IFRS17 Cashflows'!AY26:AY32)</f>
        <v>-7694990.4854509216</v>
      </c>
      <c r="AW30" s="123">
        <f>SUM('Combined IFRS17 Cashflows'!AZ26:AZ32)</f>
        <v>-7070516.4393136343</v>
      </c>
      <c r="AX30" s="123">
        <f>SUM('Combined IFRS17 Cashflows'!BA26:BA32)</f>
        <v>-6453832.9096349161</v>
      </c>
      <c r="AY30" s="123">
        <f>SUM('Combined IFRS17 Cashflows'!BB26:BB32)</f>
        <v>-5860742.2687691357</v>
      </c>
      <c r="AZ30" s="123">
        <f>SUM('Combined IFRS17 Cashflows'!BC26:BC32)</f>
        <v>-5239413.3240719587</v>
      </c>
      <c r="BA30" s="123">
        <f>SUM('Combined IFRS17 Cashflows'!BD26:BD32)</f>
        <v>-4706057.8772559138</v>
      </c>
      <c r="BB30" s="123">
        <f>SUM('Combined IFRS17 Cashflows'!BE26:BE32)</f>
        <v>-4222636.8428214975</v>
      </c>
      <c r="BC30" s="123">
        <f>SUM('Combined IFRS17 Cashflows'!BF26:BF32)</f>
        <v>-3784425.265219579</v>
      </c>
      <c r="BD30" s="123">
        <f>SUM('Combined IFRS17 Cashflows'!BG26:BG32)</f>
        <v>-3387372.7007853221</v>
      </c>
      <c r="BE30" s="123">
        <f>SUM('Combined IFRS17 Cashflows'!BH26:BH32)</f>
        <v>-2998815.9364211038</v>
      </c>
      <c r="BF30" s="123">
        <f>SUM('Combined IFRS17 Cashflows'!BI26:BI32)</f>
        <v>-2633555.862914898</v>
      </c>
      <c r="BG30" s="123">
        <f>SUM('Combined IFRS17 Cashflows'!BJ26:BJ32)</f>
        <v>-2338810.2599091027</v>
      </c>
      <c r="BH30" s="123">
        <f>SUM('Combined IFRS17 Cashflows'!BK26:BK32)</f>
        <v>-2065111.7272414428</v>
      </c>
      <c r="BI30" s="123">
        <f>SUM('Combined IFRS17 Cashflows'!BL26:BL32)</f>
        <v>-1814589.8465458779</v>
      </c>
      <c r="BJ30" s="123">
        <f>SUM('Combined IFRS17 Cashflows'!BM26:BM32)</f>
        <v>-1575469.5664932807</v>
      </c>
      <c r="BK30" s="123">
        <f>SUM('Combined IFRS17 Cashflows'!BN26:BN32)</f>
        <v>-1365975.902294117</v>
      </c>
      <c r="BL30" s="123">
        <f>SUM('Combined IFRS17 Cashflows'!BO26:BO32)</f>
        <v>-1178861.6721412765</v>
      </c>
      <c r="BM30" s="123">
        <f>SUM('Combined IFRS17 Cashflows'!BP26:BP32)</f>
        <v>-1008176.8276390755</v>
      </c>
      <c r="BN30" s="123">
        <f>SUM('Combined IFRS17 Cashflows'!BQ26:BQ32)</f>
        <v>-853624.60254921624</v>
      </c>
      <c r="BO30" s="123">
        <f>SUM('Combined IFRS17 Cashflows'!BR26:BR32)</f>
        <v>-710206.20928324107</v>
      </c>
      <c r="BP30" s="123">
        <f>SUM('Combined IFRS17 Cashflows'!BS26:BS32)</f>
        <v>-580906.56306476367</v>
      </c>
      <c r="BQ30" s="123">
        <f>SUM('Combined IFRS17 Cashflows'!BT26:BT32)</f>
        <v>-473503.37535876868</v>
      </c>
      <c r="BR30" s="123">
        <f>SUM('Combined IFRS17 Cashflows'!BU26:BU32)</f>
        <v>-378657.83437637071</v>
      </c>
      <c r="BS30" s="123">
        <f>SUM('Combined IFRS17 Cashflows'!BV26:BV32)</f>
        <v>-296628.73065160215</v>
      </c>
      <c r="BT30" s="123">
        <f>SUM('Combined IFRS17 Cashflows'!BW26:BW32)</f>
        <v>-226265.20422698231</v>
      </c>
      <c r="BU30" s="123">
        <f>SUM('Combined IFRS17 Cashflows'!BX26:BX32)</f>
        <v>-165614.36265459348</v>
      </c>
      <c r="BV30" s="123">
        <f>SUM('Combined IFRS17 Cashflows'!BY26:BY32)</f>
        <v>-122494.51929630213</v>
      </c>
      <c r="BW30" s="123">
        <f>SUM('Combined IFRS17 Cashflows'!BZ26:BZ32)</f>
        <v>-89381.775564768352</v>
      </c>
      <c r="BX30" s="123">
        <f>SUM('Combined IFRS17 Cashflows'!CA26:CA32)</f>
        <v>-64396.911078763042</v>
      </c>
      <c r="BY30" s="123">
        <f>SUM('Combined IFRS17 Cashflows'!CB26:CB32)</f>
        <v>-45717.248187220015</v>
      </c>
      <c r="BZ30" s="123">
        <f>SUM('Combined IFRS17 Cashflows'!CC26:CC32)</f>
        <v>-27226.388509903096</v>
      </c>
      <c r="CA30" s="123">
        <f>SUM('Combined IFRS17 Cashflows'!CD26:CD32)</f>
        <v>-19478.267262175879</v>
      </c>
      <c r="CB30" s="123">
        <f>SUM('Combined IFRS17 Cashflows'!CE26:CE32)</f>
        <v>-13739.391419002737</v>
      </c>
      <c r="CC30" s="123">
        <f>SUM('Combined IFRS17 Cashflows'!CF26:CF32)</f>
        <v>-9549.3638039547204</v>
      </c>
      <c r="CD30" s="123">
        <f>SUM('Combined IFRS17 Cashflows'!CG26:CG32)</f>
        <v>-6535.4976156151533</v>
      </c>
      <c r="CE30" s="123">
        <f>SUM('Combined IFRS17 Cashflows'!CH26:CH32)</f>
        <v>-3418.3381637733705</v>
      </c>
      <c r="CF30" s="123">
        <f>SUM('Combined IFRS17 Cashflows'!CI26:CI32)</f>
        <v>-2317.4591492038471</v>
      </c>
      <c r="CG30" s="123">
        <f>SUM('Combined IFRS17 Cashflows'!CJ26:CJ32)</f>
        <v>-1533.4123983469749</v>
      </c>
      <c r="CH30" s="123">
        <f>SUM('Combined IFRS17 Cashflows'!CK26:CK32)</f>
        <v>-995.20353478144318</v>
      </c>
      <c r="CI30" s="123">
        <f>SUM('Combined IFRS17 Cashflows'!CL26:CL32)</f>
        <v>-640.5804187796399</v>
      </c>
      <c r="CJ30" s="123">
        <f>SUM('Combined IFRS17 Cashflows'!CM26:CM32)</f>
        <v>0</v>
      </c>
      <c r="CK30" s="123">
        <f>SUM('Combined IFRS17 Cashflows'!CN26:CN32)</f>
        <v>0</v>
      </c>
      <c r="CL30" s="123">
        <f>SUM('Combined IFRS17 Cashflows'!CO26:CO32)</f>
        <v>0</v>
      </c>
      <c r="CM30" s="123">
        <f>SUM('Combined IFRS17 Cashflows'!CP26:CP32)</f>
        <v>0</v>
      </c>
      <c r="CN30" s="123">
        <f>SUM('Combined IFRS17 Cashflows'!CQ26:CQ32)</f>
        <v>0</v>
      </c>
      <c r="CO30" s="123">
        <f>SUM('Combined IFRS17 Cashflows'!CR26:CR32)</f>
        <v>0</v>
      </c>
      <c r="CP30" s="123">
        <f>SUM('Combined IFRS17 Cashflows'!CS26:CS32)</f>
        <v>0</v>
      </c>
      <c r="CQ30" s="123">
        <f>SUM('Combined IFRS17 Cashflows'!CT26:CT32)</f>
        <v>0</v>
      </c>
      <c r="CR30" s="123">
        <f>SUM('Combined IFRS17 Cashflows'!CU26:CU32)</f>
        <v>0</v>
      </c>
      <c r="CS30" s="123">
        <f>SUM('Combined IFRS17 Cashflows'!CV26:CV32)</f>
        <v>0</v>
      </c>
      <c r="CT30" s="123">
        <f>SUM('Combined IFRS17 Cashflows'!CW26:CW32)</f>
        <v>0</v>
      </c>
      <c r="CU30" s="123">
        <f>SUM('Combined IFRS17 Cashflows'!CX26:CX32)</f>
        <v>0</v>
      </c>
      <c r="CV30" s="123">
        <f>SUM('Combined IFRS17 Cashflows'!CY26:CY32)</f>
        <v>0</v>
      </c>
      <c r="CW30" s="123">
        <f>SUM('Combined IFRS17 Cashflows'!CZ26:CZ32)</f>
        <v>0</v>
      </c>
      <c r="CX30" s="123">
        <f>SUM('Combined IFRS17 Cashflows'!DA26:DA32)</f>
        <v>0</v>
      </c>
      <c r="CY30" s="267"/>
      <c r="CZ30" s="267"/>
      <c r="DA30" s="267"/>
      <c r="DB30" s="267"/>
      <c r="DC30" s="267"/>
    </row>
    <row r="31" spans="2:107" x14ac:dyDescent="0.3">
      <c r="B31" s="10" t="s">
        <v>201</v>
      </c>
      <c r="C31" s="123">
        <f>C29+C30</f>
        <v>-98279.583213858772</v>
      </c>
      <c r="D31" s="123">
        <f t="shared" ref="D31:L31" si="111">D29+D30</f>
        <v>219608.46953935176</v>
      </c>
      <c r="E31" s="123">
        <f t="shared" si="111"/>
        <v>1240423.1222044192</v>
      </c>
      <c r="F31" s="123">
        <f t="shared" si="111"/>
        <v>2799737.1803883389</v>
      </c>
      <c r="G31" s="123">
        <f t="shared" si="111"/>
        <v>4263884.5613826215</v>
      </c>
      <c r="H31" s="123">
        <f t="shared" si="111"/>
        <v>6181563.9785480276</v>
      </c>
      <c r="I31" s="123">
        <f t="shared" si="111"/>
        <v>8519110.2341216207</v>
      </c>
      <c r="J31" s="123">
        <f t="shared" si="111"/>
        <v>11068978.754341453</v>
      </c>
      <c r="K31" s="123">
        <f t="shared" si="111"/>
        <v>13618815.821706265</v>
      </c>
      <c r="L31" s="123">
        <f t="shared" si="111"/>
        <v>16375927.453713089</v>
      </c>
      <c r="M31" s="123">
        <f t="shared" ref="M31:AM31" si="112">M29+M30</f>
        <v>20313165.220313236</v>
      </c>
      <c r="N31" s="123">
        <f t="shared" si="112"/>
        <v>20461490.503825709</v>
      </c>
      <c r="O31" s="123">
        <f t="shared" si="112"/>
        <v>18579901.532984778</v>
      </c>
      <c r="P31" s="123">
        <f t="shared" si="112"/>
        <v>15656150.10588149</v>
      </c>
      <c r="Q31" s="123">
        <f t="shared" si="112"/>
        <v>15620766.140488371</v>
      </c>
      <c r="R31" s="123">
        <f t="shared" si="112"/>
        <v>12864228.664840922</v>
      </c>
      <c r="S31" s="123">
        <f t="shared" si="112"/>
        <v>9979993.9907455295</v>
      </c>
      <c r="T31" s="123">
        <f t="shared" si="112"/>
        <v>7267220.2640058622</v>
      </c>
      <c r="U31" s="123">
        <f t="shared" si="112"/>
        <v>4282615.6483051553</v>
      </c>
      <c r="V31" s="123">
        <f t="shared" si="112"/>
        <v>3507919.1716832444</v>
      </c>
      <c r="W31" s="123">
        <f t="shared" si="112"/>
        <v>1036475.8864361793</v>
      </c>
      <c r="X31" s="123">
        <f t="shared" si="112"/>
        <v>-1014644.3139963672</v>
      </c>
      <c r="Y31" s="123">
        <f t="shared" si="112"/>
        <v>-2780667.9431279525</v>
      </c>
      <c r="Z31" s="123">
        <f t="shared" si="112"/>
        <v>-4341683.8586380035</v>
      </c>
      <c r="AA31" s="123">
        <f t="shared" si="112"/>
        <v>-4403673.4028940573</v>
      </c>
      <c r="AB31" s="123">
        <f t="shared" si="112"/>
        <v>-5359413.3537504748</v>
      </c>
      <c r="AC31" s="123">
        <f t="shared" si="112"/>
        <v>-6041652.0619983897</v>
      </c>
      <c r="AD31" s="123">
        <f t="shared" si="112"/>
        <v>-6565520.9303156026</v>
      </c>
      <c r="AE31" s="123">
        <f t="shared" si="112"/>
        <v>-7011937.0932163913</v>
      </c>
      <c r="AF31" s="123">
        <f t="shared" si="112"/>
        <v>-6657049.7723001335</v>
      </c>
      <c r="AG31" s="123">
        <f t="shared" si="112"/>
        <v>-6898393.1922470611</v>
      </c>
      <c r="AH31" s="123">
        <f t="shared" si="112"/>
        <v>-7094696.7227693237</v>
      </c>
      <c r="AI31" s="123">
        <f t="shared" si="112"/>
        <v>-7292100.4882349484</v>
      </c>
      <c r="AJ31" s="123">
        <f t="shared" si="112"/>
        <v>-7498409.9887001291</v>
      </c>
      <c r="AK31" s="123">
        <f t="shared" si="112"/>
        <v>-7291200.6846970106</v>
      </c>
      <c r="AL31" s="123">
        <f t="shared" si="112"/>
        <v>-7272963.5579509502</v>
      </c>
      <c r="AM31" s="123">
        <f t="shared" si="112"/>
        <v>-7348754.3464656034</v>
      </c>
      <c r="AN31" s="123">
        <f t="shared" ref="AN31:BJ31" si="113">AN29+AN30</f>
        <v>-7375050.3573510833</v>
      </c>
      <c r="AO31" s="123">
        <f t="shared" si="113"/>
        <v>-7375097.3959889589</v>
      </c>
      <c r="AP31" s="123">
        <f t="shared" si="113"/>
        <v>-7119162.8123747101</v>
      </c>
      <c r="AQ31" s="123">
        <f t="shared" si="113"/>
        <v>-7025720.5064645093</v>
      </c>
      <c r="AR31" s="123">
        <f t="shared" si="113"/>
        <v>-6878384.3787678592</v>
      </c>
      <c r="AS31" s="123">
        <f t="shared" si="113"/>
        <v>-6685746.6919000605</v>
      </c>
      <c r="AT31" s="123">
        <f t="shared" si="113"/>
        <v>-6454621.6770519279</v>
      </c>
      <c r="AU31" s="123">
        <f t="shared" si="113"/>
        <v>-6057708.001796918</v>
      </c>
      <c r="AV31" s="123">
        <f t="shared" si="113"/>
        <v>-5696487.1489907717</v>
      </c>
      <c r="AW31" s="123">
        <f t="shared" si="113"/>
        <v>-5351712.2127687465</v>
      </c>
      <c r="AX31" s="123">
        <f t="shared" si="113"/>
        <v>-4981493.1245380528</v>
      </c>
      <c r="AY31" s="123">
        <f t="shared" si="113"/>
        <v>-4603487.3910253849</v>
      </c>
      <c r="AZ31" s="123">
        <f t="shared" si="113"/>
        <v>-4168275.6058203243</v>
      </c>
      <c r="BA31" s="123">
        <f t="shared" si="113"/>
        <v>-3794959.2229646253</v>
      </c>
      <c r="BB31" s="123">
        <f t="shared" si="113"/>
        <v>-3448333.7041828064</v>
      </c>
      <c r="BC31" s="123">
        <f t="shared" si="113"/>
        <v>-3127298.4150140001</v>
      </c>
      <c r="BD31" s="123">
        <f t="shared" si="113"/>
        <v>-2830877.9142031185</v>
      </c>
      <c r="BE31" s="123">
        <f t="shared" si="113"/>
        <v>-2528939.4518957031</v>
      </c>
      <c r="BF31" s="123">
        <f t="shared" si="113"/>
        <v>-2238368.1547543625</v>
      </c>
      <c r="BG31" s="123">
        <f t="shared" si="113"/>
        <v>-2006352.3994775508</v>
      </c>
      <c r="BH31" s="123">
        <f t="shared" si="113"/>
        <v>-1787080.3146122003</v>
      </c>
      <c r="BI31" s="123">
        <f t="shared" si="113"/>
        <v>-1583575.2679429816</v>
      </c>
      <c r="BJ31" s="123">
        <f t="shared" si="113"/>
        <v>-1384924.9534038003</v>
      </c>
      <c r="BK31" s="123">
        <f t="shared" ref="BK31:CX31" si="114">BK29+BK30</f>
        <v>-1210164.9825102827</v>
      </c>
      <c r="BL31" s="123">
        <f t="shared" si="114"/>
        <v>-1052705.7768393359</v>
      </c>
      <c r="BM31" s="123">
        <f t="shared" si="114"/>
        <v>-907237.51421470754</v>
      </c>
      <c r="BN31" s="123">
        <f t="shared" si="114"/>
        <v>-773938.93766964751</v>
      </c>
      <c r="BO31" s="123">
        <f t="shared" si="114"/>
        <v>-648245.89496747614</v>
      </c>
      <c r="BP31" s="123">
        <f t="shared" si="114"/>
        <v>-533549.00578740856</v>
      </c>
      <c r="BQ31" s="123">
        <f t="shared" si="114"/>
        <v>-437918.14814635308</v>
      </c>
      <c r="BR31" s="123">
        <f t="shared" si="114"/>
        <v>-352487.1026691671</v>
      </c>
      <c r="BS31" s="123">
        <f t="shared" si="114"/>
        <v>-277816.12877004134</v>
      </c>
      <c r="BT31" s="123">
        <f t="shared" si="114"/>
        <v>-213054.93072691106</v>
      </c>
      <c r="BU31" s="123">
        <f t="shared" si="114"/>
        <v>-156551.62407187279</v>
      </c>
      <c r="BV31" s="123">
        <f t="shared" si="114"/>
        <v>-116344.28569172656</v>
      </c>
      <c r="BW31" s="123">
        <f t="shared" si="114"/>
        <v>-85285.880150308949</v>
      </c>
      <c r="BX31" s="123">
        <f t="shared" si="114"/>
        <v>-61729.697401502519</v>
      </c>
      <c r="BY31" s="123">
        <f t="shared" si="114"/>
        <v>-44032.081169217876</v>
      </c>
      <c r="BZ31" s="123">
        <f t="shared" si="114"/>
        <v>-26211.709680245203</v>
      </c>
      <c r="CA31" s="123">
        <f t="shared" si="114"/>
        <v>-18803.069046509976</v>
      </c>
      <c r="CB31" s="123">
        <f t="shared" si="114"/>
        <v>-13300.257538859229</v>
      </c>
      <c r="CC31" s="123">
        <f t="shared" si="114"/>
        <v>-9272.1801380586403</v>
      </c>
      <c r="CD31" s="123">
        <f t="shared" si="114"/>
        <v>-6367.8468586630561</v>
      </c>
      <c r="CE31" s="123">
        <f t="shared" si="114"/>
        <v>-3323.9089959239741</v>
      </c>
      <c r="CF31" s="123">
        <f t="shared" si="114"/>
        <v>-2260.1268703171827</v>
      </c>
      <c r="CG31" s="123">
        <f t="shared" si="114"/>
        <v>-1500.6638522658729</v>
      </c>
      <c r="CH31" s="123">
        <f t="shared" si="114"/>
        <v>-978.40157181559766</v>
      </c>
      <c r="CI31" s="123">
        <f t="shared" si="114"/>
        <v>-633.98956625465621</v>
      </c>
      <c r="CJ31" s="123">
        <f t="shared" si="114"/>
        <v>0</v>
      </c>
      <c r="CK31" s="123">
        <f t="shared" si="114"/>
        <v>0</v>
      </c>
      <c r="CL31" s="123">
        <f t="shared" si="114"/>
        <v>0</v>
      </c>
      <c r="CM31" s="123">
        <f t="shared" si="114"/>
        <v>0</v>
      </c>
      <c r="CN31" s="123">
        <f t="shared" si="114"/>
        <v>0</v>
      </c>
      <c r="CO31" s="123">
        <f t="shared" si="114"/>
        <v>0</v>
      </c>
      <c r="CP31" s="123">
        <f t="shared" si="114"/>
        <v>0</v>
      </c>
      <c r="CQ31" s="123">
        <f t="shared" si="114"/>
        <v>0</v>
      </c>
      <c r="CR31" s="123">
        <f t="shared" si="114"/>
        <v>0</v>
      </c>
      <c r="CS31" s="123">
        <f t="shared" si="114"/>
        <v>0</v>
      </c>
      <c r="CT31" s="123">
        <f t="shared" si="114"/>
        <v>0</v>
      </c>
      <c r="CU31" s="123">
        <f t="shared" si="114"/>
        <v>0</v>
      </c>
      <c r="CV31" s="123">
        <f t="shared" si="114"/>
        <v>0</v>
      </c>
      <c r="CW31" s="123">
        <f t="shared" si="114"/>
        <v>0</v>
      </c>
      <c r="CX31" s="123">
        <f t="shared" si="114"/>
        <v>0</v>
      </c>
      <c r="CY31" s="267"/>
      <c r="CZ31" s="267"/>
      <c r="DA31" s="267"/>
      <c r="DB31" s="267"/>
      <c r="DC31" s="267"/>
    </row>
    <row r="32" spans="2:107" x14ac:dyDescent="0.3"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194"/>
      <c r="BN32" s="194"/>
      <c r="BO32" s="194"/>
      <c r="BP32" s="194"/>
      <c r="BQ32" s="194"/>
      <c r="BR32" s="194"/>
      <c r="BS32" s="194"/>
      <c r="BT32" s="194"/>
      <c r="BU32" s="194"/>
      <c r="BV32" s="194"/>
      <c r="BW32" s="194"/>
      <c r="BX32" s="194"/>
      <c r="BY32" s="194"/>
      <c r="BZ32" s="194"/>
      <c r="CA32" s="194"/>
      <c r="CB32" s="194"/>
      <c r="CC32" s="194"/>
      <c r="CD32" s="194"/>
      <c r="CE32" s="194"/>
      <c r="CF32" s="194"/>
      <c r="CG32" s="194"/>
      <c r="CH32" s="194"/>
      <c r="CI32" s="194"/>
      <c r="CJ32" s="194"/>
      <c r="CK32" s="194"/>
      <c r="CL32" s="194"/>
      <c r="CM32" s="194"/>
      <c r="CN32" s="194"/>
      <c r="CO32" s="194"/>
      <c r="CP32" s="194"/>
      <c r="CQ32" s="194"/>
      <c r="CR32" s="194"/>
      <c r="CS32" s="194"/>
      <c r="CT32" s="194"/>
      <c r="CU32" s="194"/>
      <c r="CV32" s="194"/>
      <c r="CW32" s="194"/>
      <c r="CX32" s="194"/>
      <c r="CY32" s="194"/>
      <c r="CZ32" s="194"/>
      <c r="DA32" s="194"/>
      <c r="DB32" s="194"/>
      <c r="DC32" s="194"/>
    </row>
    <row r="33" spans="3:107" x14ac:dyDescent="0.3"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  <c r="CU33" s="219"/>
      <c r="CV33" s="219"/>
      <c r="CW33" s="219"/>
      <c r="CX33" s="219"/>
      <c r="CY33" s="219"/>
      <c r="CZ33" s="219"/>
      <c r="DA33" s="219"/>
      <c r="DB33" s="219"/>
      <c r="DC33" s="21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5443-B23B-4E55-B74A-ECDBAC6614D0}">
  <sheetPr codeName="Sheet5"/>
  <dimension ref="B2:O45"/>
  <sheetViews>
    <sheetView topLeftCell="A24" workbookViewId="0">
      <selection activeCell="G43" sqref="G43"/>
    </sheetView>
  </sheetViews>
  <sheetFormatPr defaultRowHeight="14.4" x14ac:dyDescent="0.3"/>
  <cols>
    <col min="3" max="3" width="34.6640625" customWidth="1"/>
    <col min="4" max="4" width="10.6640625" customWidth="1"/>
    <col min="5" max="12" width="10.109375" customWidth="1"/>
    <col min="13" max="13" width="10.88671875" customWidth="1"/>
    <col min="15" max="15" width="9.88671875" bestFit="1" customWidth="1"/>
  </cols>
  <sheetData>
    <row r="2" spans="2:14" ht="15" thickBot="1" x14ac:dyDescent="0.35"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2:14" ht="15" thickBot="1" x14ac:dyDescent="0.35">
      <c r="B3" s="236"/>
      <c r="C3" s="210" t="s">
        <v>141</v>
      </c>
      <c r="D3" s="211">
        <v>1</v>
      </c>
      <c r="E3" s="211">
        <v>2</v>
      </c>
      <c r="F3" s="211">
        <v>3</v>
      </c>
      <c r="G3" s="211">
        <v>4</v>
      </c>
      <c r="H3" s="211">
        <v>5</v>
      </c>
      <c r="I3" s="211">
        <v>6</v>
      </c>
      <c r="J3" s="211">
        <v>7</v>
      </c>
      <c r="K3" s="211">
        <v>8</v>
      </c>
      <c r="L3" s="211">
        <v>9</v>
      </c>
      <c r="M3" s="211">
        <v>10</v>
      </c>
      <c r="N3" s="236"/>
    </row>
    <row r="4" spans="2:14" ht="15" thickBot="1" x14ac:dyDescent="0.35">
      <c r="B4" s="236"/>
      <c r="C4" s="209" t="s">
        <v>202</v>
      </c>
      <c r="D4" s="237">
        <f>'Results Tables'!D37</f>
        <v>9054.1159505591531</v>
      </c>
      <c r="E4" s="237">
        <f>'Results Tables'!E37</f>
        <v>18338.434373160686</v>
      </c>
      <c r="F4" s="237">
        <f>'Results Tables'!F37</f>
        <v>23473.195997645675</v>
      </c>
      <c r="G4" s="237">
        <f>'Results Tables'!G37</f>
        <v>27245.673925838732</v>
      </c>
      <c r="H4" s="237">
        <f>'Results Tables'!H37</f>
        <v>35524.167157151263</v>
      </c>
      <c r="I4" s="237">
        <f>'Results Tables'!I37</f>
        <v>38877.480871100648</v>
      </c>
      <c r="J4" s="237">
        <f>'Results Tables'!J37</f>
        <v>43383.496174220127</v>
      </c>
      <c r="K4" s="237">
        <f>'Results Tables'!K37</f>
        <v>49147.004120070633</v>
      </c>
      <c r="L4" s="237">
        <f>'Results Tables'!L37</f>
        <v>56587.168922895828</v>
      </c>
      <c r="M4" s="237">
        <f>'Results Tables'!M37</f>
        <v>66332.736904061225</v>
      </c>
      <c r="N4" s="236"/>
    </row>
    <row r="5" spans="2:14" ht="15" thickBot="1" x14ac:dyDescent="0.35">
      <c r="B5" s="236"/>
      <c r="C5" s="209" t="s">
        <v>203</v>
      </c>
      <c r="D5" s="237">
        <f>'Results Tables'!D38</f>
        <v>3262.1397086800048</v>
      </c>
      <c r="E5" s="237">
        <f>'Results Tables'!E38</f>
        <v>15983.623572048631</v>
      </c>
      <c r="F5" s="237">
        <f>'Results Tables'!F38</f>
        <v>30700.66256035004</v>
      </c>
      <c r="G5" s="237">
        <f>'Results Tables'!G38</f>
        <v>46785.999860253789</v>
      </c>
      <c r="H5" s="237">
        <f>'Results Tables'!H38</f>
        <v>67488.684850067075</v>
      </c>
      <c r="I5" s="237">
        <f>'Results Tables'!I38</f>
        <v>88519.424112235632</v>
      </c>
      <c r="J5" s="237">
        <f>'Results Tables'!J38</f>
        <v>110630.29721034988</v>
      </c>
      <c r="K5" s="237">
        <f>'Results Tables'!K38</f>
        <v>134912.12211707223</v>
      </c>
      <c r="L5" s="237">
        <f>'Results Tables'!L38</f>
        <v>162401.25526815248</v>
      </c>
      <c r="M5" s="237">
        <f>'Results Tables'!M38</f>
        <v>194274.40277664879</v>
      </c>
      <c r="N5" s="236"/>
    </row>
    <row r="6" spans="2:14" ht="15" thickBot="1" x14ac:dyDescent="0.35">
      <c r="B6" s="236"/>
      <c r="C6" s="209" t="s">
        <v>204</v>
      </c>
      <c r="D6" s="237">
        <f>'Results Tables'!D39</f>
        <v>5194078.5432546362</v>
      </c>
      <c r="E6" s="237">
        <f>'Results Tables'!E39</f>
        <v>10520166.001947016</v>
      </c>
      <c r="F6" s="237">
        <f>'Results Tables'!F39</f>
        <v>13465812.482492181</v>
      </c>
      <c r="G6" s="237">
        <f>'Results Tables'!G39</f>
        <v>15629960.917178422</v>
      </c>
      <c r="H6" s="237">
        <f>'Results Tables'!H39</f>
        <v>20379064.426628791</v>
      </c>
      <c r="I6" s="237">
        <f>'Results Tables'!I39</f>
        <v>22302751.924127672</v>
      </c>
      <c r="J6" s="237">
        <f>'Results Tables'!J39</f>
        <v>24887706.998891793</v>
      </c>
      <c r="K6" s="237">
        <f>'Results Tables'!K39</f>
        <v>28194044.885218002</v>
      </c>
      <c r="L6" s="237">
        <f>'Results Tables'!L39</f>
        <v>32462226.520293664</v>
      </c>
      <c r="M6" s="237">
        <f>'Results Tables'!M39</f>
        <v>38052943.309899777</v>
      </c>
      <c r="N6" s="236"/>
    </row>
    <row r="7" spans="2:14" ht="15" thickBot="1" x14ac:dyDescent="0.35">
      <c r="B7" s="236"/>
      <c r="C7" s="209" t="s">
        <v>205</v>
      </c>
      <c r="D7" s="237">
        <f>'Results Tables'!D40</f>
        <v>1696268.8695680301</v>
      </c>
      <c r="E7" s="237">
        <f>'Results Tables'!E40</f>
        <v>4548353.7346025687</v>
      </c>
      <c r="F7" s="237">
        <f>'Results Tables'!F40</f>
        <v>8135393.2896067305</v>
      </c>
      <c r="G7" s="237">
        <f>'Results Tables'!G40</f>
        <v>11728973.938224673</v>
      </c>
      <c r="H7" s="237">
        <f>'Results Tables'!H40</f>
        <v>16036211.808470229</v>
      </c>
      <c r="I7" s="237">
        <f>'Results Tables'!I40</f>
        <v>20197935.146215413</v>
      </c>
      <c r="J7" s="237">
        <f>'Results Tables'!J40</f>
        <v>24227133.229596034</v>
      </c>
      <c r="K7" s="237">
        <f>'Results Tables'!K40</f>
        <v>28350118.005923755</v>
      </c>
      <c r="L7" s="237">
        <f>'Results Tables'!L40</f>
        <v>32936052.174923565</v>
      </c>
      <c r="M7" s="237">
        <f>'Results Tables'!M40</f>
        <v>38270602.476094604</v>
      </c>
      <c r="N7" s="236"/>
    </row>
    <row r="8" spans="2:14" ht="9" customHeight="1" thickBot="1" x14ac:dyDescent="0.35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</row>
    <row r="9" spans="2:14" ht="15" thickBot="1" x14ac:dyDescent="0.35">
      <c r="B9" s="236"/>
      <c r="C9" s="210" t="s">
        <v>141</v>
      </c>
      <c r="D9" s="211">
        <v>1</v>
      </c>
      <c r="E9" s="211">
        <v>2</v>
      </c>
      <c r="F9" s="211">
        <v>3</v>
      </c>
      <c r="G9" s="211">
        <v>4</v>
      </c>
      <c r="H9" s="211">
        <v>5</v>
      </c>
      <c r="I9" s="211">
        <v>6</v>
      </c>
      <c r="J9" s="211">
        <v>7</v>
      </c>
      <c r="K9" s="211">
        <v>8</v>
      </c>
      <c r="L9" s="211">
        <v>9</v>
      </c>
      <c r="M9" s="211">
        <v>10</v>
      </c>
      <c r="N9" s="236"/>
    </row>
    <row r="10" spans="2:14" ht="23.25" customHeight="1" thickBot="1" x14ac:dyDescent="0.35">
      <c r="B10" s="236"/>
      <c r="C10" s="209" t="s">
        <v>206</v>
      </c>
      <c r="D10" s="213">
        <f>'Results Tables'!D15</f>
        <v>2659731.8270136411</v>
      </c>
      <c r="E10" s="213">
        <f>'Results Tables'!E15</f>
        <v>9102158.3708133772</v>
      </c>
      <c r="F10" s="213">
        <f>'Results Tables'!F15</f>
        <v>17499754.119359531</v>
      </c>
      <c r="G10" s="213">
        <f>'Results Tables'!G15</f>
        <v>26675636.443888925</v>
      </c>
      <c r="H10" s="213">
        <f>'Results Tables'!H15</f>
        <v>37839743.498056099</v>
      </c>
      <c r="I10" s="213">
        <f>'Results Tables'!I15</f>
        <v>50037806.36000634</v>
      </c>
      <c r="J10" s="213">
        <f>'Results Tables'!J15</f>
        <v>62671512.608169541</v>
      </c>
      <c r="K10" s="213">
        <f>'Results Tables'!K15</f>
        <v>76425475.339635208</v>
      </c>
      <c r="L10" s="213">
        <f>'Results Tables'!L15</f>
        <v>91851200.128553405</v>
      </c>
      <c r="M10" s="213">
        <f>'Results Tables'!M15</f>
        <v>109663999.56107542</v>
      </c>
      <c r="N10" s="236"/>
    </row>
    <row r="11" spans="2:14" ht="23.25" customHeight="1" thickBot="1" x14ac:dyDescent="0.35">
      <c r="B11" s="236"/>
      <c r="C11" s="209" t="s">
        <v>207</v>
      </c>
      <c r="D11" s="213">
        <f>'Results Tables'!D17</f>
        <v>-686210.81136951933</v>
      </c>
      <c r="E11" s="213">
        <f>'Results Tables'!E17</f>
        <v>-2348356.859669853</v>
      </c>
      <c r="F11" s="213">
        <f>'Results Tables'!F17</f>
        <v>-4514936.562794758</v>
      </c>
      <c r="G11" s="213">
        <f>'Results Tables'!G17</f>
        <v>-6882314.202523347</v>
      </c>
      <c r="H11" s="213">
        <f>'Results Tables'!H17</f>
        <v>-9762653.8224984761</v>
      </c>
      <c r="I11" s="213">
        <f>'Results Tables'!I17</f>
        <v>-12909754.040881632</v>
      </c>
      <c r="J11" s="213">
        <f>'Results Tables'!J17</f>
        <v>-16169250.252907751</v>
      </c>
      <c r="K11" s="213">
        <f>'Results Tables'!K17</f>
        <v>-19717772.637625858</v>
      </c>
      <c r="L11" s="213">
        <f>'Results Tables'!L17</f>
        <v>-23697609.633166794</v>
      </c>
      <c r="M11" s="213">
        <f>'Results Tables'!M17</f>
        <v>-28293311.886757445</v>
      </c>
      <c r="N11" s="236"/>
    </row>
    <row r="12" spans="2:14" ht="23.25" customHeight="1" thickBot="1" x14ac:dyDescent="0.35">
      <c r="B12" s="236"/>
      <c r="C12" s="209" t="s">
        <v>208</v>
      </c>
      <c r="D12" s="213">
        <f>'Results Tables'!D18</f>
        <v>-43642.408594125962</v>
      </c>
      <c r="E12" s="213">
        <f>'Results Tables'!E18</f>
        <v>-88379.331898911114</v>
      </c>
      <c r="F12" s="213">
        <f>'Results Tables'!F18</f>
        <v>-113125.54483060626</v>
      </c>
      <c r="G12" s="213">
        <f>'Results Tables'!G18</f>
        <v>-131306.43596409654</v>
      </c>
      <c r="H12" s="213">
        <f>'Results Tables'!H18</f>
        <v>-171203.39150703355</v>
      </c>
      <c r="I12" s="213">
        <f>'Results Tables'!I18</f>
        <v>-187364.1836256916</v>
      </c>
      <c r="J12" s="213">
        <f>'Results Tables'!J18</f>
        <v>-209080.24803513833</v>
      </c>
      <c r="K12" s="213">
        <f>'Results Tables'!K18</f>
        <v>-236856.60948908186</v>
      </c>
      <c r="L12" s="213">
        <f>'Results Tables'!L18</f>
        <v>-272713.36700235435</v>
      </c>
      <c r="M12" s="213">
        <f>'Results Tables'!M18</f>
        <v>-319680.66909720429</v>
      </c>
      <c r="N12" s="236"/>
    </row>
    <row r="13" spans="2:14" ht="23.25" customHeight="1" thickBot="1" x14ac:dyDescent="0.35">
      <c r="B13" s="236"/>
      <c r="C13" s="209" t="s">
        <v>209</v>
      </c>
      <c r="D13" s="213">
        <f ca="1">'Results Tables'!D16</f>
        <v>-59000</v>
      </c>
      <c r="E13" s="213">
        <f ca="1">'Results Tables'!E16</f>
        <v>-59000</v>
      </c>
      <c r="F13" s="213">
        <f ca="1">'Results Tables'!F16</f>
        <v>-59000</v>
      </c>
      <c r="G13" s="213">
        <f ca="1">'Results Tables'!G16</f>
        <v>-59000</v>
      </c>
      <c r="H13" s="213">
        <f ca="1">'Results Tables'!H16</f>
        <v>-59000</v>
      </c>
      <c r="I13" s="213">
        <f ca="1">'Results Tables'!I16</f>
        <v>-59000</v>
      </c>
      <c r="J13" s="213">
        <f ca="1">'Results Tables'!J16</f>
        <v>-59000</v>
      </c>
      <c r="K13" s="213">
        <f ca="1">'Results Tables'!K16</f>
        <v>-59000</v>
      </c>
      <c r="L13" s="213">
        <f ca="1">'Results Tables'!L16</f>
        <v>-59000</v>
      </c>
      <c r="M13" s="213">
        <f ca="1">'Results Tables'!M16</f>
        <v>-59000</v>
      </c>
      <c r="N13" s="236"/>
    </row>
    <row r="14" spans="2:14" ht="23.25" customHeight="1" thickBot="1" x14ac:dyDescent="0.35">
      <c r="B14" s="236"/>
      <c r="C14" s="209" t="s">
        <v>210</v>
      </c>
      <c r="D14" s="213">
        <f>'Results Tables'!D19</f>
        <v>-158215.38980407998</v>
      </c>
      <c r="E14" s="213">
        <f>'Results Tables'!E19</f>
        <v>-569017.2654266844</v>
      </c>
      <c r="F14" s="213">
        <f>'Results Tables'!F19</f>
        <v>-1138313.3519714645</v>
      </c>
      <c r="G14" s="213">
        <f>'Results Tables'!G19</f>
        <v>-1795119.3066266589</v>
      </c>
      <c r="H14" s="213">
        <f>'Results Tables'!H19</f>
        <v>-2610133.217989787</v>
      </c>
      <c r="I14" s="213">
        <f>'Results Tables'!I19</f>
        <v>-3528003.8167609493</v>
      </c>
      <c r="J14" s="213">
        <f>'Results Tables'!J19</f>
        <v>-4505677.9796842635</v>
      </c>
      <c r="K14" s="213">
        <f>'Results Tables'!K19</f>
        <v>-5592358.110868061</v>
      </c>
      <c r="L14" s="213">
        <f>'Results Tables'!L19</f>
        <v>-6827668.4324959069</v>
      </c>
      <c r="M14" s="213">
        <f>'Results Tables'!M19</f>
        <v>-8255973.8540653335</v>
      </c>
      <c r="N14" s="236"/>
    </row>
    <row r="15" spans="2:14" ht="23.25" customHeight="1" thickBot="1" x14ac:dyDescent="0.35">
      <c r="B15" s="236"/>
      <c r="C15" s="209" t="s">
        <v>211</v>
      </c>
      <c r="D15" s="213">
        <f>'Results Tables'!D20</f>
        <v>-1447.4829458505019</v>
      </c>
      <c r="E15" s="213">
        <f>'Results Tables'!E20</f>
        <v>-2931.2500000000032</v>
      </c>
      <c r="F15" s="213">
        <f>'Results Tables'!F20</f>
        <v>-3752.0000000000041</v>
      </c>
      <c r="G15" s="213">
        <f>'Results Tables'!G20</f>
        <v>-4355.0000000000045</v>
      </c>
      <c r="H15" s="213">
        <f>'Results Tables'!H20</f>
        <v>-5678.2500000000064</v>
      </c>
      <c r="I15" s="213">
        <f>'Results Tables'!I20</f>
        <v>-6214.2500000000064</v>
      </c>
      <c r="J15" s="213">
        <f>'Results Tables'!J20</f>
        <v>-6934.5000000000064</v>
      </c>
      <c r="K15" s="213">
        <f>'Results Tables'!K20</f>
        <v>-7855.7500000000082</v>
      </c>
      <c r="L15" s="213">
        <f>'Results Tables'!L20</f>
        <v>-9045.0000000000091</v>
      </c>
      <c r="M15" s="213">
        <f>'Results Tables'!M20</f>
        <v>-10602.750000000009</v>
      </c>
      <c r="N15" s="236"/>
    </row>
    <row r="16" spans="2:14" ht="23.25" customHeight="1" thickBot="1" x14ac:dyDescent="0.35">
      <c r="B16" s="236"/>
      <c r="C16" s="209" t="s">
        <v>212</v>
      </c>
      <c r="D16" s="213">
        <f>'Results Tables'!D21</f>
        <v>-8327.1257791621138</v>
      </c>
      <c r="E16" s="213">
        <f>'Results Tables'!E21</f>
        <v>-29948.277127720256</v>
      </c>
      <c r="F16" s="213">
        <f>'Results Tables'!F21</f>
        <v>-59911.229051129762</v>
      </c>
      <c r="G16" s="213">
        <f>'Results Tables'!G21</f>
        <v>-94479.963506666405</v>
      </c>
      <c r="H16" s="213">
        <f>'Results Tables'!H21</f>
        <v>-137375.43252577831</v>
      </c>
      <c r="I16" s="213">
        <f>'Results Tables'!I21</f>
        <v>-185684.41140847118</v>
      </c>
      <c r="J16" s="213">
        <f>'Results Tables'!J21</f>
        <v>-237140.9462991718</v>
      </c>
      <c r="K16" s="213">
        <f>'Results Tables'!K21</f>
        <v>-294334.63741410885</v>
      </c>
      <c r="L16" s="213">
        <f>'Results Tables'!L21</f>
        <v>-359350.97013136331</v>
      </c>
      <c r="M16" s="213">
        <f>'Results Tables'!M21</f>
        <v>-434524.9396876492</v>
      </c>
      <c r="N16" s="236"/>
    </row>
    <row r="17" spans="2:15" ht="23.25" customHeight="1" thickBot="1" x14ac:dyDescent="0.35">
      <c r="B17" s="236"/>
      <c r="C17" s="209" t="s">
        <v>213</v>
      </c>
      <c r="D17" s="213">
        <f>'Results Tables'!D22</f>
        <v>-1860168.1917347617</v>
      </c>
      <c r="E17" s="213">
        <f>'Results Tables'!E22</f>
        <v>-5843916.917150856</v>
      </c>
      <c r="F17" s="213">
        <f>'Results Tables'!F22</f>
        <v>-10429292.308507152</v>
      </c>
      <c r="G17" s="213">
        <f>'Results Tables'!G22</f>
        <v>-14968324.354879815</v>
      </c>
      <c r="H17" s="213">
        <f>'Results Tables'!H22</f>
        <v>-20888814.822152406</v>
      </c>
      <c r="I17" s="213">
        <f>'Results Tables'!I22</f>
        <v>-27039221.678781562</v>
      </c>
      <c r="J17" s="213">
        <f>'Results Tables'!J22</f>
        <v>-33024318.447121594</v>
      </c>
      <c r="K17" s="213">
        <f>'Results Tables'!K22</f>
        <v>-39507318.839896642</v>
      </c>
      <c r="L17" s="213">
        <f>'Results Tables'!L22</f>
        <v>-47065996.904050723</v>
      </c>
      <c r="M17" s="213">
        <f>'Results Tables'!M22</f>
        <v>-55973978.007754698</v>
      </c>
      <c r="N17" s="236"/>
    </row>
    <row r="18" spans="2:15" ht="27" customHeight="1" thickBot="1" x14ac:dyDescent="0.35">
      <c r="B18" s="236"/>
      <c r="C18" s="238" t="s">
        <v>214</v>
      </c>
      <c r="D18" s="213">
        <f>'Results Tables'!D25</f>
        <v>-162759.92215422643</v>
      </c>
      <c r="E18" s="213">
        <f>'Results Tables'!E25</f>
        <v>-574443.99699226324</v>
      </c>
      <c r="F18" s="213">
        <f>'Results Tables'!F25</f>
        <v>-483365.01081392064</v>
      </c>
      <c r="G18" s="213">
        <f>'Results Tables'!G25</f>
        <v>-483605.34171300568</v>
      </c>
      <c r="H18" s="213">
        <f>'Results Tables'!H25</f>
        <v>-704717.33216224122</v>
      </c>
      <c r="I18" s="213">
        <f>'Results Tables'!I25</f>
        <v>-629617.98765337327</v>
      </c>
      <c r="J18" s="213">
        <f>'Results Tables'!J25</f>
        <v>-848735.67231021542</v>
      </c>
      <c r="K18" s="213">
        <f>'Results Tables'!K25</f>
        <v>-1330134.2103667161</v>
      </c>
      <c r="L18" s="213">
        <f>'Results Tables'!L25</f>
        <v>-2005179.9055531975</v>
      </c>
      <c r="M18" s="213">
        <f>'Results Tables'!M25</f>
        <v>-2845327.3938887538</v>
      </c>
      <c r="N18" s="236"/>
    </row>
    <row r="19" spans="2:15" ht="27" customHeight="1" thickBot="1" x14ac:dyDescent="0.35">
      <c r="B19" s="236"/>
      <c r="C19" s="239" t="s">
        <v>215</v>
      </c>
      <c r="D19" s="214">
        <f ca="1">SUM(D10:D18)</f>
        <v>-320039.50536808476</v>
      </c>
      <c r="E19" s="214">
        <f t="shared" ref="E19:M19" ca="1" si="0">SUM(E10:E18)</f>
        <v>-413835.52745291055</v>
      </c>
      <c r="F19" s="214">
        <f t="shared" ca="1" si="0"/>
        <v>698058.11139050045</v>
      </c>
      <c r="G19" s="214">
        <f t="shared" ca="1" si="0"/>
        <v>2257131.8386753369</v>
      </c>
      <c r="H19" s="214">
        <f t="shared" ca="1" si="0"/>
        <v>3500167.2292203726</v>
      </c>
      <c r="I19" s="214">
        <f t="shared" ca="1" si="0"/>
        <v>5492945.9908946585</v>
      </c>
      <c r="J19" s="214">
        <f t="shared" ca="1" si="0"/>
        <v>7611374.5618114015</v>
      </c>
      <c r="K19" s="214">
        <f t="shared" ca="1" si="0"/>
        <v>9679844.5439747442</v>
      </c>
      <c r="L19" s="214">
        <f t="shared" ca="1" si="0"/>
        <v>11554635.916153075</v>
      </c>
      <c r="M19" s="214">
        <f t="shared" ca="1" si="0"/>
        <v>13471600.059824336</v>
      </c>
      <c r="N19" s="236"/>
      <c r="O19" s="215">
        <f ca="1">D19-D20+D21</f>
        <v>-219224.08662127901</v>
      </c>
    </row>
    <row r="20" spans="2:15" ht="27" customHeight="1" thickBot="1" x14ac:dyDescent="0.35">
      <c r="B20" s="236"/>
      <c r="C20" s="238" t="s">
        <v>216</v>
      </c>
      <c r="D20" s="213">
        <f ca="1">IF(D19&lt;0,(D19*5%),(-D19*5%))</f>
        <v>-16001.97526840424</v>
      </c>
      <c r="E20" s="213">
        <f ca="1">IF(E19&lt;0,(E19*5%),(-E19*5%))</f>
        <v>-20691.776372645531</v>
      </c>
      <c r="F20" s="213">
        <f t="shared" ref="F20:M20" ca="1" si="1">IF(F19&lt;0,(F19*5%),(-F19*5%))</f>
        <v>-34902.905569525021</v>
      </c>
      <c r="G20" s="213">
        <f t="shared" ca="1" si="1"/>
        <v>-112856.59193376685</v>
      </c>
      <c r="H20" s="213">
        <f t="shared" ca="1" si="1"/>
        <v>-175008.36146101865</v>
      </c>
      <c r="I20" s="213">
        <f t="shared" ca="1" si="1"/>
        <v>-274647.29954473296</v>
      </c>
      <c r="J20" s="213">
        <f t="shared" ca="1" si="1"/>
        <v>-380568.72809057008</v>
      </c>
      <c r="K20" s="213">
        <f t="shared" ca="1" si="1"/>
        <v>-483992.22719873721</v>
      </c>
      <c r="L20" s="213">
        <f t="shared" ca="1" si="1"/>
        <v>-577731.79580765381</v>
      </c>
      <c r="M20" s="213">
        <f t="shared" ca="1" si="1"/>
        <v>-673580.00299121684</v>
      </c>
      <c r="N20" s="236"/>
    </row>
    <row r="21" spans="2:15" ht="27" customHeight="1" thickBot="1" x14ac:dyDescent="0.35">
      <c r="B21" s="236"/>
      <c r="C21" s="238" t="s">
        <v>217</v>
      </c>
      <c r="D21" s="213">
        <f>'Results Tables'!D28</f>
        <v>84813.443478401517</v>
      </c>
      <c r="E21" s="213">
        <f>'Results Tables'!E28</f>
        <v>227417.68673012845</v>
      </c>
      <c r="F21" s="213">
        <f>'Results Tables'!F28</f>
        <v>406769.66448033653</v>
      </c>
      <c r="G21" s="213">
        <f>'Results Tables'!G28</f>
        <v>586448.69691123371</v>
      </c>
      <c r="H21" s="213">
        <f>'Results Tables'!H28</f>
        <v>801810.59042351146</v>
      </c>
      <c r="I21" s="213">
        <f>'Results Tables'!I28</f>
        <v>1009896.7573107707</v>
      </c>
      <c r="J21" s="213">
        <f>'Results Tables'!J28</f>
        <v>1211356.6614798016</v>
      </c>
      <c r="K21" s="213">
        <f>'Results Tables'!K28</f>
        <v>1417505.900296188</v>
      </c>
      <c r="L21" s="213">
        <f>'Results Tables'!L28</f>
        <v>1646802.6087461784</v>
      </c>
      <c r="M21" s="213">
        <f>'Results Tables'!M28</f>
        <v>1913530.1238047304</v>
      </c>
      <c r="N21" s="236"/>
    </row>
    <row r="22" spans="2:15" ht="27" customHeight="1" thickBot="1" x14ac:dyDescent="0.35">
      <c r="B22" s="236"/>
      <c r="C22" s="239" t="s">
        <v>218</v>
      </c>
      <c r="D22" s="214">
        <f ca="1">SUM(D19:D21)</f>
        <v>-251228.03715808748</v>
      </c>
      <c r="E22" s="214">
        <f t="shared" ref="E22:M22" ca="1" si="2">SUM(E19:E21)</f>
        <v>-207109.61709542762</v>
      </c>
      <c r="F22" s="214">
        <f t="shared" ca="1" si="2"/>
        <v>1069924.8703013121</v>
      </c>
      <c r="G22" s="214">
        <f t="shared" ca="1" si="2"/>
        <v>2730723.943652804</v>
      </c>
      <c r="H22" s="214">
        <f t="shared" ca="1" si="2"/>
        <v>4126969.4581828653</v>
      </c>
      <c r="I22" s="214">
        <f t="shared" ca="1" si="2"/>
        <v>6228195.4486606959</v>
      </c>
      <c r="J22" s="214">
        <f t="shared" ca="1" si="2"/>
        <v>8442162.4952006321</v>
      </c>
      <c r="K22" s="214">
        <f t="shared" ca="1" si="2"/>
        <v>10613358.217072196</v>
      </c>
      <c r="L22" s="214">
        <f t="shared" ca="1" si="2"/>
        <v>12623706.7290916</v>
      </c>
      <c r="M22" s="214">
        <f t="shared" ca="1" si="2"/>
        <v>14711550.180637851</v>
      </c>
      <c r="N22" s="236"/>
    </row>
    <row r="23" spans="2:15" ht="27" customHeight="1" thickBot="1" x14ac:dyDescent="0.35">
      <c r="B23" s="236"/>
      <c r="C23" s="238" t="s">
        <v>219</v>
      </c>
      <c r="D23" s="213">
        <f ca="1">IF(D22&lt;0,0,-D22*22%)</f>
        <v>0</v>
      </c>
      <c r="E23" s="213">
        <f t="shared" ref="E23:M23" ca="1" si="3">IF(E22&lt;0,0,-E22*22%)</f>
        <v>0</v>
      </c>
      <c r="F23" s="213">
        <f t="shared" ca="1" si="3"/>
        <v>-235383.47146628867</v>
      </c>
      <c r="G23" s="213">
        <f t="shared" ca="1" si="3"/>
        <v>-600759.26760361693</v>
      </c>
      <c r="H23" s="213">
        <f t="shared" ca="1" si="3"/>
        <v>-907933.28080023034</v>
      </c>
      <c r="I23" s="213">
        <f t="shared" ca="1" si="3"/>
        <v>-1370202.9987053531</v>
      </c>
      <c r="J23" s="213">
        <f t="shared" ca="1" si="3"/>
        <v>-1857275.7489441391</v>
      </c>
      <c r="K23" s="213">
        <f t="shared" ca="1" si="3"/>
        <v>-2334938.8077558833</v>
      </c>
      <c r="L23" s="213">
        <f t="shared" ca="1" si="3"/>
        <v>-2777215.480400152</v>
      </c>
      <c r="M23" s="213">
        <f t="shared" ca="1" si="3"/>
        <v>-3236541.0397403273</v>
      </c>
      <c r="N23" s="236"/>
    </row>
    <row r="24" spans="2:15" s="34" customFormat="1" ht="27" customHeight="1" thickBot="1" x14ac:dyDescent="0.35">
      <c r="B24" s="240"/>
      <c r="C24" s="239" t="s">
        <v>220</v>
      </c>
      <c r="D24" s="214">
        <f ca="1">D22+D23</f>
        <v>-251228.03715808748</v>
      </c>
      <c r="E24" s="214">
        <f t="shared" ref="E24:M24" ca="1" si="4">E22+E23</f>
        <v>-207109.61709542762</v>
      </c>
      <c r="F24" s="214">
        <f t="shared" ca="1" si="4"/>
        <v>834541.3988350234</v>
      </c>
      <c r="G24" s="214">
        <f t="shared" ca="1" si="4"/>
        <v>2129964.6760491868</v>
      </c>
      <c r="H24" s="214">
        <f t="shared" ca="1" si="4"/>
        <v>3219036.177382635</v>
      </c>
      <c r="I24" s="214">
        <f t="shared" ca="1" si="4"/>
        <v>4857992.4499553423</v>
      </c>
      <c r="J24" s="214">
        <f t="shared" ca="1" si="4"/>
        <v>6584886.746256493</v>
      </c>
      <c r="K24" s="214">
        <f t="shared" ca="1" si="4"/>
        <v>8278419.4093163125</v>
      </c>
      <c r="L24" s="214">
        <f t="shared" ca="1" si="4"/>
        <v>9846491.2486914471</v>
      </c>
      <c r="M24" s="214">
        <f t="shared" ca="1" si="4"/>
        <v>11475009.140897524</v>
      </c>
      <c r="N24" s="240"/>
    </row>
    <row r="25" spans="2:15" ht="27" customHeight="1" thickBot="1" x14ac:dyDescent="0.35">
      <c r="B25" s="236"/>
      <c r="C25" s="238" t="s">
        <v>221</v>
      </c>
      <c r="D25" s="213">
        <f>'Results Tables'!D32</f>
        <v>-240870.17947866025</v>
      </c>
      <c r="E25" s="213">
        <f>'Results Tables'!E32</f>
        <v>-645866.23031356465</v>
      </c>
      <c r="F25" s="213">
        <f>'Results Tables'!F32</f>
        <v>-1155225.8471241556</v>
      </c>
      <c r="G25" s="213">
        <f>'Results Tables'!G32</f>
        <v>-1665514.2992279034</v>
      </c>
      <c r="H25" s="213">
        <f>'Results Tables'!H32</f>
        <v>-2277142.0768027725</v>
      </c>
      <c r="I25" s="213">
        <f>'Results Tables'!I32</f>
        <v>-2868106.7907625884</v>
      </c>
      <c r="J25" s="213">
        <f>'Results Tables'!J32</f>
        <v>-3440252.9186026365</v>
      </c>
      <c r="K25" s="213">
        <f>'Results Tables'!K32</f>
        <v>-4025716.7568411729</v>
      </c>
      <c r="L25" s="213">
        <f>'Results Tables'!L32</f>
        <v>-4676919.4088391457</v>
      </c>
      <c r="M25" s="213">
        <f>'Results Tables'!M32</f>
        <v>-5434425.5516054332</v>
      </c>
      <c r="N25" s="236"/>
    </row>
    <row r="26" spans="2:15" s="34" customFormat="1" ht="26.25" customHeight="1" thickBot="1" x14ac:dyDescent="0.35">
      <c r="B26" s="240"/>
      <c r="C26" s="239" t="s">
        <v>222</v>
      </c>
      <c r="D26" s="214">
        <f ca="1">D24+D25</f>
        <v>-492098.2166367477</v>
      </c>
      <c r="E26" s="214">
        <f t="shared" ref="E26:M26" ca="1" si="5">E24+E25</f>
        <v>-852975.84740899224</v>
      </c>
      <c r="F26" s="214">
        <f t="shared" ca="1" si="5"/>
        <v>-320684.44828913221</v>
      </c>
      <c r="G26" s="214">
        <f t="shared" ca="1" si="5"/>
        <v>464450.37682128348</v>
      </c>
      <c r="H26" s="214">
        <f t="shared" ca="1" si="5"/>
        <v>941894.10057986248</v>
      </c>
      <c r="I26" s="214">
        <f t="shared" ca="1" si="5"/>
        <v>1989885.659192754</v>
      </c>
      <c r="J26" s="214">
        <f t="shared" ca="1" si="5"/>
        <v>3144633.8276538565</v>
      </c>
      <c r="K26" s="214">
        <f t="shared" ca="1" si="5"/>
        <v>4252702.6524751391</v>
      </c>
      <c r="L26" s="214">
        <f t="shared" ca="1" si="5"/>
        <v>5169571.8398523014</v>
      </c>
      <c r="M26" s="214">
        <f t="shared" ca="1" si="5"/>
        <v>6040583.5892920904</v>
      </c>
      <c r="N26" s="240"/>
    </row>
    <row r="27" spans="2:15" ht="25.5" customHeight="1" thickBot="1" x14ac:dyDescent="0.35">
      <c r="B27" s="236"/>
      <c r="C27" s="238" t="s">
        <v>223</v>
      </c>
      <c r="D27" s="231">
        <f ca="1">D24/D7</f>
        <v>-0.14810625937034672</v>
      </c>
      <c r="E27" s="231">
        <f t="shared" ref="E27:M27" ca="1" si="6">E24/E7</f>
        <v>-4.5535072507618998E-2</v>
      </c>
      <c r="F27" s="231">
        <f t="shared" ca="1" si="6"/>
        <v>0.10258156786361899</v>
      </c>
      <c r="G27" s="231">
        <f t="shared" ca="1" si="6"/>
        <v>0.18159855135389477</v>
      </c>
      <c r="H27" s="231">
        <f t="shared" ca="1" si="6"/>
        <v>0.20073544898442661</v>
      </c>
      <c r="I27" s="231">
        <f t="shared" ca="1" si="6"/>
        <v>0.24051926173580215</v>
      </c>
      <c r="J27" s="231">
        <f t="shared" ca="1" si="6"/>
        <v>0.27179801604476878</v>
      </c>
      <c r="K27" s="231">
        <f t="shared" ca="1" si="6"/>
        <v>0.29200652383833242</v>
      </c>
      <c r="L27" s="231">
        <f t="shared" ca="1" si="6"/>
        <v>0.29895784705454903</v>
      </c>
      <c r="M27" s="231">
        <f t="shared" ca="1" si="6"/>
        <v>0.29983873779006454</v>
      </c>
      <c r="N27" s="236"/>
    </row>
    <row r="28" spans="2:15" ht="15" thickBot="1" x14ac:dyDescent="0.35"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</row>
    <row r="29" spans="2:15" ht="15" thickBot="1" x14ac:dyDescent="0.35">
      <c r="B29" s="236"/>
      <c r="C29" s="210" t="s">
        <v>224</v>
      </c>
      <c r="D29" s="210" t="s">
        <v>225</v>
      </c>
      <c r="E29" s="236"/>
      <c r="F29" s="236"/>
      <c r="G29" s="236"/>
      <c r="H29" s="236"/>
      <c r="I29" s="236"/>
      <c r="J29" s="236"/>
      <c r="K29" s="236"/>
      <c r="L29" s="236"/>
      <c r="M29" s="236"/>
      <c r="N29" s="236"/>
    </row>
    <row r="30" spans="2:15" ht="15" thickBot="1" x14ac:dyDescent="0.35">
      <c r="B30" s="236"/>
      <c r="C30" s="209" t="s">
        <v>166</v>
      </c>
      <c r="D30" s="241">
        <f ca="1">'Results Tables'!C51</f>
        <v>12350735.656815138</v>
      </c>
      <c r="E30" s="236"/>
      <c r="F30" s="236"/>
      <c r="G30" s="236"/>
      <c r="H30" s="236"/>
      <c r="I30" s="236"/>
      <c r="J30" s="236"/>
      <c r="K30" s="236"/>
      <c r="L30" s="236"/>
      <c r="M30" s="236"/>
      <c r="N30" s="236"/>
    </row>
    <row r="31" spans="2:15" ht="15" thickBot="1" x14ac:dyDescent="0.35">
      <c r="B31" s="236"/>
      <c r="C31" s="209" t="s">
        <v>167</v>
      </c>
      <c r="D31" s="241">
        <f>'Results Tables'!C52</f>
        <v>306905763.12890071</v>
      </c>
      <c r="E31" s="236"/>
      <c r="F31" s="236"/>
      <c r="G31" s="236"/>
      <c r="H31" s="236"/>
      <c r="I31" s="236"/>
      <c r="J31" s="236"/>
      <c r="K31" s="236"/>
      <c r="L31" s="236"/>
      <c r="M31" s="236"/>
      <c r="N31" s="236"/>
    </row>
    <row r="32" spans="2:15" ht="15" thickBot="1" x14ac:dyDescent="0.35">
      <c r="B32" s="236"/>
      <c r="C32" s="212" t="s">
        <v>168</v>
      </c>
      <c r="D32" s="243">
        <f ca="1">'Results Tables'!C53</f>
        <v>4.0242762243691776E-2</v>
      </c>
      <c r="E32" s="236"/>
      <c r="F32" s="236"/>
      <c r="G32" s="236"/>
      <c r="H32" s="236"/>
      <c r="I32" s="236"/>
      <c r="J32" s="236"/>
      <c r="K32" s="236"/>
      <c r="L32" s="236"/>
      <c r="M32" s="236"/>
      <c r="N32" s="236"/>
    </row>
    <row r="33" spans="2:15" ht="15" thickBot="1" x14ac:dyDescent="0.35">
      <c r="B33" s="236"/>
      <c r="C33" s="209" t="s">
        <v>158</v>
      </c>
      <c r="D33" s="231">
        <f ca="1">'Results Tables'!C42</f>
        <v>0.26136389439176205</v>
      </c>
      <c r="E33" s="236"/>
      <c r="F33" s="236"/>
      <c r="G33" s="236"/>
      <c r="H33" s="236"/>
      <c r="I33" s="236"/>
      <c r="J33" s="236"/>
      <c r="K33" s="236"/>
      <c r="L33" s="236"/>
      <c r="M33" s="236"/>
      <c r="O33" s="191"/>
    </row>
    <row r="34" spans="2:15" ht="15" thickBot="1" x14ac:dyDescent="0.35">
      <c r="B34" s="236"/>
      <c r="C34" s="209" t="s">
        <v>159</v>
      </c>
      <c r="D34" s="231">
        <f>'Results Tables'!C43</f>
        <v>0.29448103920033092</v>
      </c>
      <c r="E34" s="236"/>
      <c r="F34" s="236"/>
      <c r="G34" s="236"/>
      <c r="H34" s="236"/>
      <c r="I34" s="236"/>
      <c r="J34" s="236"/>
      <c r="K34" s="236"/>
      <c r="L34" s="236"/>
      <c r="M34" s="236"/>
    </row>
    <row r="35" spans="2:15" ht="15" thickBot="1" x14ac:dyDescent="0.35">
      <c r="B35" s="236"/>
      <c r="C35" s="209" t="s">
        <v>160</v>
      </c>
      <c r="D35" s="232" t="str">
        <f ca="1">'Results Tables'!C44</f>
        <v>9 years</v>
      </c>
      <c r="E35" s="236"/>
      <c r="F35" s="236"/>
      <c r="G35" s="236"/>
      <c r="H35" s="236"/>
      <c r="I35" s="236"/>
      <c r="J35" s="236"/>
      <c r="K35" s="236"/>
      <c r="L35" s="236"/>
      <c r="M35" s="236"/>
    </row>
    <row r="36" spans="2:15" x14ac:dyDescent="0.3"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O36" s="246"/>
    </row>
    <row r="37" spans="2:15" x14ac:dyDescent="0.3">
      <c r="B37" s="236"/>
      <c r="C37" s="236"/>
      <c r="D37" s="244" t="s">
        <v>226</v>
      </c>
      <c r="E37" s="244" t="s">
        <v>227</v>
      </c>
      <c r="F37" s="244"/>
      <c r="G37" s="236"/>
      <c r="H37" s="236"/>
      <c r="I37" s="236"/>
      <c r="J37" s="236"/>
      <c r="K37" s="236"/>
      <c r="L37" s="236"/>
      <c r="M37" s="236"/>
    </row>
    <row r="38" spans="2:15" x14ac:dyDescent="0.3">
      <c r="C38" s="236"/>
      <c r="D38" s="244"/>
      <c r="E38" s="244" t="s">
        <v>228</v>
      </c>
      <c r="F38" s="244"/>
      <c r="G38" s="236"/>
      <c r="H38" s="236"/>
      <c r="I38" s="236"/>
      <c r="J38" s="236"/>
      <c r="K38" s="236"/>
      <c r="L38" s="236"/>
      <c r="M38" s="236"/>
    </row>
    <row r="39" spans="2:15" x14ac:dyDescent="0.3">
      <c r="C39" s="236"/>
      <c r="D39" s="244"/>
      <c r="E39" s="244" t="s">
        <v>229</v>
      </c>
      <c r="F39" s="244"/>
      <c r="G39" s="236"/>
      <c r="H39" s="236"/>
      <c r="I39" s="236"/>
      <c r="J39" s="236"/>
      <c r="K39" s="236"/>
      <c r="L39" s="236"/>
      <c r="M39" s="236"/>
    </row>
    <row r="40" spans="2:15" x14ac:dyDescent="0.3">
      <c r="C40" s="236"/>
      <c r="D40" s="236"/>
      <c r="E40" s="244" t="s">
        <v>230</v>
      </c>
      <c r="F40" s="236"/>
      <c r="G40" s="236"/>
      <c r="H40" s="236"/>
      <c r="I40" s="236"/>
      <c r="J40" s="236"/>
      <c r="K40" s="236"/>
      <c r="L40" s="236"/>
      <c r="M40" s="236"/>
    </row>
    <row r="41" spans="2:15" x14ac:dyDescent="0.3">
      <c r="C41" s="236"/>
      <c r="E41" s="236"/>
      <c r="F41" s="236"/>
      <c r="G41" s="236"/>
      <c r="H41" s="236"/>
      <c r="I41" s="236"/>
      <c r="J41" s="236"/>
      <c r="K41" s="236"/>
      <c r="L41" s="236"/>
      <c r="M41" s="236"/>
    </row>
    <row r="42" spans="2:15" x14ac:dyDescent="0.3">
      <c r="C42" s="236"/>
      <c r="D42" s="244" t="s">
        <v>231</v>
      </c>
      <c r="E42" s="244" t="s">
        <v>232</v>
      </c>
      <c r="F42" s="244"/>
      <c r="G42" s="236"/>
      <c r="H42" s="236"/>
      <c r="I42" s="236"/>
      <c r="J42" s="236"/>
      <c r="K42" s="236"/>
      <c r="L42" s="236"/>
      <c r="M42" s="236"/>
    </row>
    <row r="43" spans="2:15" x14ac:dyDescent="0.3">
      <c r="C43" s="236"/>
      <c r="D43" s="244"/>
      <c r="E43" s="244" t="s">
        <v>233</v>
      </c>
      <c r="F43" s="244"/>
      <c r="G43" s="236"/>
      <c r="H43" s="236"/>
      <c r="I43" s="236"/>
      <c r="J43" s="236"/>
      <c r="K43" s="236"/>
      <c r="L43" s="236"/>
      <c r="M43" s="236"/>
    </row>
    <row r="44" spans="2:15" x14ac:dyDescent="0.3">
      <c r="C44" s="236"/>
      <c r="D44" s="244"/>
      <c r="E44" s="244" t="s">
        <v>234</v>
      </c>
      <c r="F44" s="236"/>
      <c r="G44" s="236"/>
      <c r="H44" s="236"/>
      <c r="I44" s="236"/>
      <c r="J44" s="236"/>
      <c r="K44" s="236"/>
      <c r="L44" s="236"/>
      <c r="M44" s="236"/>
    </row>
    <row r="45" spans="2:15" x14ac:dyDescent="0.3">
      <c r="C45" s="236"/>
      <c r="D45" s="236"/>
      <c r="E45" s="244" t="s">
        <v>235</v>
      </c>
      <c r="F45" s="236"/>
      <c r="G45" s="236"/>
      <c r="H45" s="236"/>
      <c r="I45" s="236"/>
      <c r="J45" s="236"/>
      <c r="K45" s="236"/>
      <c r="L45" s="236"/>
      <c r="M45" s="236"/>
    </row>
  </sheetData>
  <pageMargins left="0.7" right="0.7" top="0.75" bottom="0.75" header="0.3" footer="0.3"/>
  <ignoredErrors>
    <ignoredError sqref="D25 E25:M25" formula="1"/>
    <ignoredError sqref="E27:M27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C478-0017-4E06-B046-B5103815EB58}">
  <sheetPr codeName="Sheet17"/>
  <dimension ref="B1:CY136"/>
  <sheetViews>
    <sheetView zoomScale="80" zoomScaleNormal="80" workbookViewId="0">
      <selection activeCell="Q105" sqref="Q105"/>
    </sheetView>
  </sheetViews>
  <sheetFormatPr defaultRowHeight="14.4" x14ac:dyDescent="0.3"/>
  <cols>
    <col min="2" max="2" width="52.88671875" customWidth="1"/>
    <col min="3" max="3" width="18.44140625" customWidth="1"/>
    <col min="4" max="4" width="15.88671875" customWidth="1"/>
    <col min="5" max="5" width="15.109375" customWidth="1"/>
    <col min="6" max="6" width="16.109375" customWidth="1"/>
    <col min="7" max="7" width="18.5546875" customWidth="1"/>
    <col min="8" max="8" width="15.88671875" customWidth="1"/>
    <col min="9" max="9" width="13.88671875" customWidth="1"/>
    <col min="10" max="11" width="14.88671875" customWidth="1"/>
    <col min="12" max="12" width="16" customWidth="1"/>
    <col min="13" max="13" width="18.88671875" customWidth="1"/>
    <col min="14" max="14" width="20.33203125" customWidth="1"/>
    <col min="15" max="15" width="15" customWidth="1"/>
    <col min="16" max="16" width="13.33203125" bestFit="1" customWidth="1"/>
    <col min="17" max="17" width="15.88671875" customWidth="1"/>
    <col min="18" max="18" width="11.44140625" customWidth="1"/>
    <col min="19" max="19" width="14.88671875" bestFit="1" customWidth="1"/>
    <col min="20" max="20" width="13.5546875" bestFit="1" customWidth="1"/>
    <col min="21" max="21" width="22.33203125" customWidth="1"/>
    <col min="22" max="22" width="13.109375" customWidth="1"/>
    <col min="24" max="24" width="15.88671875" bestFit="1" customWidth="1"/>
    <col min="25" max="25" width="12.5546875" bestFit="1" customWidth="1"/>
    <col min="26" max="26" width="10" bestFit="1" customWidth="1"/>
    <col min="27" max="27" width="15.109375" bestFit="1" customWidth="1"/>
    <col min="28" max="28" width="12.88671875" bestFit="1" customWidth="1"/>
    <col min="29" max="29" width="14.44140625" bestFit="1" customWidth="1"/>
    <col min="30" max="30" width="24.6640625" bestFit="1" customWidth="1"/>
    <col min="31" max="31" width="13.6640625" customWidth="1"/>
    <col min="33" max="33" width="15.88671875" bestFit="1" customWidth="1"/>
    <col min="34" max="34" width="19.5546875" customWidth="1"/>
    <col min="35" max="35" width="22.6640625" customWidth="1"/>
    <col min="36" max="36" width="18.6640625" customWidth="1"/>
    <col min="37" max="37" width="17.33203125" customWidth="1"/>
    <col min="38" max="38" width="16.33203125" customWidth="1"/>
    <col min="39" max="39" width="18.109375" bestFit="1" customWidth="1"/>
    <col min="40" max="40" width="16.33203125" bestFit="1" customWidth="1"/>
    <col min="42" max="42" width="14.6640625" customWidth="1"/>
    <col min="43" max="43" width="13.109375" customWidth="1"/>
    <col min="44" max="44" width="20" customWidth="1"/>
    <col min="45" max="45" width="18.88671875" customWidth="1"/>
    <col min="46" max="103" width="17.88671875" customWidth="1"/>
  </cols>
  <sheetData>
    <row r="1" spans="2:45" ht="15" thickBot="1" x14ac:dyDescent="0.35"/>
    <row r="2" spans="2:45" ht="15" thickBot="1" x14ac:dyDescent="0.35">
      <c r="B2" s="279" t="s">
        <v>236</v>
      </c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1"/>
      <c r="R2" s="282" t="s">
        <v>237</v>
      </c>
      <c r="S2" s="283"/>
      <c r="T2" s="283"/>
      <c r="U2" s="284"/>
      <c r="W2" s="271" t="s">
        <v>238</v>
      </c>
      <c r="X2" s="272"/>
      <c r="Y2" s="272"/>
      <c r="Z2" s="272"/>
      <c r="AA2" s="272"/>
      <c r="AB2" s="272"/>
      <c r="AC2" s="272"/>
      <c r="AD2" s="273"/>
      <c r="AF2" s="282" t="s">
        <v>239</v>
      </c>
      <c r="AG2" s="283"/>
      <c r="AH2" s="283"/>
      <c r="AI2" s="283"/>
      <c r="AJ2" s="283"/>
      <c r="AK2" s="283"/>
      <c r="AL2" s="283"/>
      <c r="AM2" s="283"/>
      <c r="AN2" s="284"/>
      <c r="AP2" s="271" t="s">
        <v>240</v>
      </c>
      <c r="AQ2" s="272"/>
      <c r="AR2" s="272"/>
      <c r="AS2" s="273"/>
    </row>
    <row r="3" spans="2:45" x14ac:dyDescent="0.3">
      <c r="B3" s="33"/>
      <c r="N3" s="34" t="s">
        <v>241</v>
      </c>
      <c r="O3" s="76">
        <v>0.29448103920033092</v>
      </c>
      <c r="P3" s="35"/>
      <c r="R3" s="274" t="s">
        <v>242</v>
      </c>
      <c r="S3" s="275"/>
      <c r="T3" s="76">
        <v>0.14199999999999999</v>
      </c>
      <c r="U3" s="35"/>
      <c r="W3" s="33"/>
      <c r="Y3" s="276" t="s">
        <v>243</v>
      </c>
      <c r="Z3" s="276"/>
      <c r="AA3" s="75" t="str">
        <f ca="1">IF(AD18="Discounted Payback is Later","After 10 years",MIN(AD9:AD18)&amp;" "&amp;"years")</f>
        <v>After 10 years</v>
      </c>
      <c r="AD3" s="35"/>
      <c r="AF3" s="33"/>
      <c r="AG3" s="276" t="s">
        <v>244</v>
      </c>
      <c r="AH3" s="276"/>
      <c r="AI3" s="184">
        <f ca="1">AI110+AL110</f>
        <v>12350735.656815138</v>
      </c>
      <c r="AN3" s="35"/>
      <c r="AP3" s="33"/>
      <c r="AS3" s="35"/>
    </row>
    <row r="4" spans="2:45" x14ac:dyDescent="0.3">
      <c r="B4" s="33"/>
      <c r="C4" s="191"/>
      <c r="D4" s="191"/>
      <c r="E4" s="191"/>
      <c r="F4" s="191"/>
      <c r="G4" s="191"/>
      <c r="H4" s="191"/>
      <c r="P4" s="35"/>
      <c r="R4" s="33"/>
      <c r="U4" s="35"/>
      <c r="W4" s="33"/>
      <c r="Y4" s="275" t="s">
        <v>245</v>
      </c>
      <c r="Z4" s="275"/>
      <c r="AA4" s="75" t="str">
        <f ca="1">IF(AC18="Payback is Later","After 10 years",MIN(AC9:AC18)&amp;" "&amp;"years")</f>
        <v>9 years</v>
      </c>
      <c r="AD4" s="35"/>
      <c r="AF4" s="33"/>
      <c r="AG4" s="275" t="s">
        <v>168</v>
      </c>
      <c r="AH4" s="275"/>
      <c r="AI4" s="76">
        <f ca="1">AI3/AM110</f>
        <v>7.8625552392114009E-3</v>
      </c>
      <c r="AN4" s="35"/>
      <c r="AP4" s="33"/>
      <c r="AS4" s="35"/>
    </row>
    <row r="5" spans="2:45" x14ac:dyDescent="0.3">
      <c r="B5" s="33"/>
      <c r="P5" s="35"/>
      <c r="R5" s="277" t="s">
        <v>246</v>
      </c>
      <c r="S5" s="278"/>
      <c r="T5" s="183">
        <f ca="1">U110</f>
        <v>13872337.794765335</v>
      </c>
      <c r="U5" s="35"/>
      <c r="W5" s="33"/>
      <c r="AD5" s="35"/>
      <c r="AF5" s="33"/>
      <c r="AG5" s="278" t="s">
        <v>247</v>
      </c>
      <c r="AH5" s="278"/>
      <c r="AI5" s="76">
        <f ca="1">AI3/AN110</f>
        <v>4.0242762243691776E-2</v>
      </c>
      <c r="AN5" s="35"/>
      <c r="AP5" s="33"/>
      <c r="AS5" s="35"/>
    </row>
    <row r="6" spans="2:45" ht="100.8" x14ac:dyDescent="0.3">
      <c r="B6" s="26" t="s">
        <v>49</v>
      </c>
      <c r="C6" s="27" t="s">
        <v>248</v>
      </c>
      <c r="D6" s="27" t="s">
        <v>249</v>
      </c>
      <c r="E6" s="27" t="s">
        <v>250</v>
      </c>
      <c r="F6" s="27" t="s">
        <v>251</v>
      </c>
      <c r="G6" s="27" t="s">
        <v>252</v>
      </c>
      <c r="H6" s="27" t="s">
        <v>253</v>
      </c>
      <c r="I6" s="27" t="s">
        <v>254</v>
      </c>
      <c r="J6" s="27" t="s">
        <v>147</v>
      </c>
      <c r="K6" s="27" t="s">
        <v>255</v>
      </c>
      <c r="L6" s="27" t="s">
        <v>256</v>
      </c>
      <c r="M6" s="27" t="s">
        <v>257</v>
      </c>
      <c r="N6" s="27" t="s">
        <v>158</v>
      </c>
      <c r="O6" s="27" t="s">
        <v>53</v>
      </c>
      <c r="P6" s="28" t="s">
        <v>258</v>
      </c>
      <c r="R6" s="26" t="s">
        <v>49</v>
      </c>
      <c r="S6" s="45" t="s">
        <v>259</v>
      </c>
      <c r="T6" s="45" t="s">
        <v>53</v>
      </c>
      <c r="U6" s="46" t="s">
        <v>258</v>
      </c>
      <c r="W6" s="26" t="s">
        <v>49</v>
      </c>
      <c r="X6" s="45" t="s">
        <v>259</v>
      </c>
      <c r="Y6" s="45" t="s">
        <v>260</v>
      </c>
      <c r="Z6" s="45" t="s">
        <v>53</v>
      </c>
      <c r="AA6" s="45" t="s">
        <v>258</v>
      </c>
      <c r="AB6" s="45" t="s">
        <v>261</v>
      </c>
      <c r="AC6" s="46" t="s">
        <v>262</v>
      </c>
      <c r="AD6" s="46" t="s">
        <v>263</v>
      </c>
      <c r="AF6" s="26" t="s">
        <v>49</v>
      </c>
      <c r="AG6" s="45" t="s">
        <v>149</v>
      </c>
      <c r="AH6" s="45" t="s">
        <v>53</v>
      </c>
      <c r="AI6" s="45" t="s">
        <v>264</v>
      </c>
      <c r="AJ6" s="27" t="s">
        <v>265</v>
      </c>
      <c r="AK6" s="77" t="s">
        <v>14</v>
      </c>
      <c r="AL6" s="45" t="s">
        <v>266</v>
      </c>
      <c r="AM6" s="45" t="s">
        <v>57</v>
      </c>
      <c r="AN6" s="78" t="s">
        <v>267</v>
      </c>
      <c r="AP6" s="26" t="s">
        <v>49</v>
      </c>
      <c r="AQ6" s="77" t="s">
        <v>53</v>
      </c>
      <c r="AR6" s="77" t="s">
        <v>268</v>
      </c>
      <c r="AS6" s="46" t="s">
        <v>269</v>
      </c>
    </row>
    <row r="7" spans="2:45" x14ac:dyDescent="0.3">
      <c r="B7" s="3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37"/>
      <c r="R7" s="36"/>
      <c r="S7" s="10"/>
      <c r="T7" s="10"/>
      <c r="U7" s="37"/>
      <c r="W7" s="26"/>
      <c r="X7" s="50"/>
      <c r="Y7" s="50"/>
      <c r="Z7" s="50"/>
      <c r="AA7" s="50"/>
      <c r="AB7" s="51"/>
      <c r="AC7" s="52"/>
      <c r="AD7" s="53"/>
      <c r="AF7" s="26"/>
      <c r="AG7" s="50"/>
      <c r="AH7" s="50"/>
      <c r="AI7" s="50"/>
      <c r="AJ7" s="51"/>
      <c r="AK7" s="52"/>
      <c r="AL7" s="51"/>
      <c r="AM7" s="51"/>
      <c r="AN7" s="79"/>
      <c r="AP7" s="33"/>
      <c r="AS7" s="35"/>
    </row>
    <row r="8" spans="2:45" x14ac:dyDescent="0.3">
      <c r="B8" s="38">
        <v>0</v>
      </c>
      <c r="C8" s="173">
        <v>0</v>
      </c>
      <c r="D8" s="123">
        <v>590000</v>
      </c>
      <c r="E8" s="174">
        <v>0</v>
      </c>
      <c r="F8" s="175">
        <f>-E8</f>
        <v>0</v>
      </c>
      <c r="G8" s="123"/>
      <c r="H8" s="123"/>
      <c r="I8" s="123"/>
      <c r="J8" s="123"/>
      <c r="K8" s="123"/>
      <c r="L8" s="123"/>
      <c r="M8" s="123">
        <v>0</v>
      </c>
      <c r="N8" s="11"/>
      <c r="O8" s="31">
        <f t="shared" ref="O8:O18" si="0">(1+$O$3)^B8</f>
        <v>1</v>
      </c>
      <c r="P8" s="179">
        <f>M8/O8</f>
        <v>0</v>
      </c>
      <c r="R8" s="39">
        <v>0</v>
      </c>
      <c r="S8" s="29">
        <f>M8</f>
        <v>0</v>
      </c>
      <c r="T8" s="10">
        <f t="shared" ref="T8:T18" si="1">(1+$T$3)^R8</f>
        <v>1</v>
      </c>
      <c r="U8" s="47">
        <f>S8/T8</f>
        <v>0</v>
      </c>
      <c r="W8" s="67">
        <v>0</v>
      </c>
      <c r="X8" s="55">
        <f t="shared" ref="X8:X18" si="2">S8</f>
        <v>0</v>
      </c>
      <c r="Y8" s="55">
        <f>X8</f>
        <v>0</v>
      </c>
      <c r="Z8" s="56">
        <v>1</v>
      </c>
      <c r="AA8" s="29">
        <f>X8/Z8</f>
        <v>0</v>
      </c>
      <c r="AB8" s="57">
        <f>AA8</f>
        <v>0</v>
      </c>
      <c r="AC8" s="58">
        <f>IF(Y8&gt;=0,W8,"Payback is Later")</f>
        <v>0</v>
      </c>
      <c r="AD8" s="59">
        <f>IF(AB8&gt;=0,W8,"Discounted Payback is Later")</f>
        <v>0</v>
      </c>
      <c r="AF8" s="54">
        <v>0</v>
      </c>
      <c r="AG8" s="84">
        <v>0</v>
      </c>
      <c r="AH8" s="61">
        <f>(1+Risk_Discount_Rate)^AF8</f>
        <v>1</v>
      </c>
      <c r="AI8" s="29">
        <f>AG8/AH8</f>
        <v>0</v>
      </c>
      <c r="AJ8" s="57">
        <f>D8</f>
        <v>590000</v>
      </c>
      <c r="AK8" s="80"/>
      <c r="AL8" s="57"/>
      <c r="AM8" s="57"/>
      <c r="AN8" s="81"/>
      <c r="AP8" s="54">
        <v>0</v>
      </c>
      <c r="AQ8" s="61">
        <f t="shared" ref="AQ8:AQ18" si="3">(1+Risk_Discount_Rate)^AP8</f>
        <v>1</v>
      </c>
      <c r="AR8" s="90">
        <f>Initial_Project_Cost</f>
        <v>100000</v>
      </c>
      <c r="AS8" s="85"/>
    </row>
    <row r="9" spans="2:45" x14ac:dyDescent="0.3">
      <c r="B9" s="39">
        <f>B8+1</f>
        <v>1</v>
      </c>
      <c r="C9" s="176" cm="1">
        <f t="array" aca="1" ref="C9" ca="1">OFFSET('Results Tables'!$D$27,0,'Appraisal Calcs - IFRS 17'!B8:B8)</f>
        <v>-336041.480636489</v>
      </c>
      <c r="D9" s="174">
        <v>-59000</v>
      </c>
      <c r="E9" s="123">
        <f ca="1">OFFSET('CAR Calcs'!$C$59,0,COUNTA('Appraisal Calcs - IFRS 17'!$B$9:B9))</f>
        <v>1696268.8695680301</v>
      </c>
      <c r="F9" s="177">
        <f ca="1">E8-E9</f>
        <v>-1696268.8695680301</v>
      </c>
      <c r="G9" s="123">
        <f ca="1">E9+SUM(D$8:D9)</f>
        <v>2227268.8695680303</v>
      </c>
      <c r="H9" s="123"/>
      <c r="I9" s="177">
        <f t="shared" ref="I9:I18" ca="1" si="4">E9*Required_Return_On_CAR</f>
        <v>84813.443478401517</v>
      </c>
      <c r="J9" s="177">
        <f ca="1">C9+I9</f>
        <v>-251228.03715808748</v>
      </c>
      <c r="K9" s="177">
        <f t="shared" ref="K9:K18" ca="1" si="5">IF(J9&lt;0,0,J9*Corporate_Tax_Rate)</f>
        <v>0</v>
      </c>
      <c r="L9" s="177">
        <f ca="1">J9-K9</f>
        <v>-251228.03715808748</v>
      </c>
      <c r="M9" s="177">
        <f ca="1">D9+F9+H9+L9</f>
        <v>-2006496.9067261177</v>
      </c>
      <c r="N9" s="32">
        <f ca="1">IFERROR((L9/G9),0)</f>
        <v>-0.11279645694810619</v>
      </c>
      <c r="O9" s="31">
        <f t="shared" si="0"/>
        <v>1.294481039200331</v>
      </c>
      <c r="P9" s="179">
        <f t="shared" ref="P9:P18" ca="1" si="6">M9/O9</f>
        <v>-1550039.6266643167</v>
      </c>
      <c r="R9" s="39">
        <f>R8+1</f>
        <v>1</v>
      </c>
      <c r="S9" s="29">
        <f t="shared" ref="S9:S18" ca="1" si="7">M9</f>
        <v>-2006496.9067261177</v>
      </c>
      <c r="T9" s="10">
        <f t="shared" si="1"/>
        <v>1.1419999999999999</v>
      </c>
      <c r="U9" s="47">
        <f t="shared" ref="U9:U18" ca="1" si="8">S9/T9</f>
        <v>-1757002.5452943239</v>
      </c>
      <c r="W9" s="68">
        <f>W8+1</f>
        <v>1</v>
      </c>
      <c r="X9" s="29">
        <f t="shared" ca="1" si="2"/>
        <v>-2006496.9067261177</v>
      </c>
      <c r="Y9" s="29">
        <f ca="1">Y8+X9</f>
        <v>-2006496.9067261177</v>
      </c>
      <c r="Z9" s="61">
        <f t="shared" ref="Z9:Z18" si="9">(1+$T$3)^W9</f>
        <v>1.1419999999999999</v>
      </c>
      <c r="AA9" s="62">
        <f t="shared" ref="AA9:AA18" ca="1" si="10">X9/Z9</f>
        <v>-1757002.5452943239</v>
      </c>
      <c r="AB9" s="57">
        <f ca="1">AA8+AA9</f>
        <v>-1757002.5452943239</v>
      </c>
      <c r="AC9" s="58" t="str">
        <f ca="1">IF(Y9&gt;=0,W9,"Payback is Later")</f>
        <v>Payback is Later</v>
      </c>
      <c r="AD9" s="59" t="str">
        <f t="shared" ref="AD9:AD18" ca="1" si="11">IF(AB9&gt;=0,W9,"Discounted Payback is Later")</f>
        <v>Discounted Payback is Later</v>
      </c>
      <c r="AF9" s="60">
        <f>AF8+1</f>
        <v>1</v>
      </c>
      <c r="AG9" s="84">
        <f t="shared" ref="AG9:AG18" ca="1" si="12">IF(J9&gt;0,J9*(1-Corporate_Tax_Rate),J9)</f>
        <v>-251228.03715808748</v>
      </c>
      <c r="AH9" s="61">
        <f t="shared" ref="AH9:AH18" si="13">(1+Risk_Discount_Rate)^AF9</f>
        <v>1.1419999999999999</v>
      </c>
      <c r="AI9" s="29">
        <f t="shared" ref="AI9:AI18" ca="1" si="14">AG9/AH9</f>
        <v>-219989.52465681918</v>
      </c>
      <c r="AJ9" s="57">
        <f ca="1">F9</f>
        <v>-1696268.8695680301</v>
      </c>
      <c r="AK9" s="80">
        <f t="shared" ref="AK9:AK18" ca="1" si="15">-E9*Cost_of_Capital</f>
        <v>-240870.17947866025</v>
      </c>
      <c r="AL9" s="57">
        <f ca="1">AK9/AH9</f>
        <v>-210919.59674138378</v>
      </c>
      <c r="AM9" s="185">
        <f ca="1">OFFSET('Combined IFRS17 Cashflows'!$E$25,0,COUNTA('Appraisal Calcs - IFRS 17'!$AF$9:AF9))</f>
        <v>2659731.8270136411</v>
      </c>
      <c r="AN9" s="81">
        <f ca="1">AM9/AH9</f>
        <v>2329012.1077177245</v>
      </c>
      <c r="AP9" s="60">
        <f>AP8+1</f>
        <v>1</v>
      </c>
      <c r="AQ9" s="61">
        <f t="shared" si="3"/>
        <v>1.1419999999999999</v>
      </c>
      <c r="AR9" s="90">
        <f t="shared" ref="AR9:AR18" ca="1" si="16">+-F9/AQ9</f>
        <v>1485349.2728266465</v>
      </c>
      <c r="AS9" s="85">
        <f ca="1">+L9/AQ9</f>
        <v>-219989.52465681918</v>
      </c>
    </row>
    <row r="10" spans="2:45" x14ac:dyDescent="0.3">
      <c r="B10" s="39">
        <f t="shared" ref="B10:B108" si="17">B9+1</f>
        <v>2</v>
      </c>
      <c r="C10" s="176" cm="1">
        <f t="array" aca="1" ref="C10" ca="1">OFFSET('Results Tables'!$D$27,0,'Appraisal Calcs - IFRS 17'!B9:B9)</f>
        <v>-434527.30382555613</v>
      </c>
      <c r="D10" s="174">
        <v>-59000</v>
      </c>
      <c r="E10" s="123">
        <f ca="1">OFFSET('CAR Calcs'!$C$59,0,COUNTA('Appraisal Calcs - IFRS 17'!$B$9:B10))</f>
        <v>4548353.7346025687</v>
      </c>
      <c r="F10" s="177">
        <f t="shared" ref="F10:F18" ca="1" si="18">E9-E10</f>
        <v>-2852084.8650345383</v>
      </c>
      <c r="G10" s="123">
        <f ca="1">E10+SUM(D$8:D10)</f>
        <v>5020353.7346025687</v>
      </c>
      <c r="H10" s="123"/>
      <c r="I10" s="177">
        <f t="shared" ca="1" si="4"/>
        <v>227417.68673012845</v>
      </c>
      <c r="J10" s="177">
        <f t="shared" ref="J10:J18" ca="1" si="19">C10+I10</f>
        <v>-207109.61709542767</v>
      </c>
      <c r="K10" s="177">
        <f t="shared" ca="1" si="5"/>
        <v>0</v>
      </c>
      <c r="L10" s="177">
        <f t="shared" ref="L10:L18" ca="1" si="20">J10-K10</f>
        <v>-207109.61709542767</v>
      </c>
      <c r="M10" s="177">
        <f t="shared" ref="M10:M18" ca="1" si="21">D10+F10+H10+L10</f>
        <v>-3118194.4821299659</v>
      </c>
      <c r="N10" s="32">
        <f t="shared" ref="N10:N73" ca="1" si="22">IFERROR((L10/G10),0)</f>
        <v>-4.1253988870930285E-2</v>
      </c>
      <c r="O10" s="31">
        <f t="shared" si="0"/>
        <v>1.6756811608491688</v>
      </c>
      <c r="P10" s="179">
        <f t="shared" ca="1" si="6"/>
        <v>-1860851.9060689257</v>
      </c>
      <c r="R10" s="39">
        <f t="shared" ref="R10:R108" si="23">R9+1</f>
        <v>2</v>
      </c>
      <c r="S10" s="29">
        <f t="shared" ca="1" si="7"/>
        <v>-3118194.4821299659</v>
      </c>
      <c r="T10" s="10">
        <f t="shared" si="1"/>
        <v>1.3041639999999999</v>
      </c>
      <c r="U10" s="47">
        <f t="shared" ca="1" si="8"/>
        <v>-2390952.7345716995</v>
      </c>
      <c r="W10" s="68">
        <f t="shared" ref="W10:W108" si="24">W9+1</f>
        <v>2</v>
      </c>
      <c r="X10" s="29">
        <f t="shared" ca="1" si="2"/>
        <v>-3118194.4821299659</v>
      </c>
      <c r="Y10" s="29">
        <f t="shared" ref="Y10:Y18" ca="1" si="25">Y9+X10</f>
        <v>-5124691.3888560832</v>
      </c>
      <c r="Z10" s="61">
        <f t="shared" si="9"/>
        <v>1.3041639999999999</v>
      </c>
      <c r="AA10" s="62">
        <f t="shared" ca="1" si="10"/>
        <v>-2390952.7345716995</v>
      </c>
      <c r="AB10" s="57">
        <f ca="1">AB9+AA10</f>
        <v>-4147955.2798660235</v>
      </c>
      <c r="AC10" s="58" t="str">
        <f t="shared" ref="AC10:AC18" ca="1" si="26">IF(Y10&gt;=0,W10,"Payback is Later")</f>
        <v>Payback is Later</v>
      </c>
      <c r="AD10" s="59" t="str">
        <f t="shared" ca="1" si="11"/>
        <v>Discounted Payback is Later</v>
      </c>
      <c r="AF10" s="60">
        <f t="shared" ref="AF10:AF73" si="27">AF9+1</f>
        <v>2</v>
      </c>
      <c r="AG10" s="84">
        <f t="shared" ca="1" si="12"/>
        <v>-207109.61709542767</v>
      </c>
      <c r="AH10" s="61">
        <f t="shared" si="13"/>
        <v>1.3041639999999999</v>
      </c>
      <c r="AI10" s="29">
        <f t="shared" ca="1" si="14"/>
        <v>-158806.42089141218</v>
      </c>
      <c r="AJ10" s="57">
        <f t="shared" ref="AJ10:AJ18" ca="1" si="28">F10</f>
        <v>-2852084.8650345383</v>
      </c>
      <c r="AK10" s="80">
        <f t="shared" ca="1" si="15"/>
        <v>-645866.23031356465</v>
      </c>
      <c r="AL10" s="57">
        <f t="shared" ref="AL10:AL18" ca="1" si="29">AK10/AH10</f>
        <v>-495233.90487205959</v>
      </c>
      <c r="AM10" s="185">
        <f ca="1">OFFSET('Combined IFRS17 Cashflows'!$E$25,0,COUNTA('Appraisal Calcs - IFRS 17'!$AF$9:AF10))</f>
        <v>9102158.3708133772</v>
      </c>
      <c r="AN10" s="81">
        <f t="shared" ref="AN10:AN18" ca="1" si="30">AM10/AH10</f>
        <v>6979305.0343464306</v>
      </c>
      <c r="AP10" s="60">
        <f t="shared" ref="AP10:AP73" si="31">AP9+1</f>
        <v>2</v>
      </c>
      <c r="AQ10" s="61">
        <f t="shared" si="3"/>
        <v>1.3041639999999999</v>
      </c>
      <c r="AR10" s="90">
        <f t="shared" ca="1" si="16"/>
        <v>2186906.6045639496</v>
      </c>
      <c r="AS10" s="85">
        <f t="shared" ref="AS10:AS18" ca="1" si="32">+L10/AQ10</f>
        <v>-158806.42089141218</v>
      </c>
    </row>
    <row r="11" spans="2:45" x14ac:dyDescent="0.3">
      <c r="B11" s="39">
        <f t="shared" si="17"/>
        <v>3</v>
      </c>
      <c r="C11" s="176" cm="1">
        <f t="array" aca="1" ref="C11" ca="1">OFFSET('Results Tables'!$D$27,0,'Appraisal Calcs - IFRS 17'!B10:B10)</f>
        <v>663155.20582097536</v>
      </c>
      <c r="D11" s="174">
        <v>-59000</v>
      </c>
      <c r="E11" s="123">
        <f ca="1">OFFSET('CAR Calcs'!$C$59,0,COUNTA('Appraisal Calcs - IFRS 17'!$B$9:B11))</f>
        <v>8135393.2896067305</v>
      </c>
      <c r="F11" s="177">
        <f t="shared" ca="1" si="18"/>
        <v>-3587039.5550041618</v>
      </c>
      <c r="G11" s="123">
        <f ca="1">E11+SUM(D$8:D11)</f>
        <v>8548393.2896067314</v>
      </c>
      <c r="H11" s="123"/>
      <c r="I11" s="177">
        <f t="shared" ca="1" si="4"/>
        <v>406769.66448033653</v>
      </c>
      <c r="J11" s="177">
        <f t="shared" ca="1" si="19"/>
        <v>1069924.8703013118</v>
      </c>
      <c r="K11" s="177">
        <f t="shared" ca="1" si="5"/>
        <v>235383.47146628861</v>
      </c>
      <c r="L11" s="177">
        <f t="shared" ca="1" si="20"/>
        <v>834541.39883502317</v>
      </c>
      <c r="M11" s="177">
        <f t="shared" ca="1" si="21"/>
        <v>-2811498.1561691388</v>
      </c>
      <c r="N11" s="32">
        <f t="shared" ca="1" si="22"/>
        <v>9.7625526875286792E-2</v>
      </c>
      <c r="O11" s="31">
        <f t="shared" si="0"/>
        <v>2.1691374904644491</v>
      </c>
      <c r="P11" s="179">
        <f t="shared" ca="1" si="6"/>
        <v>-1296136.4452592395</v>
      </c>
      <c r="R11" s="39">
        <f t="shared" si="23"/>
        <v>3</v>
      </c>
      <c r="S11" s="29">
        <f t="shared" ca="1" si="7"/>
        <v>-2811498.1561691388</v>
      </c>
      <c r="T11" s="10">
        <f t="shared" si="1"/>
        <v>1.4893552879999998</v>
      </c>
      <c r="U11" s="47">
        <f t="shared" ca="1" si="8"/>
        <v>-1887728.3203154271</v>
      </c>
      <c r="W11" s="68">
        <f t="shared" si="24"/>
        <v>3</v>
      </c>
      <c r="X11" s="29">
        <f t="shared" ca="1" si="2"/>
        <v>-2811498.1561691388</v>
      </c>
      <c r="Y11" s="29">
        <f t="shared" ca="1" si="25"/>
        <v>-7936189.545025222</v>
      </c>
      <c r="Z11" s="61">
        <f t="shared" si="9"/>
        <v>1.4893552879999998</v>
      </c>
      <c r="AA11" s="62">
        <f t="shared" ca="1" si="10"/>
        <v>-1887728.3203154271</v>
      </c>
      <c r="AB11" s="57">
        <f ca="1">AB10+AA11</f>
        <v>-6035683.6001814511</v>
      </c>
      <c r="AC11" s="58" t="str">
        <f t="shared" ca="1" si="26"/>
        <v>Payback is Later</v>
      </c>
      <c r="AD11" s="59" t="str">
        <f t="shared" ca="1" si="11"/>
        <v>Discounted Payback is Later</v>
      </c>
      <c r="AF11" s="60">
        <f t="shared" si="27"/>
        <v>3</v>
      </c>
      <c r="AG11" s="84">
        <f t="shared" ca="1" si="12"/>
        <v>834541.39883502328</v>
      </c>
      <c r="AH11" s="61">
        <f t="shared" si="13"/>
        <v>1.4893552879999998</v>
      </c>
      <c r="AI11" s="29">
        <f t="shared" ca="1" si="14"/>
        <v>560337.35238265281</v>
      </c>
      <c r="AJ11" s="57">
        <f t="shared" ca="1" si="28"/>
        <v>-3587039.5550041618</v>
      </c>
      <c r="AK11" s="80">
        <f t="shared" ca="1" si="15"/>
        <v>-1155225.8471241556</v>
      </c>
      <c r="AL11" s="57">
        <f t="shared" ca="1" si="29"/>
        <v>-775654.98066983442</v>
      </c>
      <c r="AM11" s="185">
        <f ca="1">OFFSET('Combined IFRS17 Cashflows'!$E$25,0,COUNTA('Appraisal Calcs - IFRS 17'!$AF$9:AF11))</f>
        <v>17499754.119359531</v>
      </c>
      <c r="AN11" s="81">
        <f t="shared" ca="1" si="30"/>
        <v>11749885.511105482</v>
      </c>
      <c r="AP11" s="60">
        <f t="shared" si="31"/>
        <v>3</v>
      </c>
      <c r="AQ11" s="61">
        <f t="shared" si="3"/>
        <v>1.4893552879999998</v>
      </c>
      <c r="AR11" s="90">
        <f t="shared" ca="1" si="16"/>
        <v>2408451.2163790446</v>
      </c>
      <c r="AS11" s="85">
        <f t="shared" ca="1" si="32"/>
        <v>560337.35238265269</v>
      </c>
    </row>
    <row r="12" spans="2:45" x14ac:dyDescent="0.3">
      <c r="B12" s="39">
        <f t="shared" si="17"/>
        <v>4</v>
      </c>
      <c r="C12" s="176" cm="1">
        <f t="array" aca="1" ref="C12" ca="1">OFFSET('Results Tables'!$D$27,0,'Appraisal Calcs - IFRS 17'!B11:B11)</f>
        <v>2144275.2467415701</v>
      </c>
      <c r="D12" s="174">
        <v>-59000</v>
      </c>
      <c r="E12" s="123">
        <f ca="1">OFFSET('CAR Calcs'!$C$59,0,COUNTA('Appraisal Calcs - IFRS 17'!$B$9:B12))</f>
        <v>11728973.938224673</v>
      </c>
      <c r="F12" s="177">
        <f t="shared" ca="1" si="18"/>
        <v>-3593580.6486179428</v>
      </c>
      <c r="G12" s="123">
        <f ca="1">E12+SUM(D$8:D12)</f>
        <v>12082973.938224673</v>
      </c>
      <c r="H12" s="123"/>
      <c r="I12" s="177">
        <f t="shared" ca="1" si="4"/>
        <v>586448.69691123371</v>
      </c>
      <c r="J12" s="177">
        <f t="shared" ca="1" si="19"/>
        <v>2730723.943652804</v>
      </c>
      <c r="K12" s="177">
        <f t="shared" ca="1" si="5"/>
        <v>600759.26760361693</v>
      </c>
      <c r="L12" s="177">
        <f t="shared" ca="1" si="20"/>
        <v>2129964.6760491868</v>
      </c>
      <c r="M12" s="177">
        <f t="shared" ca="1" si="21"/>
        <v>-1522615.972568756</v>
      </c>
      <c r="N12" s="32">
        <f t="shared" ca="1" si="22"/>
        <v>0.17627818175714266</v>
      </c>
      <c r="O12" s="31">
        <f t="shared" si="0"/>
        <v>2.807907352824818</v>
      </c>
      <c r="P12" s="179">
        <f t="shared" ca="1" si="6"/>
        <v>-542260.04680566478</v>
      </c>
      <c r="R12" s="39">
        <f t="shared" si="23"/>
        <v>4</v>
      </c>
      <c r="S12" s="29">
        <f t="shared" ca="1" si="7"/>
        <v>-1522615.972568756</v>
      </c>
      <c r="T12" s="10">
        <f t="shared" si="1"/>
        <v>1.7008437388959996</v>
      </c>
      <c r="U12" s="47">
        <f t="shared" ca="1" si="8"/>
        <v>-895212.14544792369</v>
      </c>
      <c r="W12" s="68">
        <f t="shared" si="24"/>
        <v>4</v>
      </c>
      <c r="X12" s="29">
        <f t="shared" ca="1" si="2"/>
        <v>-1522615.972568756</v>
      </c>
      <c r="Y12" s="29">
        <f t="shared" ca="1" si="25"/>
        <v>-9458805.517593978</v>
      </c>
      <c r="Z12" s="61">
        <f t="shared" si="9"/>
        <v>1.7008437388959996</v>
      </c>
      <c r="AA12" s="62">
        <f t="shared" ca="1" si="10"/>
        <v>-895212.14544792369</v>
      </c>
      <c r="AB12" s="57">
        <f ca="1">AB11+AA12</f>
        <v>-6930895.7456293749</v>
      </c>
      <c r="AC12" s="58" t="str">
        <f t="shared" ca="1" si="26"/>
        <v>Payback is Later</v>
      </c>
      <c r="AD12" s="59" t="str">
        <f t="shared" ca="1" si="11"/>
        <v>Discounted Payback is Later</v>
      </c>
      <c r="AF12" s="60">
        <f t="shared" si="27"/>
        <v>4</v>
      </c>
      <c r="AG12" s="84">
        <f t="shared" ca="1" si="12"/>
        <v>2129964.6760491873</v>
      </c>
      <c r="AH12" s="61">
        <f t="shared" si="13"/>
        <v>1.7008437388959996</v>
      </c>
      <c r="AI12" s="29">
        <f t="shared" ca="1" si="14"/>
        <v>1252298.8604654097</v>
      </c>
      <c r="AJ12" s="57">
        <f t="shared" ca="1" si="28"/>
        <v>-3593580.6486179428</v>
      </c>
      <c r="AK12" s="80">
        <f t="shared" ca="1" si="15"/>
        <v>-1665514.2992279034</v>
      </c>
      <c r="AL12" s="57">
        <f t="shared" ca="1" si="29"/>
        <v>-979228.28602054401</v>
      </c>
      <c r="AM12" s="185">
        <f ca="1">OFFSET('Combined IFRS17 Cashflows'!$E$25,0,COUNTA('Appraisal Calcs - IFRS 17'!$AF$9:AF12))</f>
        <v>26675636.443888925</v>
      </c>
      <c r="AN12" s="81">
        <f t="shared" ca="1" si="30"/>
        <v>15683766.729331531</v>
      </c>
      <c r="AP12" s="60">
        <f t="shared" si="31"/>
        <v>4</v>
      </c>
      <c r="AQ12" s="61">
        <f t="shared" si="3"/>
        <v>1.7008437388959996</v>
      </c>
      <c r="AR12" s="90">
        <f t="shared" ca="1" si="16"/>
        <v>2112822.3401348437</v>
      </c>
      <c r="AS12" s="85">
        <f t="shared" ca="1" si="32"/>
        <v>1252298.8604654095</v>
      </c>
    </row>
    <row r="13" spans="2:45" x14ac:dyDescent="0.3">
      <c r="B13" s="39">
        <f t="shared" si="17"/>
        <v>5</v>
      </c>
      <c r="C13" s="176" cm="1">
        <f t="array" aca="1" ref="C13" ca="1">OFFSET('Results Tables'!$D$27,0,'Appraisal Calcs - IFRS 17'!B12:B12)</f>
        <v>3325158.8677593539</v>
      </c>
      <c r="D13" s="174">
        <v>-59000</v>
      </c>
      <c r="E13" s="123">
        <f ca="1">OFFSET('CAR Calcs'!$C$59,0,COUNTA('Appraisal Calcs - IFRS 17'!$B$9:B13))</f>
        <v>16036211.808470229</v>
      </c>
      <c r="F13" s="177">
        <f t="shared" ca="1" si="18"/>
        <v>-4307237.8702455554</v>
      </c>
      <c r="G13" s="123">
        <f ca="1">E13+SUM(D$8:D13)</f>
        <v>16331211.808470229</v>
      </c>
      <c r="H13" s="123"/>
      <c r="I13" s="177">
        <f t="shared" ca="1" si="4"/>
        <v>801810.59042351146</v>
      </c>
      <c r="J13" s="177">
        <f t="shared" ca="1" si="19"/>
        <v>4126969.4581828653</v>
      </c>
      <c r="K13" s="177">
        <f t="shared" ca="1" si="5"/>
        <v>907933.28080023034</v>
      </c>
      <c r="L13" s="177">
        <f t="shared" ca="1" si="20"/>
        <v>3219036.177382635</v>
      </c>
      <c r="M13" s="177">
        <f t="shared" ca="1" si="21"/>
        <v>-1147201.6928629205</v>
      </c>
      <c r="N13" s="32">
        <f t="shared" ca="1" si="22"/>
        <v>0.19710944999887103</v>
      </c>
      <c r="O13" s="31">
        <f t="shared" si="0"/>
        <v>3.6347828280629209</v>
      </c>
      <c r="P13" s="179">
        <f t="shared" ca="1" si="6"/>
        <v>-315617.67157194833</v>
      </c>
      <c r="R13" s="39">
        <f t="shared" si="23"/>
        <v>5</v>
      </c>
      <c r="S13" s="29">
        <f t="shared" ca="1" si="7"/>
        <v>-1147201.6928629205</v>
      </c>
      <c r="T13" s="10">
        <f t="shared" si="1"/>
        <v>1.9423635498192313</v>
      </c>
      <c r="U13" s="47">
        <f t="shared" ca="1" si="8"/>
        <v>-590621.51005134254</v>
      </c>
      <c r="W13" s="68">
        <f t="shared" si="24"/>
        <v>5</v>
      </c>
      <c r="X13" s="29">
        <f t="shared" ca="1" si="2"/>
        <v>-1147201.6928629205</v>
      </c>
      <c r="Y13" s="29">
        <f t="shared" ca="1" si="25"/>
        <v>-10606007.210456898</v>
      </c>
      <c r="Z13" s="61">
        <f t="shared" si="9"/>
        <v>1.9423635498192313</v>
      </c>
      <c r="AA13" s="62">
        <f t="shared" ca="1" si="10"/>
        <v>-590621.51005134254</v>
      </c>
      <c r="AB13" s="57">
        <f ca="1">AB12+AA13</f>
        <v>-7521517.2556807175</v>
      </c>
      <c r="AC13" s="58" t="str">
        <f t="shared" ca="1" si="26"/>
        <v>Payback is Later</v>
      </c>
      <c r="AD13" s="59" t="str">
        <f t="shared" ca="1" si="11"/>
        <v>Discounted Payback is Later</v>
      </c>
      <c r="AF13" s="60">
        <f t="shared" si="27"/>
        <v>5</v>
      </c>
      <c r="AG13" s="84">
        <f t="shared" ca="1" si="12"/>
        <v>3219036.177382635</v>
      </c>
      <c r="AH13" s="61">
        <f t="shared" si="13"/>
        <v>1.9423635498192313</v>
      </c>
      <c r="AI13" s="29">
        <f t="shared" ca="1" si="14"/>
        <v>1657277.8961395866</v>
      </c>
      <c r="AJ13" s="57">
        <f t="shared" ca="1" si="28"/>
        <v>-4307237.8702455554</v>
      </c>
      <c r="AK13" s="80">
        <f t="shared" ca="1" si="15"/>
        <v>-2277142.0768027725</v>
      </c>
      <c r="AL13" s="57">
        <f t="shared" ca="1" si="29"/>
        <v>-1172356.2651362037</v>
      </c>
      <c r="AM13" s="185">
        <f ca="1">OFFSET('Combined IFRS17 Cashflows'!$E$25,0,COUNTA('Appraisal Calcs - IFRS 17'!$AF$9:AF13))</f>
        <v>37839743.498056099</v>
      </c>
      <c r="AN13" s="81">
        <f t="shared" ca="1" si="30"/>
        <v>19481287.888447918</v>
      </c>
      <c r="AP13" s="60">
        <f t="shared" si="31"/>
        <v>5</v>
      </c>
      <c r="AQ13" s="61">
        <f t="shared" si="3"/>
        <v>1.9423635498192313</v>
      </c>
      <c r="AR13" s="90">
        <f t="shared" ca="1" si="16"/>
        <v>2217524.0421116916</v>
      </c>
      <c r="AS13" s="85">
        <f t="shared" ca="1" si="32"/>
        <v>1657277.8961395866</v>
      </c>
    </row>
    <row r="14" spans="2:45" x14ac:dyDescent="0.3">
      <c r="B14" s="39">
        <f t="shared" si="17"/>
        <v>6</v>
      </c>
      <c r="C14" s="176" cm="1">
        <f t="array" aca="1" ref="C14" ca="1">OFFSET('Results Tables'!$D$27,0,'Appraisal Calcs - IFRS 17'!B13:B13)</f>
        <v>5218298.6913499255</v>
      </c>
      <c r="D14" s="174">
        <v>-59000</v>
      </c>
      <c r="E14" s="123">
        <f ca="1">OFFSET('CAR Calcs'!$C$59,0,COUNTA('Appraisal Calcs - IFRS 17'!$B$9:B14))</f>
        <v>20197935.146215413</v>
      </c>
      <c r="F14" s="177">
        <f t="shared" ca="1" si="18"/>
        <v>-4161723.3377451841</v>
      </c>
      <c r="G14" s="123">
        <f ca="1">E14+SUM(D$8:D14)</f>
        <v>20433935.146215413</v>
      </c>
      <c r="H14" s="123"/>
      <c r="I14" s="177">
        <f t="shared" ca="1" si="4"/>
        <v>1009896.7573107707</v>
      </c>
      <c r="J14" s="177">
        <f t="shared" ca="1" si="19"/>
        <v>6228195.4486606959</v>
      </c>
      <c r="K14" s="177">
        <f t="shared" ca="1" si="5"/>
        <v>1370202.9987053531</v>
      </c>
      <c r="L14" s="177">
        <f t="shared" ca="1" si="20"/>
        <v>4857992.4499553423</v>
      </c>
      <c r="M14" s="177">
        <f t="shared" ca="1" si="21"/>
        <v>637269.11221015826</v>
      </c>
      <c r="N14" s="32">
        <f t="shared" ca="1" si="22"/>
        <v>0.23774140493223087</v>
      </c>
      <c r="O14" s="31">
        <f t="shared" si="0"/>
        <v>4.7051574525384074</v>
      </c>
      <c r="P14" s="179">
        <f t="shared" ca="1" si="6"/>
        <v>135440.54978784078</v>
      </c>
      <c r="R14" s="39">
        <f t="shared" si="23"/>
        <v>6</v>
      </c>
      <c r="S14" s="29">
        <f t="shared" ca="1" si="7"/>
        <v>637269.11221015826</v>
      </c>
      <c r="T14" s="10">
        <f t="shared" si="1"/>
        <v>2.2181791738935623</v>
      </c>
      <c r="U14" s="47">
        <f t="shared" ca="1" si="8"/>
        <v>287293.79470800905</v>
      </c>
      <c r="W14" s="68">
        <f t="shared" si="24"/>
        <v>6</v>
      </c>
      <c r="X14" s="29">
        <f t="shared" ca="1" si="2"/>
        <v>637269.11221015826</v>
      </c>
      <c r="Y14" s="29">
        <f t="shared" ca="1" si="25"/>
        <v>-9968738.0982467402</v>
      </c>
      <c r="Z14" s="61">
        <f t="shared" si="9"/>
        <v>2.2181791738935623</v>
      </c>
      <c r="AA14" s="62">
        <f t="shared" ca="1" si="10"/>
        <v>287293.79470800905</v>
      </c>
      <c r="AB14" s="57">
        <f t="shared" ref="AB14:AB18" ca="1" si="33">AB13+AA14</f>
        <v>-7234223.4609727086</v>
      </c>
      <c r="AC14" s="58" t="str">
        <f t="shared" ca="1" si="26"/>
        <v>Payback is Later</v>
      </c>
      <c r="AD14" s="59" t="str">
        <f t="shared" ca="1" si="11"/>
        <v>Discounted Payback is Later</v>
      </c>
      <c r="AF14" s="60">
        <f t="shared" si="27"/>
        <v>6</v>
      </c>
      <c r="AG14" s="84">
        <f t="shared" ca="1" si="12"/>
        <v>4857992.4499553433</v>
      </c>
      <c r="AH14" s="61">
        <f t="shared" si="13"/>
        <v>2.2181791738935623</v>
      </c>
      <c r="AI14" s="29">
        <f t="shared" ca="1" si="14"/>
        <v>2190081.1742940159</v>
      </c>
      <c r="AJ14" s="57">
        <f t="shared" ca="1" si="28"/>
        <v>-4161723.3377451841</v>
      </c>
      <c r="AK14" s="80">
        <f t="shared" ca="1" si="15"/>
        <v>-2868106.7907625884</v>
      </c>
      <c r="AL14" s="57">
        <f t="shared" ca="1" si="29"/>
        <v>-1293000.5044309429</v>
      </c>
      <c r="AM14" s="185">
        <f ca="1">OFFSET('Combined IFRS17 Cashflows'!$E$25,0,COUNTA('Appraisal Calcs - IFRS 17'!$AF$9:AF14))</f>
        <v>50037806.36000634</v>
      </c>
      <c r="AN14" s="81">
        <f t="shared" ca="1" si="30"/>
        <v>22558054.348772533</v>
      </c>
      <c r="AP14" s="60">
        <f t="shared" si="31"/>
        <v>6</v>
      </c>
      <c r="AQ14" s="61">
        <f t="shared" si="3"/>
        <v>2.2181791738935623</v>
      </c>
      <c r="AR14" s="90">
        <f t="shared" ca="1" si="16"/>
        <v>1876188.9872224007</v>
      </c>
      <c r="AS14" s="85">
        <f t="shared" ca="1" si="32"/>
        <v>2190081.1742940154</v>
      </c>
    </row>
    <row r="15" spans="2:45" x14ac:dyDescent="0.3">
      <c r="B15" s="39">
        <f t="shared" si="17"/>
        <v>7</v>
      </c>
      <c r="C15" s="176" cm="1">
        <f t="array" aca="1" ref="C15" ca="1">OFFSET('Results Tables'!$D$27,0,'Appraisal Calcs - IFRS 17'!B14:B14)</f>
        <v>7230805.8337208312</v>
      </c>
      <c r="D15" s="174">
        <v>-59000</v>
      </c>
      <c r="E15" s="123">
        <f ca="1">OFFSET('CAR Calcs'!$C$59,0,COUNTA('Appraisal Calcs - IFRS 17'!$B$9:B15))</f>
        <v>24227133.229596034</v>
      </c>
      <c r="F15" s="177">
        <f t="shared" ca="1" si="18"/>
        <v>-4029198.0833806209</v>
      </c>
      <c r="G15" s="123">
        <f ca="1">E15+SUM(D$8:D15)</f>
        <v>24404133.229596034</v>
      </c>
      <c r="H15" s="123"/>
      <c r="I15" s="177">
        <f t="shared" ca="1" si="4"/>
        <v>1211356.6614798016</v>
      </c>
      <c r="J15" s="177">
        <f t="shared" ca="1" si="19"/>
        <v>8442162.4952006321</v>
      </c>
      <c r="K15" s="177">
        <f t="shared" ca="1" si="5"/>
        <v>1857275.7489441391</v>
      </c>
      <c r="L15" s="177">
        <f t="shared" ca="1" si="20"/>
        <v>6584886.746256493</v>
      </c>
      <c r="M15" s="177">
        <f t="shared" ca="1" si="21"/>
        <v>2496688.6628758721</v>
      </c>
      <c r="N15" s="32">
        <f t="shared" ca="1" si="22"/>
        <v>0.26982670043247808</v>
      </c>
      <c r="O15" s="31">
        <f t="shared" si="0"/>
        <v>6.0907371087631006</v>
      </c>
      <c r="P15" s="179">
        <f t="shared" ca="1" si="6"/>
        <v>409915.68315824034</v>
      </c>
      <c r="R15" s="39">
        <f t="shared" si="23"/>
        <v>7</v>
      </c>
      <c r="S15" s="29">
        <f t="shared" ca="1" si="7"/>
        <v>2496688.6628758721</v>
      </c>
      <c r="T15" s="10">
        <f t="shared" si="1"/>
        <v>2.5331606165864482</v>
      </c>
      <c r="U15" s="47">
        <f t="shared" ca="1" si="8"/>
        <v>985602.19455814699</v>
      </c>
      <c r="W15" s="68">
        <f t="shared" si="24"/>
        <v>7</v>
      </c>
      <c r="X15" s="29">
        <f t="shared" ca="1" si="2"/>
        <v>2496688.6628758721</v>
      </c>
      <c r="Y15" s="29">
        <f t="shared" ca="1" si="25"/>
        <v>-7472049.4353708681</v>
      </c>
      <c r="Z15" s="61">
        <f t="shared" si="9"/>
        <v>2.5331606165864482</v>
      </c>
      <c r="AA15" s="62">
        <f t="shared" ca="1" si="10"/>
        <v>985602.19455814699</v>
      </c>
      <c r="AB15" s="57">
        <f t="shared" ca="1" si="33"/>
        <v>-6248621.2664145613</v>
      </c>
      <c r="AC15" s="58" t="str">
        <f t="shared" ca="1" si="26"/>
        <v>Payback is Later</v>
      </c>
      <c r="AD15" s="59" t="str">
        <f t="shared" ca="1" si="11"/>
        <v>Discounted Payback is Later</v>
      </c>
      <c r="AF15" s="60">
        <f t="shared" si="27"/>
        <v>7</v>
      </c>
      <c r="AG15" s="84">
        <f t="shared" ca="1" si="12"/>
        <v>6584886.746256493</v>
      </c>
      <c r="AH15" s="61">
        <f t="shared" si="13"/>
        <v>2.5331606165864482</v>
      </c>
      <c r="AI15" s="29">
        <f t="shared" ca="1" si="14"/>
        <v>2599474.6259437487</v>
      </c>
      <c r="AJ15" s="57">
        <f t="shared" ca="1" si="28"/>
        <v>-4029198.0833806209</v>
      </c>
      <c r="AK15" s="80">
        <f t="shared" ca="1" si="15"/>
        <v>-3440252.9186026365</v>
      </c>
      <c r="AL15" s="57">
        <f t="shared" ca="1" si="29"/>
        <v>-1358087.1643419664</v>
      </c>
      <c r="AM15" s="185">
        <f ca="1">OFFSET('Combined IFRS17 Cashflows'!$E$25,0,COUNTA('Appraisal Calcs - IFRS 17'!$AF$9:AF15))</f>
        <v>62671512.608169541</v>
      </c>
      <c r="AN15" s="81">
        <f t="shared" ca="1" si="30"/>
        <v>24740441.72241329</v>
      </c>
      <c r="AP15" s="60">
        <f t="shared" si="31"/>
        <v>7</v>
      </c>
      <c r="AQ15" s="61">
        <f t="shared" si="3"/>
        <v>2.5331606165864482</v>
      </c>
      <c r="AR15" s="90">
        <f t="shared" ca="1" si="16"/>
        <v>1590581.3697712359</v>
      </c>
      <c r="AS15" s="85">
        <f t="shared" ca="1" si="32"/>
        <v>2599474.6259437487</v>
      </c>
    </row>
    <row r="16" spans="2:45" x14ac:dyDescent="0.3">
      <c r="B16" s="39">
        <f t="shared" si="17"/>
        <v>8</v>
      </c>
      <c r="C16" s="176" cm="1">
        <f t="array" aca="1" ref="C16" ca="1">OFFSET('Results Tables'!$D$27,0,'Appraisal Calcs - IFRS 17'!B15:B15)</f>
        <v>9195852.3167760074</v>
      </c>
      <c r="D16" s="174">
        <v>-59000</v>
      </c>
      <c r="E16" s="123">
        <f ca="1">OFFSET('CAR Calcs'!$C$59,0,COUNTA('Appraisal Calcs - IFRS 17'!$B$9:B16))</f>
        <v>28350118.005923755</v>
      </c>
      <c r="F16" s="177">
        <f t="shared" ca="1" si="18"/>
        <v>-4122984.7763277218</v>
      </c>
      <c r="G16" s="123">
        <f ca="1">E16+SUM(D$8:D16)</f>
        <v>28468118.005923755</v>
      </c>
      <c r="H16" s="123"/>
      <c r="I16" s="177">
        <f t="shared" ca="1" si="4"/>
        <v>1417505.900296188</v>
      </c>
      <c r="J16" s="177">
        <f t="shared" ca="1" si="19"/>
        <v>10613358.217072196</v>
      </c>
      <c r="K16" s="177">
        <f t="shared" ca="1" si="5"/>
        <v>2334938.8077558833</v>
      </c>
      <c r="L16" s="177">
        <f t="shared" ca="1" si="20"/>
        <v>8278419.4093163125</v>
      </c>
      <c r="M16" s="177">
        <f t="shared" ca="1" si="21"/>
        <v>4096434.6329885907</v>
      </c>
      <c r="N16" s="32">
        <f t="shared" ca="1" si="22"/>
        <v>0.29079616037820649</v>
      </c>
      <c r="O16" s="31">
        <f t="shared" si="0"/>
        <v>7.8843437020476763</v>
      </c>
      <c r="P16" s="179">
        <f t="shared" ca="1" si="6"/>
        <v>519565.70994294534</v>
      </c>
      <c r="R16" s="39">
        <f t="shared" si="23"/>
        <v>8</v>
      </c>
      <c r="S16" s="29">
        <f t="shared" ca="1" si="7"/>
        <v>4096434.6329885907</v>
      </c>
      <c r="T16" s="10">
        <f t="shared" si="1"/>
        <v>2.8928694241417232</v>
      </c>
      <c r="U16" s="47">
        <f t="shared" ca="1" si="8"/>
        <v>1416045.4664157368</v>
      </c>
      <c r="W16" s="68">
        <f t="shared" si="24"/>
        <v>8</v>
      </c>
      <c r="X16" s="29">
        <f t="shared" ca="1" si="2"/>
        <v>4096434.6329885907</v>
      </c>
      <c r="Y16" s="29">
        <f t="shared" ca="1" si="25"/>
        <v>-3375614.8023822773</v>
      </c>
      <c r="Z16" s="61">
        <f t="shared" si="9"/>
        <v>2.8928694241417232</v>
      </c>
      <c r="AA16" s="62">
        <f t="shared" ca="1" si="10"/>
        <v>1416045.4664157368</v>
      </c>
      <c r="AB16" s="57">
        <f t="shared" ca="1" si="33"/>
        <v>-4832575.7999988245</v>
      </c>
      <c r="AC16" s="58" t="str">
        <f t="shared" ca="1" si="26"/>
        <v>Payback is Later</v>
      </c>
      <c r="AD16" s="59" t="str">
        <f t="shared" ca="1" si="11"/>
        <v>Discounted Payback is Later</v>
      </c>
      <c r="AF16" s="60">
        <f t="shared" si="27"/>
        <v>8</v>
      </c>
      <c r="AG16" s="84">
        <f t="shared" ca="1" si="12"/>
        <v>8278419.4093163135</v>
      </c>
      <c r="AH16" s="61">
        <f t="shared" si="13"/>
        <v>2.8928694241417232</v>
      </c>
      <c r="AI16" s="29">
        <f t="shared" ca="1" si="14"/>
        <v>2861663.6963392887</v>
      </c>
      <c r="AJ16" s="57">
        <f t="shared" ca="1" si="28"/>
        <v>-4122984.7763277218</v>
      </c>
      <c r="AK16" s="80">
        <f t="shared" ca="1" si="15"/>
        <v>-4025716.7568411729</v>
      </c>
      <c r="AL16" s="57">
        <f t="shared" ca="1" si="29"/>
        <v>-1391599.8846147545</v>
      </c>
      <c r="AM16" s="185">
        <f ca="1">OFFSET('Combined IFRS17 Cashflows'!$E$25,0,COUNTA('Appraisal Calcs - IFRS 17'!$AF$9:AF16))</f>
        <v>76425475.339635208</v>
      </c>
      <c r="AN16" s="81">
        <f t="shared" ca="1" si="30"/>
        <v>26418570.676521167</v>
      </c>
      <c r="AP16" s="60">
        <f t="shared" si="31"/>
        <v>8</v>
      </c>
      <c r="AQ16" s="61">
        <f t="shared" si="3"/>
        <v>2.8928694241417232</v>
      </c>
      <c r="AR16" s="90">
        <f t="shared" ca="1" si="16"/>
        <v>1425223.2547796234</v>
      </c>
      <c r="AS16" s="85">
        <f t="shared" ca="1" si="32"/>
        <v>2861663.6963392883</v>
      </c>
    </row>
    <row r="17" spans="2:45" x14ac:dyDescent="0.3">
      <c r="B17" s="39">
        <f t="shared" si="17"/>
        <v>9</v>
      </c>
      <c r="C17" s="176" cm="1">
        <f t="array" aca="1" ref="C17" ca="1">OFFSET('Results Tables'!$D$27,0,'Appraisal Calcs - IFRS 17'!B16:B16)</f>
        <v>10976904.120345421</v>
      </c>
      <c r="D17" s="174">
        <v>-59000</v>
      </c>
      <c r="E17" s="123">
        <f ca="1">OFFSET('CAR Calcs'!$C$59,0,COUNTA('Appraisal Calcs - IFRS 17'!$B$9:B17))</f>
        <v>32936052.174923565</v>
      </c>
      <c r="F17" s="177">
        <f t="shared" ca="1" si="18"/>
        <v>-4585934.1689998098</v>
      </c>
      <c r="G17" s="123">
        <f ca="1">E17+SUM(D$8:D17)</f>
        <v>32995052.174923565</v>
      </c>
      <c r="H17" s="123"/>
      <c r="I17" s="177">
        <f t="shared" ca="1" si="4"/>
        <v>1646802.6087461784</v>
      </c>
      <c r="J17" s="177">
        <f t="shared" ca="1" si="19"/>
        <v>12623706.7290916</v>
      </c>
      <c r="K17" s="177">
        <f t="shared" ca="1" si="5"/>
        <v>2777215.480400152</v>
      </c>
      <c r="L17" s="177">
        <f t="shared" ca="1" si="20"/>
        <v>9846491.2486914471</v>
      </c>
      <c r="M17" s="177">
        <f t="shared" ca="1" si="21"/>
        <v>5201557.0796916373</v>
      </c>
      <c r="N17" s="32">
        <f t="shared" ca="1" si="22"/>
        <v>0.29842326650948103</v>
      </c>
      <c r="O17" s="31">
        <f t="shared" si="0"/>
        <v>10.20613342883926</v>
      </c>
      <c r="P17" s="179">
        <f t="shared" ca="1" si="6"/>
        <v>509650.11538980127</v>
      </c>
      <c r="R17" s="39">
        <f t="shared" si="23"/>
        <v>9</v>
      </c>
      <c r="S17" s="29">
        <f t="shared" ca="1" si="7"/>
        <v>5201557.0796916373</v>
      </c>
      <c r="T17" s="10">
        <f t="shared" si="1"/>
        <v>3.3036568823698476</v>
      </c>
      <c r="U17" s="47">
        <f t="shared" ca="1" si="8"/>
        <v>1574484.6589396258</v>
      </c>
      <c r="W17" s="68">
        <f t="shared" si="24"/>
        <v>9</v>
      </c>
      <c r="X17" s="29">
        <f t="shared" ca="1" si="2"/>
        <v>5201557.0796916373</v>
      </c>
      <c r="Y17" s="29">
        <f t="shared" ca="1" si="25"/>
        <v>1825942.27730936</v>
      </c>
      <c r="Z17" s="61">
        <f t="shared" si="9"/>
        <v>3.3036568823698476</v>
      </c>
      <c r="AA17" s="62">
        <f t="shared" ca="1" si="10"/>
        <v>1574484.6589396258</v>
      </c>
      <c r="AB17" s="57">
        <f t="shared" ca="1" si="33"/>
        <v>-3258091.1410591984</v>
      </c>
      <c r="AC17" s="58">
        <f t="shared" ca="1" si="26"/>
        <v>9</v>
      </c>
      <c r="AD17" s="59" t="str">
        <f t="shared" ca="1" si="11"/>
        <v>Discounted Payback is Later</v>
      </c>
      <c r="AF17" s="60">
        <f t="shared" si="27"/>
        <v>9</v>
      </c>
      <c r="AG17" s="84">
        <f t="shared" ca="1" si="12"/>
        <v>9846491.2486914489</v>
      </c>
      <c r="AH17" s="61">
        <f t="shared" si="13"/>
        <v>3.3036568823698476</v>
      </c>
      <c r="AI17" s="29">
        <f t="shared" ca="1" si="14"/>
        <v>2980482.4166933945</v>
      </c>
      <c r="AJ17" s="57">
        <f t="shared" ca="1" si="28"/>
        <v>-4585934.1689998098</v>
      </c>
      <c r="AK17" s="80">
        <f t="shared" ca="1" si="15"/>
        <v>-4676919.4088391457</v>
      </c>
      <c r="AL17" s="57">
        <f t="shared" ca="1" si="29"/>
        <v>-1415679.5258605068</v>
      </c>
      <c r="AM17" s="185">
        <f ca="1">OFFSET('Combined IFRS17 Cashflows'!$E$25,0,COUNTA('Appraisal Calcs - IFRS 17'!$AF$9:AF17))</f>
        <v>91851200.128553405</v>
      </c>
      <c r="AN17" s="81">
        <f t="shared" ca="1" si="30"/>
        <v>27802887.345451202</v>
      </c>
      <c r="AP17" s="60">
        <f t="shared" si="31"/>
        <v>9</v>
      </c>
      <c r="AQ17" s="61">
        <f t="shared" si="3"/>
        <v>3.3036568823698476</v>
      </c>
      <c r="AR17" s="90">
        <f t="shared" ca="1" si="16"/>
        <v>1388138.7602547067</v>
      </c>
      <c r="AS17" s="85">
        <f t="shared" ca="1" si="32"/>
        <v>2980482.4166933941</v>
      </c>
    </row>
    <row r="18" spans="2:45" x14ac:dyDescent="0.3">
      <c r="B18" s="39">
        <f t="shared" si="17"/>
        <v>10</v>
      </c>
      <c r="C18" s="176" cm="1">
        <f t="array" aca="1" ref="C18" ca="1">OFFSET('Results Tables'!$D$27,0,'Appraisal Calcs - IFRS 17'!B17:B17)</f>
        <v>12798020.056833118</v>
      </c>
      <c r="D18" s="174">
        <v>-59000</v>
      </c>
      <c r="E18" s="123">
        <f ca="1">OFFSET('CAR Calcs'!$C$59,0,COUNTA('Appraisal Calcs - IFRS 17'!$B$9:B18))</f>
        <v>38270602.476094604</v>
      </c>
      <c r="F18" s="177">
        <f t="shared" ca="1" si="18"/>
        <v>-5334550.3011710383</v>
      </c>
      <c r="G18" s="123">
        <f ca="1">E18+SUM(D$8:D18)</f>
        <v>38270602.476094604</v>
      </c>
      <c r="H18" s="178">
        <f ca="1">E18*0</f>
        <v>0</v>
      </c>
      <c r="I18" s="177">
        <f t="shared" ca="1" si="4"/>
        <v>1913530.1238047304</v>
      </c>
      <c r="J18" s="177">
        <f t="shared" ca="1" si="19"/>
        <v>14711550.180637848</v>
      </c>
      <c r="K18" s="177">
        <f t="shared" ca="1" si="5"/>
        <v>3236541.0397403263</v>
      </c>
      <c r="L18" s="177">
        <f t="shared" ca="1" si="20"/>
        <v>11475009.140897522</v>
      </c>
      <c r="M18" s="177">
        <f t="shared" ca="1" si="21"/>
        <v>6081458.8397264834</v>
      </c>
      <c r="N18" s="32">
        <f t="shared" ca="1" si="22"/>
        <v>0.29983873779006448</v>
      </c>
      <c r="O18" s="31">
        <f t="shared" si="0"/>
        <v>13.211646207181083</v>
      </c>
      <c r="P18" s="179">
        <f t="shared" ca="1" si="6"/>
        <v>460310.45218429749</v>
      </c>
      <c r="R18" s="39">
        <f t="shared" si="23"/>
        <v>10</v>
      </c>
      <c r="S18" s="29">
        <f t="shared" ca="1" si="7"/>
        <v>6081458.8397264834</v>
      </c>
      <c r="T18" s="10">
        <f t="shared" si="1"/>
        <v>3.7727761596663658</v>
      </c>
      <c r="U18" s="47">
        <f t="shared" ca="1" si="8"/>
        <v>1611932.0580800849</v>
      </c>
      <c r="W18" s="68">
        <f t="shared" si="24"/>
        <v>10</v>
      </c>
      <c r="X18" s="29">
        <f t="shared" ca="1" si="2"/>
        <v>6081458.8397264834</v>
      </c>
      <c r="Y18" s="29">
        <f t="shared" ca="1" si="25"/>
        <v>7907401.1170358434</v>
      </c>
      <c r="Z18" s="61">
        <f t="shared" si="9"/>
        <v>3.7727761596663658</v>
      </c>
      <c r="AA18" s="62">
        <f t="shared" ca="1" si="10"/>
        <v>1611932.0580800849</v>
      </c>
      <c r="AB18" s="57">
        <f t="shared" ca="1" si="33"/>
        <v>-1646159.0829791136</v>
      </c>
      <c r="AC18" s="58">
        <f t="shared" ca="1" si="26"/>
        <v>10</v>
      </c>
      <c r="AD18" s="59" t="str">
        <f t="shared" ca="1" si="11"/>
        <v>Discounted Payback is Later</v>
      </c>
      <c r="AF18" s="60">
        <f t="shared" si="27"/>
        <v>10</v>
      </c>
      <c r="AG18" s="84">
        <f t="shared" ca="1" si="12"/>
        <v>11475009.140897522</v>
      </c>
      <c r="AH18" s="61">
        <f t="shared" si="13"/>
        <v>3.7727761596663658</v>
      </c>
      <c r="AI18" s="29">
        <f t="shared" ca="1" si="14"/>
        <v>3041529.2758614863</v>
      </c>
      <c r="AJ18" s="57">
        <f t="shared" ca="1" si="28"/>
        <v>-5334550.3011710383</v>
      </c>
      <c r="AK18" s="80">
        <f t="shared" ca="1" si="15"/>
        <v>-5434425.5516054332</v>
      </c>
      <c r="AL18" s="57">
        <f t="shared" ca="1" si="29"/>
        <v>-1440431.4811207911</v>
      </c>
      <c r="AM18" s="185">
        <f ca="1">OFFSET('Combined IFRS17 Cashflows'!$E$25,0,COUNTA('Appraisal Calcs - IFRS 17'!$AF$9:AF18))</f>
        <v>109663999.56107542</v>
      </c>
      <c r="AN18" s="81">
        <f t="shared" ca="1" si="30"/>
        <v>29067189.496546552</v>
      </c>
      <c r="AP18" s="60">
        <f t="shared" si="31"/>
        <v>10</v>
      </c>
      <c r="AQ18" s="61">
        <f t="shared" si="3"/>
        <v>3.7727761596663658</v>
      </c>
      <c r="AR18" s="90">
        <f t="shared" ca="1" si="16"/>
        <v>1413958.8662060415</v>
      </c>
      <c r="AS18" s="85">
        <f t="shared" ca="1" si="32"/>
        <v>3041529.2758614863</v>
      </c>
    </row>
    <row r="19" spans="2:45" x14ac:dyDescent="0.3">
      <c r="B19" s="39">
        <f t="shared" si="17"/>
        <v>11</v>
      </c>
      <c r="C19" s="176" cm="1">
        <f t="array" aca="1" ref="C19" ca="1">OFFSET('Results Tables'!$D$27,0,'Appraisal Calcs - IFRS 17'!B18:B18)</f>
        <v>18500743.561796647</v>
      </c>
      <c r="D19" s="174"/>
      <c r="E19" s="123">
        <f ca="1">OFFSET('CAR Calcs'!$C$59,0,COUNTA('Appraisal Calcs - IFRS 17'!$B$9:B19))</f>
        <v>31176657.740517166</v>
      </c>
      <c r="F19" s="177">
        <f t="shared" ref="F19:F20" ca="1" si="34">E18-E19</f>
        <v>7093944.735577438</v>
      </c>
      <c r="G19" s="123">
        <f ca="1">E19+SUM(D$8:D19)</f>
        <v>31176657.740517166</v>
      </c>
      <c r="H19" s="178">
        <f ca="1">E19*0</f>
        <v>0</v>
      </c>
      <c r="I19" s="177">
        <f t="shared" ref="I19:I20" ca="1" si="35">E19*Required_Return_On_CAR</f>
        <v>1558832.8870258583</v>
      </c>
      <c r="J19" s="177">
        <f t="shared" ref="J19:J20" ca="1" si="36">C19+I19</f>
        <v>20059576.448822506</v>
      </c>
      <c r="K19" s="177">
        <f t="shared" ref="K19:K20" ca="1" si="37">IF(J19&lt;0,0,J19*Corporate_Tax_Rate)</f>
        <v>4413106.8187409509</v>
      </c>
      <c r="L19" s="177">
        <f t="shared" ref="L19:L20" ca="1" si="38">J19-K19</f>
        <v>15646469.630081555</v>
      </c>
      <c r="M19" s="177">
        <f t="shared" ref="M19:M20" ca="1" si="39">D19+F19+H19+L19</f>
        <v>22740414.365658991</v>
      </c>
      <c r="N19" s="32">
        <f t="shared" ca="1" si="22"/>
        <v>0.50186488110133154</v>
      </c>
      <c r="O19" s="31">
        <f t="shared" ref="O19:O20" si="40">(1+$O$3)^B19</f>
        <v>17.10222551181888</v>
      </c>
      <c r="P19" s="179">
        <f t="shared" ref="P19:P20" ca="1" si="41">M19/O19</f>
        <v>1329675.7401511115</v>
      </c>
      <c r="R19" s="39">
        <f t="shared" si="23"/>
        <v>11</v>
      </c>
      <c r="S19" s="29">
        <f t="shared" ref="S19:S20" ca="1" si="42">M19</f>
        <v>22740414.365658991</v>
      </c>
      <c r="T19" s="10">
        <f t="shared" ref="T19:T20" si="43">(1+$T$3)^R19</f>
        <v>4.3085103743389901</v>
      </c>
      <c r="U19" s="47">
        <f t="shared" ref="U19:U20" ca="1" si="44">S19/T19</f>
        <v>5278022.4230393823</v>
      </c>
      <c r="W19" s="68">
        <f t="shared" si="24"/>
        <v>11</v>
      </c>
      <c r="X19" s="29">
        <f t="shared" ref="X19:X20" ca="1" si="45">S19</f>
        <v>22740414.365658991</v>
      </c>
      <c r="Y19" s="29">
        <f t="shared" ref="Y19:Y20" ca="1" si="46">Y18+X19</f>
        <v>30647815.482694834</v>
      </c>
      <c r="Z19" s="61">
        <f t="shared" ref="Z19:Z20" si="47">(1+$T$3)^W19</f>
        <v>4.3085103743389901</v>
      </c>
      <c r="AA19" s="62">
        <f t="shared" ref="AA19:AA20" ca="1" si="48">X19/Z19</f>
        <v>5278022.4230393823</v>
      </c>
      <c r="AB19" s="57">
        <f t="shared" ref="AB19:AB20" ca="1" si="49">AB18+AA19</f>
        <v>3631863.3400602685</v>
      </c>
      <c r="AC19" s="58">
        <f t="shared" ref="AC19:AC20" ca="1" si="50">IF(Y19&gt;=0,W19,"Payback is Later")</f>
        <v>11</v>
      </c>
      <c r="AD19" s="59">
        <f t="shared" ref="AD19:AD20" ca="1" si="51">IF(AB19&gt;=0,W19,"Discounted Payback is Later")</f>
        <v>11</v>
      </c>
      <c r="AF19" s="60">
        <f t="shared" si="27"/>
        <v>11</v>
      </c>
      <c r="AG19" s="84">
        <f t="shared" ref="AG19:AG82" ca="1" si="52">IF(J19&gt;0,J19*(1-Corporate_Tax_Rate),J19)</f>
        <v>15646469.630081555</v>
      </c>
      <c r="AH19" s="61">
        <f t="shared" ref="AH19:AH82" si="53">(1+Risk_Discount_Rate)^AF19</f>
        <v>4.3085103743389901</v>
      </c>
      <c r="AI19" s="29">
        <f t="shared" ref="AI19:AI82" ca="1" si="54">AG19/AH19</f>
        <v>3631526.5069965231</v>
      </c>
      <c r="AJ19" s="57">
        <f t="shared" ref="AJ19:AJ82" ca="1" si="55">F19</f>
        <v>7093944.735577438</v>
      </c>
      <c r="AK19" s="80">
        <f t="shared" ref="AK19:AK82" ca="1" si="56">-E19*Cost_of_Capital</f>
        <v>-4427085.3991534375</v>
      </c>
      <c r="AL19" s="57">
        <f t="shared" ref="AL19:AL82" ca="1" si="57">AK19/AH19</f>
        <v>-1027521.1185565821</v>
      </c>
      <c r="AM19" s="185">
        <f ca="1">OFFSET('Combined IFRS17 Cashflows'!$E$25,0,COUNTA('Appraisal Calcs - IFRS 17'!$AF$9:AF19))</f>
        <v>107536293.98469803</v>
      </c>
      <c r="AN19" s="81">
        <f t="shared" ref="AN19:AN82" ca="1" si="58">AM19/AH19</f>
        <v>24959042.602095671</v>
      </c>
      <c r="AP19" s="60">
        <f t="shared" si="31"/>
        <v>11</v>
      </c>
      <c r="AQ19" s="61">
        <f t="shared" ref="AQ19:AQ82" si="59">(1+Risk_Discount_Rate)^AP19</f>
        <v>4.3085103743389901</v>
      </c>
      <c r="AR19" s="90">
        <f t="shared" ref="AR19:AR82" ca="1" si="60">+-F19/AQ19</f>
        <v>-1646495.9160428592</v>
      </c>
      <c r="AS19" s="85">
        <f t="shared" ref="AS19:AS82" ca="1" si="61">+L19/AQ19</f>
        <v>3631526.5069965231</v>
      </c>
    </row>
    <row r="20" spans="2:45" x14ac:dyDescent="0.3">
      <c r="B20" s="39">
        <f t="shared" si="17"/>
        <v>12</v>
      </c>
      <c r="C20" s="176" cm="1">
        <f t="array" aca="1" ref="C20" ca="1">OFFSET('Results Tables'!$D$27,0,'Appraisal Calcs - IFRS 17'!B19:B19)</f>
        <v>16715703.735810308</v>
      </c>
      <c r="D20" s="174"/>
      <c r="E20" s="123">
        <f ca="1">OFFSET('CAR Calcs'!$C$59,0,COUNTA('Appraisal Calcs - IFRS 17'!$B$9:B20))</f>
        <v>24535962.401297234</v>
      </c>
      <c r="F20" s="177">
        <f t="shared" ca="1" si="34"/>
        <v>6640695.3392199315</v>
      </c>
      <c r="G20" s="123">
        <f ca="1">E20+SUM(D$8:D20)</f>
        <v>24535962.401297234</v>
      </c>
      <c r="H20" s="178">
        <f t="shared" ref="H20:H83" ca="1" si="62">E20*0</f>
        <v>0</v>
      </c>
      <c r="I20" s="177">
        <f t="shared" ca="1" si="35"/>
        <v>1226798.1200648618</v>
      </c>
      <c r="J20" s="177">
        <f t="shared" ca="1" si="36"/>
        <v>17942501.855875168</v>
      </c>
      <c r="K20" s="177">
        <f t="shared" ca="1" si="37"/>
        <v>3947350.4082925371</v>
      </c>
      <c r="L20" s="177">
        <f t="shared" ca="1" si="38"/>
        <v>13995151.44758263</v>
      </c>
      <c r="M20" s="177">
        <f t="shared" ca="1" si="39"/>
        <v>20635846.78680256</v>
      </c>
      <c r="N20" s="32">
        <f t="shared" ca="1" si="22"/>
        <v>0.57039341757561124</v>
      </c>
      <c r="O20" s="31">
        <f t="shared" si="40"/>
        <v>22.138506653177718</v>
      </c>
      <c r="P20" s="179">
        <f t="shared" ca="1" si="41"/>
        <v>932124.60578683752</v>
      </c>
      <c r="R20" s="39">
        <f t="shared" si="23"/>
        <v>12</v>
      </c>
      <c r="S20" s="29">
        <f t="shared" ca="1" si="42"/>
        <v>20635846.78680256</v>
      </c>
      <c r="T20" s="10">
        <f t="shared" si="43"/>
        <v>4.9203188474951256</v>
      </c>
      <c r="U20" s="47">
        <f t="shared" ca="1" si="44"/>
        <v>4194006.0037588864</v>
      </c>
      <c r="W20" s="68">
        <f t="shared" si="24"/>
        <v>12</v>
      </c>
      <c r="X20" s="29">
        <f t="shared" ca="1" si="45"/>
        <v>20635846.78680256</v>
      </c>
      <c r="Y20" s="29">
        <f t="shared" ca="1" si="46"/>
        <v>51283662.269497395</v>
      </c>
      <c r="Z20" s="61">
        <f t="shared" si="47"/>
        <v>4.9203188474951256</v>
      </c>
      <c r="AA20" s="62">
        <f t="shared" ca="1" si="48"/>
        <v>4194006.0037588864</v>
      </c>
      <c r="AB20" s="57">
        <f t="shared" ca="1" si="49"/>
        <v>7825869.3438191544</v>
      </c>
      <c r="AC20" s="58">
        <f t="shared" ca="1" si="50"/>
        <v>12</v>
      </c>
      <c r="AD20" s="59">
        <f t="shared" ca="1" si="51"/>
        <v>12</v>
      </c>
      <c r="AF20" s="60">
        <f t="shared" si="27"/>
        <v>12</v>
      </c>
      <c r="AG20" s="84">
        <f t="shared" ca="1" si="52"/>
        <v>13995151.447582632</v>
      </c>
      <c r="AH20" s="61">
        <f t="shared" si="53"/>
        <v>4.9203188474951256</v>
      </c>
      <c r="AI20" s="29">
        <f t="shared" ca="1" si="54"/>
        <v>2844358.6445027632</v>
      </c>
      <c r="AJ20" s="57">
        <f t="shared" ca="1" si="55"/>
        <v>6640695.3392199315</v>
      </c>
      <c r="AK20" s="80">
        <f t="shared" ca="1" si="56"/>
        <v>-3484106.6609842069</v>
      </c>
      <c r="AL20" s="57">
        <f t="shared" ca="1" si="57"/>
        <v>-708105.87056932773</v>
      </c>
      <c r="AM20" s="185">
        <f ca="1">OFFSET('Combined IFRS17 Cashflows'!$E$25,0,COUNTA('Appraisal Calcs - IFRS 17'!$AF$9:AF20))</f>
        <v>95774587.167742401</v>
      </c>
      <c r="AN20" s="81">
        <f t="shared" ca="1" si="58"/>
        <v>19465118.041384671</v>
      </c>
      <c r="AP20" s="60">
        <f t="shared" si="31"/>
        <v>12</v>
      </c>
      <c r="AQ20" s="61">
        <f t="shared" si="59"/>
        <v>4.9203188474951256</v>
      </c>
      <c r="AR20" s="90">
        <f t="shared" ca="1" si="60"/>
        <v>-1349647.3592561239</v>
      </c>
      <c r="AS20" s="85">
        <f t="shared" ca="1" si="61"/>
        <v>2844358.6445027627</v>
      </c>
    </row>
    <row r="21" spans="2:45" x14ac:dyDescent="0.3">
      <c r="B21" s="39">
        <f t="shared" si="17"/>
        <v>13</v>
      </c>
      <c r="C21" s="176" cm="1">
        <f t="array" aca="1" ref="C21" ca="1">OFFSET('Results Tables'!$D$27,0,'Appraisal Calcs - IFRS 17'!B20:B20)</f>
        <v>13867836.768594027</v>
      </c>
      <c r="D21" s="174"/>
      <c r="E21" s="123">
        <f ca="1">OFFSET('CAR Calcs'!$C$59,0,COUNTA('Appraisal Calcs - IFRS 17'!$B$9:B21))</f>
        <v>19203468.673064049</v>
      </c>
      <c r="F21" s="177">
        <f t="shared" ref="F21:F84" ca="1" si="63">E20-E21</f>
        <v>5332493.7282331847</v>
      </c>
      <c r="G21" s="123">
        <f ca="1">E21+SUM(D$8:D21)</f>
        <v>19203468.673064049</v>
      </c>
      <c r="H21" s="178">
        <f t="shared" ca="1" si="62"/>
        <v>0</v>
      </c>
      <c r="I21" s="177">
        <f t="shared" ref="I21:I84" ca="1" si="64">E21*Required_Return_On_CAR</f>
        <v>960173.43365320249</v>
      </c>
      <c r="J21" s="177">
        <f t="shared" ref="J21:J84" ca="1" si="65">C21+I21</f>
        <v>14828010.202247228</v>
      </c>
      <c r="K21" s="177">
        <f t="shared" ref="K21:K84" ca="1" si="66">IF(J21&lt;0,0,J21*Corporate_Tax_Rate)</f>
        <v>3262162.2444943902</v>
      </c>
      <c r="L21" s="177">
        <f t="shared" ref="L21:L84" ca="1" si="67">J21-K21</f>
        <v>11565847.957752839</v>
      </c>
      <c r="M21" s="177">
        <f t="shared" ref="M21:M84" ca="1" si="68">D21+F21+H21+L21</f>
        <v>16898341.685986023</v>
      </c>
      <c r="N21" s="32">
        <f t="shared" ca="1" si="22"/>
        <v>0.60227910668950135</v>
      </c>
      <c r="O21" s="31">
        <f t="shared" ref="O21:O84" si="69">(1+$O$3)^B21</f>
        <v>28.657877098748934</v>
      </c>
      <c r="P21" s="179">
        <f t="shared" ref="P21:P84" ca="1" si="70">M21/O21</f>
        <v>589657.83221687854</v>
      </c>
      <c r="R21" s="39">
        <f t="shared" si="23"/>
        <v>13</v>
      </c>
      <c r="S21" s="29">
        <f t="shared" ref="S21:S84" ca="1" si="71">M21</f>
        <v>16898341.685986023</v>
      </c>
      <c r="T21" s="10">
        <f t="shared" ref="T21:T84" si="72">(1+$T$3)^R21</f>
        <v>5.6190041238394333</v>
      </c>
      <c r="U21" s="47">
        <f t="shared" ref="U21:U84" ca="1" si="73">S21/T21</f>
        <v>3007355.2739163116</v>
      </c>
      <c r="W21" s="68">
        <f t="shared" si="24"/>
        <v>13</v>
      </c>
      <c r="X21" s="29">
        <f t="shared" ref="X21:X84" ca="1" si="74">S21</f>
        <v>16898341.685986023</v>
      </c>
      <c r="Y21" s="29">
        <f t="shared" ref="Y21:Y84" ca="1" si="75">Y20+X21</f>
        <v>68182003.955483422</v>
      </c>
      <c r="Z21" s="61">
        <f t="shared" ref="Z21:Z84" si="76">(1+$T$3)^W21</f>
        <v>5.6190041238394333</v>
      </c>
      <c r="AA21" s="62">
        <f t="shared" ref="AA21:AA84" ca="1" si="77">X21/Z21</f>
        <v>3007355.2739163116</v>
      </c>
      <c r="AB21" s="57">
        <f t="shared" ref="AB21:AB84" ca="1" si="78">AB20+AA21</f>
        <v>10833224.617735466</v>
      </c>
      <c r="AC21" s="58">
        <f t="shared" ref="AC21:AC84" ca="1" si="79">IF(Y21&gt;=0,W21,"Payback is Later")</f>
        <v>13</v>
      </c>
      <c r="AD21" s="59">
        <f t="shared" ref="AD21:AD84" ca="1" si="80">IF(AB21&gt;=0,W21,"Discounted Payback is Later")</f>
        <v>13</v>
      </c>
      <c r="AF21" s="60">
        <f t="shared" si="27"/>
        <v>13</v>
      </c>
      <c r="AG21" s="84">
        <f t="shared" ca="1" si="52"/>
        <v>11565847.957752839</v>
      </c>
      <c r="AH21" s="61">
        <f t="shared" si="53"/>
        <v>5.6190041238394333</v>
      </c>
      <c r="AI21" s="29">
        <f t="shared" ca="1" si="54"/>
        <v>2058344.8068107059</v>
      </c>
      <c r="AJ21" s="57">
        <f t="shared" ca="1" si="55"/>
        <v>5332493.7282331847</v>
      </c>
      <c r="AK21" s="80">
        <f t="shared" ca="1" si="56"/>
        <v>-2726892.5515750949</v>
      </c>
      <c r="AL21" s="57">
        <f t="shared" ca="1" si="57"/>
        <v>-485298.19367917191</v>
      </c>
      <c r="AM21" s="185">
        <f ca="1">OFFSET('Combined IFRS17 Cashflows'!$E$25,0,COUNTA('Appraisal Calcs - IFRS 17'!$AF$9:AF21))</f>
        <v>87286148.599244907</v>
      </c>
      <c r="AN21" s="81">
        <f t="shared" ca="1" si="58"/>
        <v>15534095.842521429</v>
      </c>
      <c r="AP21" s="60">
        <f t="shared" si="31"/>
        <v>13</v>
      </c>
      <c r="AQ21" s="61">
        <f t="shared" si="59"/>
        <v>5.6190041238394333</v>
      </c>
      <c r="AR21" s="90">
        <f t="shared" ca="1" si="60"/>
        <v>-949010.46710560564</v>
      </c>
      <c r="AS21" s="85">
        <f t="shared" ca="1" si="61"/>
        <v>2058344.8068107059</v>
      </c>
    </row>
    <row r="22" spans="2:45" x14ac:dyDescent="0.3">
      <c r="B22" s="39">
        <f t="shared" si="17"/>
        <v>14</v>
      </c>
      <c r="C22" s="176" cm="1">
        <f t="array" aca="1" ref="C22" ca="1">OFFSET('Results Tables'!$D$27,0,'Appraisal Calcs - IFRS 17'!B21:B21)</f>
        <v>10508186.365808854</v>
      </c>
      <c r="D22" s="174"/>
      <c r="E22" s="123">
        <f ca="1">OFFSET('CAR Calcs'!$C$59,0,COUNTA('Appraisal Calcs - IFRS 17'!$B$9:B22))</f>
        <v>15407831.619076014</v>
      </c>
      <c r="F22" s="177">
        <f t="shared" ca="1" si="63"/>
        <v>3795637.0539880358</v>
      </c>
      <c r="G22" s="123">
        <f ca="1">E22+SUM(D$8:D22)</f>
        <v>15407831.619076014</v>
      </c>
      <c r="H22" s="178">
        <f t="shared" ca="1" si="62"/>
        <v>0</v>
      </c>
      <c r="I22" s="177">
        <f t="shared" ca="1" si="64"/>
        <v>770391.5809538007</v>
      </c>
      <c r="J22" s="177">
        <f t="shared" ca="1" si="65"/>
        <v>11278577.946762655</v>
      </c>
      <c r="K22" s="177">
        <f t="shared" ca="1" si="66"/>
        <v>2481287.1482877843</v>
      </c>
      <c r="L22" s="177">
        <f t="shared" ca="1" si="67"/>
        <v>8797290.7984748706</v>
      </c>
      <c r="M22" s="177">
        <f t="shared" ca="1" si="68"/>
        <v>12592927.852462906</v>
      </c>
      <c r="N22" s="32">
        <f t="shared" ca="1" si="22"/>
        <v>0.57096228826794726</v>
      </c>
      <c r="O22" s="31">
        <f t="shared" si="69"/>
        <v>37.097078528063882</v>
      </c>
      <c r="P22" s="179">
        <f t="shared" ca="1" si="70"/>
        <v>339458.74856254185</v>
      </c>
      <c r="R22" s="39">
        <f t="shared" si="23"/>
        <v>14</v>
      </c>
      <c r="S22" s="29">
        <f t="shared" ca="1" si="71"/>
        <v>12592927.852462906</v>
      </c>
      <c r="T22" s="10">
        <f t="shared" si="72"/>
        <v>6.4169027094246331</v>
      </c>
      <c r="U22" s="47">
        <f t="shared" ca="1" si="73"/>
        <v>1962462.0198725192</v>
      </c>
      <c r="W22" s="68">
        <f t="shared" si="24"/>
        <v>14</v>
      </c>
      <c r="X22" s="29">
        <f t="shared" ca="1" si="74"/>
        <v>12592927.852462906</v>
      </c>
      <c r="Y22" s="29">
        <f t="shared" ca="1" si="75"/>
        <v>80774931.807946324</v>
      </c>
      <c r="Z22" s="61">
        <f t="shared" si="76"/>
        <v>6.4169027094246331</v>
      </c>
      <c r="AA22" s="62">
        <f t="shared" ca="1" si="77"/>
        <v>1962462.0198725192</v>
      </c>
      <c r="AB22" s="57">
        <f t="shared" ca="1" si="78"/>
        <v>12795686.637607984</v>
      </c>
      <c r="AC22" s="58">
        <f t="shared" ca="1" si="79"/>
        <v>14</v>
      </c>
      <c r="AD22" s="59">
        <f t="shared" ca="1" si="80"/>
        <v>14</v>
      </c>
      <c r="AF22" s="60">
        <f t="shared" si="27"/>
        <v>14</v>
      </c>
      <c r="AG22" s="84">
        <f t="shared" ca="1" si="52"/>
        <v>8797290.7984748706</v>
      </c>
      <c r="AH22" s="61">
        <f t="shared" si="53"/>
        <v>6.4169027094246331</v>
      </c>
      <c r="AI22" s="29">
        <f t="shared" ca="1" si="54"/>
        <v>1370955.9263777076</v>
      </c>
      <c r="AJ22" s="57">
        <f t="shared" ca="1" si="55"/>
        <v>3795637.0539880358</v>
      </c>
      <c r="AK22" s="80">
        <f t="shared" ca="1" si="56"/>
        <v>-2187912.0899087936</v>
      </c>
      <c r="AL22" s="57">
        <f t="shared" ca="1" si="57"/>
        <v>-340960.77016959654</v>
      </c>
      <c r="AM22" s="185">
        <f ca="1">OFFSET('Combined IFRS17 Cashflows'!$E$25,0,COUNTA('Appraisal Calcs - IFRS 17'!$AF$9:AF22))</f>
        <v>79585455.341938883</v>
      </c>
      <c r="AN22" s="81">
        <f t="shared" ca="1" si="58"/>
        <v>12402471.869341284</v>
      </c>
      <c r="AP22" s="60">
        <f t="shared" si="31"/>
        <v>14</v>
      </c>
      <c r="AQ22" s="61">
        <f t="shared" si="59"/>
        <v>6.4169027094246331</v>
      </c>
      <c r="AR22" s="90">
        <f t="shared" ca="1" si="60"/>
        <v>-591506.09349481144</v>
      </c>
      <c r="AS22" s="85">
        <f t="shared" ca="1" si="61"/>
        <v>1370955.9263777076</v>
      </c>
    </row>
    <row r="23" spans="2:45" x14ac:dyDescent="0.3">
      <c r="B23" s="39">
        <f t="shared" si="17"/>
        <v>15</v>
      </c>
      <c r="C23" s="176" cm="1">
        <f t="array" aca="1" ref="C23" ca="1">OFFSET('Results Tables'!$D$27,0,'Appraisal Calcs - IFRS 17'!B22:B22)</f>
        <v>9242957.4336594958</v>
      </c>
      <c r="D23" s="174"/>
      <c r="E23" s="123">
        <f ca="1">OFFSET('CAR Calcs'!$C$59,0,COUNTA('Appraisal Calcs - IFRS 17'!$B$9:B23))</f>
        <v>12422926.994764684</v>
      </c>
      <c r="F23" s="177">
        <f t="shared" ca="1" si="63"/>
        <v>2984904.6243113298</v>
      </c>
      <c r="G23" s="123">
        <f ca="1">E23+SUM(D$8:D23)</f>
        <v>12422926.994764684</v>
      </c>
      <c r="H23" s="178">
        <f t="shared" ca="1" si="62"/>
        <v>0</v>
      </c>
      <c r="I23" s="177">
        <f t="shared" ca="1" si="64"/>
        <v>621146.34973823419</v>
      </c>
      <c r="J23" s="177">
        <f t="shared" ca="1" si="65"/>
        <v>9864103.7833977304</v>
      </c>
      <c r="K23" s="177">
        <f t="shared" ca="1" si="66"/>
        <v>2170102.8323475006</v>
      </c>
      <c r="L23" s="177">
        <f t="shared" ca="1" si="67"/>
        <v>7694000.9510502294</v>
      </c>
      <c r="M23" s="177">
        <f t="shared" ca="1" si="68"/>
        <v>10678905.575361559</v>
      </c>
      <c r="N23" s="32">
        <f t="shared" ca="1" si="22"/>
        <v>0.61933882041588617</v>
      </c>
      <c r="O23" s="31">
        <f t="shared" si="69"/>
        <v>48.021464764304426</v>
      </c>
      <c r="P23" s="179">
        <f t="shared" ca="1" si="70"/>
        <v>222377.75602587327</v>
      </c>
      <c r="R23" s="39">
        <f t="shared" si="23"/>
        <v>15</v>
      </c>
      <c r="S23" s="29">
        <f t="shared" ca="1" si="71"/>
        <v>10678905.575361559</v>
      </c>
      <c r="T23" s="10">
        <f t="shared" si="72"/>
        <v>7.3281028941629307</v>
      </c>
      <c r="U23" s="47">
        <f t="shared" ca="1" si="73"/>
        <v>1457253.7708043989</v>
      </c>
      <c r="W23" s="68">
        <f t="shared" si="24"/>
        <v>15</v>
      </c>
      <c r="X23" s="29">
        <f t="shared" ca="1" si="74"/>
        <v>10678905.575361559</v>
      </c>
      <c r="Y23" s="29">
        <f t="shared" ca="1" si="75"/>
        <v>91453837.383307889</v>
      </c>
      <c r="Z23" s="61">
        <f t="shared" si="76"/>
        <v>7.3281028941629307</v>
      </c>
      <c r="AA23" s="62">
        <f t="shared" ca="1" si="77"/>
        <v>1457253.7708043989</v>
      </c>
      <c r="AB23" s="57">
        <f t="shared" ca="1" si="78"/>
        <v>14252940.408412384</v>
      </c>
      <c r="AC23" s="58">
        <f t="shared" ca="1" si="79"/>
        <v>15</v>
      </c>
      <c r="AD23" s="59">
        <f t="shared" ca="1" si="80"/>
        <v>15</v>
      </c>
      <c r="AF23" s="60">
        <f t="shared" si="27"/>
        <v>15</v>
      </c>
      <c r="AG23" s="84">
        <f t="shared" ca="1" si="52"/>
        <v>7694000.9510502303</v>
      </c>
      <c r="AH23" s="61">
        <f t="shared" si="53"/>
        <v>7.3281028941629307</v>
      </c>
      <c r="AI23" s="29">
        <f t="shared" ca="1" si="54"/>
        <v>1049930.8023061124</v>
      </c>
      <c r="AJ23" s="57">
        <f t="shared" ca="1" si="55"/>
        <v>2984904.6243113298</v>
      </c>
      <c r="AK23" s="80">
        <f t="shared" ca="1" si="56"/>
        <v>-1764055.6332565849</v>
      </c>
      <c r="AL23" s="57">
        <f t="shared" ca="1" si="57"/>
        <v>-240724.73581965012</v>
      </c>
      <c r="AM23" s="185">
        <f ca="1">OFFSET('Combined IFRS17 Cashflows'!$E$25,0,COUNTA('Appraisal Calcs - IFRS 17'!$AF$9:AF23))</f>
        <v>72459901.961855128</v>
      </c>
      <c r="AN23" s="81">
        <f t="shared" ca="1" si="58"/>
        <v>9887948.2191184517</v>
      </c>
      <c r="AP23" s="60">
        <f t="shared" si="31"/>
        <v>15</v>
      </c>
      <c r="AQ23" s="61">
        <f t="shared" si="59"/>
        <v>7.3281028941629307</v>
      </c>
      <c r="AR23" s="90">
        <f t="shared" ca="1" si="60"/>
        <v>-407322.96849828656</v>
      </c>
      <c r="AS23" s="85">
        <f t="shared" ca="1" si="61"/>
        <v>1049930.8023061124</v>
      </c>
    </row>
    <row r="24" spans="2:45" x14ac:dyDescent="0.3">
      <c r="B24" s="39">
        <f t="shared" si="17"/>
        <v>16</v>
      </c>
      <c r="C24" s="176" cm="1">
        <f t="array" aca="1" ref="C24" ca="1">OFFSET('Results Tables'!$D$27,0,'Appraisal Calcs - IFRS 17'!B23:B23)</f>
        <v>6225883.3751818947</v>
      </c>
      <c r="D24" s="174"/>
      <c r="E24" s="123">
        <f ca="1">OFFSET('CAR Calcs'!$C$59,0,COUNTA('Appraisal Calcs - IFRS 17'!$B$9:B24))</f>
        <v>10896713.146635314</v>
      </c>
      <c r="F24" s="177">
        <f t="shared" ca="1" si="63"/>
        <v>1526213.8481293693</v>
      </c>
      <c r="G24" s="123">
        <f ca="1">E24+SUM(D$8:D24)</f>
        <v>10896713.146635314</v>
      </c>
      <c r="H24" s="178">
        <f t="shared" ca="1" si="62"/>
        <v>0</v>
      </c>
      <c r="I24" s="177">
        <f t="shared" ca="1" si="64"/>
        <v>544835.65733176575</v>
      </c>
      <c r="J24" s="177">
        <f t="shared" ca="1" si="65"/>
        <v>6770719.0325136604</v>
      </c>
      <c r="K24" s="177">
        <f t="shared" ca="1" si="66"/>
        <v>1489558.1871530053</v>
      </c>
      <c r="L24" s="177">
        <f t="shared" ca="1" si="67"/>
        <v>5281160.8453606553</v>
      </c>
      <c r="M24" s="177">
        <f t="shared" ca="1" si="68"/>
        <v>6807374.6934900247</v>
      </c>
      <c r="N24" s="32">
        <f t="shared" ca="1" si="22"/>
        <v>0.48465631555983202</v>
      </c>
      <c r="O24" s="31">
        <f t="shared" si="69"/>
        <v>62.162875612018858</v>
      </c>
      <c r="P24" s="179">
        <f t="shared" ca="1" si="70"/>
        <v>109508.68386426214</v>
      </c>
      <c r="R24" s="39">
        <f t="shared" si="23"/>
        <v>16</v>
      </c>
      <c r="S24" s="29">
        <f t="shared" ca="1" si="71"/>
        <v>6807374.6934900247</v>
      </c>
      <c r="T24" s="10">
        <f t="shared" si="72"/>
        <v>8.3686935051340647</v>
      </c>
      <c r="U24" s="47">
        <f t="shared" ca="1" si="73"/>
        <v>813433.38590591296</v>
      </c>
      <c r="W24" s="68">
        <f t="shared" si="24"/>
        <v>16</v>
      </c>
      <c r="X24" s="29">
        <f t="shared" ca="1" si="74"/>
        <v>6807374.6934900247</v>
      </c>
      <c r="Y24" s="29">
        <f t="shared" ca="1" si="75"/>
        <v>98261212.076797917</v>
      </c>
      <c r="Z24" s="61">
        <f t="shared" si="76"/>
        <v>8.3686935051340647</v>
      </c>
      <c r="AA24" s="62">
        <f t="shared" ca="1" si="77"/>
        <v>813433.38590591296</v>
      </c>
      <c r="AB24" s="57">
        <f t="shared" ca="1" si="78"/>
        <v>15066373.794318296</v>
      </c>
      <c r="AC24" s="58">
        <f t="shared" ca="1" si="79"/>
        <v>16</v>
      </c>
      <c r="AD24" s="59">
        <f t="shared" ca="1" si="80"/>
        <v>16</v>
      </c>
      <c r="AF24" s="60">
        <f t="shared" si="27"/>
        <v>16</v>
      </c>
      <c r="AG24" s="84">
        <f t="shared" ca="1" si="52"/>
        <v>5281160.8453606553</v>
      </c>
      <c r="AH24" s="61">
        <f t="shared" si="53"/>
        <v>8.3686935051340647</v>
      </c>
      <c r="AI24" s="29">
        <f t="shared" ca="1" si="54"/>
        <v>631061.56798797136</v>
      </c>
      <c r="AJ24" s="57">
        <f t="shared" ca="1" si="55"/>
        <v>1526213.8481293693</v>
      </c>
      <c r="AK24" s="80">
        <f t="shared" ca="1" si="56"/>
        <v>-1547333.2668222145</v>
      </c>
      <c r="AL24" s="57">
        <f t="shared" ca="1" si="57"/>
        <v>-184895.43987636175</v>
      </c>
      <c r="AM24" s="185">
        <f ca="1">OFFSET('Combined IFRS17 Cashflows'!$E$25,0,COUNTA('Appraisal Calcs - IFRS 17'!$AF$9:AF24))</f>
        <v>66137797.452245072</v>
      </c>
      <c r="AN24" s="81">
        <f t="shared" ca="1" si="58"/>
        <v>7903001.5153106693</v>
      </c>
      <c r="AP24" s="60">
        <f t="shared" si="31"/>
        <v>16</v>
      </c>
      <c r="AQ24" s="61">
        <f t="shared" si="59"/>
        <v>8.3686935051340647</v>
      </c>
      <c r="AR24" s="90">
        <f t="shared" ca="1" si="60"/>
        <v>-182371.81791794152</v>
      </c>
      <c r="AS24" s="85">
        <f t="shared" ca="1" si="61"/>
        <v>631061.56798797136</v>
      </c>
    </row>
    <row r="25" spans="2:45" x14ac:dyDescent="0.3">
      <c r="B25" s="39">
        <f t="shared" si="17"/>
        <v>17</v>
      </c>
      <c r="C25" s="176" cm="1">
        <f t="array" aca="1" ref="C25" ca="1">OFFSET('Results Tables'!$D$27,0,'Appraisal Calcs - IFRS 17'!B24:B24)</f>
        <v>3664467.4628586299</v>
      </c>
      <c r="D25" s="174"/>
      <c r="E25" s="123">
        <f ca="1">OFFSET('CAR Calcs'!$C$59,0,COUNTA('Appraisal Calcs - IFRS 17'!$B$9:B25))</f>
        <v>10378585.357793372</v>
      </c>
      <c r="F25" s="177">
        <f t="shared" ca="1" si="63"/>
        <v>518127.78884194233</v>
      </c>
      <c r="G25" s="123">
        <f ca="1">E25+SUM(D$8:D25)</f>
        <v>10378585.357793372</v>
      </c>
      <c r="H25" s="178">
        <f t="shared" ca="1" si="62"/>
        <v>0</v>
      </c>
      <c r="I25" s="177">
        <f t="shared" ca="1" si="64"/>
        <v>518929.26788966864</v>
      </c>
      <c r="J25" s="177">
        <f t="shared" ca="1" si="65"/>
        <v>4183396.7307482986</v>
      </c>
      <c r="K25" s="177">
        <f t="shared" ca="1" si="66"/>
        <v>920347.28076462564</v>
      </c>
      <c r="L25" s="177">
        <f t="shared" ca="1" si="67"/>
        <v>3263049.4499836732</v>
      </c>
      <c r="M25" s="177">
        <f t="shared" ca="1" si="68"/>
        <v>3781177.2388256155</v>
      </c>
      <c r="N25" s="32">
        <f t="shared" ca="1" si="22"/>
        <v>0.31440214031996377</v>
      </c>
      <c r="O25" s="31">
        <f t="shared" si="69"/>
        <v>80.46866382192708</v>
      </c>
      <c r="P25" s="179">
        <f t="shared" ca="1" si="70"/>
        <v>46989.43736897585</v>
      </c>
      <c r="R25" s="39">
        <f t="shared" si="23"/>
        <v>17</v>
      </c>
      <c r="S25" s="29">
        <f t="shared" ca="1" si="71"/>
        <v>3781177.2388256155</v>
      </c>
      <c r="T25" s="10">
        <f t="shared" si="72"/>
        <v>9.5570479828631019</v>
      </c>
      <c r="U25" s="47">
        <f t="shared" ca="1" si="73"/>
        <v>395642.80158535414</v>
      </c>
      <c r="W25" s="68">
        <f t="shared" si="24"/>
        <v>17</v>
      </c>
      <c r="X25" s="29">
        <f t="shared" ca="1" si="74"/>
        <v>3781177.2388256155</v>
      </c>
      <c r="Y25" s="29">
        <f t="shared" ca="1" si="75"/>
        <v>102042389.31562354</v>
      </c>
      <c r="Z25" s="61">
        <f t="shared" si="76"/>
        <v>9.5570479828631019</v>
      </c>
      <c r="AA25" s="62">
        <f t="shared" ca="1" si="77"/>
        <v>395642.80158535414</v>
      </c>
      <c r="AB25" s="57">
        <f t="shared" ca="1" si="78"/>
        <v>15462016.59590365</v>
      </c>
      <c r="AC25" s="58">
        <f t="shared" ca="1" si="79"/>
        <v>17</v>
      </c>
      <c r="AD25" s="59">
        <f t="shared" ca="1" si="80"/>
        <v>17</v>
      </c>
      <c r="AF25" s="60">
        <f t="shared" si="27"/>
        <v>17</v>
      </c>
      <c r="AG25" s="84">
        <f t="shared" ca="1" si="52"/>
        <v>3263049.4499836732</v>
      </c>
      <c r="AH25" s="61">
        <f t="shared" si="53"/>
        <v>9.5570479828631019</v>
      </c>
      <c r="AI25" s="29">
        <f t="shared" ca="1" si="54"/>
        <v>341428.59341448324</v>
      </c>
      <c r="AJ25" s="57">
        <f t="shared" ca="1" si="55"/>
        <v>518127.78884194233</v>
      </c>
      <c r="AK25" s="80">
        <f t="shared" ca="1" si="56"/>
        <v>-1473759.1208066586</v>
      </c>
      <c r="AL25" s="57">
        <f t="shared" ca="1" si="57"/>
        <v>-154206.52103549967</v>
      </c>
      <c r="AM25" s="185">
        <f ca="1">OFFSET('Combined IFRS17 Cashflows'!$E$25,0,COUNTA('Appraisal Calcs - IFRS 17'!$AF$9:AF25))</f>
        <v>60264400.692231938</v>
      </c>
      <c r="AN25" s="81">
        <f t="shared" ca="1" si="58"/>
        <v>6305754.7477309955</v>
      </c>
      <c r="AP25" s="60">
        <f t="shared" si="31"/>
        <v>17</v>
      </c>
      <c r="AQ25" s="61">
        <f t="shared" si="59"/>
        <v>9.5570479828631019</v>
      </c>
      <c r="AR25" s="90">
        <f t="shared" ca="1" si="60"/>
        <v>-54214.20817087093</v>
      </c>
      <c r="AS25" s="85">
        <f t="shared" ca="1" si="61"/>
        <v>341428.59341448324</v>
      </c>
    </row>
    <row r="26" spans="2:45" x14ac:dyDescent="0.3">
      <c r="B26" s="39">
        <f t="shared" si="17"/>
        <v>18</v>
      </c>
      <c r="C26" s="176" cm="1">
        <f t="array" aca="1" ref="C26" ca="1">OFFSET('Results Tables'!$D$27,0,'Appraisal Calcs - IFRS 17'!B25:B25)</f>
        <v>1883673.7526751105</v>
      </c>
      <c r="D26" s="174"/>
      <c r="E26" s="123">
        <f ca="1">OFFSET('CAR Calcs'!$C$59,0,COUNTA('Appraisal Calcs - IFRS 17'!$B$9:B26))</f>
        <v>10313968.774553899</v>
      </c>
      <c r="F26" s="177">
        <f t="shared" ca="1" si="63"/>
        <v>64616.583239473403</v>
      </c>
      <c r="G26" s="123">
        <f ca="1">E26+SUM(D$8:D26)</f>
        <v>10313968.774553899</v>
      </c>
      <c r="H26" s="178">
        <f t="shared" ca="1" si="62"/>
        <v>0</v>
      </c>
      <c r="I26" s="177">
        <f t="shared" ca="1" si="64"/>
        <v>515698.43872769497</v>
      </c>
      <c r="J26" s="177">
        <f t="shared" ca="1" si="65"/>
        <v>2399372.1914028055</v>
      </c>
      <c r="K26" s="177">
        <f t="shared" ca="1" si="66"/>
        <v>527861.88210861722</v>
      </c>
      <c r="L26" s="177">
        <f t="shared" ca="1" si="67"/>
        <v>1871510.3092941884</v>
      </c>
      <c r="M26" s="177">
        <f t="shared" ca="1" si="68"/>
        <v>1936126.8925336618</v>
      </c>
      <c r="N26" s="32">
        <f t="shared" ca="1" si="22"/>
        <v>0.18145394369541662</v>
      </c>
      <c r="O26" s="31">
        <f t="shared" si="69"/>
        <v>104.16515956727025</v>
      </c>
      <c r="P26" s="179">
        <f t="shared" ca="1" si="70"/>
        <v>18587.08708916539</v>
      </c>
      <c r="R26" s="39">
        <f t="shared" si="23"/>
        <v>18</v>
      </c>
      <c r="S26" s="29">
        <f t="shared" ca="1" si="71"/>
        <v>1936126.8925336618</v>
      </c>
      <c r="T26" s="10">
        <f t="shared" si="72"/>
        <v>10.914148796429661</v>
      </c>
      <c r="U26" s="47">
        <f t="shared" ca="1" si="73"/>
        <v>177396.05063539412</v>
      </c>
      <c r="W26" s="68">
        <f t="shared" si="24"/>
        <v>18</v>
      </c>
      <c r="X26" s="29">
        <f t="shared" ca="1" si="74"/>
        <v>1936126.8925336618</v>
      </c>
      <c r="Y26" s="29">
        <f t="shared" ca="1" si="75"/>
        <v>103978516.2081572</v>
      </c>
      <c r="Z26" s="61">
        <f t="shared" si="76"/>
        <v>10.914148796429661</v>
      </c>
      <c r="AA26" s="62">
        <f t="shared" ca="1" si="77"/>
        <v>177396.05063539412</v>
      </c>
      <c r="AB26" s="57">
        <f t="shared" ca="1" si="78"/>
        <v>15639412.646539044</v>
      </c>
      <c r="AC26" s="58">
        <f t="shared" ca="1" si="79"/>
        <v>18</v>
      </c>
      <c r="AD26" s="59">
        <f t="shared" ca="1" si="80"/>
        <v>18</v>
      </c>
      <c r="AF26" s="60">
        <f t="shared" si="27"/>
        <v>18</v>
      </c>
      <c r="AG26" s="84">
        <f t="shared" ca="1" si="52"/>
        <v>1871510.3092941884</v>
      </c>
      <c r="AH26" s="61">
        <f t="shared" si="53"/>
        <v>10.914148796429661</v>
      </c>
      <c r="AI26" s="29">
        <f t="shared" ca="1" si="54"/>
        <v>171475.60879016184</v>
      </c>
      <c r="AJ26" s="57">
        <f t="shared" ca="1" si="55"/>
        <v>64616.583239473403</v>
      </c>
      <c r="AK26" s="80">
        <f t="shared" ca="1" si="56"/>
        <v>-1464583.5659866536</v>
      </c>
      <c r="AL26" s="57">
        <f t="shared" ca="1" si="57"/>
        <v>-134191.27714895751</v>
      </c>
      <c r="AM26" s="185">
        <f ca="1">OFFSET('Combined IFRS17 Cashflows'!$E$25,0,COUNTA('Appraisal Calcs - IFRS 17'!$AF$9:AF26))</f>
        <v>54755815.33761894</v>
      </c>
      <c r="AN26" s="81">
        <f t="shared" ca="1" si="58"/>
        <v>5016957.0123078385</v>
      </c>
      <c r="AP26" s="60">
        <f t="shared" si="31"/>
        <v>18</v>
      </c>
      <c r="AQ26" s="61">
        <f t="shared" si="59"/>
        <v>10.914148796429661</v>
      </c>
      <c r="AR26" s="90">
        <f t="shared" ca="1" si="60"/>
        <v>-5920.4418452322534</v>
      </c>
      <c r="AS26" s="85">
        <f t="shared" ca="1" si="61"/>
        <v>171475.60879016184</v>
      </c>
    </row>
    <row r="27" spans="2:45" x14ac:dyDescent="0.3">
      <c r="B27" s="39">
        <f t="shared" si="17"/>
        <v>19</v>
      </c>
      <c r="C27" s="176" cm="1">
        <f t="array" aca="1" ref="C27" ca="1">OFFSET('Results Tables'!$D$27,0,'Appraisal Calcs - IFRS 17'!B26:B26)</f>
        <v>330569.17757193075</v>
      </c>
      <c r="D27" s="174"/>
      <c r="E27" s="123">
        <f ca="1">OFFSET('CAR Calcs'!$C$59,0,COUNTA('Appraisal Calcs - IFRS 17'!$B$9:B27))</f>
        <v>10394328.545760809</v>
      </c>
      <c r="F27" s="177">
        <f t="shared" ca="1" si="63"/>
        <v>-80359.771206909791</v>
      </c>
      <c r="G27" s="123">
        <f ca="1">E27+SUM(D$8:D27)</f>
        <v>10394328.545760809</v>
      </c>
      <c r="H27" s="178">
        <f t="shared" ca="1" si="62"/>
        <v>0</v>
      </c>
      <c r="I27" s="177">
        <f t="shared" ca="1" si="64"/>
        <v>519716.42728804046</v>
      </c>
      <c r="J27" s="177">
        <f t="shared" ca="1" si="65"/>
        <v>850285.60485997121</v>
      </c>
      <c r="K27" s="177">
        <f t="shared" ca="1" si="66"/>
        <v>187062.83306919367</v>
      </c>
      <c r="L27" s="177">
        <f t="shared" ca="1" si="67"/>
        <v>663222.77179077757</v>
      </c>
      <c r="M27" s="177">
        <f t="shared" ca="1" si="68"/>
        <v>582863.00058386778</v>
      </c>
      <c r="N27" s="32">
        <f t="shared" ca="1" si="22"/>
        <v>6.3806215944681138E-2</v>
      </c>
      <c r="O27" s="31">
        <f t="shared" si="69"/>
        <v>134.83982400510828</v>
      </c>
      <c r="P27" s="179">
        <f t="shared" ca="1" si="70"/>
        <v>4322.6324632534861</v>
      </c>
      <c r="R27" s="39">
        <f t="shared" si="23"/>
        <v>19</v>
      </c>
      <c r="S27" s="29">
        <f t="shared" ca="1" si="71"/>
        <v>582863.00058386778</v>
      </c>
      <c r="T27" s="10">
        <f t="shared" si="72"/>
        <v>12.463957925522672</v>
      </c>
      <c r="U27" s="47">
        <f t="shared" ca="1" si="73"/>
        <v>46763.877418931967</v>
      </c>
      <c r="W27" s="68">
        <f t="shared" si="24"/>
        <v>19</v>
      </c>
      <c r="X27" s="29">
        <f t="shared" ca="1" si="74"/>
        <v>582863.00058386778</v>
      </c>
      <c r="Y27" s="29">
        <f t="shared" ca="1" si="75"/>
        <v>104561379.20874107</v>
      </c>
      <c r="Z27" s="61">
        <f t="shared" si="76"/>
        <v>12.463957925522672</v>
      </c>
      <c r="AA27" s="62">
        <f t="shared" ca="1" si="77"/>
        <v>46763.877418931967</v>
      </c>
      <c r="AB27" s="57">
        <f t="shared" ca="1" si="78"/>
        <v>15686176.523957975</v>
      </c>
      <c r="AC27" s="58">
        <f t="shared" ca="1" si="79"/>
        <v>19</v>
      </c>
      <c r="AD27" s="59">
        <f t="shared" ca="1" si="80"/>
        <v>19</v>
      </c>
      <c r="AF27" s="60">
        <f t="shared" si="27"/>
        <v>19</v>
      </c>
      <c r="AG27" s="84">
        <f t="shared" ca="1" si="52"/>
        <v>663222.77179077757</v>
      </c>
      <c r="AH27" s="61">
        <f t="shared" si="53"/>
        <v>12.463957925522672</v>
      </c>
      <c r="AI27" s="29">
        <f t="shared" ca="1" si="54"/>
        <v>53211.249247936263</v>
      </c>
      <c r="AJ27" s="57">
        <f t="shared" ca="1" si="55"/>
        <v>-80359.771206909791</v>
      </c>
      <c r="AK27" s="80">
        <f t="shared" ca="1" si="56"/>
        <v>-1475994.6534980347</v>
      </c>
      <c r="AL27" s="57">
        <f t="shared" ca="1" si="57"/>
        <v>-118421.02342752728</v>
      </c>
      <c r="AM27" s="185">
        <f ca="1">OFFSET('Combined IFRS17 Cashflows'!$E$25,0,COUNTA('Appraisal Calcs - IFRS 17'!$AF$9:AF27))</f>
        <v>49574025.368581116</v>
      </c>
      <c r="AN27" s="81">
        <f t="shared" ca="1" si="58"/>
        <v>3977390.3012836305</v>
      </c>
      <c r="AP27" s="60">
        <f t="shared" si="31"/>
        <v>19</v>
      </c>
      <c r="AQ27" s="61">
        <f t="shared" si="59"/>
        <v>12.463957925522672</v>
      </c>
      <c r="AR27" s="90">
        <f t="shared" ca="1" si="60"/>
        <v>6447.3718290043025</v>
      </c>
      <c r="AS27" s="85">
        <f t="shared" ca="1" si="61"/>
        <v>53211.249247936263</v>
      </c>
    </row>
    <row r="28" spans="2:45" x14ac:dyDescent="0.3">
      <c r="B28" s="39">
        <f t="shared" si="17"/>
        <v>20</v>
      </c>
      <c r="C28" s="176" cm="1">
        <f t="array" aca="1" ref="C28" ca="1">OFFSET('Results Tables'!$D$27,0,'Appraisal Calcs - IFRS 17'!B27:B27)</f>
        <v>-490060.20314060303</v>
      </c>
      <c r="D28" s="174"/>
      <c r="E28" s="123">
        <f ca="1">OFFSET('CAR Calcs'!$C$59,0,COUNTA('Appraisal Calcs - IFRS 17'!$B$9:B28))</f>
        <v>10639626.918927073</v>
      </c>
      <c r="F28" s="177">
        <f t="shared" ca="1" si="63"/>
        <v>-245298.37316626497</v>
      </c>
      <c r="G28" s="123">
        <f ca="1">E28+SUM(D$8:D28)</f>
        <v>10639626.918927073</v>
      </c>
      <c r="H28" s="178">
        <f t="shared" ca="1" si="62"/>
        <v>0</v>
      </c>
      <c r="I28" s="177">
        <f t="shared" ca="1" si="64"/>
        <v>531981.34594635374</v>
      </c>
      <c r="J28" s="177">
        <f t="shared" ca="1" si="65"/>
        <v>41921.142805750715</v>
      </c>
      <c r="K28" s="177">
        <f t="shared" ca="1" si="66"/>
        <v>9222.6514172651569</v>
      </c>
      <c r="L28" s="177">
        <f t="shared" ca="1" si="67"/>
        <v>32698.491388485556</v>
      </c>
      <c r="M28" s="177">
        <f t="shared" ca="1" si="68"/>
        <v>-212599.8817777794</v>
      </c>
      <c r="N28" s="32">
        <f t="shared" ca="1" si="22"/>
        <v>3.0732742452009732E-3</v>
      </c>
      <c r="O28" s="31">
        <f t="shared" si="69"/>
        <v>174.54759550372231</v>
      </c>
      <c r="P28" s="179">
        <f t="shared" ca="1" si="70"/>
        <v>-1218.0052160801356</v>
      </c>
      <c r="R28" s="39">
        <f t="shared" si="23"/>
        <v>20</v>
      </c>
      <c r="S28" s="29">
        <f t="shared" ca="1" si="71"/>
        <v>-212599.8817777794</v>
      </c>
      <c r="T28" s="10">
        <f t="shared" si="72"/>
        <v>14.233839950946891</v>
      </c>
      <c r="U28" s="47">
        <f t="shared" ca="1" si="73"/>
        <v>-14936.228207598781</v>
      </c>
      <c r="W28" s="68">
        <f t="shared" si="24"/>
        <v>20</v>
      </c>
      <c r="X28" s="29">
        <f t="shared" ca="1" si="74"/>
        <v>-212599.8817777794</v>
      </c>
      <c r="Y28" s="29">
        <f t="shared" ca="1" si="75"/>
        <v>104348779.32696329</v>
      </c>
      <c r="Z28" s="61">
        <f t="shared" si="76"/>
        <v>14.233839950946891</v>
      </c>
      <c r="AA28" s="62">
        <f t="shared" ca="1" si="77"/>
        <v>-14936.228207598781</v>
      </c>
      <c r="AB28" s="57">
        <f t="shared" ca="1" si="78"/>
        <v>15671240.295750376</v>
      </c>
      <c r="AC28" s="58">
        <f t="shared" ca="1" si="79"/>
        <v>20</v>
      </c>
      <c r="AD28" s="59">
        <f t="shared" ca="1" si="80"/>
        <v>20</v>
      </c>
      <c r="AF28" s="60">
        <f t="shared" si="27"/>
        <v>20</v>
      </c>
      <c r="AG28" s="84">
        <f t="shared" ca="1" si="52"/>
        <v>32698.49138848556</v>
      </c>
      <c r="AH28" s="61">
        <f t="shared" si="53"/>
        <v>14.233839950946891</v>
      </c>
      <c r="AI28" s="29">
        <f t="shared" ca="1" si="54"/>
        <v>2297.2361289133596</v>
      </c>
      <c r="AJ28" s="57">
        <f t="shared" ca="1" si="55"/>
        <v>-245298.37316626497</v>
      </c>
      <c r="AK28" s="80">
        <f t="shared" ca="1" si="56"/>
        <v>-1510827.0224876443</v>
      </c>
      <c r="AL28" s="57">
        <f t="shared" ca="1" si="57"/>
        <v>-106143.31956058971</v>
      </c>
      <c r="AM28" s="185">
        <f ca="1">OFFSET('Combined IFRS17 Cashflows'!$E$25,0,COUNTA('Appraisal Calcs - IFRS 17'!$AF$9:AF28))</f>
        <v>44646395.825831003</v>
      </c>
      <c r="AN28" s="81">
        <f t="shared" ca="1" si="58"/>
        <v>3136637.4765834678</v>
      </c>
      <c r="AP28" s="60">
        <f t="shared" si="31"/>
        <v>20</v>
      </c>
      <c r="AQ28" s="61">
        <f t="shared" si="59"/>
        <v>14.233839950946891</v>
      </c>
      <c r="AR28" s="90">
        <f t="shared" ca="1" si="60"/>
        <v>17233.464336512141</v>
      </c>
      <c r="AS28" s="85">
        <f t="shared" ca="1" si="61"/>
        <v>2297.2361289133592</v>
      </c>
    </row>
    <row r="29" spans="2:45" x14ac:dyDescent="0.3">
      <c r="B29" s="39">
        <f t="shared" si="17"/>
        <v>21</v>
      </c>
      <c r="C29" s="176" cm="1">
        <f t="array" aca="1" ref="C29" ca="1">OFFSET('Results Tables'!$D$27,0,'Appraisal Calcs - IFRS 17'!B28:B28)</f>
        <v>-1747733.5746391879</v>
      </c>
      <c r="D29" s="174"/>
      <c r="E29" s="123">
        <f ca="1">OFFSET('CAR Calcs'!$C$59,0,COUNTA('Appraisal Calcs - IFRS 17'!$B$9:B29))</f>
        <v>10773588.685127802</v>
      </c>
      <c r="F29" s="177">
        <f t="shared" ca="1" si="63"/>
        <v>-133961.76620072871</v>
      </c>
      <c r="G29" s="123">
        <f ca="1">E29+SUM(D$8:D29)</f>
        <v>10773588.685127802</v>
      </c>
      <c r="H29" s="178">
        <f t="shared" ca="1" si="62"/>
        <v>0</v>
      </c>
      <c r="I29" s="177">
        <f t="shared" ca="1" si="64"/>
        <v>538679.43425639009</v>
      </c>
      <c r="J29" s="177">
        <f t="shared" ca="1" si="65"/>
        <v>-1209054.1403827979</v>
      </c>
      <c r="K29" s="177">
        <f t="shared" ca="1" si="66"/>
        <v>0</v>
      </c>
      <c r="L29" s="177">
        <f t="shared" ca="1" si="67"/>
        <v>-1209054.1403827979</v>
      </c>
      <c r="M29" s="177">
        <f t="shared" ca="1" si="68"/>
        <v>-1343015.9065835266</v>
      </c>
      <c r="N29" s="32">
        <f t="shared" ca="1" si="22"/>
        <v>-0.11222390010598919</v>
      </c>
      <c r="O29" s="31">
        <f t="shared" si="69"/>
        <v>225.94855281757748</v>
      </c>
      <c r="P29" s="179">
        <f t="shared" ca="1" si="70"/>
        <v>-5943.9013431868634</v>
      </c>
      <c r="R29" s="39">
        <f t="shared" si="23"/>
        <v>21</v>
      </c>
      <c r="S29" s="29">
        <f t="shared" ca="1" si="71"/>
        <v>-1343015.9065835266</v>
      </c>
      <c r="T29" s="10">
        <f t="shared" si="72"/>
        <v>16.255045223981348</v>
      </c>
      <c r="U29" s="47">
        <f t="shared" ca="1" si="73"/>
        <v>-82621.480781988357</v>
      </c>
      <c r="W29" s="68">
        <f t="shared" si="24"/>
        <v>21</v>
      </c>
      <c r="X29" s="29">
        <f t="shared" ca="1" si="74"/>
        <v>-1343015.9065835266</v>
      </c>
      <c r="Y29" s="29">
        <f t="shared" ca="1" si="75"/>
        <v>103005763.42037976</v>
      </c>
      <c r="Z29" s="61">
        <f t="shared" si="76"/>
        <v>16.255045223981348</v>
      </c>
      <c r="AA29" s="62">
        <f t="shared" ca="1" si="77"/>
        <v>-82621.480781988357</v>
      </c>
      <c r="AB29" s="57">
        <f t="shared" ca="1" si="78"/>
        <v>15588618.814968387</v>
      </c>
      <c r="AC29" s="58">
        <f t="shared" ca="1" si="79"/>
        <v>21</v>
      </c>
      <c r="AD29" s="59">
        <f t="shared" ca="1" si="80"/>
        <v>21</v>
      </c>
      <c r="AF29" s="60">
        <f t="shared" si="27"/>
        <v>21</v>
      </c>
      <c r="AG29" s="84">
        <f t="shared" ca="1" si="52"/>
        <v>-1209054.1403827979</v>
      </c>
      <c r="AH29" s="61">
        <f t="shared" si="53"/>
        <v>16.255045223981348</v>
      </c>
      <c r="AI29" s="29">
        <f t="shared" ca="1" si="54"/>
        <v>-74380.238487374954</v>
      </c>
      <c r="AJ29" s="57">
        <f t="shared" ca="1" si="55"/>
        <v>-133961.76620072871</v>
      </c>
      <c r="AK29" s="80">
        <f t="shared" ca="1" si="56"/>
        <v>-1529849.5932881478</v>
      </c>
      <c r="AL29" s="57">
        <f t="shared" ca="1" si="57"/>
        <v>-94115.369856439051</v>
      </c>
      <c r="AM29" s="185">
        <f ca="1">OFFSET('Combined IFRS17 Cashflows'!$E$25,0,COUNTA('Appraisal Calcs - IFRS 17'!$AF$9:AF29))</f>
        <v>40433316.907348871</v>
      </c>
      <c r="AN29" s="81">
        <f t="shared" ca="1" si="58"/>
        <v>2487431.8311767536</v>
      </c>
      <c r="AP29" s="60">
        <f t="shared" si="31"/>
        <v>21</v>
      </c>
      <c r="AQ29" s="61">
        <f t="shared" si="59"/>
        <v>16.255045223981348</v>
      </c>
      <c r="AR29" s="90">
        <f t="shared" ca="1" si="60"/>
        <v>8241.2422946134047</v>
      </c>
      <c r="AS29" s="85">
        <f t="shared" ca="1" si="61"/>
        <v>-74380.238487374954</v>
      </c>
    </row>
    <row r="30" spans="2:45" x14ac:dyDescent="0.3">
      <c r="B30" s="39">
        <f t="shared" si="17"/>
        <v>22</v>
      </c>
      <c r="C30" s="176" cm="1">
        <f t="array" aca="1" ref="C30" ca="1">OFFSET('Results Tables'!$D$27,0,'Appraisal Calcs - IFRS 17'!B29:B29)</f>
        <v>-2839029.7145686606</v>
      </c>
      <c r="D30" s="174"/>
      <c r="E30" s="123">
        <f ca="1">OFFSET('CAR Calcs'!$C$59,0,COUNTA('Appraisal Calcs - IFRS 17'!$B$9:B30))</f>
        <v>10837949.092822319</v>
      </c>
      <c r="F30" s="177">
        <f t="shared" ca="1" si="63"/>
        <v>-64360.407694516703</v>
      </c>
      <c r="G30" s="123">
        <f ca="1">E30+SUM(D$8:D30)</f>
        <v>10837949.092822319</v>
      </c>
      <c r="H30" s="178">
        <f t="shared" ca="1" si="62"/>
        <v>0</v>
      </c>
      <c r="I30" s="177">
        <f t="shared" ca="1" si="64"/>
        <v>541897.45464111597</v>
      </c>
      <c r="J30" s="177">
        <f t="shared" ca="1" si="65"/>
        <v>-2297132.2599275447</v>
      </c>
      <c r="K30" s="177">
        <f t="shared" ca="1" si="66"/>
        <v>0</v>
      </c>
      <c r="L30" s="177">
        <f t="shared" ca="1" si="67"/>
        <v>-2297132.2599275447</v>
      </c>
      <c r="M30" s="177">
        <f t="shared" ca="1" si="68"/>
        <v>-2361492.6676220614</v>
      </c>
      <c r="N30" s="32">
        <f t="shared" ca="1" si="22"/>
        <v>-0.21195267114226191</v>
      </c>
      <c r="O30" s="31">
        <f t="shared" si="69"/>
        <v>292.48611745710855</v>
      </c>
      <c r="P30" s="179">
        <f t="shared" ca="1" si="70"/>
        <v>-8073.8624046604918</v>
      </c>
      <c r="R30" s="39">
        <f t="shared" si="23"/>
        <v>22</v>
      </c>
      <c r="S30" s="29">
        <f t="shared" ca="1" si="71"/>
        <v>-2361492.6676220614</v>
      </c>
      <c r="T30" s="10">
        <f t="shared" si="72"/>
        <v>18.563261645786699</v>
      </c>
      <c r="U30" s="47">
        <f t="shared" ca="1" si="73"/>
        <v>-127213.24046833381</v>
      </c>
      <c r="W30" s="68">
        <f t="shared" si="24"/>
        <v>22</v>
      </c>
      <c r="X30" s="29">
        <f t="shared" ca="1" si="74"/>
        <v>-2361492.6676220614</v>
      </c>
      <c r="Y30" s="29">
        <f t="shared" ca="1" si="75"/>
        <v>100644270.7527577</v>
      </c>
      <c r="Z30" s="61">
        <f t="shared" si="76"/>
        <v>18.563261645786699</v>
      </c>
      <c r="AA30" s="62">
        <f t="shared" ca="1" si="77"/>
        <v>-127213.24046833381</v>
      </c>
      <c r="AB30" s="57">
        <f t="shared" ca="1" si="78"/>
        <v>15461405.574500052</v>
      </c>
      <c r="AC30" s="58">
        <f t="shared" ca="1" si="79"/>
        <v>22</v>
      </c>
      <c r="AD30" s="59">
        <f t="shared" ca="1" si="80"/>
        <v>22</v>
      </c>
      <c r="AF30" s="60">
        <f t="shared" si="27"/>
        <v>22</v>
      </c>
      <c r="AG30" s="84">
        <f t="shared" ca="1" si="52"/>
        <v>-2297132.2599275447</v>
      </c>
      <c r="AH30" s="61">
        <f t="shared" si="53"/>
        <v>18.563261645786699</v>
      </c>
      <c r="AI30" s="29">
        <f t="shared" ca="1" si="54"/>
        <v>-123746.15537722189</v>
      </c>
      <c r="AJ30" s="57">
        <f t="shared" ca="1" si="55"/>
        <v>-64360.407694516703</v>
      </c>
      <c r="AK30" s="80">
        <f t="shared" ca="1" si="56"/>
        <v>-1538988.7711807692</v>
      </c>
      <c r="AL30" s="57">
        <f t="shared" ca="1" si="57"/>
        <v>-82905.084275966845</v>
      </c>
      <c r="AM30" s="185">
        <f ca="1">OFFSET('Combined IFRS17 Cashflows'!$E$25,0,COUNTA('Appraisal Calcs - IFRS 17'!$AF$9:AF30))</f>
        <v>36566017.451880127</v>
      </c>
      <c r="AN30" s="81">
        <f t="shared" ca="1" si="58"/>
        <v>1969805.6381260732</v>
      </c>
      <c r="AP30" s="60">
        <f t="shared" si="31"/>
        <v>22</v>
      </c>
      <c r="AQ30" s="61">
        <f t="shared" si="59"/>
        <v>18.563261645786699</v>
      </c>
      <c r="AR30" s="90">
        <f t="shared" ca="1" si="60"/>
        <v>3467.0850911119155</v>
      </c>
      <c r="AS30" s="85">
        <f t="shared" ca="1" si="61"/>
        <v>-123746.15537722189</v>
      </c>
    </row>
    <row r="31" spans="2:45" x14ac:dyDescent="0.3">
      <c r="B31" s="39">
        <f t="shared" si="17"/>
        <v>23</v>
      </c>
      <c r="C31" s="176" cm="1">
        <f t="array" aca="1" ref="C31" ca="1">OFFSET('Results Tables'!$D$27,0,'Appraisal Calcs - IFRS 17'!B30:B30)</f>
        <v>-3758508.2163615297</v>
      </c>
      <c r="D31" s="174"/>
      <c r="E31" s="123">
        <f ca="1">OFFSET('CAR Calcs'!$C$59,0,COUNTA('Appraisal Calcs - IFRS 17'!$B$9:B31))</f>
        <v>10804614.957433376</v>
      </c>
      <c r="F31" s="177">
        <f t="shared" ca="1" si="63"/>
        <v>33334.135388942435</v>
      </c>
      <c r="G31" s="123">
        <f ca="1">E31+SUM(D$8:D31)</f>
        <v>10804614.957433376</v>
      </c>
      <c r="H31" s="178">
        <f t="shared" ca="1" si="62"/>
        <v>0</v>
      </c>
      <c r="I31" s="177">
        <f t="shared" ca="1" si="64"/>
        <v>540230.74787166889</v>
      </c>
      <c r="J31" s="177">
        <f t="shared" ca="1" si="65"/>
        <v>-3218277.4684898607</v>
      </c>
      <c r="K31" s="177">
        <f t="shared" ca="1" si="66"/>
        <v>0</v>
      </c>
      <c r="L31" s="177">
        <f t="shared" ca="1" si="67"/>
        <v>-3218277.4684898607</v>
      </c>
      <c r="M31" s="177">
        <f t="shared" ca="1" si="68"/>
        <v>-3184943.3331009182</v>
      </c>
      <c r="N31" s="32">
        <f t="shared" ca="1" si="22"/>
        <v>-0.29786137508544391</v>
      </c>
      <c r="O31" s="31">
        <f t="shared" si="69"/>
        <v>378.61773327754798</v>
      </c>
      <c r="P31" s="179">
        <f t="shared" ca="1" si="70"/>
        <v>-8412.0289494369154</v>
      </c>
      <c r="R31" s="39">
        <f t="shared" si="23"/>
        <v>23</v>
      </c>
      <c r="S31" s="29">
        <f t="shared" ca="1" si="71"/>
        <v>-3184943.3331009182</v>
      </c>
      <c r="T31" s="10">
        <f t="shared" si="72"/>
        <v>21.199244799488412</v>
      </c>
      <c r="U31" s="47">
        <f t="shared" ca="1" si="73"/>
        <v>-150238.52798651482</v>
      </c>
      <c r="W31" s="68">
        <f t="shared" si="24"/>
        <v>23</v>
      </c>
      <c r="X31" s="29">
        <f t="shared" ca="1" si="74"/>
        <v>-3184943.3331009182</v>
      </c>
      <c r="Y31" s="29">
        <f t="shared" ca="1" si="75"/>
        <v>97459327.419656783</v>
      </c>
      <c r="Z31" s="61">
        <f t="shared" si="76"/>
        <v>21.199244799488412</v>
      </c>
      <c r="AA31" s="62">
        <f t="shared" ca="1" si="77"/>
        <v>-150238.52798651482</v>
      </c>
      <c r="AB31" s="57">
        <f t="shared" ca="1" si="78"/>
        <v>15311167.046513537</v>
      </c>
      <c r="AC31" s="58">
        <f t="shared" ca="1" si="79"/>
        <v>23</v>
      </c>
      <c r="AD31" s="59">
        <f t="shared" ca="1" si="80"/>
        <v>23</v>
      </c>
      <c r="AF31" s="60">
        <f t="shared" si="27"/>
        <v>23</v>
      </c>
      <c r="AG31" s="84">
        <f t="shared" ca="1" si="52"/>
        <v>-3218277.4684898607</v>
      </c>
      <c r="AH31" s="61">
        <f t="shared" si="53"/>
        <v>21.199244799488412</v>
      </c>
      <c r="AI31" s="29">
        <f t="shared" ca="1" si="54"/>
        <v>-151810.94887717534</v>
      </c>
      <c r="AJ31" s="57">
        <f t="shared" ca="1" si="55"/>
        <v>33334.135388942435</v>
      </c>
      <c r="AK31" s="80">
        <f t="shared" ca="1" si="56"/>
        <v>-1534255.3239555394</v>
      </c>
      <c r="AL31" s="57">
        <f t="shared" ca="1" si="57"/>
        <v>-72373.112272026061</v>
      </c>
      <c r="AM31" s="185">
        <f ca="1">OFFSET('Combined IFRS17 Cashflows'!$E$25,0,COUNTA('Appraisal Calcs - IFRS 17'!$AF$9:AF31))</f>
        <v>32930827.600326903</v>
      </c>
      <c r="AN31" s="81">
        <f t="shared" ca="1" si="58"/>
        <v>1553396.2606593233</v>
      </c>
      <c r="AP31" s="60">
        <f t="shared" si="31"/>
        <v>23</v>
      </c>
      <c r="AQ31" s="61">
        <f t="shared" si="59"/>
        <v>21.199244799488412</v>
      </c>
      <c r="AR31" s="90">
        <f t="shared" ca="1" si="60"/>
        <v>-1572.4208906605422</v>
      </c>
      <c r="AS31" s="85">
        <f t="shared" ca="1" si="61"/>
        <v>-151810.94887717534</v>
      </c>
    </row>
    <row r="32" spans="2:45" x14ac:dyDescent="0.3">
      <c r="B32" s="39">
        <f t="shared" si="17"/>
        <v>24</v>
      </c>
      <c r="C32" s="176" cm="1">
        <f t="array" aca="1" ref="C32" ca="1">OFFSET('Results Tables'!$D$27,0,'Appraisal Calcs - IFRS 17'!B31:B31)</f>
        <v>-4497402.1751979263</v>
      </c>
      <c r="D32" s="174"/>
      <c r="E32" s="123">
        <f ca="1">OFFSET('CAR Calcs'!$C$59,0,COUNTA('Appraisal Calcs - IFRS 17'!$B$9:B32))</f>
        <v>10663107.045442265</v>
      </c>
      <c r="F32" s="177">
        <f t="shared" ca="1" si="63"/>
        <v>141507.91199111193</v>
      </c>
      <c r="G32" s="123">
        <f ca="1">E32+SUM(D$8:D32)</f>
        <v>10663107.045442265</v>
      </c>
      <c r="H32" s="178">
        <f t="shared" ca="1" si="62"/>
        <v>0</v>
      </c>
      <c r="I32" s="177">
        <f t="shared" ca="1" si="64"/>
        <v>533155.3522721132</v>
      </c>
      <c r="J32" s="177">
        <f t="shared" ca="1" si="65"/>
        <v>-3964246.822925813</v>
      </c>
      <c r="K32" s="177">
        <f t="shared" ca="1" si="66"/>
        <v>0</v>
      </c>
      <c r="L32" s="177">
        <f t="shared" ca="1" si="67"/>
        <v>-3964246.822925813</v>
      </c>
      <c r="M32" s="177">
        <f t="shared" ca="1" si="68"/>
        <v>-3822738.9109347011</v>
      </c>
      <c r="N32" s="32">
        <f t="shared" ca="1" si="22"/>
        <v>-0.37177220542114436</v>
      </c>
      <c r="O32" s="31">
        <f t="shared" si="69"/>
        <v>490.11347683279399</v>
      </c>
      <c r="P32" s="179">
        <f t="shared" ca="1" si="70"/>
        <v>-7799.7016846750739</v>
      </c>
      <c r="R32" s="39">
        <f t="shared" si="23"/>
        <v>24</v>
      </c>
      <c r="S32" s="29">
        <f t="shared" ca="1" si="71"/>
        <v>-3822738.9109347011</v>
      </c>
      <c r="T32" s="10">
        <f t="shared" si="72"/>
        <v>24.209537561015761</v>
      </c>
      <c r="U32" s="47">
        <f t="shared" ca="1" si="73"/>
        <v>-157902.18633049802</v>
      </c>
      <c r="W32" s="68">
        <f t="shared" si="24"/>
        <v>24</v>
      </c>
      <c r="X32" s="29">
        <f t="shared" ca="1" si="74"/>
        <v>-3822738.9109347011</v>
      </c>
      <c r="Y32" s="29">
        <f t="shared" ca="1" si="75"/>
        <v>93636588.508722082</v>
      </c>
      <c r="Z32" s="61">
        <f t="shared" si="76"/>
        <v>24.209537561015761</v>
      </c>
      <c r="AA32" s="62">
        <f t="shared" ca="1" si="77"/>
        <v>-157902.18633049802</v>
      </c>
      <c r="AB32" s="57">
        <f t="shared" ca="1" si="78"/>
        <v>15153264.86018304</v>
      </c>
      <c r="AC32" s="58">
        <f t="shared" ca="1" si="79"/>
        <v>24</v>
      </c>
      <c r="AD32" s="59">
        <f t="shared" ca="1" si="80"/>
        <v>24</v>
      </c>
      <c r="AF32" s="60">
        <f t="shared" si="27"/>
        <v>24</v>
      </c>
      <c r="AG32" s="84">
        <f t="shared" ca="1" si="52"/>
        <v>-3964246.822925813</v>
      </c>
      <c r="AH32" s="61">
        <f t="shared" si="53"/>
        <v>24.209537561015761</v>
      </c>
      <c r="AI32" s="29">
        <f t="shared" ca="1" si="54"/>
        <v>-163747.31706190776</v>
      </c>
      <c r="AJ32" s="57">
        <f t="shared" ca="1" si="55"/>
        <v>141507.91199111193</v>
      </c>
      <c r="AK32" s="80">
        <f t="shared" ca="1" si="56"/>
        <v>-1514161.2004528015</v>
      </c>
      <c r="AL32" s="57">
        <f t="shared" ca="1" si="57"/>
        <v>-62543.995176968252</v>
      </c>
      <c r="AM32" s="185">
        <f ca="1">OFFSET('Combined IFRS17 Cashflows'!$E$25,0,COUNTA('Appraisal Calcs - IFRS 17'!$AF$9:AF32))</f>
        <v>29538959.775273435</v>
      </c>
      <c r="AN32" s="81">
        <f t="shared" ca="1" si="58"/>
        <v>1220137.2992286957</v>
      </c>
      <c r="AP32" s="60">
        <f t="shared" si="31"/>
        <v>24</v>
      </c>
      <c r="AQ32" s="61">
        <f t="shared" si="59"/>
        <v>24.209537561015761</v>
      </c>
      <c r="AR32" s="90">
        <f t="shared" ca="1" si="60"/>
        <v>-5845.130731409753</v>
      </c>
      <c r="AS32" s="85">
        <f t="shared" ca="1" si="61"/>
        <v>-163747.31706190776</v>
      </c>
    </row>
    <row r="33" spans="2:45" x14ac:dyDescent="0.3">
      <c r="B33" s="39">
        <f t="shared" si="17"/>
        <v>25</v>
      </c>
      <c r="C33" s="176" cm="1">
        <f t="array" aca="1" ref="C33" ca="1">OFFSET('Results Tables'!$D$27,0,'Appraisal Calcs - IFRS 17'!B32:B32)</f>
        <v>-4675447.0724724559</v>
      </c>
      <c r="D33" s="174"/>
      <c r="E33" s="123">
        <f ca="1">OFFSET('CAR Calcs'!$C$59,0,COUNTA('Appraisal Calcs - IFRS 17'!$B$9:B33))</f>
        <v>10549994.667445106</v>
      </c>
      <c r="F33" s="177">
        <f t="shared" ca="1" si="63"/>
        <v>113112.3779971581</v>
      </c>
      <c r="G33" s="123">
        <f ca="1">E33+SUM(D$8:D33)</f>
        <v>10549994.667445106</v>
      </c>
      <c r="H33" s="178">
        <f t="shared" ca="1" si="62"/>
        <v>0</v>
      </c>
      <c r="I33" s="177">
        <f t="shared" ca="1" si="64"/>
        <v>527499.73337225534</v>
      </c>
      <c r="J33" s="177">
        <f t="shared" ca="1" si="65"/>
        <v>-4147947.3391002007</v>
      </c>
      <c r="K33" s="177">
        <f t="shared" ca="1" si="66"/>
        <v>0</v>
      </c>
      <c r="L33" s="177">
        <f t="shared" ca="1" si="67"/>
        <v>-4147947.3391002007</v>
      </c>
      <c r="M33" s="177">
        <f t="shared" ca="1" si="68"/>
        <v>-4034834.9611030426</v>
      </c>
      <c r="N33" s="32">
        <f t="shared" ca="1" si="22"/>
        <v>-0.3931705626259534</v>
      </c>
      <c r="O33" s="31">
        <f t="shared" si="69"/>
        <v>634.44260281660252</v>
      </c>
      <c r="P33" s="179">
        <f t="shared" ca="1" si="70"/>
        <v>-6359.6532502553064</v>
      </c>
      <c r="R33" s="39">
        <f t="shared" si="23"/>
        <v>25</v>
      </c>
      <c r="S33" s="29">
        <f t="shared" ca="1" si="71"/>
        <v>-4034834.9611030426</v>
      </c>
      <c r="T33" s="10">
        <f t="shared" si="72"/>
        <v>27.647291894679995</v>
      </c>
      <c r="U33" s="47">
        <f t="shared" ca="1" si="73"/>
        <v>-145939.6087136998</v>
      </c>
      <c r="W33" s="68">
        <f t="shared" si="24"/>
        <v>25</v>
      </c>
      <c r="X33" s="29">
        <f t="shared" ca="1" si="74"/>
        <v>-4034834.9611030426</v>
      </c>
      <c r="Y33" s="29">
        <f t="shared" ca="1" si="75"/>
        <v>89601753.547619045</v>
      </c>
      <c r="Z33" s="61">
        <f t="shared" si="76"/>
        <v>27.647291894679995</v>
      </c>
      <c r="AA33" s="62">
        <f t="shared" ca="1" si="77"/>
        <v>-145939.6087136998</v>
      </c>
      <c r="AB33" s="57">
        <f t="shared" ca="1" si="78"/>
        <v>15007325.25146934</v>
      </c>
      <c r="AC33" s="58">
        <f t="shared" ca="1" si="79"/>
        <v>25</v>
      </c>
      <c r="AD33" s="59">
        <f t="shared" ca="1" si="80"/>
        <v>25</v>
      </c>
      <c r="AF33" s="60">
        <f t="shared" si="27"/>
        <v>25</v>
      </c>
      <c r="AG33" s="84">
        <f t="shared" ca="1" si="52"/>
        <v>-4147947.3391002007</v>
      </c>
      <c r="AH33" s="61">
        <f t="shared" si="53"/>
        <v>27.647291894679995</v>
      </c>
      <c r="AI33" s="29">
        <f t="shared" ca="1" si="54"/>
        <v>-150030.87300200877</v>
      </c>
      <c r="AJ33" s="57">
        <f t="shared" ca="1" si="55"/>
        <v>113112.3779971581</v>
      </c>
      <c r="AK33" s="80">
        <f t="shared" ca="1" si="56"/>
        <v>-1498099.2427772051</v>
      </c>
      <c r="AL33" s="57">
        <f t="shared" ca="1" si="57"/>
        <v>-54186.111554219729</v>
      </c>
      <c r="AM33" s="185">
        <f ca="1">OFFSET('Combined IFRS17 Cashflows'!$E$25,0,COUNTA('Appraisal Calcs - IFRS 17'!$AF$9:AF33))</f>
        <v>26369615.737467114</v>
      </c>
      <c r="AN33" s="81">
        <f t="shared" ca="1" si="58"/>
        <v>953786.57113759709</v>
      </c>
      <c r="AP33" s="60">
        <f t="shared" si="31"/>
        <v>25</v>
      </c>
      <c r="AQ33" s="61">
        <f t="shared" si="59"/>
        <v>27.647291894679995</v>
      </c>
      <c r="AR33" s="90">
        <f t="shared" ca="1" si="60"/>
        <v>-4091.2642883089625</v>
      </c>
      <c r="AS33" s="85">
        <f t="shared" ca="1" si="61"/>
        <v>-150030.87300200877</v>
      </c>
    </row>
    <row r="34" spans="2:45" x14ac:dyDescent="0.3">
      <c r="B34" s="39">
        <f t="shared" si="17"/>
        <v>26</v>
      </c>
      <c r="C34" s="176" cm="1">
        <f t="array" aca="1" ref="C34" ca="1">OFFSET('Results Tables'!$D$27,0,'Appraisal Calcs - IFRS 17'!B33:B33)</f>
        <v>-5074832.6451679654</v>
      </c>
      <c r="D34" s="174"/>
      <c r="E34" s="123">
        <f ca="1">OFFSET('CAR Calcs'!$C$59,0,COUNTA('Appraisal Calcs - IFRS 17'!$B$9:B34))</f>
        <v>10361433.410238234</v>
      </c>
      <c r="F34" s="177">
        <f t="shared" ca="1" si="63"/>
        <v>188561.25720687211</v>
      </c>
      <c r="G34" s="123">
        <f ca="1">E34+SUM(D$8:D34)</f>
        <v>10361433.410238234</v>
      </c>
      <c r="H34" s="178">
        <f t="shared" ca="1" si="62"/>
        <v>0</v>
      </c>
      <c r="I34" s="177">
        <f t="shared" ca="1" si="64"/>
        <v>518071.67051191174</v>
      </c>
      <c r="J34" s="177">
        <f t="shared" ca="1" si="65"/>
        <v>-4556760.9746560538</v>
      </c>
      <c r="K34" s="177">
        <f t="shared" ca="1" si="66"/>
        <v>0</v>
      </c>
      <c r="L34" s="177">
        <f t="shared" ca="1" si="67"/>
        <v>-4556760.9746560538</v>
      </c>
      <c r="M34" s="177">
        <f t="shared" ca="1" si="68"/>
        <v>-4368199.7174491817</v>
      </c>
      <c r="N34" s="32">
        <f t="shared" ca="1" si="22"/>
        <v>-0.43978094480185276</v>
      </c>
      <c r="O34" s="31">
        <f t="shared" si="69"/>
        <v>821.27391980699838</v>
      </c>
      <c r="P34" s="179">
        <f t="shared" ca="1" si="70"/>
        <v>-5318.8097321728183</v>
      </c>
      <c r="R34" s="39">
        <f t="shared" si="23"/>
        <v>26</v>
      </c>
      <c r="S34" s="29">
        <f t="shared" ca="1" si="71"/>
        <v>-4368199.7174491817</v>
      </c>
      <c r="T34" s="10">
        <f t="shared" si="72"/>
        <v>31.573207343724555</v>
      </c>
      <c r="U34" s="47">
        <f t="shared" ca="1" si="73"/>
        <v>-138351.4721800159</v>
      </c>
      <c r="W34" s="68">
        <f t="shared" si="24"/>
        <v>26</v>
      </c>
      <c r="X34" s="29">
        <f t="shared" ca="1" si="74"/>
        <v>-4368199.7174491817</v>
      </c>
      <c r="Y34" s="29">
        <f t="shared" ca="1" si="75"/>
        <v>85233553.830169857</v>
      </c>
      <c r="Z34" s="61">
        <f t="shared" si="76"/>
        <v>31.573207343724555</v>
      </c>
      <c r="AA34" s="62">
        <f t="shared" ca="1" si="77"/>
        <v>-138351.4721800159</v>
      </c>
      <c r="AB34" s="57">
        <f t="shared" ca="1" si="78"/>
        <v>14868973.779289324</v>
      </c>
      <c r="AC34" s="58">
        <f t="shared" ca="1" si="79"/>
        <v>26</v>
      </c>
      <c r="AD34" s="59">
        <f t="shared" ca="1" si="80"/>
        <v>26</v>
      </c>
      <c r="AF34" s="60">
        <f t="shared" si="27"/>
        <v>26</v>
      </c>
      <c r="AG34" s="84">
        <f t="shared" ca="1" si="52"/>
        <v>-4556760.9746560538</v>
      </c>
      <c r="AH34" s="61">
        <f t="shared" si="53"/>
        <v>31.573207343724555</v>
      </c>
      <c r="AI34" s="29">
        <f t="shared" ca="1" si="54"/>
        <v>-144323.6642083418</v>
      </c>
      <c r="AJ34" s="57">
        <f t="shared" ca="1" si="55"/>
        <v>188561.25720687211</v>
      </c>
      <c r="AK34" s="80">
        <f t="shared" ca="1" si="56"/>
        <v>-1471323.5442538292</v>
      </c>
      <c r="AL34" s="57">
        <f t="shared" ca="1" si="57"/>
        <v>-46600.38266737153</v>
      </c>
      <c r="AM34" s="185">
        <f ca="1">OFFSET('Combined IFRS17 Cashflows'!$E$25,0,COUNTA('Appraisal Calcs - IFRS 17'!$AF$9:AF34))</f>
        <v>23436820.706184331</v>
      </c>
      <c r="AN34" s="81">
        <f t="shared" ca="1" si="58"/>
        <v>742300.91517270578</v>
      </c>
      <c r="AP34" s="60">
        <f t="shared" si="31"/>
        <v>26</v>
      </c>
      <c r="AQ34" s="61">
        <f t="shared" si="59"/>
        <v>31.573207343724555</v>
      </c>
      <c r="AR34" s="90">
        <f t="shared" ca="1" si="60"/>
        <v>-5972.192028325886</v>
      </c>
      <c r="AS34" s="85">
        <f t="shared" ca="1" si="61"/>
        <v>-144323.6642083418</v>
      </c>
    </row>
    <row r="35" spans="2:45" x14ac:dyDescent="0.3">
      <c r="B35" s="39">
        <f t="shared" si="17"/>
        <v>27</v>
      </c>
      <c r="C35" s="176" cm="1">
        <f t="array" aca="1" ref="C35" ca="1">OFFSET('Results Tables'!$D$27,0,'Appraisal Calcs - IFRS 17'!B34:B34)</f>
        <v>-5370065.5545329107</v>
      </c>
      <c r="D35" s="174"/>
      <c r="E35" s="123">
        <f ca="1">OFFSET('CAR Calcs'!$C$59,0,COUNTA('Appraisal Calcs - IFRS 17'!$B$9:B35))</f>
        <v>10128928.125910461</v>
      </c>
      <c r="F35" s="177">
        <f t="shared" ca="1" si="63"/>
        <v>232505.28432777338</v>
      </c>
      <c r="G35" s="123">
        <f ca="1">E35+SUM(D$8:D35)</f>
        <v>10128928.125910461</v>
      </c>
      <c r="H35" s="178">
        <f t="shared" ca="1" si="62"/>
        <v>0</v>
      </c>
      <c r="I35" s="177">
        <f t="shared" ca="1" si="64"/>
        <v>506446.40629552305</v>
      </c>
      <c r="J35" s="177">
        <f t="shared" ca="1" si="65"/>
        <v>-4863619.1482373876</v>
      </c>
      <c r="K35" s="177">
        <f t="shared" ca="1" si="66"/>
        <v>0</v>
      </c>
      <c r="L35" s="177">
        <f t="shared" ca="1" si="67"/>
        <v>-4863619.1482373876</v>
      </c>
      <c r="M35" s="177">
        <f t="shared" ca="1" si="68"/>
        <v>-4631113.8639096143</v>
      </c>
      <c r="N35" s="32">
        <f t="shared" ca="1" si="22"/>
        <v>-0.48017115807110244</v>
      </c>
      <c r="O35" s="31">
        <f t="shared" si="69"/>
        <v>1063.1235171798926</v>
      </c>
      <c r="P35" s="179">
        <f t="shared" ca="1" si="70"/>
        <v>-4356.1390460013472</v>
      </c>
      <c r="R35" s="39">
        <f t="shared" si="23"/>
        <v>27</v>
      </c>
      <c r="S35" s="29">
        <f t="shared" ca="1" si="71"/>
        <v>-4631113.8639096143</v>
      </c>
      <c r="T35" s="10">
        <f t="shared" si="72"/>
        <v>36.056602786533446</v>
      </c>
      <c r="U35" s="47">
        <f t="shared" ca="1" si="73"/>
        <v>-128440.10544552078</v>
      </c>
      <c r="W35" s="68">
        <f t="shared" si="24"/>
        <v>27</v>
      </c>
      <c r="X35" s="29">
        <f t="shared" ca="1" si="74"/>
        <v>-4631113.8639096143</v>
      </c>
      <c r="Y35" s="29">
        <f t="shared" ca="1" si="75"/>
        <v>80602439.966260239</v>
      </c>
      <c r="Z35" s="61">
        <f t="shared" si="76"/>
        <v>36.056602786533446</v>
      </c>
      <c r="AA35" s="62">
        <f t="shared" ca="1" si="77"/>
        <v>-128440.10544552078</v>
      </c>
      <c r="AB35" s="57">
        <f t="shared" ca="1" si="78"/>
        <v>14740533.673843803</v>
      </c>
      <c r="AC35" s="58">
        <f t="shared" ca="1" si="79"/>
        <v>27</v>
      </c>
      <c r="AD35" s="59">
        <f t="shared" ca="1" si="80"/>
        <v>27</v>
      </c>
      <c r="AF35" s="60">
        <f t="shared" si="27"/>
        <v>27</v>
      </c>
      <c r="AG35" s="84">
        <f t="shared" ca="1" si="52"/>
        <v>-4863619.1482373876</v>
      </c>
      <c r="AH35" s="61">
        <f t="shared" si="53"/>
        <v>36.056602786533446</v>
      </c>
      <c r="AI35" s="29">
        <f t="shared" ca="1" si="54"/>
        <v>-134888.44684097279</v>
      </c>
      <c r="AJ35" s="57">
        <f t="shared" ca="1" si="55"/>
        <v>232505.28432777338</v>
      </c>
      <c r="AK35" s="80">
        <f t="shared" ca="1" si="56"/>
        <v>-1438307.7938792852</v>
      </c>
      <c r="AL35" s="57">
        <f t="shared" ca="1" si="57"/>
        <v>-39890.274810262206</v>
      </c>
      <c r="AM35" s="185">
        <f ca="1">OFFSET('Combined IFRS17 Cashflows'!$E$25,0,COUNTA('Appraisal Calcs - IFRS 17'!$AF$9:AF35))</f>
        <v>20829313.088538289</v>
      </c>
      <c r="AN35" s="81">
        <f t="shared" ca="1" si="58"/>
        <v>577683.73831152217</v>
      </c>
      <c r="AP35" s="60">
        <f t="shared" si="31"/>
        <v>27</v>
      </c>
      <c r="AQ35" s="61">
        <f t="shared" si="59"/>
        <v>36.056602786533446</v>
      </c>
      <c r="AR35" s="90">
        <f t="shared" ca="1" si="60"/>
        <v>-6448.3413954519947</v>
      </c>
      <c r="AS35" s="85">
        <f t="shared" ca="1" si="61"/>
        <v>-134888.44684097279</v>
      </c>
    </row>
    <row r="36" spans="2:45" x14ac:dyDescent="0.3">
      <c r="B36" s="39">
        <f t="shared" si="17"/>
        <v>28</v>
      </c>
      <c r="C36" s="176" cm="1">
        <f t="array" aca="1" ref="C36" ca="1">OFFSET('Results Tables'!$D$27,0,'Appraisal Calcs - IFRS 17'!B35:B35)</f>
        <v>-5559155.332626408</v>
      </c>
      <c r="D36" s="174"/>
      <c r="E36" s="123">
        <f ca="1">OFFSET('CAR Calcs'!$C$59,0,COUNTA('Appraisal Calcs - IFRS 17'!$B$9:B36))</f>
        <v>9854702.7510545161</v>
      </c>
      <c r="F36" s="177">
        <f t="shared" ca="1" si="63"/>
        <v>274225.37485594489</v>
      </c>
      <c r="G36" s="123">
        <f ca="1">E36+SUM(D$8:D36)</f>
        <v>9854702.7510545161</v>
      </c>
      <c r="H36" s="178">
        <f t="shared" ca="1" si="62"/>
        <v>0</v>
      </c>
      <c r="I36" s="177">
        <f t="shared" ca="1" si="64"/>
        <v>492735.13755272585</v>
      </c>
      <c r="J36" s="177">
        <f t="shared" ca="1" si="65"/>
        <v>-5066420.1950736819</v>
      </c>
      <c r="K36" s="177">
        <f t="shared" ca="1" si="66"/>
        <v>0</v>
      </c>
      <c r="L36" s="177">
        <f t="shared" ca="1" si="67"/>
        <v>-5066420.1950736819</v>
      </c>
      <c r="M36" s="177">
        <f t="shared" ca="1" si="68"/>
        <v>-4792194.820217737</v>
      </c>
      <c r="N36" s="32">
        <f t="shared" ca="1" si="22"/>
        <v>-0.51411192433293262</v>
      </c>
      <c r="O36" s="31">
        <f t="shared" si="69"/>
        <v>1376.1932353173383</v>
      </c>
      <c r="P36" s="179">
        <f t="shared" ca="1" si="70"/>
        <v>-3482.2107079408061</v>
      </c>
      <c r="R36" s="39">
        <f t="shared" si="23"/>
        <v>28</v>
      </c>
      <c r="S36" s="29">
        <f t="shared" ca="1" si="71"/>
        <v>-4792194.820217737</v>
      </c>
      <c r="T36" s="10">
        <f t="shared" si="72"/>
        <v>41.176640382221187</v>
      </c>
      <c r="U36" s="47">
        <f t="shared" ca="1" si="73"/>
        <v>-116381.39429866795</v>
      </c>
      <c r="W36" s="68">
        <f t="shared" si="24"/>
        <v>28</v>
      </c>
      <c r="X36" s="29">
        <f t="shared" ca="1" si="74"/>
        <v>-4792194.820217737</v>
      </c>
      <c r="Y36" s="29">
        <f t="shared" ca="1" si="75"/>
        <v>75810245.146042496</v>
      </c>
      <c r="Z36" s="61">
        <f t="shared" si="76"/>
        <v>41.176640382221187</v>
      </c>
      <c r="AA36" s="62">
        <f t="shared" ca="1" si="77"/>
        <v>-116381.39429866795</v>
      </c>
      <c r="AB36" s="57">
        <f t="shared" ca="1" si="78"/>
        <v>14624152.279545136</v>
      </c>
      <c r="AC36" s="58">
        <f t="shared" ca="1" si="79"/>
        <v>28</v>
      </c>
      <c r="AD36" s="59">
        <f t="shared" ca="1" si="80"/>
        <v>28</v>
      </c>
      <c r="AF36" s="60">
        <f t="shared" si="27"/>
        <v>28</v>
      </c>
      <c r="AG36" s="84">
        <f t="shared" ca="1" si="52"/>
        <v>-5066420.1950736819</v>
      </c>
      <c r="AH36" s="61">
        <f t="shared" si="53"/>
        <v>41.176640382221187</v>
      </c>
      <c r="AI36" s="29">
        <f t="shared" ca="1" si="54"/>
        <v>-123041.12594045451</v>
      </c>
      <c r="AJ36" s="57">
        <f t="shared" ca="1" si="55"/>
        <v>274225.37485594489</v>
      </c>
      <c r="AK36" s="80">
        <f t="shared" ca="1" si="56"/>
        <v>-1399367.7906497412</v>
      </c>
      <c r="AL36" s="57">
        <f t="shared" ca="1" si="57"/>
        <v>-33984.506206920792</v>
      </c>
      <c r="AM36" s="185">
        <f ca="1">OFFSET('Combined IFRS17 Cashflows'!$E$25,0,COUNTA('Appraisal Calcs - IFRS 17'!$AF$9:AF36))</f>
        <v>18438222.90562319</v>
      </c>
      <c r="AN36" s="81">
        <f t="shared" ca="1" si="58"/>
        <v>447783.56695618737</v>
      </c>
      <c r="AP36" s="60">
        <f t="shared" si="31"/>
        <v>28</v>
      </c>
      <c r="AQ36" s="61">
        <f t="shared" si="59"/>
        <v>41.176640382221187</v>
      </c>
      <c r="AR36" s="90">
        <f t="shared" ca="1" si="60"/>
        <v>-6659.731641786565</v>
      </c>
      <c r="AS36" s="85">
        <f t="shared" ca="1" si="61"/>
        <v>-123041.12594045451</v>
      </c>
    </row>
    <row r="37" spans="2:45" x14ac:dyDescent="0.3">
      <c r="B37" s="39">
        <f t="shared" si="17"/>
        <v>29</v>
      </c>
      <c r="C37" s="176" cm="1">
        <f t="array" aca="1" ref="C37" ca="1">OFFSET('Results Tables'!$D$27,0,'Appraisal Calcs - IFRS 17'!B36:B36)</f>
        <v>-5693690.631879136</v>
      </c>
      <c r="D37" s="174"/>
      <c r="E37" s="123">
        <f ca="1">OFFSET('CAR Calcs'!$C$59,0,COUNTA('Appraisal Calcs - IFRS 17'!$B$9:B37))</f>
        <v>9543467.8723188452</v>
      </c>
      <c r="F37" s="177">
        <f t="shared" ca="1" si="63"/>
        <v>311234.87873567082</v>
      </c>
      <c r="G37" s="123">
        <f ca="1">E37+SUM(D$8:D37)</f>
        <v>9543467.8723188452</v>
      </c>
      <c r="H37" s="178">
        <f t="shared" ca="1" si="62"/>
        <v>0</v>
      </c>
      <c r="I37" s="177">
        <f t="shared" ca="1" si="64"/>
        <v>477173.39361594227</v>
      </c>
      <c r="J37" s="177">
        <f t="shared" ca="1" si="65"/>
        <v>-5216517.2382631935</v>
      </c>
      <c r="K37" s="177">
        <f t="shared" ca="1" si="66"/>
        <v>0</v>
      </c>
      <c r="L37" s="177">
        <f t="shared" ca="1" si="67"/>
        <v>-5216517.2382631935</v>
      </c>
      <c r="M37" s="177">
        <f t="shared" ca="1" si="68"/>
        <v>-4905282.3595275227</v>
      </c>
      <c r="N37" s="32">
        <f t="shared" ca="1" si="22"/>
        <v>-0.54660604594205009</v>
      </c>
      <c r="O37" s="31">
        <f t="shared" si="69"/>
        <v>1781.4560493940539</v>
      </c>
      <c r="P37" s="179">
        <f t="shared" ca="1" si="70"/>
        <v>-2753.5242091411742</v>
      </c>
      <c r="R37" s="39">
        <f t="shared" si="23"/>
        <v>29</v>
      </c>
      <c r="S37" s="29">
        <f t="shared" ca="1" si="71"/>
        <v>-4905282.3595275227</v>
      </c>
      <c r="T37" s="10">
        <f t="shared" si="72"/>
        <v>47.023723316496593</v>
      </c>
      <c r="U37" s="47">
        <f t="shared" ca="1" si="73"/>
        <v>-104315.05660477292</v>
      </c>
      <c r="W37" s="68">
        <f t="shared" si="24"/>
        <v>29</v>
      </c>
      <c r="X37" s="29">
        <f t="shared" ca="1" si="74"/>
        <v>-4905282.3595275227</v>
      </c>
      <c r="Y37" s="29">
        <f t="shared" ca="1" si="75"/>
        <v>70904962.786514968</v>
      </c>
      <c r="Z37" s="61">
        <f t="shared" si="76"/>
        <v>47.023723316496593</v>
      </c>
      <c r="AA37" s="62">
        <f t="shared" ca="1" si="77"/>
        <v>-104315.05660477292</v>
      </c>
      <c r="AB37" s="57">
        <f t="shared" ca="1" si="78"/>
        <v>14519837.222940363</v>
      </c>
      <c r="AC37" s="58">
        <f t="shared" ca="1" si="79"/>
        <v>29</v>
      </c>
      <c r="AD37" s="59">
        <f t="shared" ca="1" si="80"/>
        <v>29</v>
      </c>
      <c r="AF37" s="60">
        <f t="shared" si="27"/>
        <v>29</v>
      </c>
      <c r="AG37" s="84">
        <f t="shared" ca="1" si="52"/>
        <v>-5216517.2382631935</v>
      </c>
      <c r="AH37" s="61">
        <f t="shared" si="53"/>
        <v>47.023723316496593</v>
      </c>
      <c r="AI37" s="29">
        <f t="shared" ca="1" si="54"/>
        <v>-110933.73451423751</v>
      </c>
      <c r="AJ37" s="57">
        <f t="shared" ca="1" si="55"/>
        <v>311234.87873567082</v>
      </c>
      <c r="AK37" s="80">
        <f t="shared" ca="1" si="56"/>
        <v>-1355172.4378692759</v>
      </c>
      <c r="AL37" s="57">
        <f t="shared" ca="1" si="57"/>
        <v>-28818.909739413641</v>
      </c>
      <c r="AM37" s="185">
        <f ca="1">OFFSET('Combined IFRS17 Cashflows'!$E$25,0,COUNTA('Appraisal Calcs - IFRS 17'!$AF$9:AF37))</f>
        <v>16244318.451280611</v>
      </c>
      <c r="AN37" s="81">
        <f t="shared" ca="1" si="58"/>
        <v>345449.43074683903</v>
      </c>
      <c r="AP37" s="60">
        <f t="shared" si="31"/>
        <v>29</v>
      </c>
      <c r="AQ37" s="61">
        <f t="shared" si="59"/>
        <v>47.023723316496593</v>
      </c>
      <c r="AR37" s="90">
        <f t="shared" ca="1" si="60"/>
        <v>-6618.6779094645872</v>
      </c>
      <c r="AS37" s="85">
        <f t="shared" ca="1" si="61"/>
        <v>-110933.73451423751</v>
      </c>
    </row>
    <row r="38" spans="2:45" x14ac:dyDescent="0.3">
      <c r="B38" s="39">
        <f t="shared" si="17"/>
        <v>30</v>
      </c>
      <c r="C38" s="176" cm="1">
        <f t="array" aca="1" ref="C38" ca="1">OFFSET('Results Tables'!$D$27,0,'Appraisal Calcs - IFRS 17'!B37:B37)</f>
        <v>-5548498.1772643561</v>
      </c>
      <c r="D38" s="174"/>
      <c r="E38" s="123">
        <f ca="1">OFFSET('CAR Calcs'!$C$59,0,COUNTA('Appraisal Calcs - IFRS 17'!$B$9:B38))</f>
        <v>9278547.5773074701</v>
      </c>
      <c r="F38" s="177">
        <f t="shared" ca="1" si="63"/>
        <v>264920.2950113751</v>
      </c>
      <c r="G38" s="123">
        <f ca="1">E38+SUM(D$8:D38)</f>
        <v>9278547.5773074701</v>
      </c>
      <c r="H38" s="178">
        <f t="shared" ca="1" si="62"/>
        <v>0</v>
      </c>
      <c r="I38" s="177">
        <f t="shared" ca="1" si="64"/>
        <v>463927.37886537355</v>
      </c>
      <c r="J38" s="177">
        <f t="shared" ca="1" si="65"/>
        <v>-5084570.7983989827</v>
      </c>
      <c r="K38" s="177">
        <f t="shared" ca="1" si="66"/>
        <v>0</v>
      </c>
      <c r="L38" s="177">
        <f t="shared" ca="1" si="67"/>
        <v>-5084570.7983989827</v>
      </c>
      <c r="M38" s="177">
        <f t="shared" ca="1" si="68"/>
        <v>-4819650.5033876076</v>
      </c>
      <c r="N38" s="32">
        <f t="shared" ca="1" si="22"/>
        <v>-0.54799210286255473</v>
      </c>
      <c r="O38" s="31">
        <f t="shared" si="69"/>
        <v>2306.0610781093305</v>
      </c>
      <c r="P38" s="179">
        <f t="shared" ca="1" si="70"/>
        <v>-2089.992563136746</v>
      </c>
      <c r="R38" s="39">
        <f t="shared" si="23"/>
        <v>30</v>
      </c>
      <c r="S38" s="29">
        <f t="shared" ca="1" si="71"/>
        <v>-4819650.5033876076</v>
      </c>
      <c r="T38" s="10">
        <f t="shared" si="72"/>
        <v>53.70109202743911</v>
      </c>
      <c r="U38" s="47">
        <f t="shared" ca="1" si="73"/>
        <v>-89749.580900979796</v>
      </c>
      <c r="W38" s="68">
        <f t="shared" si="24"/>
        <v>30</v>
      </c>
      <c r="X38" s="29">
        <f t="shared" ca="1" si="74"/>
        <v>-4819650.5033876076</v>
      </c>
      <c r="Y38" s="29">
        <f t="shared" ca="1" si="75"/>
        <v>66085312.28312736</v>
      </c>
      <c r="Z38" s="61">
        <f t="shared" si="76"/>
        <v>53.70109202743911</v>
      </c>
      <c r="AA38" s="62">
        <f t="shared" ca="1" si="77"/>
        <v>-89749.580900979796</v>
      </c>
      <c r="AB38" s="57">
        <f t="shared" ca="1" si="78"/>
        <v>14430087.642039383</v>
      </c>
      <c r="AC38" s="58">
        <f t="shared" ca="1" si="79"/>
        <v>30</v>
      </c>
      <c r="AD38" s="59">
        <f t="shared" ca="1" si="80"/>
        <v>30</v>
      </c>
      <c r="AF38" s="60">
        <f t="shared" si="27"/>
        <v>30</v>
      </c>
      <c r="AG38" s="84">
        <f t="shared" ca="1" si="52"/>
        <v>-5084570.7983989827</v>
      </c>
      <c r="AH38" s="61">
        <f t="shared" si="53"/>
        <v>53.70109202743911</v>
      </c>
      <c r="AI38" s="29">
        <f t="shared" ca="1" si="54"/>
        <v>-94682.819407116913</v>
      </c>
      <c r="AJ38" s="57">
        <f t="shared" ca="1" si="55"/>
        <v>264920.2950113751</v>
      </c>
      <c r="AK38" s="80">
        <f t="shared" ca="1" si="56"/>
        <v>-1317553.7559776607</v>
      </c>
      <c r="AL38" s="57">
        <f t="shared" ca="1" si="57"/>
        <v>-24534.952758585307</v>
      </c>
      <c r="AM38" s="185">
        <f ca="1">OFFSET('Combined IFRS17 Cashflows'!$E$25,0,COUNTA('Appraisal Calcs - IFRS 17'!$AF$9:AF38))</f>
        <v>14220350.001527866</v>
      </c>
      <c r="AN38" s="81">
        <f t="shared" ca="1" si="58"/>
        <v>264805.60198406834</v>
      </c>
      <c r="AP38" s="60">
        <f t="shared" si="31"/>
        <v>30</v>
      </c>
      <c r="AQ38" s="61">
        <f t="shared" si="59"/>
        <v>53.70109202743911</v>
      </c>
      <c r="AR38" s="90">
        <f t="shared" ca="1" si="60"/>
        <v>-4933.2385061371087</v>
      </c>
      <c r="AS38" s="85">
        <f t="shared" ca="1" si="61"/>
        <v>-94682.819407116913</v>
      </c>
    </row>
    <row r="39" spans="2:45" x14ac:dyDescent="0.3">
      <c r="B39" s="39">
        <f t="shared" si="17"/>
        <v>31</v>
      </c>
      <c r="C39" s="176" cm="1">
        <f t="array" aca="1" ref="C39" ca="1">OFFSET('Results Tables'!$D$27,0,'Appraisal Calcs - IFRS 17'!B38:B38)</f>
        <v>-5578189.8995441087</v>
      </c>
      <c r="D39" s="174"/>
      <c r="E39" s="123">
        <f ca="1">OFFSET('CAR Calcs'!$C$59,0,COUNTA('Appraisal Calcs - IFRS 17'!$B$9:B39))</f>
        <v>8958105.7939073704</v>
      </c>
      <c r="F39" s="177">
        <f t="shared" ca="1" si="63"/>
        <v>320441.78340009972</v>
      </c>
      <c r="G39" s="123">
        <f ca="1">E39+SUM(D$8:D39)</f>
        <v>8958105.7939073704</v>
      </c>
      <c r="H39" s="178">
        <f t="shared" ca="1" si="62"/>
        <v>0</v>
      </c>
      <c r="I39" s="177">
        <f t="shared" ca="1" si="64"/>
        <v>447905.28969536856</v>
      </c>
      <c r="J39" s="177">
        <f t="shared" ca="1" si="65"/>
        <v>-5130284.6098487405</v>
      </c>
      <c r="K39" s="177">
        <f t="shared" ca="1" si="66"/>
        <v>0</v>
      </c>
      <c r="L39" s="177">
        <f t="shared" ca="1" si="67"/>
        <v>-5130284.6098487405</v>
      </c>
      <c r="M39" s="177">
        <f t="shared" ca="1" si="68"/>
        <v>-4809842.8264486408</v>
      </c>
      <c r="N39" s="32">
        <f t="shared" ca="1" si="22"/>
        <v>-0.57269747956515249</v>
      </c>
      <c r="O39" s="31">
        <f t="shared" si="69"/>
        <v>2985.1523408504027</v>
      </c>
      <c r="P39" s="179">
        <f t="shared" ca="1" si="70"/>
        <v>-1611.2553991393368</v>
      </c>
      <c r="R39" s="39">
        <f t="shared" si="23"/>
        <v>31</v>
      </c>
      <c r="S39" s="29">
        <f t="shared" ca="1" si="71"/>
        <v>-4809842.8264486408</v>
      </c>
      <c r="T39" s="10">
        <f t="shared" si="72"/>
        <v>61.32664709533546</v>
      </c>
      <c r="U39" s="47">
        <f t="shared" ca="1" si="73"/>
        <v>-78429.900447214895</v>
      </c>
      <c r="W39" s="68">
        <f t="shared" si="24"/>
        <v>31</v>
      </c>
      <c r="X39" s="29">
        <f t="shared" ca="1" si="74"/>
        <v>-4809842.8264486408</v>
      </c>
      <c r="Y39" s="29">
        <f t="shared" ca="1" si="75"/>
        <v>61275469.456678718</v>
      </c>
      <c r="Z39" s="61">
        <f t="shared" si="76"/>
        <v>61.32664709533546</v>
      </c>
      <c r="AA39" s="62">
        <f t="shared" ca="1" si="77"/>
        <v>-78429.900447214895</v>
      </c>
      <c r="AB39" s="57">
        <f t="shared" ca="1" si="78"/>
        <v>14351657.741592169</v>
      </c>
      <c r="AC39" s="58">
        <f t="shared" ca="1" si="79"/>
        <v>31</v>
      </c>
      <c r="AD39" s="59">
        <f t="shared" ca="1" si="80"/>
        <v>31</v>
      </c>
      <c r="AF39" s="60">
        <f t="shared" si="27"/>
        <v>31</v>
      </c>
      <c r="AG39" s="84">
        <f t="shared" ca="1" si="52"/>
        <v>-5130284.6098487405</v>
      </c>
      <c r="AH39" s="61">
        <f t="shared" si="53"/>
        <v>61.32664709533546</v>
      </c>
      <c r="AI39" s="29">
        <f t="shared" ca="1" si="54"/>
        <v>-83655.064361719415</v>
      </c>
      <c r="AJ39" s="57">
        <f t="shared" ca="1" si="55"/>
        <v>320441.78340009972</v>
      </c>
      <c r="AK39" s="80">
        <f t="shared" ca="1" si="56"/>
        <v>-1272051.0227348465</v>
      </c>
      <c r="AL39" s="57">
        <f t="shared" ca="1" si="57"/>
        <v>-20742.223535511032</v>
      </c>
      <c r="AM39" s="185">
        <f ca="1">OFFSET('Combined IFRS17 Cashflows'!$E$25,0,COUNTA('Appraisal Calcs - IFRS 17'!$AF$9:AF39))</f>
        <v>12686952.763845788</v>
      </c>
      <c r="AN39" s="81">
        <f t="shared" ca="1" si="58"/>
        <v>206875.04314597961</v>
      </c>
      <c r="AP39" s="60">
        <f t="shared" si="31"/>
        <v>31</v>
      </c>
      <c r="AQ39" s="61">
        <f t="shared" si="59"/>
        <v>61.32664709533546</v>
      </c>
      <c r="AR39" s="90">
        <f t="shared" ca="1" si="60"/>
        <v>-5225.163914504511</v>
      </c>
      <c r="AS39" s="85">
        <f t="shared" ca="1" si="61"/>
        <v>-83655.064361719415</v>
      </c>
    </row>
    <row r="40" spans="2:45" x14ac:dyDescent="0.3">
      <c r="B40" s="39">
        <f t="shared" si="17"/>
        <v>32</v>
      </c>
      <c r="C40" s="176" cm="1">
        <f t="array" aca="1" ref="C40" ca="1">OFFSET('Results Tables'!$D$27,0,'Appraisal Calcs - IFRS 17'!B39:B39)</f>
        <v>-5594072.9287984287</v>
      </c>
      <c r="D40" s="174"/>
      <c r="E40" s="123">
        <f ca="1">OFFSET('CAR Calcs'!$C$59,0,COUNTA('Appraisal Calcs - IFRS 17'!$B$9:B40))</f>
        <v>8622677.7706642784</v>
      </c>
      <c r="F40" s="177">
        <f t="shared" ca="1" si="63"/>
        <v>335428.023243092</v>
      </c>
      <c r="G40" s="123">
        <f ca="1">E40+SUM(D$8:D40)</f>
        <v>8622677.7706642784</v>
      </c>
      <c r="H40" s="178">
        <f t="shared" ca="1" si="62"/>
        <v>0</v>
      </c>
      <c r="I40" s="177">
        <f t="shared" ca="1" si="64"/>
        <v>431133.88853321393</v>
      </c>
      <c r="J40" s="177">
        <f t="shared" ca="1" si="65"/>
        <v>-5162939.0402652146</v>
      </c>
      <c r="K40" s="177">
        <f t="shared" ca="1" si="66"/>
        <v>0</v>
      </c>
      <c r="L40" s="177">
        <f t="shared" ca="1" si="67"/>
        <v>-5162939.0402652146</v>
      </c>
      <c r="M40" s="177">
        <f t="shared" ca="1" si="68"/>
        <v>-4827511.0170221226</v>
      </c>
      <c r="N40" s="32">
        <f t="shared" ca="1" si="22"/>
        <v>-0.59876284114783396</v>
      </c>
      <c r="O40" s="31">
        <f t="shared" si="69"/>
        <v>3864.2231043553288</v>
      </c>
      <c r="P40" s="179">
        <f t="shared" ca="1" si="70"/>
        <v>-1249.2837205960186</v>
      </c>
      <c r="R40" s="39">
        <f t="shared" si="23"/>
        <v>32</v>
      </c>
      <c r="S40" s="29">
        <f t="shared" ca="1" si="71"/>
        <v>-4827511.0170221226</v>
      </c>
      <c r="T40" s="10">
        <f t="shared" si="72"/>
        <v>70.035030982873081</v>
      </c>
      <c r="U40" s="47">
        <f t="shared" ca="1" si="73"/>
        <v>-68929.947617252867</v>
      </c>
      <c r="W40" s="68">
        <f t="shared" si="24"/>
        <v>32</v>
      </c>
      <c r="X40" s="29">
        <f t="shared" ca="1" si="74"/>
        <v>-4827511.0170221226</v>
      </c>
      <c r="Y40" s="29">
        <f t="shared" ca="1" si="75"/>
        <v>56447958.439656593</v>
      </c>
      <c r="Z40" s="61">
        <f t="shared" si="76"/>
        <v>70.035030982873081</v>
      </c>
      <c r="AA40" s="62">
        <f t="shared" ca="1" si="77"/>
        <v>-68929.947617252867</v>
      </c>
      <c r="AB40" s="57">
        <f t="shared" ca="1" si="78"/>
        <v>14282727.793974916</v>
      </c>
      <c r="AC40" s="58">
        <f t="shared" ca="1" si="79"/>
        <v>32</v>
      </c>
      <c r="AD40" s="59">
        <f t="shared" ca="1" si="80"/>
        <v>32</v>
      </c>
      <c r="AF40" s="60">
        <f t="shared" si="27"/>
        <v>32</v>
      </c>
      <c r="AG40" s="84">
        <f t="shared" ca="1" si="52"/>
        <v>-5162939.0402652146</v>
      </c>
      <c r="AH40" s="61">
        <f t="shared" si="53"/>
        <v>70.035030982873081</v>
      </c>
      <c r="AI40" s="29">
        <f t="shared" ca="1" si="54"/>
        <v>-73719.379684829444</v>
      </c>
      <c r="AJ40" s="57">
        <f t="shared" ca="1" si="55"/>
        <v>335428.023243092</v>
      </c>
      <c r="AK40" s="80">
        <f t="shared" ca="1" si="56"/>
        <v>-1224420.2434343274</v>
      </c>
      <c r="AL40" s="57">
        <f t="shared" ca="1" si="57"/>
        <v>-17482.968540897153</v>
      </c>
      <c r="AM40" s="185">
        <f ca="1">OFFSET('Combined IFRS17 Cashflows'!$E$25,0,COUNTA('Appraisal Calcs - IFRS 17'!$AF$9:AF40))</f>
        <v>11372887.895823285</v>
      </c>
      <c r="AN40" s="81">
        <f t="shared" ca="1" si="58"/>
        <v>162388.56092752356</v>
      </c>
      <c r="AP40" s="60">
        <f t="shared" si="31"/>
        <v>32</v>
      </c>
      <c r="AQ40" s="61">
        <f t="shared" si="59"/>
        <v>70.035030982873081</v>
      </c>
      <c r="AR40" s="90">
        <f t="shared" ca="1" si="60"/>
        <v>-4789.4320675765848</v>
      </c>
      <c r="AS40" s="85">
        <f t="shared" ca="1" si="61"/>
        <v>-73719.379684829444</v>
      </c>
    </row>
    <row r="41" spans="2:45" x14ac:dyDescent="0.3">
      <c r="B41" s="39">
        <f t="shared" si="17"/>
        <v>33</v>
      </c>
      <c r="C41" s="176" cm="1">
        <f t="array" aca="1" ref="C41" ca="1">OFFSET('Results Tables'!$D$27,0,'Appraisal Calcs - IFRS 17'!B40:B40)</f>
        <v>-5605205.835774296</v>
      </c>
      <c r="D41" s="174"/>
      <c r="E41" s="123">
        <f ca="1">OFFSET('CAR Calcs'!$C$59,0,COUNTA('Appraisal Calcs - IFRS 17'!$B$9:B41))</f>
        <v>8263804.2789453594</v>
      </c>
      <c r="F41" s="177">
        <f t="shared" ca="1" si="63"/>
        <v>358873.49171891902</v>
      </c>
      <c r="G41" s="123">
        <f ca="1">E41+SUM(D$8:D41)</f>
        <v>8263804.2789453594</v>
      </c>
      <c r="H41" s="178">
        <f t="shared" ca="1" si="62"/>
        <v>0</v>
      </c>
      <c r="I41" s="177">
        <f t="shared" ca="1" si="64"/>
        <v>413190.21394726797</v>
      </c>
      <c r="J41" s="177">
        <f t="shared" ca="1" si="65"/>
        <v>-5192015.6218270278</v>
      </c>
      <c r="K41" s="177">
        <f t="shared" ca="1" si="66"/>
        <v>0</v>
      </c>
      <c r="L41" s="177">
        <f t="shared" ca="1" si="67"/>
        <v>-5192015.6218270278</v>
      </c>
      <c r="M41" s="177">
        <f t="shared" ca="1" si="68"/>
        <v>-4833142.1301081087</v>
      </c>
      <c r="N41" s="32">
        <f t="shared" ca="1" si="22"/>
        <v>-0.62828395331860898</v>
      </c>
      <c r="O41" s="31">
        <f t="shared" si="69"/>
        <v>5002.1635398278149</v>
      </c>
      <c r="P41" s="179">
        <f t="shared" ca="1" si="70"/>
        <v>-966.2103391114789</v>
      </c>
      <c r="R41" s="39">
        <f t="shared" si="23"/>
        <v>33</v>
      </c>
      <c r="S41" s="29">
        <f t="shared" ca="1" si="71"/>
        <v>-4833142.1301081087</v>
      </c>
      <c r="T41" s="10">
        <f t="shared" si="72"/>
        <v>79.98000538244105</v>
      </c>
      <c r="U41" s="47">
        <f t="shared" ca="1" si="73"/>
        <v>-60429.379905608075</v>
      </c>
      <c r="W41" s="68">
        <f t="shared" si="24"/>
        <v>33</v>
      </c>
      <c r="X41" s="29">
        <f t="shared" ca="1" si="74"/>
        <v>-4833142.1301081087</v>
      </c>
      <c r="Y41" s="29">
        <f t="shared" ca="1" si="75"/>
        <v>51614816.309548482</v>
      </c>
      <c r="Z41" s="61">
        <f t="shared" si="76"/>
        <v>79.98000538244105</v>
      </c>
      <c r="AA41" s="62">
        <f t="shared" ca="1" si="77"/>
        <v>-60429.379905608075</v>
      </c>
      <c r="AB41" s="57">
        <f t="shared" ca="1" si="78"/>
        <v>14222298.414069308</v>
      </c>
      <c r="AC41" s="58">
        <f t="shared" ca="1" si="79"/>
        <v>33</v>
      </c>
      <c r="AD41" s="59">
        <f t="shared" ca="1" si="80"/>
        <v>33</v>
      </c>
      <c r="AF41" s="60">
        <f t="shared" si="27"/>
        <v>33</v>
      </c>
      <c r="AG41" s="84">
        <f t="shared" ca="1" si="52"/>
        <v>-5192015.6218270278</v>
      </c>
      <c r="AH41" s="61">
        <f t="shared" si="53"/>
        <v>79.98000538244105</v>
      </c>
      <c r="AI41" s="29">
        <f t="shared" ca="1" si="54"/>
        <v>-64916.420010230358</v>
      </c>
      <c r="AJ41" s="57">
        <f t="shared" ca="1" si="55"/>
        <v>358873.49171891902</v>
      </c>
      <c r="AK41" s="80">
        <f t="shared" ca="1" si="56"/>
        <v>-1173460.2076102409</v>
      </c>
      <c r="AL41" s="57">
        <f t="shared" ca="1" si="57"/>
        <v>-14671.919587890705</v>
      </c>
      <c r="AM41" s="185">
        <f ca="1">OFFSET('Combined IFRS17 Cashflows'!$E$25,0,COUNTA('Appraisal Calcs - IFRS 17'!$AF$9:AF41))</f>
        <v>10193167.886224598</v>
      </c>
      <c r="AN41" s="81">
        <f t="shared" ca="1" si="58"/>
        <v>127446.45161604883</v>
      </c>
      <c r="AP41" s="60">
        <f t="shared" si="31"/>
        <v>33</v>
      </c>
      <c r="AQ41" s="61">
        <f t="shared" si="59"/>
        <v>79.98000538244105</v>
      </c>
      <c r="AR41" s="90">
        <f t="shared" ca="1" si="60"/>
        <v>-4487.0401046222823</v>
      </c>
      <c r="AS41" s="85">
        <f t="shared" ca="1" si="61"/>
        <v>-64916.420010230358</v>
      </c>
    </row>
    <row r="42" spans="2:45" x14ac:dyDescent="0.3">
      <c r="B42" s="39">
        <f t="shared" si="17"/>
        <v>34</v>
      </c>
      <c r="C42" s="176" cm="1">
        <f t="array" aca="1" ref="C42" ca="1">OFFSET('Results Tables'!$D$27,0,'Appraisal Calcs - IFRS 17'!B41:B41)</f>
        <v>-5615972.9307560939</v>
      </c>
      <c r="D42" s="174"/>
      <c r="E42" s="123">
        <f ca="1">OFFSET('CAR Calcs'!$C$59,0,COUNTA('Appraisal Calcs - IFRS 17'!$B$9:B42))</f>
        <v>7878862.8171369992</v>
      </c>
      <c r="F42" s="177">
        <f t="shared" ca="1" si="63"/>
        <v>384941.46180836018</v>
      </c>
      <c r="G42" s="123">
        <f ca="1">E42+SUM(D$8:D42)</f>
        <v>7878862.8171369992</v>
      </c>
      <c r="H42" s="178">
        <f t="shared" ca="1" si="62"/>
        <v>0</v>
      </c>
      <c r="I42" s="177">
        <f t="shared" ca="1" si="64"/>
        <v>393943.14085684996</v>
      </c>
      <c r="J42" s="177">
        <f t="shared" ca="1" si="65"/>
        <v>-5222029.789899244</v>
      </c>
      <c r="K42" s="177">
        <f t="shared" ca="1" si="66"/>
        <v>0</v>
      </c>
      <c r="L42" s="177">
        <f t="shared" ca="1" si="67"/>
        <v>-5222029.789899244</v>
      </c>
      <c r="M42" s="177">
        <f t="shared" ca="1" si="68"/>
        <v>-4837088.3280908838</v>
      </c>
      <c r="N42" s="32">
        <f t="shared" ca="1" si="22"/>
        <v>-0.66278978465534599</v>
      </c>
      <c r="O42" s="31">
        <f t="shared" si="69"/>
        <v>6475.2058572863161</v>
      </c>
      <c r="P42" s="179">
        <f t="shared" ca="1" si="70"/>
        <v>-747.01691879770624</v>
      </c>
      <c r="R42" s="39">
        <f t="shared" si="23"/>
        <v>34</v>
      </c>
      <c r="S42" s="29">
        <f t="shared" ca="1" si="71"/>
        <v>-4837088.3280908838</v>
      </c>
      <c r="T42" s="10">
        <f t="shared" si="72"/>
        <v>91.337166146747677</v>
      </c>
      <c r="U42" s="47">
        <f t="shared" ca="1" si="73"/>
        <v>-52958.59869704445</v>
      </c>
      <c r="W42" s="68">
        <f t="shared" si="24"/>
        <v>34</v>
      </c>
      <c r="X42" s="29">
        <f t="shared" ca="1" si="74"/>
        <v>-4837088.3280908838</v>
      </c>
      <c r="Y42" s="29">
        <f t="shared" ca="1" si="75"/>
        <v>46777727.981457599</v>
      </c>
      <c r="Z42" s="61">
        <f t="shared" si="76"/>
        <v>91.337166146747677</v>
      </c>
      <c r="AA42" s="62">
        <f t="shared" ca="1" si="77"/>
        <v>-52958.59869704445</v>
      </c>
      <c r="AB42" s="57">
        <f t="shared" ca="1" si="78"/>
        <v>14169339.815372264</v>
      </c>
      <c r="AC42" s="58">
        <f t="shared" ca="1" si="79"/>
        <v>34</v>
      </c>
      <c r="AD42" s="59">
        <f t="shared" ca="1" si="80"/>
        <v>34</v>
      </c>
      <c r="AF42" s="60">
        <f t="shared" si="27"/>
        <v>34</v>
      </c>
      <c r="AG42" s="84">
        <f t="shared" ca="1" si="52"/>
        <v>-5222029.789899244</v>
      </c>
      <c r="AH42" s="61">
        <f t="shared" si="53"/>
        <v>91.337166146747677</v>
      </c>
      <c r="AI42" s="29">
        <f t="shared" ca="1" si="54"/>
        <v>-57173.1093726865</v>
      </c>
      <c r="AJ42" s="57">
        <f t="shared" ca="1" si="55"/>
        <v>384941.46180836018</v>
      </c>
      <c r="AK42" s="80">
        <f t="shared" ca="1" si="56"/>
        <v>-1118798.5200334538</v>
      </c>
      <c r="AL42" s="57">
        <f t="shared" ca="1" si="57"/>
        <v>-12249.104797448239</v>
      </c>
      <c r="AM42" s="185">
        <f ca="1">OFFSET('Combined IFRS17 Cashflows'!$E$25,0,COUNTA('Appraisal Calcs - IFRS 17'!$AF$9:AF42))</f>
        <v>9127147.6628567204</v>
      </c>
      <c r="AN42" s="81">
        <f t="shared" ca="1" si="58"/>
        <v>99928.080187998246</v>
      </c>
      <c r="AP42" s="60">
        <f t="shared" si="31"/>
        <v>34</v>
      </c>
      <c r="AQ42" s="61">
        <f t="shared" si="59"/>
        <v>91.337166146747677</v>
      </c>
      <c r="AR42" s="90">
        <f t="shared" ca="1" si="60"/>
        <v>-4214.5106756420546</v>
      </c>
      <c r="AS42" s="85">
        <f t="shared" ca="1" si="61"/>
        <v>-57173.1093726865</v>
      </c>
    </row>
    <row r="43" spans="2:45" x14ac:dyDescent="0.3">
      <c r="B43" s="39">
        <f t="shared" si="17"/>
        <v>35</v>
      </c>
      <c r="C43" s="176" cm="1">
        <f t="array" aca="1" ref="C43" ca="1">OFFSET('Results Tables'!$D$27,0,'Appraisal Calcs - IFRS 17'!B42:B42)</f>
        <v>-5463480.2790064001</v>
      </c>
      <c r="D43" s="174"/>
      <c r="E43" s="123">
        <f ca="1">OFFSET('CAR Calcs'!$C$59,0,COUNTA('Appraisal Calcs - IFRS 17'!$B$9:B43))</f>
        <v>7506305.8294549212</v>
      </c>
      <c r="F43" s="177">
        <f t="shared" ca="1" si="63"/>
        <v>372556.98768207803</v>
      </c>
      <c r="G43" s="123">
        <f ca="1">E43+SUM(D$8:D43)</f>
        <v>7506305.8294549212</v>
      </c>
      <c r="H43" s="178">
        <f t="shared" ca="1" si="62"/>
        <v>0</v>
      </c>
      <c r="I43" s="177">
        <f t="shared" ca="1" si="64"/>
        <v>375315.29147274606</v>
      </c>
      <c r="J43" s="177">
        <f t="shared" ca="1" si="65"/>
        <v>-5088164.9875336541</v>
      </c>
      <c r="K43" s="177">
        <f t="shared" ca="1" si="66"/>
        <v>0</v>
      </c>
      <c r="L43" s="177">
        <f t="shared" ca="1" si="67"/>
        <v>-5088164.9875336541</v>
      </c>
      <c r="M43" s="177">
        <f t="shared" ca="1" si="68"/>
        <v>-4715607.9998515761</v>
      </c>
      <c r="N43" s="32">
        <f t="shared" ca="1" si="22"/>
        <v>-0.67785207572646111</v>
      </c>
      <c r="O43" s="31">
        <f t="shared" si="69"/>
        <v>8382.0312071760618</v>
      </c>
      <c r="P43" s="179">
        <f t="shared" ca="1" si="70"/>
        <v>-562.58535470667641</v>
      </c>
      <c r="R43" s="39">
        <f t="shared" si="23"/>
        <v>35</v>
      </c>
      <c r="S43" s="29">
        <f t="shared" ca="1" si="71"/>
        <v>-4715607.9998515761</v>
      </c>
      <c r="T43" s="10">
        <f t="shared" si="72"/>
        <v>104.30704373958585</v>
      </c>
      <c r="U43" s="47">
        <f t="shared" ca="1" si="73"/>
        <v>-45208.912368608748</v>
      </c>
      <c r="W43" s="68">
        <f t="shared" si="24"/>
        <v>35</v>
      </c>
      <c r="X43" s="29">
        <f t="shared" ca="1" si="74"/>
        <v>-4715607.9998515761</v>
      </c>
      <c r="Y43" s="29">
        <f t="shared" ca="1" si="75"/>
        <v>42062119.981606022</v>
      </c>
      <c r="Z43" s="61">
        <f t="shared" si="76"/>
        <v>104.30704373958585</v>
      </c>
      <c r="AA43" s="62">
        <f t="shared" ca="1" si="77"/>
        <v>-45208.912368608748</v>
      </c>
      <c r="AB43" s="57">
        <f t="shared" ca="1" si="78"/>
        <v>14124130.903003655</v>
      </c>
      <c r="AC43" s="58">
        <f t="shared" ca="1" si="79"/>
        <v>35</v>
      </c>
      <c r="AD43" s="59">
        <f t="shared" ca="1" si="80"/>
        <v>35</v>
      </c>
      <c r="AF43" s="60">
        <f t="shared" si="27"/>
        <v>35</v>
      </c>
      <c r="AG43" s="84">
        <f t="shared" ca="1" si="52"/>
        <v>-5088164.9875336541</v>
      </c>
      <c r="AH43" s="61">
        <f t="shared" si="53"/>
        <v>104.30704373958585</v>
      </c>
      <c r="AI43" s="29">
        <f t="shared" ca="1" si="54"/>
        <v>-48780.64611088801</v>
      </c>
      <c r="AJ43" s="57">
        <f t="shared" ca="1" si="55"/>
        <v>372556.98768207803</v>
      </c>
      <c r="AK43" s="80">
        <f t="shared" ca="1" si="56"/>
        <v>-1065895.4277825987</v>
      </c>
      <c r="AL43" s="57">
        <f t="shared" ca="1" si="57"/>
        <v>-10218.825014768181</v>
      </c>
      <c r="AM43" s="185">
        <f ca="1">OFFSET('Combined IFRS17 Cashflows'!$E$25,0,COUNTA('Appraisal Calcs - IFRS 17'!$AF$9:AF43))</f>
        <v>8158411.6534801377</v>
      </c>
      <c r="AN43" s="81">
        <f t="shared" ca="1" si="58"/>
        <v>78215.347314880491</v>
      </c>
      <c r="AP43" s="60">
        <f t="shared" si="31"/>
        <v>35</v>
      </c>
      <c r="AQ43" s="61">
        <f t="shared" si="59"/>
        <v>104.30704373958585</v>
      </c>
      <c r="AR43" s="90">
        <f t="shared" ca="1" si="60"/>
        <v>-3571.7337422792657</v>
      </c>
      <c r="AS43" s="85">
        <f t="shared" ca="1" si="61"/>
        <v>-48780.64611088801</v>
      </c>
    </row>
    <row r="44" spans="2:45" x14ac:dyDescent="0.3">
      <c r="B44" s="39">
        <f t="shared" si="17"/>
        <v>36</v>
      </c>
      <c r="C44" s="176" cm="1">
        <f t="array" aca="1" ref="C44" ca="1">OFFSET('Results Tables'!$D$27,0,'Appraisal Calcs - IFRS 17'!B43:B43)</f>
        <v>-5359341.7382615414</v>
      </c>
      <c r="D44" s="174"/>
      <c r="E44" s="123">
        <f ca="1">OFFSET('CAR Calcs'!$C$59,0,COUNTA('Appraisal Calcs - IFRS 17'!$B$9:B44))</f>
        <v>7123257.0851409063</v>
      </c>
      <c r="F44" s="177">
        <f t="shared" ca="1" si="63"/>
        <v>383048.74431401491</v>
      </c>
      <c r="G44" s="123">
        <f ca="1">E44+SUM(D$8:D44)</f>
        <v>7123257.0851409063</v>
      </c>
      <c r="H44" s="178">
        <f t="shared" ca="1" si="62"/>
        <v>0</v>
      </c>
      <c r="I44" s="177">
        <f t="shared" ca="1" si="64"/>
        <v>356162.85425704531</v>
      </c>
      <c r="J44" s="177">
        <f t="shared" ca="1" si="65"/>
        <v>-5003178.884004496</v>
      </c>
      <c r="K44" s="177">
        <f t="shared" ca="1" si="66"/>
        <v>0</v>
      </c>
      <c r="L44" s="177">
        <f t="shared" ca="1" si="67"/>
        <v>-5003178.884004496</v>
      </c>
      <c r="M44" s="177">
        <f t="shared" ca="1" si="68"/>
        <v>-4620130.1396904811</v>
      </c>
      <c r="N44" s="32">
        <f t="shared" ca="1" si="22"/>
        <v>-0.70237235918960617</v>
      </c>
      <c r="O44" s="31">
        <f t="shared" si="69"/>
        <v>10850.380467674871</v>
      </c>
      <c r="P44" s="179">
        <f t="shared" ca="1" si="70"/>
        <v>-425.8035147665683</v>
      </c>
      <c r="R44" s="39">
        <f t="shared" si="23"/>
        <v>36</v>
      </c>
      <c r="S44" s="29">
        <f t="shared" ca="1" si="71"/>
        <v>-4620130.1396904811</v>
      </c>
      <c r="T44" s="10">
        <f t="shared" si="72"/>
        <v>119.11864395060702</v>
      </c>
      <c r="U44" s="47">
        <f t="shared" ca="1" si="73"/>
        <v>-38785.953117517311</v>
      </c>
      <c r="W44" s="68">
        <f t="shared" si="24"/>
        <v>36</v>
      </c>
      <c r="X44" s="29">
        <f t="shared" ca="1" si="74"/>
        <v>-4620130.1396904811</v>
      </c>
      <c r="Y44" s="29">
        <f t="shared" ca="1" si="75"/>
        <v>37441989.84191554</v>
      </c>
      <c r="Z44" s="61">
        <f t="shared" si="76"/>
        <v>119.11864395060702</v>
      </c>
      <c r="AA44" s="62">
        <f t="shared" ca="1" si="77"/>
        <v>-38785.953117517311</v>
      </c>
      <c r="AB44" s="57">
        <f t="shared" ca="1" si="78"/>
        <v>14085344.949886138</v>
      </c>
      <c r="AC44" s="58">
        <f t="shared" ca="1" si="79"/>
        <v>36</v>
      </c>
      <c r="AD44" s="59">
        <f t="shared" ca="1" si="80"/>
        <v>36</v>
      </c>
      <c r="AF44" s="60">
        <f t="shared" si="27"/>
        <v>36</v>
      </c>
      <c r="AG44" s="84">
        <f t="shared" ca="1" si="52"/>
        <v>-5003178.884004496</v>
      </c>
      <c r="AH44" s="61">
        <f t="shared" si="53"/>
        <v>119.11864395060702</v>
      </c>
      <c r="AI44" s="29">
        <f t="shared" ca="1" si="54"/>
        <v>-42001.644059002909</v>
      </c>
      <c r="AJ44" s="57">
        <f t="shared" ca="1" si="55"/>
        <v>383048.74431401491</v>
      </c>
      <c r="AK44" s="80">
        <f t="shared" ca="1" si="56"/>
        <v>-1011502.5060900087</v>
      </c>
      <c r="AL44" s="57">
        <f t="shared" ca="1" si="57"/>
        <v>-8491.5549115000995</v>
      </c>
      <c r="AM44" s="185">
        <f ca="1">OFFSET('Combined IFRS17 Cashflows'!$E$25,0,COUNTA('Appraisal Calcs - IFRS 17'!$AF$9:AF44))</f>
        <v>7273287.9751059851</v>
      </c>
      <c r="AN44" s="81">
        <f t="shared" ca="1" si="58"/>
        <v>61059.190516993127</v>
      </c>
      <c r="AP44" s="60">
        <f t="shared" si="31"/>
        <v>36</v>
      </c>
      <c r="AQ44" s="61">
        <f t="shared" si="59"/>
        <v>119.11864395060702</v>
      </c>
      <c r="AR44" s="90">
        <f t="shared" ca="1" si="60"/>
        <v>-3215.6909414855954</v>
      </c>
      <c r="AS44" s="85">
        <f t="shared" ca="1" si="61"/>
        <v>-42001.644059002909</v>
      </c>
    </row>
    <row r="45" spans="2:45" x14ac:dyDescent="0.3">
      <c r="B45" s="39">
        <f t="shared" si="17"/>
        <v>37</v>
      </c>
      <c r="C45" s="176" cm="1">
        <f t="array" aca="1" ref="C45" ca="1">OFFSET('Results Tables'!$D$27,0,'Appraisal Calcs - IFRS 17'!B44:B44)</f>
        <v>-5323855.5183666321</v>
      </c>
      <c r="D45" s="174"/>
      <c r="E45" s="123">
        <f ca="1">OFFSET('CAR Calcs'!$C$59,0,COUNTA('Appraisal Calcs - IFRS 17'!$B$9:B45))</f>
        <v>6729162.4762392128</v>
      </c>
      <c r="F45" s="177">
        <f t="shared" ca="1" si="63"/>
        <v>394094.60890169349</v>
      </c>
      <c r="G45" s="123">
        <f ca="1">E45+SUM(D$8:D45)</f>
        <v>6729162.4762392128</v>
      </c>
      <c r="H45" s="178">
        <f t="shared" ca="1" si="62"/>
        <v>0</v>
      </c>
      <c r="I45" s="177">
        <f t="shared" ca="1" si="64"/>
        <v>336458.12381196069</v>
      </c>
      <c r="J45" s="177">
        <f t="shared" ca="1" si="65"/>
        <v>-4987397.3945546709</v>
      </c>
      <c r="K45" s="177">
        <f t="shared" ca="1" si="66"/>
        <v>0</v>
      </c>
      <c r="L45" s="177">
        <f t="shared" ca="1" si="67"/>
        <v>-4987397.3945546709</v>
      </c>
      <c r="M45" s="177">
        <f t="shared" ca="1" si="68"/>
        <v>-4593302.7856529774</v>
      </c>
      <c r="N45" s="32">
        <f t="shared" ca="1" si="22"/>
        <v>-0.74116168426089513</v>
      </c>
      <c r="O45" s="31">
        <f t="shared" si="69"/>
        <v>14045.611783514742</v>
      </c>
      <c r="P45" s="179">
        <f t="shared" ca="1" si="70"/>
        <v>-327.02760523711129</v>
      </c>
      <c r="R45" s="39">
        <f t="shared" si="23"/>
        <v>37</v>
      </c>
      <c r="S45" s="29">
        <f t="shared" ca="1" si="71"/>
        <v>-4593302.7856529774</v>
      </c>
      <c r="T45" s="10">
        <f t="shared" si="72"/>
        <v>136.0334913915932</v>
      </c>
      <c r="U45" s="47">
        <f t="shared" ca="1" si="73"/>
        <v>-33765.969973015344</v>
      </c>
      <c r="W45" s="68">
        <f t="shared" si="24"/>
        <v>37</v>
      </c>
      <c r="X45" s="29">
        <f t="shared" ca="1" si="74"/>
        <v>-4593302.7856529774</v>
      </c>
      <c r="Y45" s="29">
        <f t="shared" ca="1" si="75"/>
        <v>32848687.056262564</v>
      </c>
      <c r="Z45" s="61">
        <f t="shared" si="76"/>
        <v>136.0334913915932</v>
      </c>
      <c r="AA45" s="62">
        <f t="shared" ca="1" si="77"/>
        <v>-33765.969973015344</v>
      </c>
      <c r="AB45" s="57">
        <f t="shared" ca="1" si="78"/>
        <v>14051578.979913123</v>
      </c>
      <c r="AC45" s="58">
        <f t="shared" ca="1" si="79"/>
        <v>37</v>
      </c>
      <c r="AD45" s="59">
        <f t="shared" ca="1" si="80"/>
        <v>37</v>
      </c>
      <c r="AF45" s="60">
        <f t="shared" si="27"/>
        <v>37</v>
      </c>
      <c r="AG45" s="84">
        <f t="shared" ca="1" si="52"/>
        <v>-4987397.3945546709</v>
      </c>
      <c r="AH45" s="61">
        <f t="shared" si="53"/>
        <v>136.0334913915932</v>
      </c>
      <c r="AI45" s="29">
        <f t="shared" ca="1" si="54"/>
        <v>-36663.011024231419</v>
      </c>
      <c r="AJ45" s="57">
        <f t="shared" ca="1" si="55"/>
        <v>394094.60890169349</v>
      </c>
      <c r="AK45" s="80">
        <f t="shared" ca="1" si="56"/>
        <v>-955541.07162596809</v>
      </c>
      <c r="AL45" s="57">
        <f t="shared" ca="1" si="57"/>
        <v>-7024.3074837746908</v>
      </c>
      <c r="AM45" s="185">
        <f ca="1">OFFSET('Combined IFRS17 Cashflows'!$E$25,0,COUNTA('Appraisal Calcs - IFRS 17'!$AF$9:AF45))</f>
        <v>6499637.8844095981</v>
      </c>
      <c r="AN45" s="81">
        <f t="shared" ca="1" si="58"/>
        <v>47779.688795161455</v>
      </c>
      <c r="AP45" s="60">
        <f t="shared" si="31"/>
        <v>37</v>
      </c>
      <c r="AQ45" s="61">
        <f t="shared" si="59"/>
        <v>136.0334913915932</v>
      </c>
      <c r="AR45" s="90">
        <f t="shared" ca="1" si="60"/>
        <v>-2897.0410512160706</v>
      </c>
      <c r="AS45" s="85">
        <f t="shared" ca="1" si="61"/>
        <v>-36663.011024231419</v>
      </c>
    </row>
    <row r="46" spans="2:45" x14ac:dyDescent="0.3">
      <c r="B46" s="39">
        <f t="shared" si="17"/>
        <v>38</v>
      </c>
      <c r="C46" s="176" cm="1">
        <f t="array" aca="1" ref="C46" ca="1">OFFSET('Results Tables'!$D$27,0,'Appraisal Calcs - IFRS 17'!B45:B45)</f>
        <v>-5261306.1433779765</v>
      </c>
      <c r="D46" s="174"/>
      <c r="E46" s="123">
        <f ca="1">OFFSET('CAR Calcs'!$C$59,0,COUNTA('Appraisal Calcs - IFRS 17'!$B$9:B46))</f>
        <v>6323437.5857862998</v>
      </c>
      <c r="F46" s="177">
        <f t="shared" ca="1" si="63"/>
        <v>405724.89045291301</v>
      </c>
      <c r="G46" s="123">
        <f ca="1">E46+SUM(D$8:D46)</f>
        <v>6323437.5857862998</v>
      </c>
      <c r="H46" s="178">
        <f t="shared" ca="1" si="62"/>
        <v>0</v>
      </c>
      <c r="I46" s="177">
        <f t="shared" ca="1" si="64"/>
        <v>316171.87928931502</v>
      </c>
      <c r="J46" s="177">
        <f t="shared" ca="1" si="65"/>
        <v>-4945134.2640886614</v>
      </c>
      <c r="K46" s="177">
        <f t="shared" ca="1" si="66"/>
        <v>0</v>
      </c>
      <c r="L46" s="177">
        <f t="shared" ca="1" si="67"/>
        <v>-4945134.2640886614</v>
      </c>
      <c r="M46" s="177">
        <f t="shared" ca="1" si="68"/>
        <v>-4539409.3736357484</v>
      </c>
      <c r="N46" s="32">
        <f t="shared" ca="1" si="22"/>
        <v>-0.782032588604059</v>
      </c>
      <c r="O46" s="31">
        <f t="shared" si="69"/>
        <v>18181.778137728576</v>
      </c>
      <c r="P46" s="179">
        <f t="shared" ca="1" si="70"/>
        <v>-249.66806542513726</v>
      </c>
      <c r="R46" s="39">
        <f t="shared" si="23"/>
        <v>38</v>
      </c>
      <c r="S46" s="29">
        <f t="shared" ca="1" si="71"/>
        <v>-4539409.3736357484</v>
      </c>
      <c r="T46" s="10">
        <f t="shared" si="72"/>
        <v>155.35024716919946</v>
      </c>
      <c r="U46" s="47">
        <f t="shared" ca="1" si="73"/>
        <v>-29220.483754310724</v>
      </c>
      <c r="W46" s="68">
        <f t="shared" si="24"/>
        <v>38</v>
      </c>
      <c r="X46" s="29">
        <f t="shared" ca="1" si="74"/>
        <v>-4539409.3736357484</v>
      </c>
      <c r="Y46" s="29">
        <f t="shared" ca="1" si="75"/>
        <v>28309277.682626814</v>
      </c>
      <c r="Z46" s="61">
        <f t="shared" si="76"/>
        <v>155.35024716919946</v>
      </c>
      <c r="AA46" s="62">
        <f t="shared" ca="1" si="77"/>
        <v>-29220.483754310724</v>
      </c>
      <c r="AB46" s="57">
        <f t="shared" ca="1" si="78"/>
        <v>14022358.496158812</v>
      </c>
      <c r="AC46" s="58">
        <f t="shared" ca="1" si="79"/>
        <v>38</v>
      </c>
      <c r="AD46" s="59">
        <f t="shared" ca="1" si="80"/>
        <v>38</v>
      </c>
      <c r="AF46" s="60">
        <f t="shared" si="27"/>
        <v>38</v>
      </c>
      <c r="AG46" s="84">
        <f t="shared" ca="1" si="52"/>
        <v>-4945134.2640886614</v>
      </c>
      <c r="AH46" s="61">
        <f t="shared" si="53"/>
        <v>155.35024716919946</v>
      </c>
      <c r="AI46" s="29">
        <f t="shared" ca="1" si="54"/>
        <v>-31832.162189627394</v>
      </c>
      <c r="AJ46" s="57">
        <f t="shared" ca="1" si="55"/>
        <v>405724.89045291301</v>
      </c>
      <c r="AK46" s="80">
        <f t="shared" ca="1" si="56"/>
        <v>-897928.13718165446</v>
      </c>
      <c r="AL46" s="57">
        <f t="shared" ca="1" si="57"/>
        <v>-5780.0238721453561</v>
      </c>
      <c r="AM46" s="185">
        <f ca="1">OFFSET('Combined IFRS17 Cashflows'!$E$25,0,COUNTA('Appraisal Calcs - IFRS 17'!$AF$9:AF46))</f>
        <v>5789551.7100359593</v>
      </c>
      <c r="AN46" s="81">
        <f t="shared" ca="1" si="58"/>
        <v>37267.734139684238</v>
      </c>
      <c r="AP46" s="60">
        <f t="shared" si="31"/>
        <v>38</v>
      </c>
      <c r="AQ46" s="61">
        <f t="shared" si="59"/>
        <v>155.35024716919946</v>
      </c>
      <c r="AR46" s="90">
        <f t="shared" ca="1" si="60"/>
        <v>-2611.6784353166713</v>
      </c>
      <c r="AS46" s="85">
        <f t="shared" ca="1" si="61"/>
        <v>-31832.162189627394</v>
      </c>
    </row>
    <row r="47" spans="2:45" x14ac:dyDescent="0.3">
      <c r="B47" s="39">
        <f t="shared" si="17"/>
        <v>39</v>
      </c>
      <c r="C47" s="176" cm="1">
        <f t="array" aca="1" ref="C47" ca="1">OFFSET('Results Tables'!$D$27,0,'Appraisal Calcs - IFRS 17'!B46:B46)</f>
        <v>-5181404.4395600464</v>
      </c>
      <c r="D47" s="174"/>
      <c r="E47" s="123">
        <f ca="1">OFFSET('CAR Calcs'!$C$59,0,COUNTA('Appraisal Calcs - IFRS 17'!$B$9:B47))</f>
        <v>5907548.198251701</v>
      </c>
      <c r="F47" s="177">
        <f t="shared" ca="1" si="63"/>
        <v>415889.38753459882</v>
      </c>
      <c r="G47" s="123">
        <f ca="1">E47+SUM(D$8:D47)</f>
        <v>5907548.198251701</v>
      </c>
      <c r="H47" s="178">
        <f t="shared" ca="1" si="62"/>
        <v>0</v>
      </c>
      <c r="I47" s="177">
        <f t="shared" ca="1" si="64"/>
        <v>295377.40991258505</v>
      </c>
      <c r="J47" s="177">
        <f t="shared" ca="1" si="65"/>
        <v>-4886027.0296474611</v>
      </c>
      <c r="K47" s="177">
        <f t="shared" ca="1" si="66"/>
        <v>0</v>
      </c>
      <c r="L47" s="177">
        <f t="shared" ca="1" si="67"/>
        <v>-4886027.0296474611</v>
      </c>
      <c r="M47" s="177">
        <f t="shared" ca="1" si="68"/>
        <v>-4470137.6421128623</v>
      </c>
      <c r="N47" s="32">
        <f t="shared" ca="1" si="22"/>
        <v>-0.82708204244418149</v>
      </c>
      <c r="O47" s="31">
        <f t="shared" si="69"/>
        <v>23535.967058236747</v>
      </c>
      <c r="P47" s="179">
        <f t="shared" ca="1" si="70"/>
        <v>-189.92793587159929</v>
      </c>
      <c r="R47" s="39">
        <f t="shared" si="23"/>
        <v>39</v>
      </c>
      <c r="S47" s="29">
        <f t="shared" ca="1" si="71"/>
        <v>-4470137.6421128623</v>
      </c>
      <c r="T47" s="10">
        <f t="shared" si="72"/>
        <v>177.40998226722579</v>
      </c>
      <c r="U47" s="47">
        <f t="shared" ca="1" si="73"/>
        <v>-25196.652324668332</v>
      </c>
      <c r="W47" s="68">
        <f t="shared" si="24"/>
        <v>39</v>
      </c>
      <c r="X47" s="29">
        <f t="shared" ca="1" si="74"/>
        <v>-4470137.6421128623</v>
      </c>
      <c r="Y47" s="29">
        <f t="shared" ca="1" si="75"/>
        <v>23839140.040513951</v>
      </c>
      <c r="Z47" s="61">
        <f t="shared" si="76"/>
        <v>177.40998226722579</v>
      </c>
      <c r="AA47" s="62">
        <f t="shared" ca="1" si="77"/>
        <v>-25196.652324668332</v>
      </c>
      <c r="AB47" s="57">
        <f t="shared" ca="1" si="78"/>
        <v>13997161.843834143</v>
      </c>
      <c r="AC47" s="58">
        <f t="shared" ca="1" si="79"/>
        <v>39</v>
      </c>
      <c r="AD47" s="59">
        <f t="shared" ca="1" si="80"/>
        <v>39</v>
      </c>
      <c r="AF47" s="60">
        <f t="shared" si="27"/>
        <v>39</v>
      </c>
      <c r="AG47" s="84">
        <f t="shared" ca="1" si="52"/>
        <v>-4886027.0296474611</v>
      </c>
      <c r="AH47" s="61">
        <f t="shared" si="53"/>
        <v>177.40998226722579</v>
      </c>
      <c r="AI47" s="29">
        <f t="shared" ca="1" si="54"/>
        <v>-27540.879984350755</v>
      </c>
      <c r="AJ47" s="57">
        <f t="shared" ca="1" si="55"/>
        <v>415889.38753459882</v>
      </c>
      <c r="AK47" s="80">
        <f t="shared" ca="1" si="56"/>
        <v>-838871.84415174148</v>
      </c>
      <c r="AL47" s="57">
        <f t="shared" ca="1" si="57"/>
        <v>-4728.4365481091208</v>
      </c>
      <c r="AM47" s="185">
        <f ca="1">OFFSET('Combined IFRS17 Cashflows'!$E$25,0,COUNTA('Appraisal Calcs - IFRS 17'!$AF$9:AF47))</f>
        <v>5139261.1468969258</v>
      </c>
      <c r="AN47" s="81">
        <f t="shared" ca="1" si="58"/>
        <v>28968.274959612227</v>
      </c>
      <c r="AP47" s="60">
        <f t="shared" si="31"/>
        <v>39</v>
      </c>
      <c r="AQ47" s="61">
        <f t="shared" si="59"/>
        <v>177.40998226722579</v>
      </c>
      <c r="AR47" s="90">
        <f t="shared" ca="1" si="60"/>
        <v>-2344.2276596824227</v>
      </c>
      <c r="AS47" s="85">
        <f t="shared" ca="1" si="61"/>
        <v>-27540.879984350755</v>
      </c>
    </row>
    <row r="48" spans="2:45" x14ac:dyDescent="0.3">
      <c r="B48" s="39">
        <f t="shared" si="17"/>
        <v>40</v>
      </c>
      <c r="C48" s="176" cm="1">
        <f t="array" aca="1" ref="C48" ca="1">OFFSET('Results Tables'!$D$27,0,'Appraisal Calcs - IFRS 17'!B47:B47)</f>
        <v>-4985362.0419877348</v>
      </c>
      <c r="D48" s="174"/>
      <c r="E48" s="123">
        <f ca="1">OFFSET('CAR Calcs'!$C$59,0,COUNTA('Appraisal Calcs - IFRS 17'!$B$9:B48))</f>
        <v>5503674.3675032221</v>
      </c>
      <c r="F48" s="177">
        <f t="shared" ca="1" si="63"/>
        <v>403873.83074847888</v>
      </c>
      <c r="G48" s="123">
        <f ca="1">E48+SUM(D$8:D48)</f>
        <v>5503674.3675032221</v>
      </c>
      <c r="H48" s="178">
        <f t="shared" ca="1" si="62"/>
        <v>0</v>
      </c>
      <c r="I48" s="177">
        <f t="shared" ca="1" si="64"/>
        <v>275183.71837516112</v>
      </c>
      <c r="J48" s="177">
        <f t="shared" ca="1" si="65"/>
        <v>-4710178.3236125736</v>
      </c>
      <c r="K48" s="177">
        <f t="shared" ca="1" si="66"/>
        <v>0</v>
      </c>
      <c r="L48" s="177">
        <f t="shared" ca="1" si="67"/>
        <v>-4710178.3236125736</v>
      </c>
      <c r="M48" s="177">
        <f t="shared" ca="1" si="68"/>
        <v>-4306304.4928640947</v>
      </c>
      <c r="N48" s="32">
        <f t="shared" ca="1" si="22"/>
        <v>-0.85582431101376677</v>
      </c>
      <c r="O48" s="31">
        <f t="shared" si="69"/>
        <v>30466.863096131059</v>
      </c>
      <c r="P48" s="179">
        <f t="shared" ca="1" si="70"/>
        <v>-141.34387512349264</v>
      </c>
      <c r="R48" s="39">
        <f t="shared" si="23"/>
        <v>40</v>
      </c>
      <c r="S48" s="29">
        <f t="shared" ca="1" si="71"/>
        <v>-4306304.4928640947</v>
      </c>
      <c r="T48" s="10">
        <f t="shared" si="72"/>
        <v>202.6021997491718</v>
      </c>
      <c r="U48" s="47">
        <f t="shared" ca="1" si="73"/>
        <v>-21254.974023951574</v>
      </c>
      <c r="W48" s="68">
        <f t="shared" si="24"/>
        <v>40</v>
      </c>
      <c r="X48" s="29">
        <f t="shared" ca="1" si="74"/>
        <v>-4306304.4928640947</v>
      </c>
      <c r="Y48" s="29">
        <f t="shared" ca="1" si="75"/>
        <v>19532835.547649857</v>
      </c>
      <c r="Z48" s="61">
        <f t="shared" si="76"/>
        <v>202.6021997491718</v>
      </c>
      <c r="AA48" s="62">
        <f t="shared" ca="1" si="77"/>
        <v>-21254.974023951574</v>
      </c>
      <c r="AB48" s="57">
        <f t="shared" ca="1" si="78"/>
        <v>13975906.869810192</v>
      </c>
      <c r="AC48" s="58">
        <f t="shared" ca="1" si="79"/>
        <v>40</v>
      </c>
      <c r="AD48" s="59">
        <f t="shared" ca="1" si="80"/>
        <v>40</v>
      </c>
      <c r="AF48" s="60">
        <f t="shared" si="27"/>
        <v>40</v>
      </c>
      <c r="AG48" s="84">
        <f t="shared" ca="1" si="52"/>
        <v>-4710178.3236125736</v>
      </c>
      <c r="AH48" s="61">
        <f t="shared" si="53"/>
        <v>202.6021997491718</v>
      </c>
      <c r="AI48" s="29">
        <f t="shared" ca="1" si="54"/>
        <v>-23248.406628575256</v>
      </c>
      <c r="AJ48" s="57">
        <f t="shared" ca="1" si="55"/>
        <v>403873.83074847888</v>
      </c>
      <c r="AK48" s="80">
        <f t="shared" ca="1" si="56"/>
        <v>-781521.76018545742</v>
      </c>
      <c r="AL48" s="57">
        <f t="shared" ca="1" si="57"/>
        <v>-3857.4199152477472</v>
      </c>
      <c r="AM48" s="185">
        <f ca="1">OFFSET('Combined IFRS17 Cashflows'!$E$25,0,COUNTA('Appraisal Calcs - IFRS 17'!$AF$9:AF48))</f>
        <v>4544436.138942522</v>
      </c>
      <c r="AN48" s="81">
        <f t="shared" ca="1" si="58"/>
        <v>22430.339574637805</v>
      </c>
      <c r="AP48" s="60">
        <f t="shared" si="31"/>
        <v>40</v>
      </c>
      <c r="AQ48" s="61">
        <f t="shared" si="59"/>
        <v>202.6021997491718</v>
      </c>
      <c r="AR48" s="90">
        <f t="shared" ca="1" si="60"/>
        <v>-1993.4326046236813</v>
      </c>
      <c r="AS48" s="85">
        <f t="shared" ca="1" si="61"/>
        <v>-23248.406628575256</v>
      </c>
    </row>
    <row r="49" spans="2:45" x14ac:dyDescent="0.3">
      <c r="B49" s="39">
        <f t="shared" si="17"/>
        <v>41</v>
      </c>
      <c r="C49" s="176" cm="1">
        <f t="array" aca="1" ref="C49" ca="1">OFFSET('Results Tables'!$D$27,0,'Appraisal Calcs - IFRS 17'!B48:B48)</f>
        <v>-4858744.9603454731</v>
      </c>
      <c r="D49" s="174"/>
      <c r="E49" s="123">
        <f ca="1">OFFSET('CAR Calcs'!$C$59,0,COUNTA('Appraisal Calcs - IFRS 17'!$B$9:B49))</f>
        <v>5096911.3323026579</v>
      </c>
      <c r="F49" s="177">
        <f t="shared" ca="1" si="63"/>
        <v>406763.03520056419</v>
      </c>
      <c r="G49" s="123">
        <f ca="1">E49+SUM(D$8:D49)</f>
        <v>5096911.3323026579</v>
      </c>
      <c r="H49" s="178">
        <f t="shared" ca="1" si="62"/>
        <v>0</v>
      </c>
      <c r="I49" s="177">
        <f t="shared" ca="1" si="64"/>
        <v>254845.56661513291</v>
      </c>
      <c r="J49" s="177">
        <f t="shared" ca="1" si="65"/>
        <v>-4603899.3937303405</v>
      </c>
      <c r="K49" s="177">
        <f t="shared" ca="1" si="66"/>
        <v>0</v>
      </c>
      <c r="L49" s="177">
        <f t="shared" ca="1" si="67"/>
        <v>-4603899.3937303405</v>
      </c>
      <c r="M49" s="177">
        <f t="shared" ca="1" si="68"/>
        <v>-4197136.3585297763</v>
      </c>
      <c r="N49" s="32">
        <f t="shared" ca="1" si="22"/>
        <v>-0.90327241216700016</v>
      </c>
      <c r="O49" s="31">
        <f t="shared" si="69"/>
        <v>39438.776601853941</v>
      </c>
      <c r="P49" s="179">
        <f t="shared" ca="1" si="70"/>
        <v>-106.42156578286145</v>
      </c>
      <c r="R49" s="39">
        <f t="shared" si="23"/>
        <v>41</v>
      </c>
      <c r="S49" s="29">
        <f t="shared" ca="1" si="71"/>
        <v>-4197136.3585297763</v>
      </c>
      <c r="T49" s="10">
        <f t="shared" si="72"/>
        <v>231.37171211355417</v>
      </c>
      <c r="U49" s="47">
        <f t="shared" ca="1" si="73"/>
        <v>-18140.231233063951</v>
      </c>
      <c r="W49" s="68">
        <f t="shared" si="24"/>
        <v>41</v>
      </c>
      <c r="X49" s="29">
        <f t="shared" ca="1" si="74"/>
        <v>-4197136.3585297763</v>
      </c>
      <c r="Y49" s="29">
        <f t="shared" ca="1" si="75"/>
        <v>15335699.18912008</v>
      </c>
      <c r="Z49" s="61">
        <f t="shared" si="76"/>
        <v>231.37171211355417</v>
      </c>
      <c r="AA49" s="62">
        <f t="shared" ca="1" si="77"/>
        <v>-18140.231233063951</v>
      </c>
      <c r="AB49" s="57">
        <f t="shared" ca="1" si="78"/>
        <v>13957766.638577128</v>
      </c>
      <c r="AC49" s="58">
        <f t="shared" ca="1" si="79"/>
        <v>41</v>
      </c>
      <c r="AD49" s="59">
        <f t="shared" ca="1" si="80"/>
        <v>41</v>
      </c>
      <c r="AF49" s="60">
        <f t="shared" si="27"/>
        <v>41</v>
      </c>
      <c r="AG49" s="84">
        <f t="shared" ca="1" si="52"/>
        <v>-4603899.3937303405</v>
      </c>
      <c r="AH49" s="61">
        <f t="shared" si="53"/>
        <v>231.37171211355417</v>
      </c>
      <c r="AI49" s="29">
        <f t="shared" ca="1" si="54"/>
        <v>-19898.281218884735</v>
      </c>
      <c r="AJ49" s="57">
        <f t="shared" ca="1" si="55"/>
        <v>406763.03520056419</v>
      </c>
      <c r="AK49" s="80">
        <f t="shared" ca="1" si="56"/>
        <v>-723761.40918697731</v>
      </c>
      <c r="AL49" s="57">
        <f t="shared" ca="1" si="57"/>
        <v>-3128.132659673473</v>
      </c>
      <c r="AM49" s="185">
        <f ca="1">OFFSET('Combined IFRS17 Cashflows'!$E$25,0,COUNTA('Appraisal Calcs - IFRS 17'!$AF$9:AF49))</f>
        <v>4000338.7702420466</v>
      </c>
      <c r="AN49" s="81">
        <f t="shared" ca="1" si="58"/>
        <v>17289.662308755935</v>
      </c>
      <c r="AP49" s="60">
        <f t="shared" si="31"/>
        <v>41</v>
      </c>
      <c r="AQ49" s="61">
        <f t="shared" si="59"/>
        <v>231.37171211355417</v>
      </c>
      <c r="AR49" s="90">
        <f t="shared" ca="1" si="60"/>
        <v>-1758.0499858207829</v>
      </c>
      <c r="AS49" s="85">
        <f t="shared" ca="1" si="61"/>
        <v>-19898.281218884735</v>
      </c>
    </row>
    <row r="50" spans="2:45" x14ac:dyDescent="0.3">
      <c r="B50" s="39">
        <f t="shared" si="17"/>
        <v>42</v>
      </c>
      <c r="C50" s="176" cm="1">
        <f t="array" aca="1" ref="C50" ca="1">OFFSET('Results Tables'!$D$27,0,'Appraisal Calcs - IFRS 17'!B49:B49)</f>
        <v>-4706826.9565362968</v>
      </c>
      <c r="D50" s="174"/>
      <c r="E50" s="123">
        <f ca="1">OFFSET('CAR Calcs'!$C$59,0,COUNTA('Appraisal Calcs - IFRS 17'!$B$9:B50))</f>
        <v>4693303.2811544901</v>
      </c>
      <c r="F50" s="177">
        <f t="shared" ca="1" si="63"/>
        <v>403608.05114816781</v>
      </c>
      <c r="G50" s="123">
        <f ca="1">E50+SUM(D$8:D50)</f>
        <v>4693303.2811544901</v>
      </c>
      <c r="H50" s="178">
        <f t="shared" ca="1" si="62"/>
        <v>0</v>
      </c>
      <c r="I50" s="177">
        <f t="shared" ca="1" si="64"/>
        <v>234665.16405772453</v>
      </c>
      <c r="J50" s="177">
        <f t="shared" ca="1" si="65"/>
        <v>-4472161.7924785726</v>
      </c>
      <c r="K50" s="177">
        <f t="shared" ca="1" si="66"/>
        <v>0</v>
      </c>
      <c r="L50" s="177">
        <f t="shared" ca="1" si="67"/>
        <v>-4472161.7924785726</v>
      </c>
      <c r="M50" s="177">
        <f t="shared" ca="1" si="68"/>
        <v>-4068553.7413304048</v>
      </c>
      <c r="N50" s="32">
        <f t="shared" ca="1" si="22"/>
        <v>-0.95288148337570899</v>
      </c>
      <c r="O50" s="31">
        <f t="shared" si="69"/>
        <v>51052.748520357592</v>
      </c>
      <c r="P50" s="179">
        <f t="shared" ca="1" si="70"/>
        <v>-79.693138160975693</v>
      </c>
      <c r="R50" s="39">
        <f t="shared" si="23"/>
        <v>42</v>
      </c>
      <c r="S50" s="29">
        <f t="shared" ca="1" si="71"/>
        <v>-4068553.7413304048</v>
      </c>
      <c r="T50" s="10">
        <f t="shared" si="72"/>
        <v>264.22649523367886</v>
      </c>
      <c r="U50" s="47">
        <f t="shared" ca="1" si="73"/>
        <v>-15397.977926975957</v>
      </c>
      <c r="W50" s="68">
        <f t="shared" si="24"/>
        <v>42</v>
      </c>
      <c r="X50" s="29">
        <f t="shared" ca="1" si="74"/>
        <v>-4068553.7413304048</v>
      </c>
      <c r="Y50" s="29">
        <f t="shared" ca="1" si="75"/>
        <v>11267145.447789676</v>
      </c>
      <c r="Z50" s="61">
        <f t="shared" si="76"/>
        <v>264.22649523367886</v>
      </c>
      <c r="AA50" s="62">
        <f t="shared" ca="1" si="77"/>
        <v>-15397.977926975957</v>
      </c>
      <c r="AB50" s="57">
        <f t="shared" ca="1" si="78"/>
        <v>13942368.660650153</v>
      </c>
      <c r="AC50" s="58">
        <f t="shared" ca="1" si="79"/>
        <v>42</v>
      </c>
      <c r="AD50" s="59">
        <f t="shared" ca="1" si="80"/>
        <v>42</v>
      </c>
      <c r="AF50" s="60">
        <f t="shared" si="27"/>
        <v>42</v>
      </c>
      <c r="AG50" s="84">
        <f t="shared" ca="1" si="52"/>
        <v>-4472161.7924785726</v>
      </c>
      <c r="AH50" s="61">
        <f t="shared" si="53"/>
        <v>264.22649523367886</v>
      </c>
      <c r="AI50" s="29">
        <f t="shared" ca="1" si="54"/>
        <v>-16925.485797794216</v>
      </c>
      <c r="AJ50" s="57">
        <f t="shared" ca="1" si="55"/>
        <v>403608.05114816781</v>
      </c>
      <c r="AK50" s="80">
        <f t="shared" ca="1" si="56"/>
        <v>-666449.06592393748</v>
      </c>
      <c r="AL50" s="57">
        <f t="shared" ca="1" si="57"/>
        <v>-2522.2643373993878</v>
      </c>
      <c r="AM50" s="185">
        <f ca="1">OFFSET('Combined IFRS17 Cashflows'!$E$25,0,COUNTA('Appraisal Calcs - IFRS 17'!$AF$9:AF50))</f>
        <v>3514691.9509921498</v>
      </c>
      <c r="AN50" s="81">
        <f t="shared" ca="1" si="58"/>
        <v>13301.814974625451</v>
      </c>
      <c r="AP50" s="60">
        <f t="shared" si="31"/>
        <v>42</v>
      </c>
      <c r="AQ50" s="61">
        <f t="shared" si="59"/>
        <v>264.22649523367886</v>
      </c>
      <c r="AR50" s="90">
        <f t="shared" ca="1" si="60"/>
        <v>-1527.5078708182596</v>
      </c>
      <c r="AS50" s="85">
        <f t="shared" ca="1" si="61"/>
        <v>-16925.485797794216</v>
      </c>
    </row>
    <row r="51" spans="2:45" x14ac:dyDescent="0.3">
      <c r="B51" s="39">
        <f t="shared" si="17"/>
        <v>43</v>
      </c>
      <c r="C51" s="176" cm="1">
        <f t="array" aca="1" ref="C51" ca="1">OFFSET('Results Tables'!$D$27,0,'Appraisal Calcs - IFRS 17'!B50:B50)</f>
        <v>-4532645.3586225007</v>
      </c>
      <c r="D51" s="174"/>
      <c r="E51" s="123">
        <f ca="1">OFFSET('CAR Calcs'!$C$59,0,COUNTA('Appraisal Calcs - IFRS 17'!$B$9:B51))</f>
        <v>4295278.7896909118</v>
      </c>
      <c r="F51" s="177">
        <f t="shared" ca="1" si="63"/>
        <v>398024.49146357831</v>
      </c>
      <c r="G51" s="123">
        <f ca="1">E51+SUM(D$8:D51)</f>
        <v>4295278.7896909118</v>
      </c>
      <c r="H51" s="178">
        <f t="shared" ca="1" si="62"/>
        <v>0</v>
      </c>
      <c r="I51" s="177">
        <f t="shared" ca="1" si="64"/>
        <v>214763.93948454561</v>
      </c>
      <c r="J51" s="177">
        <f t="shared" ca="1" si="65"/>
        <v>-4317881.4191379547</v>
      </c>
      <c r="K51" s="177">
        <f t="shared" ca="1" si="66"/>
        <v>0</v>
      </c>
      <c r="L51" s="177">
        <f t="shared" ca="1" si="67"/>
        <v>-4317881.4191379547</v>
      </c>
      <c r="M51" s="177">
        <f t="shared" ca="1" si="68"/>
        <v>-3919856.9276743764</v>
      </c>
      <c r="N51" s="32">
        <f t="shared" ca="1" si="22"/>
        <v>-1.0052622031196885</v>
      </c>
      <c r="O51" s="31">
        <f t="shared" si="69"/>
        <v>66086.814958665651</v>
      </c>
      <c r="P51" s="179">
        <f t="shared" ca="1" si="70"/>
        <v>-59.313751617869187</v>
      </c>
      <c r="R51" s="39">
        <f t="shared" si="23"/>
        <v>43</v>
      </c>
      <c r="S51" s="29">
        <f t="shared" ca="1" si="71"/>
        <v>-3919856.9276743764</v>
      </c>
      <c r="T51" s="10">
        <f t="shared" si="72"/>
        <v>301.74665755686129</v>
      </c>
      <c r="U51" s="47">
        <f t="shared" ca="1" si="73"/>
        <v>-12990.556248119225</v>
      </c>
      <c r="W51" s="68">
        <f t="shared" si="24"/>
        <v>43</v>
      </c>
      <c r="X51" s="29">
        <f t="shared" ca="1" si="74"/>
        <v>-3919856.9276743764</v>
      </c>
      <c r="Y51" s="29">
        <f t="shared" ca="1" si="75"/>
        <v>7347288.5201153001</v>
      </c>
      <c r="Z51" s="61">
        <f t="shared" si="76"/>
        <v>301.74665755686129</v>
      </c>
      <c r="AA51" s="62">
        <f t="shared" ca="1" si="77"/>
        <v>-12990.556248119225</v>
      </c>
      <c r="AB51" s="57">
        <f t="shared" ca="1" si="78"/>
        <v>13929378.104402034</v>
      </c>
      <c r="AC51" s="58">
        <f t="shared" ca="1" si="79"/>
        <v>43</v>
      </c>
      <c r="AD51" s="59">
        <f t="shared" ca="1" si="80"/>
        <v>43</v>
      </c>
      <c r="AF51" s="60">
        <f t="shared" si="27"/>
        <v>43</v>
      </c>
      <c r="AG51" s="84">
        <f t="shared" ca="1" si="52"/>
        <v>-4317881.4191379547</v>
      </c>
      <c r="AH51" s="61">
        <f t="shared" si="53"/>
        <v>301.74665755686129</v>
      </c>
      <c r="AI51" s="29">
        <f t="shared" ca="1" si="54"/>
        <v>-14309.624683495595</v>
      </c>
      <c r="AJ51" s="57">
        <f t="shared" ca="1" si="55"/>
        <v>398024.49146357831</v>
      </c>
      <c r="AK51" s="80">
        <f t="shared" ca="1" si="56"/>
        <v>-609929.58813610941</v>
      </c>
      <c r="AL51" s="57">
        <f t="shared" ca="1" si="57"/>
        <v>-2021.3300557311857</v>
      </c>
      <c r="AM51" s="185">
        <f ca="1">OFFSET('Combined IFRS17 Cashflows'!$E$25,0,COUNTA('Appraisal Calcs - IFRS 17'!$AF$9:AF51))</f>
        <v>3074052.6198802935</v>
      </c>
      <c r="AN51" s="81">
        <f t="shared" ca="1" si="58"/>
        <v>10187.528321837393</v>
      </c>
      <c r="AP51" s="60">
        <f t="shared" si="31"/>
        <v>43</v>
      </c>
      <c r="AQ51" s="61">
        <f t="shared" si="59"/>
        <v>301.74665755686129</v>
      </c>
      <c r="AR51" s="90">
        <f t="shared" ca="1" si="60"/>
        <v>-1319.06843537637</v>
      </c>
      <c r="AS51" s="85">
        <f t="shared" ca="1" si="61"/>
        <v>-14309.624683495595</v>
      </c>
    </row>
    <row r="52" spans="2:45" x14ac:dyDescent="0.3">
      <c r="B52" s="39">
        <f t="shared" si="17"/>
        <v>44</v>
      </c>
      <c r="C52" s="176" cm="1">
        <f t="array" aca="1" ref="C52" ca="1">OFFSET('Results Tables'!$D$27,0,'Appraisal Calcs - IFRS 17'!B51:B51)</f>
        <v>-4339955.2320955489</v>
      </c>
      <c r="D52" s="174"/>
      <c r="E52" s="123">
        <f ca="1">OFFSET('CAR Calcs'!$C$59,0,COUNTA('Appraisal Calcs - IFRS 17'!$B$9:B52))</f>
        <v>3906063.785235771</v>
      </c>
      <c r="F52" s="177">
        <f t="shared" ca="1" si="63"/>
        <v>389215.00445514079</v>
      </c>
      <c r="G52" s="123">
        <f ca="1">E52+SUM(D$8:D52)</f>
        <v>3906063.785235771</v>
      </c>
      <c r="H52" s="178">
        <f t="shared" ca="1" si="62"/>
        <v>0</v>
      </c>
      <c r="I52" s="177">
        <f t="shared" ca="1" si="64"/>
        <v>195303.18926178856</v>
      </c>
      <c r="J52" s="177">
        <f t="shared" ca="1" si="65"/>
        <v>-4144652.0428337604</v>
      </c>
      <c r="K52" s="177">
        <f t="shared" ca="1" si="66"/>
        <v>0</v>
      </c>
      <c r="L52" s="177">
        <f t="shared" ca="1" si="67"/>
        <v>-4144652.0428337604</v>
      </c>
      <c r="M52" s="177">
        <f t="shared" ca="1" si="68"/>
        <v>-3755437.0383786196</v>
      </c>
      <c r="N52" s="32">
        <f t="shared" ca="1" si="22"/>
        <v>-1.0610815057603029</v>
      </c>
      <c r="O52" s="31">
        <f t="shared" si="69"/>
        <v>85548.128905133504</v>
      </c>
      <c r="P52" s="179">
        <f t="shared" ca="1" si="70"/>
        <v>-43.898529242446898</v>
      </c>
      <c r="R52" s="39">
        <f t="shared" si="23"/>
        <v>44</v>
      </c>
      <c r="S52" s="29">
        <f t="shared" ca="1" si="71"/>
        <v>-3755437.0383786196</v>
      </c>
      <c r="T52" s="10">
        <f t="shared" si="72"/>
        <v>344.59468292993552</v>
      </c>
      <c r="U52" s="47">
        <f t="shared" ca="1" si="73"/>
        <v>-10898.128219645778</v>
      </c>
      <c r="W52" s="68">
        <f t="shared" si="24"/>
        <v>44</v>
      </c>
      <c r="X52" s="29">
        <f t="shared" ca="1" si="74"/>
        <v>-3755437.0383786196</v>
      </c>
      <c r="Y52" s="29">
        <f t="shared" ca="1" si="75"/>
        <v>3591851.4817366805</v>
      </c>
      <c r="Z52" s="61">
        <f t="shared" si="76"/>
        <v>344.59468292993552</v>
      </c>
      <c r="AA52" s="62">
        <f t="shared" ca="1" si="77"/>
        <v>-10898.128219645778</v>
      </c>
      <c r="AB52" s="57">
        <f t="shared" ca="1" si="78"/>
        <v>13918479.976182388</v>
      </c>
      <c r="AC52" s="58">
        <f t="shared" ca="1" si="79"/>
        <v>44</v>
      </c>
      <c r="AD52" s="59">
        <f t="shared" ca="1" si="80"/>
        <v>44</v>
      </c>
      <c r="AF52" s="60">
        <f t="shared" si="27"/>
        <v>44</v>
      </c>
      <c r="AG52" s="84">
        <f t="shared" ca="1" si="52"/>
        <v>-4144652.0428337604</v>
      </c>
      <c r="AH52" s="61">
        <f t="shared" si="53"/>
        <v>344.59468292993552</v>
      </c>
      <c r="AI52" s="29">
        <f t="shared" ca="1" si="54"/>
        <v>-12027.614609702116</v>
      </c>
      <c r="AJ52" s="57">
        <f t="shared" ca="1" si="55"/>
        <v>389215.00445514079</v>
      </c>
      <c r="AK52" s="80">
        <f t="shared" ca="1" si="56"/>
        <v>-554661.05750347942</v>
      </c>
      <c r="AL52" s="57">
        <f t="shared" ca="1" si="57"/>
        <v>-1609.6042248459635</v>
      </c>
      <c r="AM52" s="185">
        <f ca="1">OFFSET('Combined IFRS17 Cashflows'!$E$25,0,COUNTA('Appraisal Calcs - IFRS 17'!$AF$9:AF52))</f>
        <v>2675917.0097324555</v>
      </c>
      <c r="AN52" s="81">
        <f t="shared" ca="1" si="58"/>
        <v>7765.4042336936882</v>
      </c>
      <c r="AP52" s="60">
        <f t="shared" si="31"/>
        <v>44</v>
      </c>
      <c r="AQ52" s="61">
        <f t="shared" si="59"/>
        <v>344.59468292993552</v>
      </c>
      <c r="AR52" s="90">
        <f t="shared" ca="1" si="60"/>
        <v>-1129.4863900563366</v>
      </c>
      <c r="AS52" s="85">
        <f t="shared" ca="1" si="61"/>
        <v>-12027.614609702116</v>
      </c>
    </row>
    <row r="53" spans="2:45" x14ac:dyDescent="0.3">
      <c r="B53" s="39">
        <f t="shared" si="17"/>
        <v>45</v>
      </c>
      <c r="C53" s="176" cm="1">
        <f t="array" aca="1" ref="C53" ca="1">OFFSET('Results Tables'!$D$27,0,'Appraisal Calcs - IFRS 17'!B52:B52)</f>
        <v>-4067462.7994811167</v>
      </c>
      <c r="D53" s="174"/>
      <c r="E53" s="123">
        <f ca="1">OFFSET('CAR Calcs'!$C$59,0,COUNTA('Appraisal Calcs - IFRS 17'!$B$9:B53))</f>
        <v>3539364.3520546914</v>
      </c>
      <c r="F53" s="177">
        <f t="shared" ca="1" si="63"/>
        <v>366699.43318107957</v>
      </c>
      <c r="G53" s="123">
        <f ca="1">E53+SUM(D$8:D53)</f>
        <v>3539364.3520546914</v>
      </c>
      <c r="H53" s="178">
        <f t="shared" ca="1" si="62"/>
        <v>0</v>
      </c>
      <c r="I53" s="177">
        <f t="shared" ca="1" si="64"/>
        <v>176968.21760273457</v>
      </c>
      <c r="J53" s="177">
        <f t="shared" ca="1" si="65"/>
        <v>-3890494.5818783822</v>
      </c>
      <c r="K53" s="177">
        <f t="shared" ca="1" si="66"/>
        <v>0</v>
      </c>
      <c r="L53" s="177">
        <f t="shared" ca="1" si="67"/>
        <v>-3890494.5818783822</v>
      </c>
      <c r="M53" s="177">
        <f t="shared" ca="1" si="68"/>
        <v>-3523795.1486973027</v>
      </c>
      <c r="N53" s="32">
        <f t="shared" ca="1" si="22"/>
        <v>-1.0992071442488962</v>
      </c>
      <c r="O53" s="31">
        <f t="shared" si="69"/>
        <v>110740.43080676108</v>
      </c>
      <c r="P53" s="179">
        <f t="shared" ca="1" si="70"/>
        <v>-31.820312807399365</v>
      </c>
      <c r="R53" s="39">
        <f t="shared" si="23"/>
        <v>45</v>
      </c>
      <c r="S53" s="29">
        <f t="shared" ca="1" si="71"/>
        <v>-3523795.1486973027</v>
      </c>
      <c r="T53" s="10">
        <f t="shared" si="72"/>
        <v>393.52712790598633</v>
      </c>
      <c r="U53" s="47">
        <f t="shared" ca="1" si="73"/>
        <v>-8954.3894151539607</v>
      </c>
      <c r="W53" s="68">
        <f t="shared" si="24"/>
        <v>45</v>
      </c>
      <c r="X53" s="29">
        <f t="shared" ca="1" si="74"/>
        <v>-3523795.1486973027</v>
      </c>
      <c r="Y53" s="29">
        <f t="shared" ca="1" si="75"/>
        <v>68056.333039377816</v>
      </c>
      <c r="Z53" s="61">
        <f t="shared" si="76"/>
        <v>393.52712790598633</v>
      </c>
      <c r="AA53" s="62">
        <f t="shared" ca="1" si="77"/>
        <v>-8954.3894151539607</v>
      </c>
      <c r="AB53" s="57">
        <f t="shared" ca="1" si="78"/>
        <v>13909525.586767234</v>
      </c>
      <c r="AC53" s="58">
        <f t="shared" ca="1" si="79"/>
        <v>45</v>
      </c>
      <c r="AD53" s="59">
        <f t="shared" ca="1" si="80"/>
        <v>45</v>
      </c>
      <c r="AF53" s="60">
        <f t="shared" si="27"/>
        <v>45</v>
      </c>
      <c r="AG53" s="84">
        <f t="shared" ca="1" si="52"/>
        <v>-3890494.5818783822</v>
      </c>
      <c r="AH53" s="61">
        <f t="shared" si="53"/>
        <v>393.52712790598633</v>
      </c>
      <c r="AI53" s="29">
        <f t="shared" ca="1" si="54"/>
        <v>-9886.2170000331516</v>
      </c>
      <c r="AJ53" s="57">
        <f t="shared" ca="1" si="55"/>
        <v>366699.43318107957</v>
      </c>
      <c r="AK53" s="80">
        <f t="shared" ca="1" si="56"/>
        <v>-502589.73799176613</v>
      </c>
      <c r="AL53" s="57">
        <f t="shared" ca="1" si="57"/>
        <v>-1277.1412752816238</v>
      </c>
      <c r="AM53" s="185">
        <f ca="1">OFFSET('Combined IFRS17 Cashflows'!$E$25,0,COUNTA('Appraisal Calcs - IFRS 17'!$AF$9:AF53))</f>
        <v>2318093.7436202862</v>
      </c>
      <c r="AN53" s="81">
        <f t="shared" ca="1" si="58"/>
        <v>5890.5564044725252</v>
      </c>
      <c r="AP53" s="60">
        <f t="shared" si="31"/>
        <v>45</v>
      </c>
      <c r="AQ53" s="61">
        <f t="shared" si="59"/>
        <v>393.52712790598633</v>
      </c>
      <c r="AR53" s="90">
        <f t="shared" ca="1" si="60"/>
        <v>-931.82758487919057</v>
      </c>
      <c r="AS53" s="85">
        <f t="shared" ca="1" si="61"/>
        <v>-9886.2170000331516</v>
      </c>
    </row>
    <row r="54" spans="2:45" x14ac:dyDescent="0.3">
      <c r="B54" s="39">
        <f t="shared" si="17"/>
        <v>46</v>
      </c>
      <c r="C54" s="176" cm="1">
        <f t="array" aca="1" ref="C54" ca="1">OFFSET('Results Tables'!$D$27,0,'Appraisal Calcs - IFRS 17'!B53:B53)</f>
        <v>-3809176.820060655</v>
      </c>
      <c r="D54" s="174"/>
      <c r="E54" s="123">
        <f ca="1">OFFSET('CAR Calcs'!$C$59,0,COUNTA('Appraisal Calcs - IFRS 17'!$B$9:B54))</f>
        <v>3191680.0676290635</v>
      </c>
      <c r="F54" s="177">
        <f t="shared" ca="1" si="63"/>
        <v>347684.28442562791</v>
      </c>
      <c r="G54" s="123">
        <f ca="1">E54+SUM(D$8:D54)</f>
        <v>3191680.0676290635</v>
      </c>
      <c r="H54" s="178">
        <f t="shared" ca="1" si="62"/>
        <v>0</v>
      </c>
      <c r="I54" s="177">
        <f t="shared" ca="1" si="64"/>
        <v>159584.00338145319</v>
      </c>
      <c r="J54" s="177">
        <f t="shared" ca="1" si="65"/>
        <v>-3649592.816679202</v>
      </c>
      <c r="K54" s="177">
        <f t="shared" ca="1" si="66"/>
        <v>0</v>
      </c>
      <c r="L54" s="177">
        <f t="shared" ca="1" si="67"/>
        <v>-3649592.816679202</v>
      </c>
      <c r="M54" s="177">
        <f t="shared" ca="1" si="68"/>
        <v>-3301908.5322535741</v>
      </c>
      <c r="N54" s="32">
        <f t="shared" ca="1" si="22"/>
        <v>-1.143470755009069</v>
      </c>
      <c r="O54" s="31">
        <f t="shared" si="69"/>
        <v>143351.38795222843</v>
      </c>
      <c r="P54" s="179">
        <f t="shared" ca="1" si="70"/>
        <v>-23.033669777609191</v>
      </c>
      <c r="R54" s="39">
        <f t="shared" si="23"/>
        <v>46</v>
      </c>
      <c r="S54" s="29">
        <f t="shared" ca="1" si="71"/>
        <v>-3301908.5322535741</v>
      </c>
      <c r="T54" s="10">
        <f t="shared" si="72"/>
        <v>449.40798006863639</v>
      </c>
      <c r="U54" s="47">
        <f t="shared" ca="1" si="73"/>
        <v>-7347.2405446589664</v>
      </c>
      <c r="W54" s="68">
        <f t="shared" si="24"/>
        <v>46</v>
      </c>
      <c r="X54" s="29">
        <f t="shared" ca="1" si="74"/>
        <v>-3301908.5322535741</v>
      </c>
      <c r="Y54" s="29">
        <f t="shared" ca="1" si="75"/>
        <v>-3233852.1992141963</v>
      </c>
      <c r="Z54" s="61">
        <f t="shared" si="76"/>
        <v>449.40798006863639</v>
      </c>
      <c r="AA54" s="62">
        <f t="shared" ca="1" si="77"/>
        <v>-7347.2405446589664</v>
      </c>
      <c r="AB54" s="57">
        <f t="shared" ca="1" si="78"/>
        <v>13902178.346222576</v>
      </c>
      <c r="AC54" s="58" t="str">
        <f t="shared" ca="1" si="79"/>
        <v>Payback is Later</v>
      </c>
      <c r="AD54" s="59">
        <f t="shared" ca="1" si="80"/>
        <v>46</v>
      </c>
      <c r="AF54" s="60">
        <f t="shared" si="27"/>
        <v>46</v>
      </c>
      <c r="AG54" s="84">
        <f t="shared" ca="1" si="52"/>
        <v>-3649592.816679202</v>
      </c>
      <c r="AH54" s="61">
        <f t="shared" si="53"/>
        <v>449.40798006863639</v>
      </c>
      <c r="AI54" s="29">
        <f t="shared" ca="1" si="54"/>
        <v>-8120.8901010654363</v>
      </c>
      <c r="AJ54" s="57">
        <f t="shared" ca="1" si="55"/>
        <v>347684.28442562791</v>
      </c>
      <c r="AK54" s="80">
        <f t="shared" ca="1" si="56"/>
        <v>-453218.56960332696</v>
      </c>
      <c r="AL54" s="57">
        <f t="shared" ca="1" si="57"/>
        <v>-1008.4791318883759</v>
      </c>
      <c r="AM54" s="185">
        <f ca="1">OFFSET('Combined IFRS17 Cashflows'!$E$25,0,COUNTA('Appraisal Calcs - IFRS 17'!$AF$9:AF54))</f>
        <v>1998503.3364601496</v>
      </c>
      <c r="AN54" s="81">
        <f t="shared" ca="1" si="58"/>
        <v>4446.9689571487488</v>
      </c>
      <c r="AP54" s="60">
        <f t="shared" si="31"/>
        <v>46</v>
      </c>
      <c r="AQ54" s="61">
        <f t="shared" si="59"/>
        <v>449.40798006863639</v>
      </c>
      <c r="AR54" s="90">
        <f t="shared" ca="1" si="60"/>
        <v>-773.64955640646917</v>
      </c>
      <c r="AS54" s="85">
        <f t="shared" ca="1" si="61"/>
        <v>-8120.8901010654363</v>
      </c>
    </row>
    <row r="55" spans="2:45" x14ac:dyDescent="0.3">
      <c r="B55" s="39">
        <f t="shared" si="17"/>
        <v>47</v>
      </c>
      <c r="C55" s="176" cm="1">
        <f t="array" aca="1" ref="C55" ca="1">OFFSET('Results Tables'!$D$27,0,'Appraisal Calcs - IFRS 17'!B54:B54)</f>
        <v>-3567942.5259488611</v>
      </c>
      <c r="D55" s="174"/>
      <c r="E55" s="123">
        <f ca="1">OFFSET('CAR Calcs'!$C$59,0,COUNTA('Appraisal Calcs - IFRS 17'!$B$9:B55))</f>
        <v>2864103.8477810444</v>
      </c>
      <c r="F55" s="177">
        <f t="shared" ca="1" si="63"/>
        <v>327576.21984801907</v>
      </c>
      <c r="G55" s="123">
        <f ca="1">E55+SUM(D$8:D55)</f>
        <v>2864103.8477810444</v>
      </c>
      <c r="H55" s="178">
        <f t="shared" ca="1" si="62"/>
        <v>0</v>
      </c>
      <c r="I55" s="177">
        <f t="shared" ca="1" si="64"/>
        <v>143205.19238905222</v>
      </c>
      <c r="J55" s="177">
        <f t="shared" ca="1" si="65"/>
        <v>-3424737.3335598088</v>
      </c>
      <c r="K55" s="177">
        <f t="shared" ca="1" si="66"/>
        <v>0</v>
      </c>
      <c r="L55" s="177">
        <f t="shared" ca="1" si="67"/>
        <v>-3424737.3335598088</v>
      </c>
      <c r="M55" s="177">
        <f t="shared" ca="1" si="68"/>
        <v>-3097161.1137117897</v>
      </c>
      <c r="N55" s="32">
        <f t="shared" ca="1" si="22"/>
        <v>-1.1957448177771604</v>
      </c>
      <c r="O55" s="31">
        <f t="shared" si="69"/>
        <v>185565.65364721048</v>
      </c>
      <c r="P55" s="179">
        <f t="shared" ca="1" si="70"/>
        <v>-16.690379134492101</v>
      </c>
      <c r="R55" s="39">
        <f t="shared" si="23"/>
        <v>47</v>
      </c>
      <c r="S55" s="29">
        <f t="shared" ca="1" si="71"/>
        <v>-3097161.1137117897</v>
      </c>
      <c r="T55" s="10">
        <f t="shared" si="72"/>
        <v>513.22391323838281</v>
      </c>
      <c r="U55" s="47">
        <f t="shared" ca="1" si="73"/>
        <v>-6034.717077326085</v>
      </c>
      <c r="W55" s="68">
        <f t="shared" si="24"/>
        <v>47</v>
      </c>
      <c r="X55" s="29">
        <f t="shared" ca="1" si="74"/>
        <v>-3097161.1137117897</v>
      </c>
      <c r="Y55" s="29">
        <f t="shared" ca="1" si="75"/>
        <v>-6331013.312925986</v>
      </c>
      <c r="Z55" s="61">
        <f t="shared" si="76"/>
        <v>513.22391323838281</v>
      </c>
      <c r="AA55" s="62">
        <f t="shared" ca="1" si="77"/>
        <v>-6034.717077326085</v>
      </c>
      <c r="AB55" s="57">
        <f t="shared" ca="1" si="78"/>
        <v>13896143.62914525</v>
      </c>
      <c r="AC55" s="58" t="str">
        <f t="shared" ca="1" si="79"/>
        <v>Payback is Later</v>
      </c>
      <c r="AD55" s="59">
        <f t="shared" ca="1" si="80"/>
        <v>47</v>
      </c>
      <c r="AF55" s="60">
        <f t="shared" si="27"/>
        <v>47</v>
      </c>
      <c r="AG55" s="84">
        <f t="shared" ca="1" si="52"/>
        <v>-3424737.3335598088</v>
      </c>
      <c r="AH55" s="61">
        <f t="shared" si="53"/>
        <v>513.22391323838281</v>
      </c>
      <c r="AI55" s="29">
        <f t="shared" ca="1" si="54"/>
        <v>-6672.9886219644695</v>
      </c>
      <c r="AJ55" s="57">
        <f t="shared" ca="1" si="55"/>
        <v>327576.21984801907</v>
      </c>
      <c r="AK55" s="80">
        <f t="shared" ca="1" si="56"/>
        <v>-406702.74638490827</v>
      </c>
      <c r="AL55" s="57">
        <f t="shared" ca="1" si="57"/>
        <v>-792.44699222735267</v>
      </c>
      <c r="AM55" s="185">
        <f ca="1">OFFSET('Combined IFRS17 Cashflows'!$E$25,0,COUNTA('Appraisal Calcs - IFRS 17'!$AF$9:AF55))</f>
        <v>1718804.2265448878</v>
      </c>
      <c r="AN55" s="81">
        <f t="shared" ca="1" si="58"/>
        <v>3349.0337885844688</v>
      </c>
      <c r="AP55" s="60">
        <f t="shared" si="31"/>
        <v>47</v>
      </c>
      <c r="AQ55" s="61">
        <f t="shared" si="59"/>
        <v>513.22391323838281</v>
      </c>
      <c r="AR55" s="90">
        <f t="shared" ca="1" si="60"/>
        <v>-638.27154463838497</v>
      </c>
      <c r="AS55" s="85">
        <f t="shared" ca="1" si="61"/>
        <v>-6672.9886219644695</v>
      </c>
    </row>
    <row r="56" spans="2:45" x14ac:dyDescent="0.3">
      <c r="B56" s="39">
        <f t="shared" si="17"/>
        <v>48</v>
      </c>
      <c r="C56" s="176" cm="1">
        <f t="array" aca="1" ref="C56" ca="1">OFFSET('Results Tables'!$D$27,0,'Appraisal Calcs - IFRS 17'!B55:B55)</f>
        <v>-3315058.5247517121</v>
      </c>
      <c r="D56" s="174"/>
      <c r="E56" s="123">
        <f ca="1">OFFSET('CAR Calcs'!$C$59,0,COUNTA('Appraisal Calcs - IFRS 17'!$B$9:B56))</f>
        <v>2558063.1543652802</v>
      </c>
      <c r="F56" s="177">
        <f t="shared" ca="1" si="63"/>
        <v>306040.69341576425</v>
      </c>
      <c r="G56" s="123">
        <f ca="1">E56+SUM(D$8:D56)</f>
        <v>2558063.1543652802</v>
      </c>
      <c r="H56" s="178">
        <f t="shared" ca="1" si="62"/>
        <v>0</v>
      </c>
      <c r="I56" s="177">
        <f t="shared" ca="1" si="64"/>
        <v>127903.15771826402</v>
      </c>
      <c r="J56" s="177">
        <f t="shared" ca="1" si="65"/>
        <v>-3187155.3670334481</v>
      </c>
      <c r="K56" s="177">
        <f t="shared" ca="1" si="66"/>
        <v>0</v>
      </c>
      <c r="L56" s="177">
        <f t="shared" ca="1" si="67"/>
        <v>-3187155.3670334481</v>
      </c>
      <c r="M56" s="177">
        <f t="shared" ca="1" si="68"/>
        <v>-2881114.6736176838</v>
      </c>
      <c r="N56" s="32">
        <f t="shared" ca="1" si="22"/>
        <v>-1.2459252077473675</v>
      </c>
      <c r="O56" s="31">
        <f t="shared" si="69"/>
        <v>240211.22017312967</v>
      </c>
      <c r="P56" s="179">
        <f t="shared" ca="1" si="70"/>
        <v>-11.994088667220254</v>
      </c>
      <c r="R56" s="39">
        <f t="shared" si="23"/>
        <v>48</v>
      </c>
      <c r="S56" s="29">
        <f t="shared" ca="1" si="71"/>
        <v>-2881114.6736176838</v>
      </c>
      <c r="T56" s="10">
        <f t="shared" si="72"/>
        <v>586.10170891823293</v>
      </c>
      <c r="U56" s="47">
        <f t="shared" ca="1" si="73"/>
        <v>-4915.7247450026262</v>
      </c>
      <c r="W56" s="68">
        <f t="shared" si="24"/>
        <v>48</v>
      </c>
      <c r="X56" s="29">
        <f t="shared" ca="1" si="74"/>
        <v>-2881114.6736176838</v>
      </c>
      <c r="Y56" s="29">
        <f t="shared" ca="1" si="75"/>
        <v>-9212127.9865436703</v>
      </c>
      <c r="Z56" s="61">
        <f t="shared" si="76"/>
        <v>586.10170891823293</v>
      </c>
      <c r="AA56" s="62">
        <f t="shared" ca="1" si="77"/>
        <v>-4915.7247450026262</v>
      </c>
      <c r="AB56" s="57">
        <f t="shared" ca="1" si="78"/>
        <v>13891227.904400246</v>
      </c>
      <c r="AC56" s="58" t="str">
        <f t="shared" ca="1" si="79"/>
        <v>Payback is Later</v>
      </c>
      <c r="AD56" s="59">
        <f t="shared" ca="1" si="80"/>
        <v>48</v>
      </c>
      <c r="AF56" s="60">
        <f t="shared" si="27"/>
        <v>48</v>
      </c>
      <c r="AG56" s="84">
        <f t="shared" ca="1" si="52"/>
        <v>-3187155.3670334481</v>
      </c>
      <c r="AH56" s="61">
        <f t="shared" si="53"/>
        <v>586.10170891823293</v>
      </c>
      <c r="AI56" s="29">
        <f t="shared" ca="1" si="54"/>
        <v>-5437.8878589451242</v>
      </c>
      <c r="AJ56" s="57">
        <f t="shared" ca="1" si="55"/>
        <v>306040.69341576425</v>
      </c>
      <c r="AK56" s="80">
        <f t="shared" ca="1" si="56"/>
        <v>-363244.96791986976</v>
      </c>
      <c r="AL56" s="57">
        <f t="shared" ca="1" si="57"/>
        <v>-619.76438968299624</v>
      </c>
      <c r="AM56" s="185">
        <f ca="1">OFFSET('Combined IFRS17 Cashflows'!$E$25,0,COUNTA('Appraisal Calcs - IFRS 17'!$AF$9:AF56))</f>
        <v>1472339.7850968633</v>
      </c>
      <c r="AN56" s="81">
        <f t="shared" ca="1" si="58"/>
        <v>2512.0892205115024</v>
      </c>
      <c r="AP56" s="60">
        <f t="shared" si="31"/>
        <v>48</v>
      </c>
      <c r="AQ56" s="61">
        <f t="shared" si="59"/>
        <v>586.10170891823293</v>
      </c>
      <c r="AR56" s="90">
        <f t="shared" ca="1" si="60"/>
        <v>-522.16311394249828</v>
      </c>
      <c r="AS56" s="85">
        <f t="shared" ca="1" si="61"/>
        <v>-5437.8878589451242</v>
      </c>
    </row>
    <row r="57" spans="2:45" x14ac:dyDescent="0.3">
      <c r="B57" s="39">
        <f t="shared" si="17"/>
        <v>49</v>
      </c>
      <c r="C57" s="176" cm="1">
        <f t="array" aca="1" ref="C57" ca="1">OFFSET('Results Tables'!$D$27,0,'Appraisal Calcs - IFRS 17'!B56:B56)</f>
        <v>-3059297.9143463159</v>
      </c>
      <c r="D57" s="174"/>
      <c r="E57" s="123">
        <f ca="1">OFFSET('CAR Calcs'!$C$59,0,COUNTA('Appraisal Calcs - IFRS 17'!$B$9:B57))</f>
        <v>2274511.6694447659</v>
      </c>
      <c r="F57" s="177">
        <f t="shared" ca="1" si="63"/>
        <v>283551.48492051428</v>
      </c>
      <c r="G57" s="123">
        <f ca="1">E57+SUM(D$8:D57)</f>
        <v>2274511.6694447659</v>
      </c>
      <c r="H57" s="178">
        <f t="shared" ca="1" si="62"/>
        <v>0</v>
      </c>
      <c r="I57" s="177">
        <f t="shared" ca="1" si="64"/>
        <v>113725.5834722383</v>
      </c>
      <c r="J57" s="177">
        <f t="shared" ca="1" si="65"/>
        <v>-2945572.3308740775</v>
      </c>
      <c r="K57" s="177">
        <f t="shared" ca="1" si="66"/>
        <v>0</v>
      </c>
      <c r="L57" s="177">
        <f t="shared" ca="1" si="67"/>
        <v>-2945572.3308740775</v>
      </c>
      <c r="M57" s="177">
        <f t="shared" ca="1" si="68"/>
        <v>-2662020.8459535632</v>
      </c>
      <c r="N57" s="32">
        <f t="shared" ca="1" si="22"/>
        <v>-1.2950350488169291</v>
      </c>
      <c r="O57" s="31">
        <f t="shared" si="69"/>
        <v>310948.86991729238</v>
      </c>
      <c r="P57" s="179">
        <f t="shared" ca="1" si="70"/>
        <v>-8.5609600274849686</v>
      </c>
      <c r="R57" s="39">
        <f t="shared" si="23"/>
        <v>49</v>
      </c>
      <c r="S57" s="29">
        <f t="shared" ca="1" si="71"/>
        <v>-2662020.8459535632</v>
      </c>
      <c r="T57" s="10">
        <f t="shared" si="72"/>
        <v>669.32815158462199</v>
      </c>
      <c r="U57" s="47">
        <f t="shared" ca="1" si="73"/>
        <v>-3977.1535675756027</v>
      </c>
      <c r="W57" s="68">
        <f t="shared" si="24"/>
        <v>49</v>
      </c>
      <c r="X57" s="29">
        <f t="shared" ca="1" si="74"/>
        <v>-2662020.8459535632</v>
      </c>
      <c r="Y57" s="29">
        <f t="shared" ca="1" si="75"/>
        <v>-11874148.832497234</v>
      </c>
      <c r="Z57" s="61">
        <f t="shared" si="76"/>
        <v>669.32815158462199</v>
      </c>
      <c r="AA57" s="62">
        <f t="shared" ca="1" si="77"/>
        <v>-3977.1535675756027</v>
      </c>
      <c r="AB57" s="57">
        <f t="shared" ca="1" si="78"/>
        <v>13887250.750832671</v>
      </c>
      <c r="AC57" s="58" t="str">
        <f t="shared" ca="1" si="79"/>
        <v>Payback is Later</v>
      </c>
      <c r="AD57" s="59">
        <f t="shared" ca="1" si="80"/>
        <v>49</v>
      </c>
      <c r="AF57" s="60">
        <f t="shared" si="27"/>
        <v>49</v>
      </c>
      <c r="AG57" s="84">
        <f t="shared" ca="1" si="52"/>
        <v>-2945572.3308740775</v>
      </c>
      <c r="AH57" s="61">
        <f t="shared" si="53"/>
        <v>669.32815158462199</v>
      </c>
      <c r="AI57" s="29">
        <f t="shared" ca="1" si="54"/>
        <v>-4400.7895438141804</v>
      </c>
      <c r="AJ57" s="57">
        <f t="shared" ca="1" si="55"/>
        <v>283551.48492051428</v>
      </c>
      <c r="AK57" s="80">
        <f t="shared" ca="1" si="56"/>
        <v>-322980.6570611567</v>
      </c>
      <c r="AL57" s="57">
        <f t="shared" ca="1" si="57"/>
        <v>-482.54455799671058</v>
      </c>
      <c r="AM57" s="185">
        <f ca="1">OFFSET('Combined IFRS17 Cashflows'!$E$25,0,COUNTA('Appraisal Calcs - IFRS 17'!$AF$9:AF57))</f>
        <v>1257254.8777437508</v>
      </c>
      <c r="AN57" s="81">
        <f t="shared" ca="1" si="58"/>
        <v>1878.3833830494402</v>
      </c>
      <c r="AP57" s="60">
        <f t="shared" si="31"/>
        <v>49</v>
      </c>
      <c r="AQ57" s="61">
        <f t="shared" si="59"/>
        <v>669.32815158462199</v>
      </c>
      <c r="AR57" s="90">
        <f t="shared" ca="1" si="60"/>
        <v>-423.63597623857805</v>
      </c>
      <c r="AS57" s="85">
        <f t="shared" ca="1" si="61"/>
        <v>-4400.7895438141804</v>
      </c>
    </row>
    <row r="58" spans="2:45" x14ac:dyDescent="0.3">
      <c r="B58" s="39">
        <f t="shared" si="17"/>
        <v>50</v>
      </c>
      <c r="C58" s="176" cm="1">
        <f t="array" aca="1" ref="C58" ca="1">OFFSET('Results Tables'!$D$27,0,'Appraisal Calcs - IFRS 17'!B57:B57)</f>
        <v>-2775258.4766987809</v>
      </c>
      <c r="D58" s="174"/>
      <c r="E58" s="123">
        <f ca="1">OFFSET('CAR Calcs'!$C$59,0,COUNTA('Appraisal Calcs - IFRS 17'!$B$9:B58))</f>
        <v>2018100.182533178</v>
      </c>
      <c r="F58" s="177">
        <f t="shared" ca="1" si="63"/>
        <v>256411.48691158788</v>
      </c>
      <c r="G58" s="123">
        <f ca="1">E58+SUM(D$8:D58)</f>
        <v>2018100.182533178</v>
      </c>
      <c r="H58" s="178">
        <f t="shared" ca="1" si="62"/>
        <v>0</v>
      </c>
      <c r="I58" s="177">
        <f t="shared" ca="1" si="64"/>
        <v>100905.0091266589</v>
      </c>
      <c r="J58" s="177">
        <f t="shared" ca="1" si="65"/>
        <v>-2674353.4675721219</v>
      </c>
      <c r="K58" s="177">
        <f t="shared" ca="1" si="66"/>
        <v>0</v>
      </c>
      <c r="L58" s="177">
        <f t="shared" ca="1" si="67"/>
        <v>-2674353.4675721219</v>
      </c>
      <c r="M58" s="177">
        <f t="shared" ca="1" si="68"/>
        <v>-2417941.980660534</v>
      </c>
      <c r="N58" s="32">
        <f t="shared" ca="1" si="22"/>
        <v>-1.3251837003528713</v>
      </c>
      <c r="O58" s="31">
        <f t="shared" si="69"/>
        <v>402517.41626870522</v>
      </c>
      <c r="P58" s="179">
        <f t="shared" ca="1" si="70"/>
        <v>-6.0070493422982931</v>
      </c>
      <c r="R58" s="39">
        <f t="shared" si="23"/>
        <v>50</v>
      </c>
      <c r="S58" s="29">
        <f t="shared" ca="1" si="71"/>
        <v>-2417941.980660534</v>
      </c>
      <c r="T58" s="10">
        <f t="shared" si="72"/>
        <v>764.37274910963822</v>
      </c>
      <c r="U58" s="47">
        <f t="shared" ca="1" si="73"/>
        <v>-3163.3021761660361</v>
      </c>
      <c r="W58" s="68">
        <f t="shared" si="24"/>
        <v>50</v>
      </c>
      <c r="X58" s="29">
        <f t="shared" ca="1" si="74"/>
        <v>-2417941.980660534</v>
      </c>
      <c r="Y58" s="29">
        <f t="shared" ca="1" si="75"/>
        <v>-14292090.813157767</v>
      </c>
      <c r="Z58" s="61">
        <f t="shared" si="76"/>
        <v>764.37274910963822</v>
      </c>
      <c r="AA58" s="62">
        <f t="shared" ca="1" si="77"/>
        <v>-3163.3021761660361</v>
      </c>
      <c r="AB58" s="57">
        <f t="shared" ca="1" si="78"/>
        <v>13884087.448656505</v>
      </c>
      <c r="AC58" s="58" t="str">
        <f t="shared" ca="1" si="79"/>
        <v>Payback is Later</v>
      </c>
      <c r="AD58" s="59">
        <f t="shared" ca="1" si="80"/>
        <v>50</v>
      </c>
      <c r="AF58" s="60">
        <f t="shared" si="27"/>
        <v>50</v>
      </c>
      <c r="AG58" s="84">
        <f t="shared" ca="1" si="52"/>
        <v>-2674353.4675721219</v>
      </c>
      <c r="AH58" s="61">
        <f t="shared" si="53"/>
        <v>764.37274910963822</v>
      </c>
      <c r="AI58" s="29">
        <f t="shared" ca="1" si="54"/>
        <v>-3498.7556407358584</v>
      </c>
      <c r="AJ58" s="57">
        <f t="shared" ca="1" si="55"/>
        <v>256411.48691158788</v>
      </c>
      <c r="AK58" s="80">
        <f t="shared" ca="1" si="56"/>
        <v>-286570.22591971123</v>
      </c>
      <c r="AL58" s="57">
        <f t="shared" ca="1" si="57"/>
        <v>-374.90900382505248</v>
      </c>
      <c r="AM58" s="185">
        <f ca="1">OFFSET('Combined IFRS17 Cashflows'!$E$25,0,COUNTA('Appraisal Calcs - IFRS 17'!$AF$9:AF58))</f>
        <v>1071137.7182516342</v>
      </c>
      <c r="AN58" s="81">
        <f t="shared" ca="1" si="58"/>
        <v>1401.3290236986129</v>
      </c>
      <c r="AP58" s="60">
        <f t="shared" si="31"/>
        <v>50</v>
      </c>
      <c r="AQ58" s="61">
        <f t="shared" si="59"/>
        <v>764.37274910963822</v>
      </c>
      <c r="AR58" s="90">
        <f t="shared" ca="1" si="60"/>
        <v>-335.45346456982253</v>
      </c>
      <c r="AS58" s="85">
        <f t="shared" ca="1" si="61"/>
        <v>-3498.7556407358584</v>
      </c>
    </row>
    <row r="59" spans="2:45" x14ac:dyDescent="0.3">
      <c r="B59" s="39">
        <f t="shared" si="17"/>
        <v>51</v>
      </c>
      <c r="C59" s="176" cm="1">
        <f t="array" aca="1" ref="C59" ca="1">OFFSET('Results Tables'!$D$27,0,'Appraisal Calcs - IFRS 17'!B58:B58)</f>
        <v>-2526440.0248229266</v>
      </c>
      <c r="D59" s="174"/>
      <c r="E59" s="123">
        <f ca="1">OFFSET('CAR Calcs'!$C$59,0,COUNTA('Appraisal Calcs - IFRS 17'!$B$9:B59))</f>
        <v>1784596.1626570397</v>
      </c>
      <c r="F59" s="177">
        <f t="shared" ca="1" si="63"/>
        <v>233504.01987613831</v>
      </c>
      <c r="G59" s="123">
        <f ca="1">E59+SUM(D$8:D59)</f>
        <v>1784596.1626570397</v>
      </c>
      <c r="H59" s="178">
        <f t="shared" ca="1" si="62"/>
        <v>0</v>
      </c>
      <c r="I59" s="177">
        <f t="shared" ca="1" si="64"/>
        <v>89229.808132851991</v>
      </c>
      <c r="J59" s="177">
        <f t="shared" ca="1" si="65"/>
        <v>-2437210.2166900747</v>
      </c>
      <c r="K59" s="177">
        <f t="shared" ca="1" si="66"/>
        <v>0</v>
      </c>
      <c r="L59" s="177">
        <f t="shared" ca="1" si="67"/>
        <v>-2437210.2166900747</v>
      </c>
      <c r="M59" s="177">
        <f t="shared" ca="1" si="68"/>
        <v>-2203706.1968139363</v>
      </c>
      <c r="N59" s="32">
        <f t="shared" ca="1" si="22"/>
        <v>-1.3656928484376962</v>
      </c>
      <c r="O59" s="31">
        <f t="shared" si="69"/>
        <v>521051.16330774571</v>
      </c>
      <c r="P59" s="179">
        <f t="shared" ca="1" si="70"/>
        <v>-4.2293470430510736</v>
      </c>
      <c r="R59" s="39">
        <f t="shared" si="23"/>
        <v>51</v>
      </c>
      <c r="S59" s="29">
        <f t="shared" ca="1" si="71"/>
        <v>-2203706.1968139363</v>
      </c>
      <c r="T59" s="10">
        <f t="shared" si="72"/>
        <v>872.91367948320692</v>
      </c>
      <c r="U59" s="47">
        <f t="shared" ca="1" si="73"/>
        <v>-2524.5407978009939</v>
      </c>
      <c r="W59" s="68">
        <f t="shared" si="24"/>
        <v>51</v>
      </c>
      <c r="X59" s="29">
        <f t="shared" ca="1" si="74"/>
        <v>-2203706.1968139363</v>
      </c>
      <c r="Y59" s="29">
        <f t="shared" ca="1" si="75"/>
        <v>-16495797.009971704</v>
      </c>
      <c r="Z59" s="61">
        <f t="shared" si="76"/>
        <v>872.91367948320692</v>
      </c>
      <c r="AA59" s="62">
        <f t="shared" ca="1" si="77"/>
        <v>-2524.5407978009939</v>
      </c>
      <c r="AB59" s="57">
        <f t="shared" ca="1" si="78"/>
        <v>13881562.907858703</v>
      </c>
      <c r="AC59" s="58" t="str">
        <f t="shared" ca="1" si="79"/>
        <v>Payback is Later</v>
      </c>
      <c r="AD59" s="59">
        <f t="shared" ca="1" si="80"/>
        <v>51</v>
      </c>
      <c r="AF59" s="60">
        <f t="shared" si="27"/>
        <v>51</v>
      </c>
      <c r="AG59" s="84">
        <f t="shared" ca="1" si="52"/>
        <v>-2437210.2166900747</v>
      </c>
      <c r="AH59" s="61">
        <f t="shared" si="53"/>
        <v>872.91367948320692</v>
      </c>
      <c r="AI59" s="29">
        <f t="shared" ca="1" si="54"/>
        <v>-2792.0403517252494</v>
      </c>
      <c r="AJ59" s="57">
        <f t="shared" ca="1" si="55"/>
        <v>233504.01987613831</v>
      </c>
      <c r="AK59" s="80">
        <f t="shared" ca="1" si="56"/>
        <v>-253412.6550972996</v>
      </c>
      <c r="AL59" s="57">
        <f t="shared" ca="1" si="57"/>
        <v>-290.30666038746017</v>
      </c>
      <c r="AM59" s="185">
        <f ca="1">OFFSET('Combined IFRS17 Cashflows'!$E$25,0,COUNTA('Appraisal Calcs - IFRS 17'!$AF$9:AF59))</f>
        <v>911098.65429128835</v>
      </c>
      <c r="AN59" s="81">
        <f t="shared" ca="1" si="58"/>
        <v>1043.7442735811956</v>
      </c>
      <c r="AP59" s="60">
        <f t="shared" si="31"/>
        <v>51</v>
      </c>
      <c r="AQ59" s="61">
        <f t="shared" si="59"/>
        <v>872.91367948320692</v>
      </c>
      <c r="AR59" s="90">
        <f t="shared" ca="1" si="60"/>
        <v>-267.49955392425539</v>
      </c>
      <c r="AS59" s="85">
        <f t="shared" ca="1" si="61"/>
        <v>-2792.0403517252494</v>
      </c>
    </row>
    <row r="60" spans="2:45" x14ac:dyDescent="0.3">
      <c r="B60" s="39">
        <f t="shared" si="17"/>
        <v>52</v>
      </c>
      <c r="C60" s="176" cm="1">
        <f t="array" aca="1" ref="C60" ca="1">OFFSET('Results Tables'!$D$27,0,'Appraisal Calcs - IFRS 17'!B59:B59)</f>
        <v>-2295491.9520350732</v>
      </c>
      <c r="D60" s="174"/>
      <c r="E60" s="123">
        <f ca="1">OFFSET('CAR Calcs'!$C$59,0,COUNTA('Appraisal Calcs - IFRS 17'!$B$9:B60))</f>
        <v>1572685.8118190987</v>
      </c>
      <c r="F60" s="177">
        <f t="shared" ca="1" si="63"/>
        <v>211910.35083794105</v>
      </c>
      <c r="G60" s="123">
        <f ca="1">E60+SUM(D$8:D60)</f>
        <v>1572685.8118190987</v>
      </c>
      <c r="H60" s="178">
        <f t="shared" ca="1" si="62"/>
        <v>0</v>
      </c>
      <c r="I60" s="177">
        <f t="shared" ca="1" si="64"/>
        <v>78634.290590954944</v>
      </c>
      <c r="J60" s="177">
        <f t="shared" ca="1" si="65"/>
        <v>-2216857.6614441182</v>
      </c>
      <c r="K60" s="177">
        <f t="shared" ca="1" si="66"/>
        <v>0</v>
      </c>
      <c r="L60" s="177">
        <f t="shared" ca="1" si="67"/>
        <v>-2216857.6614441182</v>
      </c>
      <c r="M60" s="177">
        <f t="shared" ca="1" si="68"/>
        <v>-2004947.3106061772</v>
      </c>
      <c r="N60" s="32">
        <f t="shared" ca="1" si="22"/>
        <v>-1.4095998353796535</v>
      </c>
      <c r="O60" s="31">
        <f t="shared" si="69"/>
        <v>674490.85135515209</v>
      </c>
      <c r="P60" s="179">
        <f t="shared" ca="1" si="70"/>
        <v>-2.9725344777886029</v>
      </c>
      <c r="R60" s="39">
        <f t="shared" si="23"/>
        <v>52</v>
      </c>
      <c r="S60" s="29">
        <f t="shared" ca="1" si="71"/>
        <v>-2004947.3106061772</v>
      </c>
      <c r="T60" s="10">
        <f t="shared" si="72"/>
        <v>996.8674219698222</v>
      </c>
      <c r="U60" s="47">
        <f t="shared" ca="1" si="73"/>
        <v>-2011.2477009674735</v>
      </c>
      <c r="W60" s="68">
        <f t="shared" si="24"/>
        <v>52</v>
      </c>
      <c r="X60" s="29">
        <f t="shared" ca="1" si="74"/>
        <v>-2004947.3106061772</v>
      </c>
      <c r="Y60" s="29">
        <f t="shared" ca="1" si="75"/>
        <v>-18500744.320577882</v>
      </c>
      <c r="Z60" s="61">
        <f t="shared" si="76"/>
        <v>996.8674219698222</v>
      </c>
      <c r="AA60" s="62">
        <f t="shared" ca="1" si="77"/>
        <v>-2011.2477009674735</v>
      </c>
      <c r="AB60" s="57">
        <f t="shared" ca="1" si="78"/>
        <v>13879551.660157736</v>
      </c>
      <c r="AC60" s="58" t="str">
        <f t="shared" ca="1" si="79"/>
        <v>Payback is Later</v>
      </c>
      <c r="AD60" s="59">
        <f t="shared" ca="1" si="80"/>
        <v>52</v>
      </c>
      <c r="AF60" s="60">
        <f t="shared" si="27"/>
        <v>52</v>
      </c>
      <c r="AG60" s="84">
        <f t="shared" ca="1" si="52"/>
        <v>-2216857.6614441182</v>
      </c>
      <c r="AH60" s="61">
        <f t="shared" si="53"/>
        <v>996.8674219698222</v>
      </c>
      <c r="AI60" s="29">
        <f t="shared" ca="1" si="54"/>
        <v>-2223.8239635352716</v>
      </c>
      <c r="AJ60" s="57">
        <f t="shared" ca="1" si="55"/>
        <v>211910.35083794105</v>
      </c>
      <c r="AK60" s="80">
        <f t="shared" ca="1" si="56"/>
        <v>-223321.38527831199</v>
      </c>
      <c r="AL60" s="57">
        <f t="shared" ca="1" si="57"/>
        <v>-224.02315529283342</v>
      </c>
      <c r="AM60" s="185">
        <f ca="1">OFFSET('Combined IFRS17 Cashflows'!$E$25,0,COUNTA('Appraisal Calcs - IFRS 17'!$AF$9:AF60))</f>
        <v>774303.13863869128</v>
      </c>
      <c r="AN60" s="81">
        <f t="shared" ca="1" si="58"/>
        <v>776.73632578809611</v>
      </c>
      <c r="AP60" s="60">
        <f t="shared" si="31"/>
        <v>52</v>
      </c>
      <c r="AQ60" s="61">
        <f t="shared" si="59"/>
        <v>996.8674219698222</v>
      </c>
      <c r="AR60" s="90">
        <f t="shared" ca="1" si="60"/>
        <v>-212.57626256779824</v>
      </c>
      <c r="AS60" s="85">
        <f t="shared" ca="1" si="61"/>
        <v>-2223.8239635352716</v>
      </c>
    </row>
    <row r="61" spans="2:45" x14ac:dyDescent="0.3">
      <c r="B61" s="39">
        <f t="shared" si="17"/>
        <v>53</v>
      </c>
      <c r="C61" s="176" cm="1">
        <f t="array" aca="1" ref="C61" ca="1">OFFSET('Results Tables'!$D$27,0,'Appraisal Calcs - IFRS 17'!B60:B60)</f>
        <v>-2081770.2751191331</v>
      </c>
      <c r="D61" s="174"/>
      <c r="E61" s="123">
        <f ca="1">OFFSET('CAR Calcs'!$C$59,0,COUNTA('Appraisal Calcs - IFRS 17'!$B$9:B61))</f>
        <v>1380768.5670894023</v>
      </c>
      <c r="F61" s="177">
        <f t="shared" ca="1" si="63"/>
        <v>191917.24472969631</v>
      </c>
      <c r="G61" s="123">
        <f ca="1">E61+SUM(D$8:D61)</f>
        <v>1380768.5670894023</v>
      </c>
      <c r="H61" s="178">
        <f t="shared" ca="1" si="62"/>
        <v>0</v>
      </c>
      <c r="I61" s="177">
        <f t="shared" ca="1" si="64"/>
        <v>69038.428354470117</v>
      </c>
      <c r="J61" s="177">
        <f t="shared" ca="1" si="65"/>
        <v>-2012731.846764663</v>
      </c>
      <c r="K61" s="177">
        <f t="shared" ca="1" si="66"/>
        <v>0</v>
      </c>
      <c r="L61" s="177">
        <f t="shared" ca="1" si="67"/>
        <v>-2012731.846764663</v>
      </c>
      <c r="M61" s="177">
        <f t="shared" ca="1" si="68"/>
        <v>-1820814.6020349667</v>
      </c>
      <c r="N61" s="32">
        <f t="shared" ca="1" si="22"/>
        <v>-1.4576895033230737</v>
      </c>
      <c r="O61" s="31">
        <f t="shared" si="69"/>
        <v>873115.61819333327</v>
      </c>
      <c r="P61" s="179">
        <f t="shared" ca="1" si="70"/>
        <v>-2.0854220954180493</v>
      </c>
      <c r="R61" s="39">
        <f t="shared" si="23"/>
        <v>53</v>
      </c>
      <c r="S61" s="29">
        <f t="shared" ca="1" si="71"/>
        <v>-1820814.6020349667</v>
      </c>
      <c r="T61" s="10">
        <f t="shared" si="72"/>
        <v>1138.4225958895368</v>
      </c>
      <c r="U61" s="47">
        <f t="shared" ca="1" si="73"/>
        <v>-1599.4188876866283</v>
      </c>
      <c r="W61" s="68">
        <f t="shared" si="24"/>
        <v>53</v>
      </c>
      <c r="X61" s="29">
        <f t="shared" ca="1" si="74"/>
        <v>-1820814.6020349667</v>
      </c>
      <c r="Y61" s="29">
        <f t="shared" ca="1" si="75"/>
        <v>-20321558.92261285</v>
      </c>
      <c r="Z61" s="61">
        <f t="shared" si="76"/>
        <v>1138.4225958895368</v>
      </c>
      <c r="AA61" s="62">
        <f t="shared" ca="1" si="77"/>
        <v>-1599.4188876866283</v>
      </c>
      <c r="AB61" s="57">
        <f t="shared" ca="1" si="78"/>
        <v>13877952.24127005</v>
      </c>
      <c r="AC61" s="58" t="str">
        <f t="shared" ca="1" si="79"/>
        <v>Payback is Later</v>
      </c>
      <c r="AD61" s="59">
        <f t="shared" ca="1" si="80"/>
        <v>53</v>
      </c>
      <c r="AF61" s="60">
        <f t="shared" si="27"/>
        <v>53</v>
      </c>
      <c r="AG61" s="84">
        <f t="shared" ca="1" si="52"/>
        <v>-2012731.846764663</v>
      </c>
      <c r="AH61" s="61">
        <f t="shared" si="53"/>
        <v>1138.4225958895368</v>
      </c>
      <c r="AI61" s="29">
        <f t="shared" ca="1" si="54"/>
        <v>-1768.00061245443</v>
      </c>
      <c r="AJ61" s="57">
        <f t="shared" ca="1" si="55"/>
        <v>191917.24472969631</v>
      </c>
      <c r="AK61" s="80">
        <f t="shared" ca="1" si="56"/>
        <v>-196069.1365266951</v>
      </c>
      <c r="AL61" s="57">
        <f t="shared" ca="1" si="57"/>
        <v>-172.22878150401721</v>
      </c>
      <c r="AM61" s="185">
        <f ca="1">OFFSET('Combined IFRS17 Cashflows'!$E$25,0,COUNTA('Appraisal Calcs - IFRS 17'!$AF$9:AF61))</f>
        <v>657126.85020557872</v>
      </c>
      <c r="AN61" s="81">
        <f t="shared" ca="1" si="58"/>
        <v>577.22576183769013</v>
      </c>
      <c r="AP61" s="60">
        <f t="shared" si="31"/>
        <v>53</v>
      </c>
      <c r="AQ61" s="61">
        <f t="shared" si="59"/>
        <v>1138.4225958895368</v>
      </c>
      <c r="AR61" s="90">
        <f t="shared" ca="1" si="60"/>
        <v>-168.58172476780177</v>
      </c>
      <c r="AS61" s="85">
        <f t="shared" ca="1" si="61"/>
        <v>-1768.00061245443</v>
      </c>
    </row>
    <row r="62" spans="2:45" x14ac:dyDescent="0.3">
      <c r="B62" s="39">
        <f t="shared" si="17"/>
        <v>54</v>
      </c>
      <c r="C62" s="176" cm="1">
        <f t="array" aca="1" ref="C62" ca="1">OFFSET('Results Tables'!$D$27,0,'Appraisal Calcs - IFRS 17'!B61:B61)</f>
        <v>-1884599.0173182788</v>
      </c>
      <c r="D62" s="174"/>
      <c r="E62" s="123">
        <f ca="1">OFFSET('CAR Calcs'!$C$59,0,COUNTA('Appraisal Calcs - IFRS 17'!$B$9:B62))</f>
        <v>1207286.4761942332</v>
      </c>
      <c r="F62" s="177">
        <f t="shared" ca="1" si="63"/>
        <v>173482.09089516918</v>
      </c>
      <c r="G62" s="123">
        <f ca="1">E62+SUM(D$8:D62)</f>
        <v>1207286.4761942332</v>
      </c>
      <c r="H62" s="178">
        <f t="shared" ca="1" si="62"/>
        <v>0</v>
      </c>
      <c r="I62" s="177">
        <f t="shared" ca="1" si="64"/>
        <v>60364.323809711663</v>
      </c>
      <c r="J62" s="177">
        <f t="shared" ca="1" si="65"/>
        <v>-1824234.6935085671</v>
      </c>
      <c r="K62" s="177">
        <f t="shared" ca="1" si="66"/>
        <v>0</v>
      </c>
      <c r="L62" s="177">
        <f t="shared" ca="1" si="67"/>
        <v>-1824234.6935085671</v>
      </c>
      <c r="M62" s="177">
        <f t="shared" ca="1" si="68"/>
        <v>-1650752.6026133979</v>
      </c>
      <c r="N62" s="32">
        <f t="shared" ca="1" si="22"/>
        <v>-1.511020565109914</v>
      </c>
      <c r="O62" s="31">
        <f t="shared" si="69"/>
        <v>1130231.6127809454</v>
      </c>
      <c r="P62" s="179">
        <f t="shared" ca="1" si="70"/>
        <v>-1.4605436478207381</v>
      </c>
      <c r="R62" s="39">
        <f t="shared" si="23"/>
        <v>54</v>
      </c>
      <c r="S62" s="29">
        <f t="shared" ca="1" si="71"/>
        <v>-1650752.6026133979</v>
      </c>
      <c r="T62" s="10">
        <f t="shared" si="72"/>
        <v>1300.078604505851</v>
      </c>
      <c r="U62" s="47">
        <f t="shared" ca="1" si="73"/>
        <v>-1269.7329199112812</v>
      </c>
      <c r="W62" s="68">
        <f t="shared" si="24"/>
        <v>54</v>
      </c>
      <c r="X62" s="29">
        <f t="shared" ca="1" si="74"/>
        <v>-1650752.6026133979</v>
      </c>
      <c r="Y62" s="29">
        <f t="shared" ca="1" si="75"/>
        <v>-21972311.525226247</v>
      </c>
      <c r="Z62" s="61">
        <f t="shared" si="76"/>
        <v>1300.078604505851</v>
      </c>
      <c r="AA62" s="62">
        <f t="shared" ca="1" si="77"/>
        <v>-1269.7329199112812</v>
      </c>
      <c r="AB62" s="57">
        <f t="shared" ca="1" si="78"/>
        <v>13876682.508350139</v>
      </c>
      <c r="AC62" s="58" t="str">
        <f t="shared" ca="1" si="79"/>
        <v>Payback is Later</v>
      </c>
      <c r="AD62" s="59">
        <f t="shared" ca="1" si="80"/>
        <v>54</v>
      </c>
      <c r="AF62" s="60">
        <f t="shared" si="27"/>
        <v>54</v>
      </c>
      <c r="AG62" s="84">
        <f t="shared" ca="1" si="52"/>
        <v>-1824234.6935085671</v>
      </c>
      <c r="AH62" s="61">
        <f t="shared" si="53"/>
        <v>1300.078604505851</v>
      </c>
      <c r="AI62" s="29">
        <f t="shared" ca="1" si="54"/>
        <v>-1403.1726137066485</v>
      </c>
      <c r="AJ62" s="57">
        <f t="shared" ca="1" si="55"/>
        <v>173482.09089516918</v>
      </c>
      <c r="AK62" s="80">
        <f t="shared" ca="1" si="56"/>
        <v>-171434.67961958109</v>
      </c>
      <c r="AL62" s="57">
        <f t="shared" ca="1" si="57"/>
        <v>-131.86485726741267</v>
      </c>
      <c r="AM62" s="185">
        <f ca="1">OFFSET('Combined IFRS17 Cashflows'!$E$25,0,COUNTA('Appraisal Calcs - IFRS 17'!$AF$9:AF62))</f>
        <v>556494.78658220358</v>
      </c>
      <c r="AN62" s="81">
        <f t="shared" ca="1" si="58"/>
        <v>428.04703088989191</v>
      </c>
      <c r="AP62" s="60">
        <f t="shared" si="31"/>
        <v>54</v>
      </c>
      <c r="AQ62" s="61">
        <f t="shared" si="59"/>
        <v>1300.078604505851</v>
      </c>
      <c r="AR62" s="90">
        <f t="shared" ca="1" si="60"/>
        <v>-133.4396937953673</v>
      </c>
      <c r="AS62" s="85">
        <f t="shared" ca="1" si="61"/>
        <v>-1403.1726137066485</v>
      </c>
    </row>
    <row r="63" spans="2:45" x14ac:dyDescent="0.3">
      <c r="B63" s="39">
        <f t="shared" si="17"/>
        <v>55</v>
      </c>
      <c r="C63" s="176" cm="1">
        <f t="array" aca="1" ref="C63" ca="1">OFFSET('Results Tables'!$D$27,0,'Appraisal Calcs - IFRS 17'!B62:B62)</f>
        <v>-1686678.3305766135</v>
      </c>
      <c r="D63" s="174"/>
      <c r="E63" s="123">
        <f ca="1">OFFSET('CAR Calcs'!$C$59,0,COUNTA('Appraisal Calcs - IFRS 17'!$B$9:B63))</f>
        <v>1052647.2884973104</v>
      </c>
      <c r="F63" s="177">
        <f t="shared" ca="1" si="63"/>
        <v>154639.1876969228</v>
      </c>
      <c r="G63" s="123">
        <f ca="1">E63+SUM(D$8:D63)</f>
        <v>1052647.2884973104</v>
      </c>
      <c r="H63" s="178">
        <f t="shared" ca="1" si="62"/>
        <v>0</v>
      </c>
      <c r="I63" s="177">
        <f t="shared" ca="1" si="64"/>
        <v>52632.364424865518</v>
      </c>
      <c r="J63" s="177">
        <f t="shared" ca="1" si="65"/>
        <v>-1634045.9661517481</v>
      </c>
      <c r="K63" s="177">
        <f t="shared" ca="1" si="66"/>
        <v>0</v>
      </c>
      <c r="L63" s="177">
        <f t="shared" ca="1" si="67"/>
        <v>-1634045.9661517481</v>
      </c>
      <c r="M63" s="177">
        <f t="shared" ca="1" si="68"/>
        <v>-1479406.7784548253</v>
      </c>
      <c r="N63" s="32">
        <f t="shared" ca="1" si="22"/>
        <v>-1.5523205009005476</v>
      </c>
      <c r="O63" s="31">
        <f t="shared" si="69"/>
        <v>1463063.3926497444</v>
      </c>
      <c r="P63" s="179">
        <f t="shared" ca="1" si="70"/>
        <v>-1.0111706614266942</v>
      </c>
      <c r="R63" s="39">
        <f t="shared" si="23"/>
        <v>55</v>
      </c>
      <c r="S63" s="29">
        <f t="shared" ca="1" si="71"/>
        <v>-1479406.7784548253</v>
      </c>
      <c r="T63" s="10">
        <f t="shared" si="72"/>
        <v>1484.6897663456818</v>
      </c>
      <c r="U63" s="47">
        <f t="shared" ca="1" si="73"/>
        <v>-996.44168902446211</v>
      </c>
      <c r="W63" s="68">
        <f t="shared" si="24"/>
        <v>55</v>
      </c>
      <c r="X63" s="29">
        <f t="shared" ca="1" si="74"/>
        <v>-1479406.7784548253</v>
      </c>
      <c r="Y63" s="29">
        <f t="shared" ca="1" si="75"/>
        <v>-23451718.303681072</v>
      </c>
      <c r="Z63" s="61">
        <f t="shared" si="76"/>
        <v>1484.6897663456818</v>
      </c>
      <c r="AA63" s="62">
        <f t="shared" ca="1" si="77"/>
        <v>-996.44168902446211</v>
      </c>
      <c r="AB63" s="57">
        <f t="shared" ca="1" si="78"/>
        <v>13875686.066661116</v>
      </c>
      <c r="AC63" s="58" t="str">
        <f t="shared" ca="1" si="79"/>
        <v>Payback is Later</v>
      </c>
      <c r="AD63" s="59">
        <f t="shared" ca="1" si="80"/>
        <v>55</v>
      </c>
      <c r="AF63" s="60">
        <f t="shared" si="27"/>
        <v>55</v>
      </c>
      <c r="AG63" s="84">
        <f t="shared" ca="1" si="52"/>
        <v>-1634045.9661517481</v>
      </c>
      <c r="AH63" s="61">
        <f t="shared" si="53"/>
        <v>1484.6897663456818</v>
      </c>
      <c r="AI63" s="29">
        <f t="shared" ca="1" si="54"/>
        <v>-1100.5975815228267</v>
      </c>
      <c r="AJ63" s="57">
        <f t="shared" ca="1" si="55"/>
        <v>154639.1876969228</v>
      </c>
      <c r="AK63" s="80">
        <f t="shared" ca="1" si="56"/>
        <v>-149475.91496661806</v>
      </c>
      <c r="AL63" s="57">
        <f t="shared" ca="1" si="57"/>
        <v>-100.67821463774771</v>
      </c>
      <c r="AM63" s="185">
        <f ca="1">OFFSET('Combined IFRS17 Cashflows'!$E$25,0,COUNTA('Appraisal Calcs - IFRS 17'!$AF$9:AF63))</f>
        <v>469876.48452540074</v>
      </c>
      <c r="AN63" s="81">
        <f t="shared" ca="1" si="58"/>
        <v>316.48125768518224</v>
      </c>
      <c r="AP63" s="60">
        <f t="shared" si="31"/>
        <v>55</v>
      </c>
      <c r="AQ63" s="61">
        <f t="shared" si="59"/>
        <v>1484.6897663456818</v>
      </c>
      <c r="AR63" s="90">
        <f t="shared" ca="1" si="60"/>
        <v>-104.15589249836454</v>
      </c>
      <c r="AS63" s="85">
        <f t="shared" ca="1" si="61"/>
        <v>-1100.5975815228267</v>
      </c>
    </row>
    <row r="64" spans="2:45" x14ac:dyDescent="0.3">
      <c r="B64" s="39">
        <f t="shared" si="17"/>
        <v>56</v>
      </c>
      <c r="C64" s="176" cm="1">
        <f t="array" aca="1" ref="C64" ca="1">OFFSET('Results Tables'!$D$27,0,'Appraisal Calcs - IFRS 17'!B63:B63)</f>
        <v>-1492607.7341136674</v>
      </c>
      <c r="D64" s="174"/>
      <c r="E64" s="123">
        <f ca="1">OFFSET('CAR Calcs'!$C$59,0,COUNTA('Appraisal Calcs - IFRS 17'!$B$9:B64))</f>
        <v>915034.88904561498</v>
      </c>
      <c r="F64" s="177">
        <f t="shared" ca="1" si="63"/>
        <v>137612.39945169538</v>
      </c>
      <c r="G64" s="123">
        <f ca="1">E64+SUM(D$8:D64)</f>
        <v>915034.88904561498</v>
      </c>
      <c r="H64" s="178">
        <f t="shared" ca="1" si="62"/>
        <v>0</v>
      </c>
      <c r="I64" s="177">
        <f t="shared" ca="1" si="64"/>
        <v>45751.744452280749</v>
      </c>
      <c r="J64" s="177">
        <f t="shared" ca="1" si="65"/>
        <v>-1446855.9896613867</v>
      </c>
      <c r="K64" s="177">
        <f t="shared" ca="1" si="66"/>
        <v>0</v>
      </c>
      <c r="L64" s="177">
        <f t="shared" ca="1" si="67"/>
        <v>-1446855.9896613867</v>
      </c>
      <c r="M64" s="177">
        <f t="shared" ca="1" si="68"/>
        <v>-1309243.5902096913</v>
      </c>
      <c r="N64" s="32">
        <f t="shared" ca="1" si="22"/>
        <v>-1.5812030852402397</v>
      </c>
      <c r="O64" s="31">
        <f t="shared" si="69"/>
        <v>1893907.8209332027</v>
      </c>
      <c r="P64" s="179">
        <f t="shared" ca="1" si="70"/>
        <v>-0.69129213984901106</v>
      </c>
      <c r="R64" s="39">
        <f t="shared" si="23"/>
        <v>56</v>
      </c>
      <c r="S64" s="29">
        <f t="shared" ca="1" si="71"/>
        <v>-1309243.5902096913</v>
      </c>
      <c r="T64" s="10">
        <f t="shared" si="72"/>
        <v>1695.5157131667684</v>
      </c>
      <c r="U64" s="47">
        <f t="shared" ca="1" si="73"/>
        <v>-772.18015736602968</v>
      </c>
      <c r="W64" s="68">
        <f t="shared" si="24"/>
        <v>56</v>
      </c>
      <c r="X64" s="29">
        <f t="shared" ca="1" si="74"/>
        <v>-1309243.5902096913</v>
      </c>
      <c r="Y64" s="29">
        <f t="shared" ca="1" si="75"/>
        <v>-24760961.893890765</v>
      </c>
      <c r="Z64" s="61">
        <f t="shared" si="76"/>
        <v>1695.5157131667684</v>
      </c>
      <c r="AA64" s="62">
        <f t="shared" ca="1" si="77"/>
        <v>-772.18015736602968</v>
      </c>
      <c r="AB64" s="57">
        <f t="shared" ca="1" si="78"/>
        <v>13874913.88650375</v>
      </c>
      <c r="AC64" s="58" t="str">
        <f t="shared" ca="1" si="79"/>
        <v>Payback is Later</v>
      </c>
      <c r="AD64" s="59">
        <f t="shared" ca="1" si="80"/>
        <v>56</v>
      </c>
      <c r="AF64" s="60">
        <f t="shared" si="27"/>
        <v>56</v>
      </c>
      <c r="AG64" s="84">
        <f t="shared" ca="1" si="52"/>
        <v>-1446855.9896613867</v>
      </c>
      <c r="AH64" s="61">
        <f t="shared" si="53"/>
        <v>1695.5157131667684</v>
      </c>
      <c r="AI64" s="29">
        <f t="shared" ca="1" si="54"/>
        <v>-853.34271951927121</v>
      </c>
      <c r="AJ64" s="57">
        <f t="shared" ca="1" si="55"/>
        <v>137612.39945169538</v>
      </c>
      <c r="AK64" s="80">
        <f t="shared" ca="1" si="56"/>
        <v>-129934.95424447731</v>
      </c>
      <c r="AL64" s="57">
        <f t="shared" ca="1" si="57"/>
        <v>-76.63447365037608</v>
      </c>
      <c r="AM64" s="185">
        <f ca="1">OFFSET('Combined IFRS17 Cashflows'!$E$25,0,COUNTA('Appraisal Calcs - IFRS 17'!$AF$9:AF64))</f>
        <v>395187.70816053532</v>
      </c>
      <c r="AN64" s="81">
        <f t="shared" ca="1" si="58"/>
        <v>233.07817503055205</v>
      </c>
      <c r="AP64" s="60">
        <f t="shared" si="31"/>
        <v>56</v>
      </c>
      <c r="AQ64" s="61">
        <f t="shared" si="59"/>
        <v>1695.5157131667684</v>
      </c>
      <c r="AR64" s="90">
        <f t="shared" ca="1" si="60"/>
        <v>-81.162562153241481</v>
      </c>
      <c r="AS64" s="85">
        <f t="shared" ca="1" si="61"/>
        <v>-853.34271951927121</v>
      </c>
    </row>
    <row r="65" spans="2:45" x14ac:dyDescent="0.3">
      <c r="B65" s="39">
        <f t="shared" si="17"/>
        <v>57</v>
      </c>
      <c r="C65" s="176" cm="1">
        <f t="array" aca="1" ref="C65" ca="1">OFFSET('Results Tables'!$D$27,0,'Appraisal Calcs - IFRS 17'!B64:B64)</f>
        <v>-1340320.7873514167</v>
      </c>
      <c r="D65" s="174"/>
      <c r="E65" s="123">
        <f ca="1">OFFSET('CAR Calcs'!$C$59,0,COUNTA('Appraisal Calcs - IFRS 17'!$B$9:B65))</f>
        <v>793062.38878141448</v>
      </c>
      <c r="F65" s="177">
        <f t="shared" ca="1" si="63"/>
        <v>121972.5002642005</v>
      </c>
      <c r="G65" s="123">
        <f ca="1">E65+SUM(D$8:D65)</f>
        <v>793062.38878141448</v>
      </c>
      <c r="H65" s="178">
        <f t="shared" ca="1" si="62"/>
        <v>0</v>
      </c>
      <c r="I65" s="177">
        <f t="shared" ca="1" si="64"/>
        <v>39653.119439070724</v>
      </c>
      <c r="J65" s="177">
        <f t="shared" ca="1" si="65"/>
        <v>-1300667.6679123458</v>
      </c>
      <c r="K65" s="177">
        <f t="shared" ca="1" si="66"/>
        <v>0</v>
      </c>
      <c r="L65" s="177">
        <f t="shared" ca="1" si="67"/>
        <v>-1300667.6679123458</v>
      </c>
      <c r="M65" s="177">
        <f t="shared" ca="1" si="68"/>
        <v>-1178695.1676481455</v>
      </c>
      <c r="N65" s="32">
        <f t="shared" ca="1" si="22"/>
        <v>-1.6400571837871365</v>
      </c>
      <c r="O65" s="31">
        <f t="shared" si="69"/>
        <v>2451627.7641912466</v>
      </c>
      <c r="P65" s="179">
        <f t="shared" ca="1" si="70"/>
        <v>-0.48078064087228123</v>
      </c>
      <c r="R65" s="39">
        <f t="shared" si="23"/>
        <v>57</v>
      </c>
      <c r="S65" s="29">
        <f t="shared" ca="1" si="71"/>
        <v>-1178695.1676481455</v>
      </c>
      <c r="T65" s="10">
        <f t="shared" si="72"/>
        <v>1936.2789444364494</v>
      </c>
      <c r="U65" s="47">
        <f t="shared" ca="1" si="73"/>
        <v>-608.74243922081314</v>
      </c>
      <c r="W65" s="68">
        <f t="shared" si="24"/>
        <v>57</v>
      </c>
      <c r="X65" s="29">
        <f t="shared" ca="1" si="74"/>
        <v>-1178695.1676481455</v>
      </c>
      <c r="Y65" s="29">
        <f t="shared" ca="1" si="75"/>
        <v>-25939657.061538909</v>
      </c>
      <c r="Z65" s="61">
        <f t="shared" si="76"/>
        <v>1936.2789444364494</v>
      </c>
      <c r="AA65" s="62">
        <f t="shared" ca="1" si="77"/>
        <v>-608.74243922081314</v>
      </c>
      <c r="AB65" s="57">
        <f t="shared" ca="1" si="78"/>
        <v>13874305.144064529</v>
      </c>
      <c r="AC65" s="58" t="str">
        <f t="shared" ca="1" si="79"/>
        <v>Payback is Later</v>
      </c>
      <c r="AD65" s="59">
        <f t="shared" ca="1" si="80"/>
        <v>57</v>
      </c>
      <c r="AF65" s="60">
        <f t="shared" si="27"/>
        <v>57</v>
      </c>
      <c r="AG65" s="84">
        <f t="shared" ca="1" si="52"/>
        <v>-1300667.6679123458</v>
      </c>
      <c r="AH65" s="61">
        <f t="shared" si="53"/>
        <v>1936.2789444364494</v>
      </c>
      <c r="AI65" s="29">
        <f t="shared" ca="1" si="54"/>
        <v>-671.73568748944012</v>
      </c>
      <c r="AJ65" s="57">
        <f t="shared" ca="1" si="55"/>
        <v>121972.5002642005</v>
      </c>
      <c r="AK65" s="80">
        <f t="shared" ca="1" si="56"/>
        <v>-112614.85920696084</v>
      </c>
      <c r="AL65" s="57">
        <f t="shared" ca="1" si="57"/>
        <v>-58.16045231010721</v>
      </c>
      <c r="AM65" s="185">
        <f ca="1">OFFSET('Combined IFRS17 Cashflows'!$E$25,0,COUNTA('Appraisal Calcs - IFRS 17'!$AF$9:AF65))</f>
        <v>332457.86043155188</v>
      </c>
      <c r="AN65" s="81">
        <f t="shared" ca="1" si="58"/>
        <v>171.6993625256371</v>
      </c>
      <c r="AP65" s="60">
        <f t="shared" si="31"/>
        <v>57</v>
      </c>
      <c r="AQ65" s="61">
        <f t="shared" si="59"/>
        <v>1936.2789444364494</v>
      </c>
      <c r="AR65" s="90">
        <f t="shared" ca="1" si="60"/>
        <v>-62.993248268627113</v>
      </c>
      <c r="AS65" s="85">
        <f t="shared" ca="1" si="61"/>
        <v>-671.73568748944012</v>
      </c>
    </row>
    <row r="66" spans="2:45" x14ac:dyDescent="0.3">
      <c r="B66" s="39">
        <f t="shared" si="17"/>
        <v>58</v>
      </c>
      <c r="C66" s="176" cm="1">
        <f t="array" aca="1" ref="C66" ca="1">OFFSET('Results Tables'!$D$27,0,'Appraisal Calcs - IFRS 17'!B65:B65)</f>
        <v>-1196457.7748857324</v>
      </c>
      <c r="D66" s="174"/>
      <c r="E66" s="123">
        <f ca="1">OFFSET('CAR Calcs'!$C$59,0,COUNTA('Appraisal Calcs - IFRS 17'!$B$9:B66))</f>
        <v>684582.2110587589</v>
      </c>
      <c r="F66" s="177">
        <f t="shared" ca="1" si="63"/>
        <v>108480.17772265559</v>
      </c>
      <c r="G66" s="123">
        <f ca="1">E66+SUM(D$8:D66)</f>
        <v>684582.2110587589</v>
      </c>
      <c r="H66" s="178">
        <f t="shared" ca="1" si="62"/>
        <v>0</v>
      </c>
      <c r="I66" s="177">
        <f t="shared" ca="1" si="64"/>
        <v>34229.110552937949</v>
      </c>
      <c r="J66" s="177">
        <f t="shared" ca="1" si="65"/>
        <v>-1162228.6643327945</v>
      </c>
      <c r="K66" s="177">
        <f t="shared" ca="1" si="66"/>
        <v>0</v>
      </c>
      <c r="L66" s="177">
        <f t="shared" ca="1" si="67"/>
        <v>-1162228.6643327945</v>
      </c>
      <c r="M66" s="177">
        <f t="shared" ca="1" si="68"/>
        <v>-1053748.4866101388</v>
      </c>
      <c r="N66" s="32">
        <f t="shared" ca="1" si="22"/>
        <v>-1.6977196391581937</v>
      </c>
      <c r="O66" s="31">
        <f t="shared" si="69"/>
        <v>3173585.6559226685</v>
      </c>
      <c r="P66" s="179">
        <f t="shared" ca="1" si="70"/>
        <v>-0.33203719730822218</v>
      </c>
      <c r="R66" s="39">
        <f t="shared" si="23"/>
        <v>58</v>
      </c>
      <c r="S66" s="29">
        <f t="shared" ca="1" si="71"/>
        <v>-1053748.4866101388</v>
      </c>
      <c r="T66" s="10">
        <f t="shared" si="72"/>
        <v>2211.2305545464251</v>
      </c>
      <c r="U66" s="47">
        <f t="shared" ca="1" si="73"/>
        <v>-476.54392457790868</v>
      </c>
      <c r="W66" s="68">
        <f t="shared" si="24"/>
        <v>58</v>
      </c>
      <c r="X66" s="29">
        <f t="shared" ca="1" si="74"/>
        <v>-1053748.4866101388</v>
      </c>
      <c r="Y66" s="29">
        <f t="shared" ca="1" si="75"/>
        <v>-26993405.548149049</v>
      </c>
      <c r="Z66" s="61">
        <f t="shared" si="76"/>
        <v>2211.2305545464251</v>
      </c>
      <c r="AA66" s="62">
        <f t="shared" ca="1" si="77"/>
        <v>-476.54392457790868</v>
      </c>
      <c r="AB66" s="57">
        <f t="shared" ca="1" si="78"/>
        <v>13873828.600139951</v>
      </c>
      <c r="AC66" s="58" t="str">
        <f t="shared" ca="1" si="79"/>
        <v>Payback is Later</v>
      </c>
      <c r="AD66" s="59">
        <f t="shared" ca="1" si="80"/>
        <v>58</v>
      </c>
      <c r="AF66" s="60">
        <f t="shared" si="27"/>
        <v>58</v>
      </c>
      <c r="AG66" s="84">
        <f t="shared" ca="1" si="52"/>
        <v>-1162228.6643327945</v>
      </c>
      <c r="AH66" s="61">
        <f t="shared" si="53"/>
        <v>2211.2305545464251</v>
      </c>
      <c r="AI66" s="29">
        <f t="shared" ca="1" si="54"/>
        <v>-525.60266135215136</v>
      </c>
      <c r="AJ66" s="57">
        <f t="shared" ca="1" si="55"/>
        <v>108480.17772265559</v>
      </c>
      <c r="AK66" s="80">
        <f t="shared" ca="1" si="56"/>
        <v>-97210.673970343749</v>
      </c>
      <c r="AL66" s="57">
        <f t="shared" ca="1" si="57"/>
        <v>-43.962251593562989</v>
      </c>
      <c r="AM66" s="185">
        <f ca="1">OFFSET('Combined IFRS17 Cashflows'!$E$25,0,COUNTA('Appraisal Calcs - IFRS 17'!$AF$9:AF66))</f>
        <v>278031.41262924252</v>
      </c>
      <c r="AN66" s="81">
        <f t="shared" ca="1" si="58"/>
        <v>125.73605771573342</v>
      </c>
      <c r="AP66" s="60">
        <f t="shared" si="31"/>
        <v>58</v>
      </c>
      <c r="AQ66" s="61">
        <f t="shared" si="59"/>
        <v>2211.2305545464251</v>
      </c>
      <c r="AR66" s="90">
        <f t="shared" ca="1" si="60"/>
        <v>-49.058736774242611</v>
      </c>
      <c r="AS66" s="85">
        <f t="shared" ca="1" si="61"/>
        <v>-525.60266135215136</v>
      </c>
    </row>
    <row r="67" spans="2:45" x14ac:dyDescent="0.3">
      <c r="B67" s="39">
        <f t="shared" si="17"/>
        <v>59</v>
      </c>
      <c r="C67" s="176" cm="1">
        <f t="array" aca="1" ref="C67" ca="1">OFFSET('Results Tables'!$D$27,0,'Appraisal Calcs - IFRS 17'!B66:B66)</f>
        <v>-1062546.8898218633</v>
      </c>
      <c r="D67" s="174"/>
      <c r="E67" s="123">
        <f ca="1">OFFSET('CAR Calcs'!$C$59,0,COUNTA('Appraisal Calcs - IFRS 17'!$B$9:B67))</f>
        <v>588576.93908365571</v>
      </c>
      <c r="F67" s="177">
        <f t="shared" ca="1" si="63"/>
        <v>96005.271975103184</v>
      </c>
      <c r="G67" s="123">
        <f ca="1">E67+SUM(D$8:D67)</f>
        <v>588576.93908365571</v>
      </c>
      <c r="H67" s="178">
        <f t="shared" ca="1" si="62"/>
        <v>0</v>
      </c>
      <c r="I67" s="177">
        <f t="shared" ca="1" si="64"/>
        <v>29428.846954182787</v>
      </c>
      <c r="J67" s="177">
        <f t="shared" ca="1" si="65"/>
        <v>-1033118.0428676804</v>
      </c>
      <c r="K67" s="177">
        <f t="shared" ca="1" si="66"/>
        <v>0</v>
      </c>
      <c r="L67" s="177">
        <f t="shared" ca="1" si="67"/>
        <v>-1033118.0428676804</v>
      </c>
      <c r="M67" s="177">
        <f t="shared" ca="1" si="68"/>
        <v>-937112.77089257725</v>
      </c>
      <c r="N67" s="32">
        <f t="shared" ca="1" si="22"/>
        <v>-1.7552812117921615</v>
      </c>
      <c r="O67" s="31">
        <f t="shared" si="69"/>
        <v>4108146.4578700401</v>
      </c>
      <c r="P67" s="179">
        <f t="shared" ca="1" si="70"/>
        <v>-0.22811084767860107</v>
      </c>
      <c r="R67" s="39">
        <f t="shared" si="23"/>
        <v>59</v>
      </c>
      <c r="S67" s="29">
        <f t="shared" ca="1" si="71"/>
        <v>-937112.77089257725</v>
      </c>
      <c r="T67" s="10">
        <f t="shared" si="72"/>
        <v>2525.2252932920178</v>
      </c>
      <c r="U67" s="47">
        <f t="shared" ca="1" si="73"/>
        <v>-371.10065916966454</v>
      </c>
      <c r="W67" s="68">
        <f t="shared" si="24"/>
        <v>59</v>
      </c>
      <c r="X67" s="29">
        <f t="shared" ca="1" si="74"/>
        <v>-937112.77089257725</v>
      </c>
      <c r="Y67" s="29">
        <f t="shared" ca="1" si="75"/>
        <v>-27930518.319041625</v>
      </c>
      <c r="Z67" s="61">
        <f t="shared" si="76"/>
        <v>2525.2252932920178</v>
      </c>
      <c r="AA67" s="62">
        <f t="shared" ca="1" si="77"/>
        <v>-371.10065916966454</v>
      </c>
      <c r="AB67" s="57">
        <f t="shared" ca="1" si="78"/>
        <v>13873457.499480782</v>
      </c>
      <c r="AC67" s="58" t="str">
        <f t="shared" ca="1" si="79"/>
        <v>Payback is Later</v>
      </c>
      <c r="AD67" s="59">
        <f t="shared" ca="1" si="80"/>
        <v>59</v>
      </c>
      <c r="AF67" s="60">
        <f t="shared" si="27"/>
        <v>59</v>
      </c>
      <c r="AG67" s="84">
        <f t="shared" ca="1" si="52"/>
        <v>-1033118.0428676804</v>
      </c>
      <c r="AH67" s="61">
        <f t="shared" si="53"/>
        <v>2525.2252932920178</v>
      </c>
      <c r="AI67" s="29">
        <f t="shared" ca="1" si="54"/>
        <v>-409.1191568578235</v>
      </c>
      <c r="AJ67" s="57">
        <f t="shared" ca="1" si="55"/>
        <v>96005.271975103184</v>
      </c>
      <c r="AK67" s="80">
        <f t="shared" ca="1" si="56"/>
        <v>-83577.925349879108</v>
      </c>
      <c r="AL67" s="57">
        <f t="shared" ca="1" si="57"/>
        <v>-33.097215354168455</v>
      </c>
      <c r="AM67" s="185">
        <f ca="1">OFFSET('Combined IFRS17 Cashflows'!$E$25,0,COUNTA('Appraisal Calcs - IFRS 17'!$AF$9:AF67))</f>
        <v>231014.57860289628</v>
      </c>
      <c r="AN67" s="81">
        <f t="shared" ca="1" si="58"/>
        <v>91.482759663686636</v>
      </c>
      <c r="AP67" s="60">
        <f t="shared" si="31"/>
        <v>59</v>
      </c>
      <c r="AQ67" s="61">
        <f t="shared" si="59"/>
        <v>2525.2252932920178</v>
      </c>
      <c r="AR67" s="90">
        <f t="shared" ca="1" si="60"/>
        <v>-38.018497688158988</v>
      </c>
      <c r="AS67" s="85">
        <f t="shared" ca="1" si="61"/>
        <v>-409.1191568578235</v>
      </c>
    </row>
    <row r="68" spans="2:45" x14ac:dyDescent="0.3">
      <c r="B68" s="39">
        <f t="shared" si="17"/>
        <v>60</v>
      </c>
      <c r="C68" s="176" cm="1">
        <f t="array" aca="1" ref="C68" ca="1">OFFSET('Results Tables'!$D$27,0,'Appraisal Calcs - IFRS 17'!B67:B67)</f>
        <v>-931908.20160158724</v>
      </c>
      <c r="D68" s="174"/>
      <c r="E68" s="123">
        <f ca="1">OFFSET('CAR Calcs'!$C$59,0,COUNTA('Appraisal Calcs - IFRS 17'!$B$9:B68))</f>
        <v>504597.93101714447</v>
      </c>
      <c r="F68" s="177">
        <f t="shared" ca="1" si="63"/>
        <v>83979.008066511247</v>
      </c>
      <c r="G68" s="123">
        <f ca="1">E68+SUM(D$8:D68)</f>
        <v>504597.93101714447</v>
      </c>
      <c r="H68" s="178">
        <f t="shared" ca="1" si="62"/>
        <v>0</v>
      </c>
      <c r="I68" s="177">
        <f t="shared" ca="1" si="64"/>
        <v>25229.896550857226</v>
      </c>
      <c r="J68" s="177">
        <f t="shared" ca="1" si="65"/>
        <v>-906678.30505073001</v>
      </c>
      <c r="K68" s="177">
        <f t="shared" ca="1" si="66"/>
        <v>0</v>
      </c>
      <c r="L68" s="177">
        <f t="shared" ca="1" si="67"/>
        <v>-906678.30505073001</v>
      </c>
      <c r="M68" s="177">
        <f t="shared" ca="1" si="68"/>
        <v>-822699.29698421876</v>
      </c>
      <c r="N68" s="32">
        <f t="shared" ca="1" si="22"/>
        <v>-1.7968331800788224</v>
      </c>
      <c r="O68" s="31">
        <f t="shared" si="69"/>
        <v>5317917.695970769</v>
      </c>
      <c r="P68" s="179">
        <f t="shared" ca="1" si="70"/>
        <v>-0.15470327748914842</v>
      </c>
      <c r="R68" s="39">
        <f t="shared" si="23"/>
        <v>60</v>
      </c>
      <c r="S68" s="29">
        <f t="shared" ca="1" si="71"/>
        <v>-822699.29698421876</v>
      </c>
      <c r="T68" s="10">
        <f t="shared" si="72"/>
        <v>2883.8072849394839</v>
      </c>
      <c r="U68" s="47">
        <f t="shared" ca="1" si="73"/>
        <v>-285.28234229822431</v>
      </c>
      <c r="W68" s="68">
        <f t="shared" si="24"/>
        <v>60</v>
      </c>
      <c r="X68" s="29">
        <f t="shared" ca="1" si="74"/>
        <v>-822699.29698421876</v>
      </c>
      <c r="Y68" s="29">
        <f t="shared" ca="1" si="75"/>
        <v>-28753217.616025843</v>
      </c>
      <c r="Z68" s="61">
        <f t="shared" si="76"/>
        <v>2883.8072849394839</v>
      </c>
      <c r="AA68" s="62">
        <f t="shared" ca="1" si="77"/>
        <v>-285.28234229822431</v>
      </c>
      <c r="AB68" s="57">
        <f t="shared" ca="1" si="78"/>
        <v>13873172.217138484</v>
      </c>
      <c r="AC68" s="58" t="str">
        <f t="shared" ca="1" si="79"/>
        <v>Payback is Later</v>
      </c>
      <c r="AD68" s="59">
        <f t="shared" ca="1" si="80"/>
        <v>60</v>
      </c>
      <c r="AF68" s="60">
        <f t="shared" si="27"/>
        <v>60</v>
      </c>
      <c r="AG68" s="84">
        <f t="shared" ca="1" si="52"/>
        <v>-906678.30505073001</v>
      </c>
      <c r="AH68" s="61">
        <f t="shared" si="53"/>
        <v>2883.8072849394839</v>
      </c>
      <c r="AI68" s="29">
        <f t="shared" ca="1" si="54"/>
        <v>-314.40322305370569</v>
      </c>
      <c r="AJ68" s="57">
        <f t="shared" ca="1" si="55"/>
        <v>83979.008066511247</v>
      </c>
      <c r="AK68" s="80">
        <f t="shared" ca="1" si="56"/>
        <v>-71652.906204434505</v>
      </c>
      <c r="AL68" s="57">
        <f t="shared" ca="1" si="57"/>
        <v>-24.846634717457594</v>
      </c>
      <c r="AM68" s="185">
        <f ca="1">OFFSET('Combined IFRS17 Cashflows'!$E$25,0,COUNTA('Appraisal Calcs - IFRS 17'!$AF$9:AF68))</f>
        <v>190544.61308948032</v>
      </c>
      <c r="AN68" s="81">
        <f t="shared" ca="1" si="58"/>
        <v>66.073975915307685</v>
      </c>
      <c r="AP68" s="60">
        <f t="shared" si="31"/>
        <v>60</v>
      </c>
      <c r="AQ68" s="61">
        <f t="shared" si="59"/>
        <v>2883.8072849394839</v>
      </c>
      <c r="AR68" s="90">
        <f t="shared" ca="1" si="60"/>
        <v>-29.120880755481387</v>
      </c>
      <c r="AS68" s="85">
        <f t="shared" ca="1" si="61"/>
        <v>-314.40322305370569</v>
      </c>
    </row>
    <row r="69" spans="2:45" x14ac:dyDescent="0.3">
      <c r="B69" s="39">
        <f t="shared" si="17"/>
        <v>61</v>
      </c>
      <c r="C69" s="176" cm="1">
        <f t="array" aca="1" ref="C69" ca="1">OFFSET('Results Tables'!$D$27,0,'Appraisal Calcs - IFRS 17'!B68:B68)</f>
        <v>-816061.85366978182</v>
      </c>
      <c r="D69" s="174"/>
      <c r="E69" s="123">
        <f ca="1">OFFSET('CAR Calcs'!$C$59,0,COUNTA('Appraisal Calcs - IFRS 17'!$B$9:B69))</f>
        <v>431055.5194551553</v>
      </c>
      <c r="F69" s="177">
        <f t="shared" ca="1" si="63"/>
        <v>73542.411561989167</v>
      </c>
      <c r="G69" s="123">
        <f ca="1">E69+SUM(D$8:D69)</f>
        <v>431055.5194551553</v>
      </c>
      <c r="H69" s="178">
        <f t="shared" ca="1" si="62"/>
        <v>0</v>
      </c>
      <c r="I69" s="177">
        <f t="shared" ca="1" si="64"/>
        <v>21552.775972757765</v>
      </c>
      <c r="J69" s="177">
        <f t="shared" ca="1" si="65"/>
        <v>-794509.0776970241</v>
      </c>
      <c r="K69" s="177">
        <f t="shared" ca="1" si="66"/>
        <v>0</v>
      </c>
      <c r="L69" s="177">
        <f t="shared" ca="1" si="67"/>
        <v>-794509.0776970241</v>
      </c>
      <c r="M69" s="177">
        <f t="shared" ca="1" si="68"/>
        <v>-720966.66613503499</v>
      </c>
      <c r="N69" s="32">
        <f t="shared" ca="1" si="22"/>
        <v>-1.843171104040765</v>
      </c>
      <c r="O69" s="31">
        <f t="shared" si="69"/>
        <v>6883943.625462071</v>
      </c>
      <c r="P69" s="179">
        <f t="shared" ca="1" si="70"/>
        <v>-0.10473163427259205</v>
      </c>
      <c r="R69" s="39">
        <f t="shared" si="23"/>
        <v>61</v>
      </c>
      <c r="S69" s="29">
        <f t="shared" ca="1" si="71"/>
        <v>-720966.66613503499</v>
      </c>
      <c r="T69" s="10">
        <f t="shared" si="72"/>
        <v>3293.3079194008901</v>
      </c>
      <c r="U69" s="47">
        <f t="shared" ca="1" si="73"/>
        <v>-218.91869323479213</v>
      </c>
      <c r="W69" s="68">
        <f t="shared" si="24"/>
        <v>61</v>
      </c>
      <c r="X69" s="29">
        <f t="shared" ca="1" si="74"/>
        <v>-720966.66613503499</v>
      </c>
      <c r="Y69" s="29">
        <f t="shared" ca="1" si="75"/>
        <v>-29474184.282160878</v>
      </c>
      <c r="Z69" s="61">
        <f t="shared" si="76"/>
        <v>3293.3079194008901</v>
      </c>
      <c r="AA69" s="62">
        <f t="shared" ca="1" si="77"/>
        <v>-218.91869323479213</v>
      </c>
      <c r="AB69" s="57">
        <f t="shared" ca="1" si="78"/>
        <v>13872953.298445249</v>
      </c>
      <c r="AC69" s="58" t="str">
        <f t="shared" ca="1" si="79"/>
        <v>Payback is Later</v>
      </c>
      <c r="AD69" s="59">
        <f t="shared" ca="1" si="80"/>
        <v>61</v>
      </c>
      <c r="AF69" s="60">
        <f t="shared" si="27"/>
        <v>61</v>
      </c>
      <c r="AG69" s="84">
        <f t="shared" ca="1" si="52"/>
        <v>-794509.0776970241</v>
      </c>
      <c r="AH69" s="61">
        <f t="shared" si="53"/>
        <v>3293.3079194008901</v>
      </c>
      <c r="AI69" s="29">
        <f t="shared" ca="1" si="54"/>
        <v>-241.24955732701699</v>
      </c>
      <c r="AJ69" s="57">
        <f t="shared" ca="1" si="55"/>
        <v>73542.411561989167</v>
      </c>
      <c r="AK69" s="80">
        <f t="shared" ca="1" si="56"/>
        <v>-61209.883762632046</v>
      </c>
      <c r="AL69" s="57">
        <f t="shared" ca="1" si="57"/>
        <v>-18.586140519094609</v>
      </c>
      <c r="AM69" s="185">
        <f ca="1">OFFSET('Combined IFRS17 Cashflows'!$E$25,0,COUNTA('Appraisal Calcs - IFRS 17'!$AF$9:AF69))</f>
        <v>155810.91978383437</v>
      </c>
      <c r="AN69" s="81">
        <f t="shared" ca="1" si="58"/>
        <v>47.311373123038884</v>
      </c>
      <c r="AP69" s="60">
        <f t="shared" si="31"/>
        <v>61</v>
      </c>
      <c r="AQ69" s="61">
        <f t="shared" si="59"/>
        <v>3293.3079194008901</v>
      </c>
      <c r="AR69" s="90">
        <f t="shared" ca="1" si="60"/>
        <v>-22.330864092224882</v>
      </c>
      <c r="AS69" s="85">
        <f t="shared" ca="1" si="61"/>
        <v>-241.24955732701699</v>
      </c>
    </row>
    <row r="70" spans="2:45" x14ac:dyDescent="0.3">
      <c r="B70" s="39">
        <f t="shared" si="17"/>
        <v>62</v>
      </c>
      <c r="C70" s="176" cm="1">
        <f t="array" aca="1" ref="C70" ca="1">OFFSET('Results Tables'!$D$27,0,'Appraisal Calcs - IFRS 17'!B69:B69)</f>
        <v>-711366.94035334745</v>
      </c>
      <c r="D70" s="174"/>
      <c r="E70" s="123">
        <f ca="1">OFFSET('CAR Calcs'!$C$59,0,COUNTA('Appraisal Calcs - IFRS 17'!$B$9:B70))</f>
        <v>366883.17297279573</v>
      </c>
      <c r="F70" s="177">
        <f t="shared" ca="1" si="63"/>
        <v>64172.346482359571</v>
      </c>
      <c r="G70" s="123">
        <f ca="1">E70+SUM(D$8:D70)</f>
        <v>366883.17297279573</v>
      </c>
      <c r="H70" s="178">
        <f t="shared" ca="1" si="62"/>
        <v>0</v>
      </c>
      <c r="I70" s="177">
        <f t="shared" ca="1" si="64"/>
        <v>18344.158648639786</v>
      </c>
      <c r="J70" s="177">
        <f t="shared" ca="1" si="65"/>
        <v>-693022.78170470765</v>
      </c>
      <c r="K70" s="177">
        <f t="shared" ca="1" si="66"/>
        <v>0</v>
      </c>
      <c r="L70" s="177">
        <f t="shared" ca="1" si="67"/>
        <v>-693022.78170470765</v>
      </c>
      <c r="M70" s="177">
        <f t="shared" ca="1" si="68"/>
        <v>-628850.43522234808</v>
      </c>
      <c r="N70" s="32">
        <f t="shared" ca="1" si="22"/>
        <v>-1.8889467622329332</v>
      </c>
      <c r="O70" s="31">
        <f t="shared" si="69"/>
        <v>8911134.4980846345</v>
      </c>
      <c r="P70" s="179">
        <f t="shared" ca="1" si="70"/>
        <v>-7.0569065628794364E-2</v>
      </c>
      <c r="R70" s="39">
        <f t="shared" si="23"/>
        <v>62</v>
      </c>
      <c r="S70" s="29">
        <f t="shared" ca="1" si="71"/>
        <v>-628850.43522234808</v>
      </c>
      <c r="T70" s="10">
        <f t="shared" si="72"/>
        <v>3760.9576439558168</v>
      </c>
      <c r="U70" s="47">
        <f t="shared" ca="1" si="73"/>
        <v>-167.20487034278756</v>
      </c>
      <c r="W70" s="68">
        <f t="shared" si="24"/>
        <v>62</v>
      </c>
      <c r="X70" s="29">
        <f t="shared" ca="1" si="74"/>
        <v>-628850.43522234808</v>
      </c>
      <c r="Y70" s="29">
        <f t="shared" ca="1" si="75"/>
        <v>-30103034.717383225</v>
      </c>
      <c r="Z70" s="61">
        <f t="shared" si="76"/>
        <v>3760.9576439558168</v>
      </c>
      <c r="AA70" s="62">
        <f t="shared" ca="1" si="77"/>
        <v>-167.20487034278756</v>
      </c>
      <c r="AB70" s="57">
        <f t="shared" ca="1" si="78"/>
        <v>13872786.093574906</v>
      </c>
      <c r="AC70" s="58" t="str">
        <f t="shared" ca="1" si="79"/>
        <v>Payback is Later</v>
      </c>
      <c r="AD70" s="59">
        <f t="shared" ca="1" si="80"/>
        <v>62</v>
      </c>
      <c r="AF70" s="60">
        <f t="shared" si="27"/>
        <v>62</v>
      </c>
      <c r="AG70" s="84">
        <f t="shared" ca="1" si="52"/>
        <v>-693022.78170470765</v>
      </c>
      <c r="AH70" s="61">
        <f t="shared" si="53"/>
        <v>3760.9576439558168</v>
      </c>
      <c r="AI70" s="29">
        <f t="shared" ca="1" si="54"/>
        <v>-184.267638009286</v>
      </c>
      <c r="AJ70" s="57">
        <f t="shared" ca="1" si="55"/>
        <v>64172.346482359571</v>
      </c>
      <c r="AK70" s="80">
        <f t="shared" ca="1" si="56"/>
        <v>-52097.410562136989</v>
      </c>
      <c r="AL70" s="57">
        <f t="shared" ca="1" si="57"/>
        <v>-13.85216625501274</v>
      </c>
      <c r="AM70" s="185">
        <f ca="1">OFFSET('Combined IFRS17 Cashflows'!$E$25,0,COUNTA('Appraisal Calcs - IFRS 17'!$AF$9:AF70))</f>
        <v>126155.89530194065</v>
      </c>
      <c r="AN70" s="81">
        <f t="shared" ca="1" si="58"/>
        <v>33.543556520686707</v>
      </c>
      <c r="AP70" s="60">
        <f t="shared" si="31"/>
        <v>62</v>
      </c>
      <c r="AQ70" s="61">
        <f t="shared" si="59"/>
        <v>3760.9576439558168</v>
      </c>
      <c r="AR70" s="90">
        <f t="shared" ca="1" si="60"/>
        <v>-17.06276766649847</v>
      </c>
      <c r="AS70" s="85">
        <f t="shared" ca="1" si="61"/>
        <v>-184.267638009286</v>
      </c>
    </row>
    <row r="71" spans="2:45" x14ac:dyDescent="0.3">
      <c r="B71" s="39">
        <f t="shared" si="17"/>
        <v>63</v>
      </c>
      <c r="C71" s="176" cm="1">
        <f t="array" aca="1" ref="C71" ca="1">OFFSET('Results Tables'!$D$27,0,'Appraisal Calcs - IFRS 17'!B70:B70)</f>
        <v>-614498.72630902741</v>
      </c>
      <c r="D71" s="174"/>
      <c r="E71" s="123">
        <f ca="1">OFFSET('CAR Calcs'!$C$59,0,COUNTA('Appraisal Calcs - IFRS 17'!$B$9:B71))</f>
        <v>311124.05971628305</v>
      </c>
      <c r="F71" s="177">
        <f t="shared" ca="1" si="63"/>
        <v>55759.113256512675</v>
      </c>
      <c r="G71" s="123">
        <f ca="1">E71+SUM(D$8:D71)</f>
        <v>311124.05971628305</v>
      </c>
      <c r="H71" s="178">
        <f t="shared" ca="1" si="62"/>
        <v>0</v>
      </c>
      <c r="I71" s="177">
        <f t="shared" ca="1" si="64"/>
        <v>15556.202985814154</v>
      </c>
      <c r="J71" s="177">
        <f t="shared" ca="1" si="65"/>
        <v>-598942.52332321322</v>
      </c>
      <c r="K71" s="177">
        <f t="shared" ca="1" si="66"/>
        <v>0</v>
      </c>
      <c r="L71" s="177">
        <f t="shared" ca="1" si="67"/>
        <v>-598942.52332321322</v>
      </c>
      <c r="M71" s="177">
        <f t="shared" ca="1" si="68"/>
        <v>-543183.41006670054</v>
      </c>
      <c r="N71" s="32">
        <f t="shared" ca="1" si="22"/>
        <v>-1.9250922730610887</v>
      </c>
      <c r="O71" s="31">
        <f t="shared" si="69"/>
        <v>11535294.645534519</v>
      </c>
      <c r="P71" s="179">
        <f t="shared" ca="1" si="70"/>
        <v>-4.7088819727459215E-2</v>
      </c>
      <c r="R71" s="39">
        <f t="shared" si="23"/>
        <v>63</v>
      </c>
      <c r="S71" s="29">
        <f t="shared" ca="1" si="71"/>
        <v>-543183.41006670054</v>
      </c>
      <c r="T71" s="10">
        <f t="shared" si="72"/>
        <v>4295.013629397542</v>
      </c>
      <c r="U71" s="47">
        <f t="shared" ca="1" si="73"/>
        <v>-126.46837866796069</v>
      </c>
      <c r="W71" s="68">
        <f t="shared" si="24"/>
        <v>63</v>
      </c>
      <c r="X71" s="29">
        <f t="shared" ca="1" si="74"/>
        <v>-543183.41006670054</v>
      </c>
      <c r="Y71" s="29">
        <f t="shared" ca="1" si="75"/>
        <v>-30646218.127449926</v>
      </c>
      <c r="Z71" s="61">
        <f t="shared" si="76"/>
        <v>4295.013629397542</v>
      </c>
      <c r="AA71" s="62">
        <f t="shared" ca="1" si="77"/>
        <v>-126.46837866796069</v>
      </c>
      <c r="AB71" s="57">
        <f t="shared" ca="1" si="78"/>
        <v>13872659.625196237</v>
      </c>
      <c r="AC71" s="58" t="str">
        <f t="shared" ca="1" si="79"/>
        <v>Payback is Later</v>
      </c>
      <c r="AD71" s="59">
        <f t="shared" ca="1" si="80"/>
        <v>63</v>
      </c>
      <c r="AF71" s="60">
        <f t="shared" si="27"/>
        <v>63</v>
      </c>
      <c r="AG71" s="84">
        <f t="shared" ca="1" si="52"/>
        <v>-598942.52332321322</v>
      </c>
      <c r="AH71" s="61">
        <f t="shared" si="53"/>
        <v>4295.013629397542</v>
      </c>
      <c r="AI71" s="29">
        <f t="shared" ca="1" si="54"/>
        <v>-139.45066884624214</v>
      </c>
      <c r="AJ71" s="57">
        <f t="shared" ca="1" si="55"/>
        <v>55759.113256512675</v>
      </c>
      <c r="AK71" s="80">
        <f t="shared" ca="1" si="56"/>
        <v>-44179.616479712189</v>
      </c>
      <c r="AL71" s="57">
        <f t="shared" ca="1" si="57"/>
        <v>-10.286257574905351</v>
      </c>
      <c r="AM71" s="185">
        <f ca="1">OFFSET('Combined IFRS17 Cashflows'!$E$25,0,COUNTA('Appraisal Calcs - IFRS 17'!$AF$9:AF71))</f>
        <v>100939.31342436792</v>
      </c>
      <c r="AN71" s="81">
        <f t="shared" ca="1" si="58"/>
        <v>23.501511784149237</v>
      </c>
      <c r="AP71" s="60">
        <f t="shared" si="31"/>
        <v>63</v>
      </c>
      <c r="AQ71" s="61">
        <f t="shared" si="59"/>
        <v>4295.013629397542</v>
      </c>
      <c r="AR71" s="90">
        <f t="shared" ca="1" si="60"/>
        <v>-12.982290178281451</v>
      </c>
      <c r="AS71" s="85">
        <f t="shared" ca="1" si="61"/>
        <v>-139.45066884624214</v>
      </c>
    </row>
    <row r="72" spans="2:45" x14ac:dyDescent="0.3">
      <c r="B72" s="39">
        <f t="shared" si="17"/>
        <v>64</v>
      </c>
      <c r="C72" s="176" cm="1">
        <f t="array" aca="1" ref="C72" ca="1">OFFSET('Results Tables'!$D$27,0,'Appraisal Calcs - IFRS 17'!B71:B71)</f>
        <v>-525517.0979383681</v>
      </c>
      <c r="D72" s="174"/>
      <c r="E72" s="123">
        <f ca="1">OFFSET('CAR Calcs'!$C$59,0,COUNTA('Appraisal Calcs - IFRS 17'!$B$9:B72))</f>
        <v>262921.55764883669</v>
      </c>
      <c r="F72" s="177">
        <f t="shared" ca="1" si="63"/>
        <v>48202.502067446359</v>
      </c>
      <c r="G72" s="123">
        <f ca="1">E72+SUM(D$8:D72)</f>
        <v>262921.55764883669</v>
      </c>
      <c r="H72" s="178">
        <f t="shared" ca="1" si="62"/>
        <v>0</v>
      </c>
      <c r="I72" s="177">
        <f t="shared" ca="1" si="64"/>
        <v>13146.077882441836</v>
      </c>
      <c r="J72" s="177">
        <f t="shared" ca="1" si="65"/>
        <v>-512371.02005592629</v>
      </c>
      <c r="K72" s="177">
        <f t="shared" ca="1" si="66"/>
        <v>0</v>
      </c>
      <c r="L72" s="177">
        <f t="shared" ca="1" si="67"/>
        <v>-512371.02005592629</v>
      </c>
      <c r="M72" s="177">
        <f t="shared" ca="1" si="68"/>
        <v>-464168.51798847993</v>
      </c>
      <c r="N72" s="32">
        <f t="shared" ca="1" si="22"/>
        <v>-1.9487600204326314</v>
      </c>
      <c r="O72" s="31">
        <f t="shared" si="69"/>
        <v>14932220.200233534</v>
      </c>
      <c r="P72" s="179">
        <f t="shared" ca="1" si="70"/>
        <v>-3.1085030341383563E-2</v>
      </c>
      <c r="R72" s="39">
        <f t="shared" si="23"/>
        <v>64</v>
      </c>
      <c r="S72" s="29">
        <f t="shared" ca="1" si="71"/>
        <v>-464168.51798847993</v>
      </c>
      <c r="T72" s="10">
        <f t="shared" si="72"/>
        <v>4904.9055647719924</v>
      </c>
      <c r="U72" s="47">
        <f t="shared" ca="1" si="73"/>
        <v>-94.63352797701765</v>
      </c>
      <c r="W72" s="68">
        <f t="shared" si="24"/>
        <v>64</v>
      </c>
      <c r="X72" s="29">
        <f t="shared" ca="1" si="74"/>
        <v>-464168.51798847993</v>
      </c>
      <c r="Y72" s="29">
        <f t="shared" ca="1" si="75"/>
        <v>-31110386.645438407</v>
      </c>
      <c r="Z72" s="61">
        <f t="shared" si="76"/>
        <v>4904.9055647719924</v>
      </c>
      <c r="AA72" s="62">
        <f t="shared" ca="1" si="77"/>
        <v>-94.63352797701765</v>
      </c>
      <c r="AB72" s="57">
        <f t="shared" ca="1" si="78"/>
        <v>13872564.99166826</v>
      </c>
      <c r="AC72" s="58" t="str">
        <f t="shared" ca="1" si="79"/>
        <v>Payback is Later</v>
      </c>
      <c r="AD72" s="59">
        <f t="shared" ca="1" si="80"/>
        <v>64</v>
      </c>
      <c r="AF72" s="60">
        <f t="shared" si="27"/>
        <v>64</v>
      </c>
      <c r="AG72" s="84">
        <f t="shared" ca="1" si="52"/>
        <v>-512371.02005592629</v>
      </c>
      <c r="AH72" s="61">
        <f t="shared" si="53"/>
        <v>4904.9055647719924</v>
      </c>
      <c r="AI72" s="29">
        <f t="shared" ca="1" si="54"/>
        <v>-104.46093472948326</v>
      </c>
      <c r="AJ72" s="57">
        <f t="shared" ca="1" si="55"/>
        <v>48202.502067446359</v>
      </c>
      <c r="AK72" s="80">
        <f t="shared" ca="1" si="56"/>
        <v>-37334.861186134804</v>
      </c>
      <c r="AL72" s="57">
        <f t="shared" ca="1" si="57"/>
        <v>-7.6117390422929248</v>
      </c>
      <c r="AM72" s="185">
        <f ca="1">OFFSET('Combined IFRS17 Cashflows'!$E$25,0,COUNTA('Appraisal Calcs - IFRS 17'!$AF$9:AF72))</f>
        <v>79685.664879568707</v>
      </c>
      <c r="AN72" s="81">
        <f t="shared" ca="1" si="58"/>
        <v>16.246116021455542</v>
      </c>
      <c r="AP72" s="60">
        <f t="shared" si="31"/>
        <v>64</v>
      </c>
      <c r="AQ72" s="61">
        <f t="shared" si="59"/>
        <v>4904.9055647719924</v>
      </c>
      <c r="AR72" s="90">
        <f t="shared" ca="1" si="60"/>
        <v>-9.8274067524655973</v>
      </c>
      <c r="AS72" s="85">
        <f t="shared" ca="1" si="61"/>
        <v>-104.46093472948326</v>
      </c>
    </row>
    <row r="73" spans="2:45" x14ac:dyDescent="0.3">
      <c r="B73" s="39">
        <f t="shared" si="17"/>
        <v>65</v>
      </c>
      <c r="C73" s="176" cm="1">
        <f t="array" aca="1" ref="C73" ca="1">OFFSET('Results Tables'!$D$27,0,'Appraisal Calcs - IFRS 17'!B72:B72)</f>
        <v>-441484.91245893767</v>
      </c>
      <c r="D73" s="174"/>
      <c r="E73" s="123">
        <f ca="1">OFFSET('CAR Calcs'!$C$59,0,COUNTA('Appraisal Calcs - IFRS 17'!$B$9:B73))</f>
        <v>221601.41345230845</v>
      </c>
      <c r="F73" s="177">
        <f t="shared" ca="1" si="63"/>
        <v>41320.144196528243</v>
      </c>
      <c r="G73" s="123">
        <f ca="1">E73+SUM(D$8:D73)</f>
        <v>221601.41345230845</v>
      </c>
      <c r="H73" s="178">
        <f t="shared" ca="1" si="62"/>
        <v>0</v>
      </c>
      <c r="I73" s="177">
        <f t="shared" ca="1" si="64"/>
        <v>11080.070672615424</v>
      </c>
      <c r="J73" s="177">
        <f t="shared" ca="1" si="65"/>
        <v>-430404.84178632224</v>
      </c>
      <c r="K73" s="177">
        <f t="shared" ca="1" si="66"/>
        <v>0</v>
      </c>
      <c r="L73" s="177">
        <f t="shared" ca="1" si="67"/>
        <v>-430404.84178632224</v>
      </c>
      <c r="M73" s="177">
        <f t="shared" ca="1" si="68"/>
        <v>-389084.697589794</v>
      </c>
      <c r="N73" s="32">
        <f t="shared" ca="1" si="22"/>
        <v>-1.9422477279412798</v>
      </c>
      <c r="O73" s="31">
        <f t="shared" si="69"/>
        <v>19329475.922366478</v>
      </c>
      <c r="P73" s="179">
        <f t="shared" ca="1" si="70"/>
        <v>-2.0129086745677219E-2</v>
      </c>
      <c r="R73" s="39">
        <f t="shared" si="23"/>
        <v>65</v>
      </c>
      <c r="S73" s="29">
        <f t="shared" ca="1" si="71"/>
        <v>-389084.697589794</v>
      </c>
      <c r="T73" s="10">
        <f t="shared" si="72"/>
        <v>5601.4021549696145</v>
      </c>
      <c r="U73" s="47">
        <f t="shared" ca="1" si="73"/>
        <v>-69.462018049283344</v>
      </c>
      <c r="W73" s="68">
        <f t="shared" si="24"/>
        <v>65</v>
      </c>
      <c r="X73" s="29">
        <f t="shared" ca="1" si="74"/>
        <v>-389084.697589794</v>
      </c>
      <c r="Y73" s="29">
        <f t="shared" ca="1" si="75"/>
        <v>-31499471.343028199</v>
      </c>
      <c r="Z73" s="61">
        <f t="shared" si="76"/>
        <v>5601.4021549696145</v>
      </c>
      <c r="AA73" s="62">
        <f t="shared" ca="1" si="77"/>
        <v>-69.462018049283344</v>
      </c>
      <c r="AB73" s="57">
        <f t="shared" ca="1" si="78"/>
        <v>13872495.529650211</v>
      </c>
      <c r="AC73" s="58" t="str">
        <f t="shared" ca="1" si="79"/>
        <v>Payback is Later</v>
      </c>
      <c r="AD73" s="59">
        <f t="shared" ca="1" si="80"/>
        <v>65</v>
      </c>
      <c r="AF73" s="60">
        <f t="shared" si="27"/>
        <v>65</v>
      </c>
      <c r="AG73" s="84">
        <f t="shared" ca="1" si="52"/>
        <v>-430404.84178632224</v>
      </c>
      <c r="AH73" s="61">
        <f t="shared" si="53"/>
        <v>5601.4021549696145</v>
      </c>
      <c r="AI73" s="29">
        <f t="shared" ca="1" si="54"/>
        <v>-76.838768201005379</v>
      </c>
      <c r="AJ73" s="57">
        <f t="shared" ca="1" si="55"/>
        <v>41320.144196528243</v>
      </c>
      <c r="AK73" s="80">
        <f t="shared" ca="1" si="56"/>
        <v>-31467.400710227797</v>
      </c>
      <c r="AL73" s="57">
        <f t="shared" ca="1" si="57"/>
        <v>-5.6177720934230075</v>
      </c>
      <c r="AM73" s="185">
        <f ca="1">OFFSET('Combined IFRS17 Cashflows'!$E$25,0,COUNTA('Appraisal Calcs - IFRS 17'!$AF$9:AF73))</f>
        <v>61960.314315764939</v>
      </c>
      <c r="AN73" s="81">
        <f t="shared" ca="1" si="58"/>
        <v>11.061572192382792</v>
      </c>
      <c r="AP73" s="60">
        <f t="shared" si="31"/>
        <v>65</v>
      </c>
      <c r="AQ73" s="61">
        <f t="shared" si="59"/>
        <v>5601.4021549696145</v>
      </c>
      <c r="AR73" s="90">
        <f t="shared" ca="1" si="60"/>
        <v>-7.3767501517220362</v>
      </c>
      <c r="AS73" s="85">
        <f t="shared" ca="1" si="61"/>
        <v>-76.838768201005379</v>
      </c>
    </row>
    <row r="74" spans="2:45" x14ac:dyDescent="0.3">
      <c r="B74" s="39">
        <f t="shared" si="17"/>
        <v>66</v>
      </c>
      <c r="C74" s="176" cm="1">
        <f t="array" aca="1" ref="C74" ca="1">OFFSET('Results Tables'!$D$27,0,'Appraisal Calcs - IFRS 17'!B73:B73)</f>
        <v>-364487.92828155484</v>
      </c>
      <c r="D74" s="174"/>
      <c r="E74" s="123">
        <f ca="1">OFFSET('CAR Calcs'!$C$59,0,COUNTA('Appraisal Calcs - IFRS 17'!$B$9:B74))</f>
        <v>186164.81550758847</v>
      </c>
      <c r="F74" s="177">
        <f t="shared" ca="1" si="63"/>
        <v>35436.597944719979</v>
      </c>
      <c r="G74" s="123">
        <f ca="1">E74+SUM(D$8:D74)</f>
        <v>186164.81550758847</v>
      </c>
      <c r="H74" s="178">
        <f t="shared" ca="1" si="62"/>
        <v>0</v>
      </c>
      <c r="I74" s="177">
        <f t="shared" ca="1" si="64"/>
        <v>9308.2407753794232</v>
      </c>
      <c r="J74" s="177">
        <f t="shared" ca="1" si="65"/>
        <v>-355179.68750617543</v>
      </c>
      <c r="K74" s="177">
        <f t="shared" ca="1" si="66"/>
        <v>0</v>
      </c>
      <c r="L74" s="177">
        <f t="shared" ca="1" si="67"/>
        <v>-355179.68750617543</v>
      </c>
      <c r="M74" s="177">
        <f t="shared" ca="1" si="68"/>
        <v>-319743.08956145542</v>
      </c>
      <c r="N74" s="32">
        <f t="shared" ref="N74:N108" ca="1" si="81">IFERROR((L74/G74),0)</f>
        <v>-1.9078776327189364</v>
      </c>
      <c r="O74" s="31">
        <f t="shared" si="69"/>
        <v>25021640.079182737</v>
      </c>
      <c r="P74" s="179">
        <f t="shared" ca="1" si="70"/>
        <v>-1.2778662331869773E-2</v>
      </c>
      <c r="R74" s="39">
        <f t="shared" si="23"/>
        <v>66</v>
      </c>
      <c r="S74" s="29">
        <f t="shared" ca="1" si="71"/>
        <v>-319743.08956145542</v>
      </c>
      <c r="T74" s="10">
        <f t="shared" si="72"/>
        <v>6396.8012609753005</v>
      </c>
      <c r="U74" s="47">
        <f t="shared" ca="1" si="73"/>
        <v>-49.984840315752621</v>
      </c>
      <c r="W74" s="68">
        <f t="shared" si="24"/>
        <v>66</v>
      </c>
      <c r="X74" s="29">
        <f t="shared" ca="1" si="74"/>
        <v>-319743.08956145542</v>
      </c>
      <c r="Y74" s="29">
        <f t="shared" ca="1" si="75"/>
        <v>-31819214.432589654</v>
      </c>
      <c r="Z74" s="61">
        <f t="shared" si="76"/>
        <v>6396.8012609753005</v>
      </c>
      <c r="AA74" s="62">
        <f t="shared" ca="1" si="77"/>
        <v>-49.984840315752621</v>
      </c>
      <c r="AB74" s="57">
        <f t="shared" ca="1" si="78"/>
        <v>13872445.544809896</v>
      </c>
      <c r="AC74" s="58" t="str">
        <f t="shared" ca="1" si="79"/>
        <v>Payback is Later</v>
      </c>
      <c r="AD74" s="59">
        <f t="shared" ca="1" si="80"/>
        <v>66</v>
      </c>
      <c r="AF74" s="60">
        <f t="shared" ref="AF74:AF108" si="82">AF73+1</f>
        <v>66</v>
      </c>
      <c r="AG74" s="84">
        <f t="shared" ca="1" si="52"/>
        <v>-355179.68750617543</v>
      </c>
      <c r="AH74" s="61">
        <f t="shared" si="53"/>
        <v>6396.8012609753005</v>
      </c>
      <c r="AI74" s="29">
        <f t="shared" ca="1" si="54"/>
        <v>-55.524577521738152</v>
      </c>
      <c r="AJ74" s="57">
        <f t="shared" ca="1" si="55"/>
        <v>35436.597944719979</v>
      </c>
      <c r="AK74" s="80">
        <f t="shared" ca="1" si="56"/>
        <v>-26435.403802077559</v>
      </c>
      <c r="AL74" s="57">
        <f t="shared" ca="1" si="57"/>
        <v>-4.1325973285040023</v>
      </c>
      <c r="AM74" s="185">
        <f ca="1">OFFSET('Combined IFRS17 Cashflows'!$E$25,0,COUNTA('Appraisal Calcs - IFRS 17'!$AF$9:AF74))</f>
        <v>47357.557277355088</v>
      </c>
      <c r="AN74" s="81">
        <f t="shared" ca="1" si="58"/>
        <v>7.4033185251927973</v>
      </c>
      <c r="AP74" s="60">
        <f t="shared" ref="AP74:AP108" si="83">AP73+1</f>
        <v>66</v>
      </c>
      <c r="AQ74" s="61">
        <f t="shared" si="59"/>
        <v>6396.8012609753005</v>
      </c>
      <c r="AR74" s="90">
        <f t="shared" ca="1" si="60"/>
        <v>-5.5397372059855226</v>
      </c>
      <c r="AS74" s="85">
        <f t="shared" ca="1" si="61"/>
        <v>-55.524577521738152</v>
      </c>
    </row>
    <row r="75" spans="2:45" x14ac:dyDescent="0.3">
      <c r="B75" s="39">
        <f t="shared" si="17"/>
        <v>67</v>
      </c>
      <c r="C75" s="176" cm="1">
        <f t="array" aca="1" ref="C75" ca="1">OFFSET('Results Tables'!$D$27,0,'Appraisal Calcs - IFRS 17'!B74:B74)</f>
        <v>-300083.0393898476</v>
      </c>
      <c r="D75" s="174"/>
      <c r="E75" s="123">
        <f ca="1">OFFSET('CAR Calcs'!$C$59,0,COUNTA('Appraisal Calcs - IFRS 17'!$B$9:B75))</f>
        <v>156020.21799205948</v>
      </c>
      <c r="F75" s="177">
        <f t="shared" ca="1" si="63"/>
        <v>30144.597515528993</v>
      </c>
      <c r="G75" s="123">
        <f ca="1">E75+SUM(D$8:D75)</f>
        <v>156020.21799205948</v>
      </c>
      <c r="H75" s="178">
        <f t="shared" ca="1" si="62"/>
        <v>0</v>
      </c>
      <c r="I75" s="177">
        <f t="shared" ca="1" si="64"/>
        <v>7801.010899602974</v>
      </c>
      <c r="J75" s="177">
        <f t="shared" ca="1" si="65"/>
        <v>-292282.02849024464</v>
      </c>
      <c r="K75" s="177">
        <f t="shared" ca="1" si="66"/>
        <v>0</v>
      </c>
      <c r="L75" s="177">
        <f t="shared" ca="1" si="67"/>
        <v>-292282.02849024464</v>
      </c>
      <c r="M75" s="177">
        <f t="shared" ca="1" si="68"/>
        <v>-262137.43097471565</v>
      </c>
      <c r="N75" s="32">
        <f t="shared" ca="1" si="81"/>
        <v>-1.8733599545740931</v>
      </c>
      <c r="O75" s="31">
        <f t="shared" si="69"/>
        <v>32390038.652197123</v>
      </c>
      <c r="P75" s="179">
        <f t="shared" ca="1" si="70"/>
        <v>-8.0931496806637502E-3</v>
      </c>
      <c r="R75" s="39">
        <f t="shared" si="23"/>
        <v>67</v>
      </c>
      <c r="S75" s="29">
        <f t="shared" ca="1" si="71"/>
        <v>-262137.43097471565</v>
      </c>
      <c r="T75" s="10">
        <f t="shared" si="72"/>
        <v>7305.147040033793</v>
      </c>
      <c r="U75" s="47">
        <f t="shared" ca="1" si="73"/>
        <v>-35.883936290145229</v>
      </c>
      <c r="W75" s="68">
        <f t="shared" si="24"/>
        <v>67</v>
      </c>
      <c r="X75" s="29">
        <f t="shared" ca="1" si="74"/>
        <v>-262137.43097471565</v>
      </c>
      <c r="Y75" s="29">
        <f t="shared" ca="1" si="75"/>
        <v>-32081351.863564368</v>
      </c>
      <c r="Z75" s="61">
        <f t="shared" si="76"/>
        <v>7305.147040033793</v>
      </c>
      <c r="AA75" s="62">
        <f t="shared" ca="1" si="77"/>
        <v>-35.883936290145229</v>
      </c>
      <c r="AB75" s="57">
        <f t="shared" ca="1" si="78"/>
        <v>13872409.660873607</v>
      </c>
      <c r="AC75" s="58" t="str">
        <f t="shared" ca="1" si="79"/>
        <v>Payback is Later</v>
      </c>
      <c r="AD75" s="59">
        <f t="shared" ca="1" si="80"/>
        <v>67</v>
      </c>
      <c r="AF75" s="60">
        <f t="shared" si="82"/>
        <v>67</v>
      </c>
      <c r="AG75" s="84">
        <f t="shared" ca="1" si="52"/>
        <v>-292282.02849024464</v>
      </c>
      <c r="AH75" s="61">
        <f t="shared" si="53"/>
        <v>7305.147040033793</v>
      </c>
      <c r="AI75" s="29">
        <f t="shared" ca="1" si="54"/>
        <v>-40.010423731168672</v>
      </c>
      <c r="AJ75" s="57">
        <f t="shared" ca="1" si="55"/>
        <v>30144.597515528993</v>
      </c>
      <c r="AK75" s="80">
        <f t="shared" ca="1" si="56"/>
        <v>-22154.870954872444</v>
      </c>
      <c r="AL75" s="57">
        <f t="shared" ca="1" si="57"/>
        <v>-3.0327754983519069</v>
      </c>
      <c r="AM75" s="185">
        <f ca="1">OFFSET('Combined IFRS17 Cashflows'!$E$25,0,COUNTA('Appraisal Calcs - IFRS 17'!$AF$9:AF75))</f>
        <v>35585.227212415572</v>
      </c>
      <c r="AN75" s="81">
        <f t="shared" ca="1" si="58"/>
        <v>4.8712540647574638</v>
      </c>
      <c r="AP75" s="60">
        <f t="shared" si="83"/>
        <v>67</v>
      </c>
      <c r="AQ75" s="61">
        <f t="shared" si="59"/>
        <v>7305.147040033793</v>
      </c>
      <c r="AR75" s="90">
        <f t="shared" ca="1" si="60"/>
        <v>-4.1264874410234382</v>
      </c>
      <c r="AS75" s="85">
        <f t="shared" ca="1" si="61"/>
        <v>-40.010423731168672</v>
      </c>
    </row>
    <row r="76" spans="2:45" x14ac:dyDescent="0.3">
      <c r="B76" s="39">
        <f t="shared" si="17"/>
        <v>68</v>
      </c>
      <c r="C76" s="176" cm="1">
        <f t="array" aca="1" ref="C76" ca="1">OFFSET('Results Tables'!$D$27,0,'Appraisal Calcs - IFRS 17'!B75:B75)</f>
        <v>-242440.26601113868</v>
      </c>
      <c r="D76" s="174"/>
      <c r="E76" s="123">
        <f ca="1">OFFSET('CAR Calcs'!$C$59,0,COUNTA('Appraisal Calcs - IFRS 17'!$B$9:B76))</f>
        <v>130117.23138672349</v>
      </c>
      <c r="F76" s="177">
        <f t="shared" ca="1" si="63"/>
        <v>25902.986605335987</v>
      </c>
      <c r="G76" s="123">
        <f ca="1">E76+SUM(D$8:D76)</f>
        <v>130117.23138672349</v>
      </c>
      <c r="H76" s="178">
        <f t="shared" ca="1" si="62"/>
        <v>0</v>
      </c>
      <c r="I76" s="177">
        <f t="shared" ca="1" si="64"/>
        <v>6505.8615693361753</v>
      </c>
      <c r="J76" s="177">
        <f t="shared" ca="1" si="65"/>
        <v>-235934.4044418025</v>
      </c>
      <c r="K76" s="177">
        <f t="shared" ca="1" si="66"/>
        <v>0</v>
      </c>
      <c r="L76" s="177">
        <f t="shared" ca="1" si="67"/>
        <v>-235934.4044418025</v>
      </c>
      <c r="M76" s="177">
        <f t="shared" ca="1" si="68"/>
        <v>-210031.41783646651</v>
      </c>
      <c r="N76" s="32">
        <f t="shared" ca="1" si="81"/>
        <v>-1.8132448863792536</v>
      </c>
      <c r="O76" s="31">
        <f t="shared" si="69"/>
        <v>41928290.894235015</v>
      </c>
      <c r="P76" s="179">
        <f t="shared" ca="1" si="70"/>
        <v>-5.0093007217078111E-3</v>
      </c>
      <c r="R76" s="39">
        <f t="shared" si="23"/>
        <v>68</v>
      </c>
      <c r="S76" s="29">
        <f t="shared" ca="1" si="71"/>
        <v>-210031.41783646651</v>
      </c>
      <c r="T76" s="10">
        <f t="shared" si="72"/>
        <v>8342.4779197185908</v>
      </c>
      <c r="U76" s="47">
        <f t="shared" ca="1" si="73"/>
        <v>-25.176143090535302</v>
      </c>
      <c r="W76" s="68">
        <f t="shared" si="24"/>
        <v>68</v>
      </c>
      <c r="X76" s="29">
        <f t="shared" ca="1" si="74"/>
        <v>-210031.41783646651</v>
      </c>
      <c r="Y76" s="29">
        <f t="shared" ca="1" si="75"/>
        <v>-32291383.281400833</v>
      </c>
      <c r="Z76" s="61">
        <f t="shared" si="76"/>
        <v>8342.4779197185908</v>
      </c>
      <c r="AA76" s="62">
        <f t="shared" ca="1" si="77"/>
        <v>-25.176143090535302</v>
      </c>
      <c r="AB76" s="57">
        <f t="shared" ca="1" si="78"/>
        <v>13872384.484730516</v>
      </c>
      <c r="AC76" s="58" t="str">
        <f t="shared" ca="1" si="79"/>
        <v>Payback is Later</v>
      </c>
      <c r="AD76" s="59">
        <f t="shared" ca="1" si="80"/>
        <v>68</v>
      </c>
      <c r="AF76" s="60">
        <f t="shared" si="82"/>
        <v>68</v>
      </c>
      <c r="AG76" s="84">
        <f t="shared" ca="1" si="52"/>
        <v>-235934.4044418025</v>
      </c>
      <c r="AH76" s="61">
        <f t="shared" si="53"/>
        <v>8342.4779197185908</v>
      </c>
      <c r="AI76" s="29">
        <f t="shared" ca="1" si="54"/>
        <v>-28.281094263868432</v>
      </c>
      <c r="AJ76" s="57">
        <f t="shared" ca="1" si="55"/>
        <v>25902.986605335987</v>
      </c>
      <c r="AK76" s="80">
        <f t="shared" ca="1" si="56"/>
        <v>-18476.646856914733</v>
      </c>
      <c r="AL76" s="57">
        <f t="shared" ca="1" si="57"/>
        <v>-2.2147672471799589</v>
      </c>
      <c r="AM76" s="185">
        <f ca="1">OFFSET('Combined IFRS17 Cashflows'!$E$25,0,COUNTA('Appraisal Calcs - IFRS 17'!$AF$9:AF76))</f>
        <v>26170.731707203606</v>
      </c>
      <c r="AN76" s="81">
        <f t="shared" ca="1" si="58"/>
        <v>3.1370453669820919</v>
      </c>
      <c r="AP76" s="60">
        <f t="shared" si="83"/>
        <v>68</v>
      </c>
      <c r="AQ76" s="61">
        <f t="shared" si="59"/>
        <v>8342.4779197185908</v>
      </c>
      <c r="AR76" s="90">
        <f t="shared" ca="1" si="60"/>
        <v>-3.1049511733331325</v>
      </c>
      <c r="AS76" s="85">
        <f t="shared" ca="1" si="61"/>
        <v>-28.281094263868432</v>
      </c>
    </row>
    <row r="77" spans="2:45" x14ac:dyDescent="0.3">
      <c r="B77" s="39">
        <f t="shared" si="17"/>
        <v>69</v>
      </c>
      <c r="C77" s="176" cm="1">
        <f t="array" aca="1" ref="C77" ca="1">OFFSET('Results Tables'!$D$27,0,'Appraisal Calcs - IFRS 17'!B76:B76)</f>
        <v>-191827.60811549303</v>
      </c>
      <c r="D77" s="174"/>
      <c r="E77" s="123">
        <f ca="1">OFFSET('CAR Calcs'!$C$59,0,COUNTA('Appraisal Calcs - IFRS 17'!$B$9:B77))</f>
        <v>107860.61837226467</v>
      </c>
      <c r="F77" s="177">
        <f t="shared" ca="1" si="63"/>
        <v>22256.613014458824</v>
      </c>
      <c r="G77" s="123">
        <f ca="1">E77+SUM(D$8:D77)</f>
        <v>107860.61837226467</v>
      </c>
      <c r="H77" s="178">
        <f t="shared" ca="1" si="62"/>
        <v>0</v>
      </c>
      <c r="I77" s="177">
        <f t="shared" ca="1" si="64"/>
        <v>5393.0309186132336</v>
      </c>
      <c r="J77" s="177">
        <f t="shared" ca="1" si="65"/>
        <v>-186434.57719687981</v>
      </c>
      <c r="K77" s="177">
        <f t="shared" ca="1" si="66"/>
        <v>0</v>
      </c>
      <c r="L77" s="177">
        <f t="shared" ca="1" si="67"/>
        <v>-186434.57719687981</v>
      </c>
      <c r="M77" s="177">
        <f t="shared" ca="1" si="68"/>
        <v>-164177.96418242098</v>
      </c>
      <c r="N77" s="32">
        <f t="shared" ca="1" si="81"/>
        <v>-1.7284768065525915</v>
      </c>
      <c r="O77" s="31">
        <f t="shared" si="69"/>
        <v>54275377.56866312</v>
      </c>
      <c r="P77" s="179">
        <f t="shared" ca="1" si="70"/>
        <v>-3.024906901379386E-3</v>
      </c>
      <c r="R77" s="39">
        <f t="shared" si="23"/>
        <v>69</v>
      </c>
      <c r="S77" s="29">
        <f t="shared" ca="1" si="71"/>
        <v>-164177.96418242098</v>
      </c>
      <c r="T77" s="10">
        <f t="shared" si="72"/>
        <v>9527.109784318629</v>
      </c>
      <c r="U77" s="47">
        <f t="shared" ca="1" si="73"/>
        <v>-17.232714632159858</v>
      </c>
      <c r="W77" s="68">
        <f t="shared" si="24"/>
        <v>69</v>
      </c>
      <c r="X77" s="29">
        <f t="shared" ca="1" si="74"/>
        <v>-164177.96418242098</v>
      </c>
      <c r="Y77" s="29">
        <f t="shared" ca="1" si="75"/>
        <v>-32455561.245583255</v>
      </c>
      <c r="Z77" s="61">
        <f t="shared" si="76"/>
        <v>9527.109784318629</v>
      </c>
      <c r="AA77" s="62">
        <f t="shared" ca="1" si="77"/>
        <v>-17.232714632159858</v>
      </c>
      <c r="AB77" s="57">
        <f t="shared" ca="1" si="78"/>
        <v>13872367.252015883</v>
      </c>
      <c r="AC77" s="58" t="str">
        <f t="shared" ca="1" si="79"/>
        <v>Payback is Later</v>
      </c>
      <c r="AD77" s="59">
        <f t="shared" ca="1" si="80"/>
        <v>69</v>
      </c>
      <c r="AF77" s="60">
        <f t="shared" si="82"/>
        <v>69</v>
      </c>
      <c r="AG77" s="84">
        <f t="shared" ca="1" si="52"/>
        <v>-186434.57719687981</v>
      </c>
      <c r="AH77" s="61">
        <f t="shared" si="53"/>
        <v>9527.109784318629</v>
      </c>
      <c r="AI77" s="29">
        <f t="shared" ca="1" si="54"/>
        <v>-19.568849464057422</v>
      </c>
      <c r="AJ77" s="57">
        <f t="shared" ca="1" si="55"/>
        <v>22256.613014458824</v>
      </c>
      <c r="AK77" s="80">
        <f t="shared" ca="1" si="56"/>
        <v>-15316.207808861582</v>
      </c>
      <c r="AL77" s="57">
        <f t="shared" ca="1" si="57"/>
        <v>-1.6076447270579011</v>
      </c>
      <c r="AM77" s="185">
        <f ca="1">OFFSET('Combined IFRS17 Cashflows'!$E$25,0,COUNTA('Appraisal Calcs - IFRS 17'!$AF$9:AF77))</f>
        <v>18812.601881560815</v>
      </c>
      <c r="AN77" s="81">
        <f t="shared" ca="1" si="58"/>
        <v>1.9746389311610391</v>
      </c>
      <c r="AP77" s="60">
        <f t="shared" si="83"/>
        <v>69</v>
      </c>
      <c r="AQ77" s="61">
        <f t="shared" si="59"/>
        <v>9527.109784318629</v>
      </c>
      <c r="AR77" s="90">
        <f t="shared" ca="1" si="60"/>
        <v>-2.3361348318975628</v>
      </c>
      <c r="AS77" s="85">
        <f t="shared" ca="1" si="61"/>
        <v>-19.568849464057422</v>
      </c>
    </row>
    <row r="78" spans="2:45" x14ac:dyDescent="0.3">
      <c r="B78" s="39">
        <f t="shared" si="17"/>
        <v>70</v>
      </c>
      <c r="C78" s="176" cm="1">
        <f t="array" aca="1" ref="C78" ca="1">OFFSET('Results Tables'!$D$27,0,'Appraisal Calcs - IFRS 17'!B77:B77)</f>
        <v>-147699.5204866397</v>
      </c>
      <c r="D78" s="174"/>
      <c r="E78" s="123">
        <f ca="1">OFFSET('CAR Calcs'!$C$59,0,COUNTA('Appraisal Calcs - IFRS 17'!$B$9:B78))</f>
        <v>88789.787091525301</v>
      </c>
      <c r="F78" s="177">
        <f t="shared" ca="1" si="63"/>
        <v>19070.831280739367</v>
      </c>
      <c r="G78" s="123">
        <f ca="1">E78+SUM(D$8:D78)</f>
        <v>88789.787091525301</v>
      </c>
      <c r="H78" s="178">
        <f t="shared" ca="1" si="62"/>
        <v>0</v>
      </c>
      <c r="I78" s="177">
        <f t="shared" ca="1" si="64"/>
        <v>4439.4893545762652</v>
      </c>
      <c r="J78" s="177">
        <f t="shared" ca="1" si="65"/>
        <v>-143260.03113206342</v>
      </c>
      <c r="K78" s="177">
        <f t="shared" ca="1" si="66"/>
        <v>0</v>
      </c>
      <c r="L78" s="177">
        <f t="shared" ca="1" si="67"/>
        <v>-143260.03113206342</v>
      </c>
      <c r="M78" s="177">
        <f t="shared" ca="1" si="68"/>
        <v>-124189.19985132405</v>
      </c>
      <c r="N78" s="32">
        <f t="shared" ca="1" si="81"/>
        <v>-1.6134742049149156</v>
      </c>
      <c r="O78" s="31">
        <f t="shared" si="69"/>
        <v>70258447.158073366</v>
      </c>
      <c r="P78" s="179">
        <f t="shared" ca="1" si="70"/>
        <v>-1.7676052471229935E-3</v>
      </c>
      <c r="R78" s="39">
        <f t="shared" si="23"/>
        <v>70</v>
      </c>
      <c r="S78" s="29">
        <f t="shared" ca="1" si="71"/>
        <v>-124189.19985132405</v>
      </c>
      <c r="T78" s="10">
        <f t="shared" si="72"/>
        <v>10879.959373691874</v>
      </c>
      <c r="U78" s="47">
        <f t="shared" ca="1" si="73"/>
        <v>-11.414491137863799</v>
      </c>
      <c r="W78" s="68">
        <f t="shared" si="24"/>
        <v>70</v>
      </c>
      <c r="X78" s="29">
        <f t="shared" ca="1" si="74"/>
        <v>-124189.19985132405</v>
      </c>
      <c r="Y78" s="29">
        <f t="shared" ca="1" si="75"/>
        <v>-32579750.445434578</v>
      </c>
      <c r="Z78" s="61">
        <f t="shared" si="76"/>
        <v>10879.959373691874</v>
      </c>
      <c r="AA78" s="62">
        <f t="shared" ca="1" si="77"/>
        <v>-11.414491137863799</v>
      </c>
      <c r="AB78" s="57">
        <f t="shared" ca="1" si="78"/>
        <v>13872355.837524746</v>
      </c>
      <c r="AC78" s="58" t="str">
        <f t="shared" ca="1" si="79"/>
        <v>Payback is Later</v>
      </c>
      <c r="AD78" s="59">
        <f t="shared" ca="1" si="80"/>
        <v>70</v>
      </c>
      <c r="AF78" s="60">
        <f t="shared" si="82"/>
        <v>70</v>
      </c>
      <c r="AG78" s="84">
        <f t="shared" ca="1" si="52"/>
        <v>-143260.03113206342</v>
      </c>
      <c r="AH78" s="61">
        <f t="shared" si="53"/>
        <v>10879.959373691874</v>
      </c>
      <c r="AI78" s="29">
        <f t="shared" ca="1" si="54"/>
        <v>-13.167331440452916</v>
      </c>
      <c r="AJ78" s="57">
        <f t="shared" ca="1" si="55"/>
        <v>19070.831280739367</v>
      </c>
      <c r="AK78" s="80">
        <f t="shared" ca="1" si="56"/>
        <v>-12608.149766996592</v>
      </c>
      <c r="AL78" s="57">
        <f t="shared" ca="1" si="57"/>
        <v>-1.1588416219166722</v>
      </c>
      <c r="AM78" s="185">
        <f ca="1">OFFSET('Combined IFRS17 Cashflows'!$E$25,0,COUNTA('Appraisal Calcs - IFRS 17'!$AF$9:AF78))</f>
        <v>13210.27350007126</v>
      </c>
      <c r="AN78" s="81">
        <f t="shared" ca="1" si="58"/>
        <v>1.2141840834455842</v>
      </c>
      <c r="AP78" s="60">
        <f t="shared" si="83"/>
        <v>70</v>
      </c>
      <c r="AQ78" s="61">
        <f t="shared" si="59"/>
        <v>10879.959373691874</v>
      </c>
      <c r="AR78" s="90">
        <f t="shared" ca="1" si="60"/>
        <v>-1.7528403025891173</v>
      </c>
      <c r="AS78" s="85">
        <f t="shared" ca="1" si="61"/>
        <v>-13.167331440452916</v>
      </c>
    </row>
    <row r="79" spans="2:45" x14ac:dyDescent="0.3">
      <c r="B79" s="39">
        <f t="shared" si="17"/>
        <v>71</v>
      </c>
      <c r="C79" s="176" cm="1">
        <f t="array" aca="1" ref="C79" ca="1">OFFSET('Results Tables'!$D$27,0,'Appraisal Calcs - IFRS 17'!B78:B78)</f>
        <v>-108740.30323313872</v>
      </c>
      <c r="D79" s="174"/>
      <c r="E79" s="123">
        <f ca="1">OFFSET('CAR Calcs'!$C$59,0,COUNTA('Appraisal Calcs - IFRS 17'!$B$9:B79))</f>
        <v>72193.996294866447</v>
      </c>
      <c r="F79" s="177">
        <f t="shared" ca="1" si="63"/>
        <v>16595.790796658854</v>
      </c>
      <c r="G79" s="123">
        <f ca="1">E79+SUM(D$8:D79)</f>
        <v>72193.996294866447</v>
      </c>
      <c r="H79" s="178">
        <f t="shared" ca="1" si="62"/>
        <v>0</v>
      </c>
      <c r="I79" s="177">
        <f t="shared" ca="1" si="64"/>
        <v>3609.6998147433223</v>
      </c>
      <c r="J79" s="177">
        <f t="shared" ca="1" si="65"/>
        <v>-105130.6034183954</v>
      </c>
      <c r="K79" s="177">
        <f t="shared" ca="1" si="66"/>
        <v>0</v>
      </c>
      <c r="L79" s="177">
        <f t="shared" ca="1" si="67"/>
        <v>-105130.6034183954</v>
      </c>
      <c r="M79" s="177">
        <f t="shared" ca="1" si="68"/>
        <v>-88534.81262173655</v>
      </c>
      <c r="N79" s="32">
        <f t="shared" ca="1" si="81"/>
        <v>-1.4562236309651555</v>
      </c>
      <c r="O79" s="31">
        <f t="shared" si="69"/>
        <v>90948227.689784363</v>
      </c>
      <c r="P79" s="179">
        <f t="shared" ca="1" si="70"/>
        <v>-9.7346385818226455E-4</v>
      </c>
      <c r="R79" s="39">
        <f t="shared" si="23"/>
        <v>71</v>
      </c>
      <c r="S79" s="29">
        <f t="shared" ca="1" si="71"/>
        <v>-88534.81262173655</v>
      </c>
      <c r="T79" s="10">
        <f t="shared" si="72"/>
        <v>12424.913604756121</v>
      </c>
      <c r="U79" s="47">
        <f t="shared" ca="1" si="73"/>
        <v>-7.1255877858053189</v>
      </c>
      <c r="W79" s="68">
        <f t="shared" si="24"/>
        <v>71</v>
      </c>
      <c r="X79" s="29">
        <f t="shared" ca="1" si="74"/>
        <v>-88534.81262173655</v>
      </c>
      <c r="Y79" s="29">
        <f t="shared" ca="1" si="75"/>
        <v>-32668285.258056313</v>
      </c>
      <c r="Z79" s="61">
        <f t="shared" si="76"/>
        <v>12424.913604756121</v>
      </c>
      <c r="AA79" s="62">
        <f t="shared" ca="1" si="77"/>
        <v>-7.1255877858053189</v>
      </c>
      <c r="AB79" s="57">
        <f t="shared" ca="1" si="78"/>
        <v>13872348.71193696</v>
      </c>
      <c r="AC79" s="58" t="str">
        <f t="shared" ca="1" si="79"/>
        <v>Payback is Later</v>
      </c>
      <c r="AD79" s="59">
        <f t="shared" ca="1" si="80"/>
        <v>71</v>
      </c>
      <c r="AF79" s="60">
        <f t="shared" si="82"/>
        <v>71</v>
      </c>
      <c r="AG79" s="84">
        <f t="shared" ca="1" si="52"/>
        <v>-105130.6034183954</v>
      </c>
      <c r="AH79" s="61">
        <f t="shared" si="53"/>
        <v>12424.913604756121</v>
      </c>
      <c r="AI79" s="29">
        <f t="shared" ca="1" si="54"/>
        <v>-8.4612744009867846</v>
      </c>
      <c r="AJ79" s="57">
        <f t="shared" ca="1" si="55"/>
        <v>16595.790796658854</v>
      </c>
      <c r="AK79" s="80">
        <f t="shared" ca="1" si="56"/>
        <v>-10251.547473871035</v>
      </c>
      <c r="AL79" s="57">
        <f t="shared" ca="1" si="57"/>
        <v>-0.82507998043116004</v>
      </c>
      <c r="AM79" s="185">
        <f ca="1">OFFSET('Combined IFRS17 Cashflows'!$E$25,0,COUNTA('Appraisal Calcs - IFRS 17'!$AF$9:AF79))</f>
        <v>9062.7385827206781</v>
      </c>
      <c r="AN79" s="81">
        <f t="shared" ca="1" si="58"/>
        <v>0.72940053114345693</v>
      </c>
      <c r="AP79" s="60">
        <f t="shared" si="83"/>
        <v>71</v>
      </c>
      <c r="AQ79" s="61">
        <f t="shared" si="59"/>
        <v>12424.913604756121</v>
      </c>
      <c r="AR79" s="90">
        <f t="shared" ca="1" si="60"/>
        <v>-1.3356866151814664</v>
      </c>
      <c r="AS79" s="85">
        <f t="shared" ca="1" si="61"/>
        <v>-8.4612744009867846</v>
      </c>
    </row>
    <row r="80" spans="2:45" x14ac:dyDescent="0.3">
      <c r="B80" s="39">
        <f t="shared" si="17"/>
        <v>72</v>
      </c>
      <c r="C80" s="176" cm="1">
        <f t="array" aca="1" ref="C80" ca="1">OFFSET('Results Tables'!$D$27,0,'Appraisal Calcs - IFRS 17'!B79:B79)</f>
        <v>-81007.36641997259</v>
      </c>
      <c r="D80" s="174"/>
      <c r="E80" s="123">
        <f ca="1">OFFSET('CAR Calcs'!$C$59,0,COUNTA('Appraisal Calcs - IFRS 17'!$B$9:B80))</f>
        <v>58726.755487874318</v>
      </c>
      <c r="F80" s="177">
        <f t="shared" ca="1" si="63"/>
        <v>13467.240806992129</v>
      </c>
      <c r="G80" s="123">
        <f ca="1">E80+SUM(D$8:D80)</f>
        <v>58726.755487874318</v>
      </c>
      <c r="H80" s="178">
        <f t="shared" ca="1" si="62"/>
        <v>0</v>
      </c>
      <c r="I80" s="177">
        <f t="shared" ca="1" si="64"/>
        <v>2936.3377743937162</v>
      </c>
      <c r="J80" s="177">
        <f t="shared" ca="1" si="65"/>
        <v>-78071.028645578874</v>
      </c>
      <c r="K80" s="177">
        <f t="shared" ca="1" si="66"/>
        <v>0</v>
      </c>
      <c r="L80" s="177">
        <f t="shared" ca="1" si="67"/>
        <v>-78071.028645578874</v>
      </c>
      <c r="M80" s="177">
        <f t="shared" ca="1" si="68"/>
        <v>-64603.787838586744</v>
      </c>
      <c r="N80" s="32">
        <f t="shared" ca="1" si="81"/>
        <v>-1.329394549332777</v>
      </c>
      <c r="O80" s="31">
        <f t="shared" si="69"/>
        <v>117730756.29330036</v>
      </c>
      <c r="P80" s="179">
        <f t="shared" ca="1" si="70"/>
        <v>-5.4874180607181839E-4</v>
      </c>
      <c r="R80" s="39">
        <f t="shared" si="23"/>
        <v>72</v>
      </c>
      <c r="S80" s="29">
        <f t="shared" ca="1" si="71"/>
        <v>-64603.787838586744</v>
      </c>
      <c r="T80" s="10">
        <f t="shared" si="72"/>
        <v>14189.251336631487</v>
      </c>
      <c r="U80" s="47">
        <f t="shared" ca="1" si="73"/>
        <v>-4.5530089154036801</v>
      </c>
      <c r="W80" s="68">
        <f t="shared" si="24"/>
        <v>72</v>
      </c>
      <c r="X80" s="29">
        <f t="shared" ca="1" si="74"/>
        <v>-64603.787838586744</v>
      </c>
      <c r="Y80" s="29">
        <f t="shared" ca="1" si="75"/>
        <v>-32732889.045894898</v>
      </c>
      <c r="Z80" s="61">
        <f t="shared" si="76"/>
        <v>14189.251336631487</v>
      </c>
      <c r="AA80" s="62">
        <f t="shared" ca="1" si="77"/>
        <v>-4.5530089154036801</v>
      </c>
      <c r="AB80" s="57">
        <f t="shared" ca="1" si="78"/>
        <v>13872344.158928044</v>
      </c>
      <c r="AC80" s="58" t="str">
        <f t="shared" ca="1" si="79"/>
        <v>Payback is Later</v>
      </c>
      <c r="AD80" s="59">
        <f t="shared" ca="1" si="80"/>
        <v>72</v>
      </c>
      <c r="AF80" s="60">
        <f t="shared" si="82"/>
        <v>72</v>
      </c>
      <c r="AG80" s="84">
        <f t="shared" ca="1" si="52"/>
        <v>-78071.028645578874</v>
      </c>
      <c r="AH80" s="61">
        <f t="shared" si="53"/>
        <v>14189.251336631487</v>
      </c>
      <c r="AI80" s="29">
        <f t="shared" ca="1" si="54"/>
        <v>-5.5021245866600355</v>
      </c>
      <c r="AJ80" s="57">
        <f t="shared" ca="1" si="55"/>
        <v>13467.240806992129</v>
      </c>
      <c r="AK80" s="80">
        <f t="shared" ca="1" si="56"/>
        <v>-8339.199279278153</v>
      </c>
      <c r="AL80" s="57">
        <f t="shared" ca="1" si="57"/>
        <v>-0.58771242269487278</v>
      </c>
      <c r="AM80" s="185">
        <f ca="1">OFFSET('Combined IFRS17 Cashflows'!$E$25,0,COUNTA('Appraisal Calcs - IFRS 17'!$AF$9:AF80))</f>
        <v>6150.2336045755601</v>
      </c>
      <c r="AN80" s="81">
        <f t="shared" ca="1" si="58"/>
        <v>0.43344313654504757</v>
      </c>
      <c r="AP80" s="60">
        <f t="shared" si="83"/>
        <v>72</v>
      </c>
      <c r="AQ80" s="61">
        <f t="shared" si="59"/>
        <v>14189.251336631487</v>
      </c>
      <c r="AR80" s="90">
        <f t="shared" ca="1" si="60"/>
        <v>-0.94911567125635521</v>
      </c>
      <c r="AS80" s="85">
        <f t="shared" ca="1" si="61"/>
        <v>-5.5021245866600355</v>
      </c>
    </row>
    <row r="81" spans="2:45" x14ac:dyDescent="0.3">
      <c r="B81" s="39">
        <f t="shared" si="17"/>
        <v>73</v>
      </c>
      <c r="C81" s="176" cm="1">
        <f t="array" aca="1" ref="C81" ca="1">OFFSET('Results Tables'!$D$27,0,'Appraisal Calcs - IFRS 17'!B80:B80)</f>
        <v>-59453.290232426756</v>
      </c>
      <c r="D81" s="174"/>
      <c r="E81" s="123">
        <f ca="1">OFFSET('CAR Calcs'!$C$59,0,COUNTA('Appraisal Calcs - IFRS 17'!$B$9:B81))</f>
        <v>47492.073427021736</v>
      </c>
      <c r="F81" s="177">
        <f t="shared" ca="1" si="63"/>
        <v>11234.682060852581</v>
      </c>
      <c r="G81" s="123">
        <f ca="1">E81+SUM(D$8:D81)</f>
        <v>47492.073427021736</v>
      </c>
      <c r="H81" s="178">
        <f t="shared" ca="1" si="62"/>
        <v>0</v>
      </c>
      <c r="I81" s="177">
        <f t="shared" ca="1" si="64"/>
        <v>2374.6036713510871</v>
      </c>
      <c r="J81" s="177">
        <f t="shared" ca="1" si="65"/>
        <v>-57078.686561075672</v>
      </c>
      <c r="K81" s="177">
        <f t="shared" ca="1" si="66"/>
        <v>0</v>
      </c>
      <c r="L81" s="177">
        <f t="shared" ca="1" si="67"/>
        <v>-57078.686561075672</v>
      </c>
      <c r="M81" s="177">
        <f t="shared" ca="1" si="68"/>
        <v>-45844.004500223091</v>
      </c>
      <c r="N81" s="32">
        <f t="shared" ca="1" si="81"/>
        <v>-1.2018571193524561</v>
      </c>
      <c r="O81" s="31">
        <f t="shared" si="69"/>
        <v>152400231.75239235</v>
      </c>
      <c r="P81" s="179">
        <f t="shared" ca="1" si="70"/>
        <v>-3.0081322038083737E-4</v>
      </c>
      <c r="R81" s="39">
        <f t="shared" si="23"/>
        <v>73</v>
      </c>
      <c r="S81" s="29">
        <f t="shared" ca="1" si="71"/>
        <v>-45844.004500223091</v>
      </c>
      <c r="T81" s="10">
        <f t="shared" si="72"/>
        <v>16204.125026433157</v>
      </c>
      <c r="U81" s="47">
        <f t="shared" ca="1" si="73"/>
        <v>-2.8291564293313929</v>
      </c>
      <c r="W81" s="68">
        <f t="shared" si="24"/>
        <v>73</v>
      </c>
      <c r="X81" s="29">
        <f t="shared" ca="1" si="74"/>
        <v>-45844.004500223091</v>
      </c>
      <c r="Y81" s="29">
        <f t="shared" ca="1" si="75"/>
        <v>-32778733.05039512</v>
      </c>
      <c r="Z81" s="61">
        <f t="shared" si="76"/>
        <v>16204.125026433157</v>
      </c>
      <c r="AA81" s="62">
        <f t="shared" ca="1" si="77"/>
        <v>-2.8291564293313929</v>
      </c>
      <c r="AB81" s="57">
        <f t="shared" ca="1" si="78"/>
        <v>13872341.329771616</v>
      </c>
      <c r="AC81" s="58" t="str">
        <f t="shared" ca="1" si="79"/>
        <v>Payback is Later</v>
      </c>
      <c r="AD81" s="59">
        <f t="shared" ca="1" si="80"/>
        <v>73</v>
      </c>
      <c r="AF81" s="60">
        <f t="shared" si="82"/>
        <v>73</v>
      </c>
      <c r="AG81" s="84">
        <f t="shared" ca="1" si="52"/>
        <v>-57078.686561075672</v>
      </c>
      <c r="AH81" s="61">
        <f t="shared" si="53"/>
        <v>16204.125026433157</v>
      </c>
      <c r="AI81" s="29">
        <f t="shared" ca="1" si="54"/>
        <v>-3.5224787804318614</v>
      </c>
      <c r="AJ81" s="57">
        <f t="shared" ca="1" si="55"/>
        <v>11234.682060852581</v>
      </c>
      <c r="AK81" s="80">
        <f t="shared" ca="1" si="56"/>
        <v>-6743.8744266370859</v>
      </c>
      <c r="AL81" s="57">
        <f t="shared" ca="1" si="57"/>
        <v>-0.41618257176096002</v>
      </c>
      <c r="AM81" s="185">
        <f ca="1">OFFSET('Combined IFRS17 Cashflows'!$E$25,0,COUNTA('Appraisal Calcs - IFRS 17'!$AF$9:AF81))</f>
        <v>4095.8954144594013</v>
      </c>
      <c r="AN81" s="81">
        <f t="shared" ca="1" si="58"/>
        <v>0.25276868746556369</v>
      </c>
      <c r="AP81" s="60">
        <f t="shared" si="83"/>
        <v>73</v>
      </c>
      <c r="AQ81" s="61">
        <f t="shared" si="59"/>
        <v>16204.125026433157</v>
      </c>
      <c r="AR81" s="90">
        <f t="shared" ca="1" si="60"/>
        <v>-0.69332235110046869</v>
      </c>
      <c r="AS81" s="85">
        <f t="shared" ca="1" si="61"/>
        <v>-3.5224787804318614</v>
      </c>
    </row>
    <row r="82" spans="2:45" x14ac:dyDescent="0.3">
      <c r="B82" s="39">
        <f t="shared" si="17"/>
        <v>74</v>
      </c>
      <c r="C82" s="176" cm="1">
        <f t="array" aca="1" ref="C82" ca="1">OFFSET('Results Tables'!$D$27,0,'Appraisal Calcs - IFRS 17'!B81:B81)</f>
        <v>-43011.466042423941</v>
      </c>
      <c r="D82" s="174"/>
      <c r="E82" s="123">
        <f ca="1">OFFSET('CAR Calcs'!$C$59,0,COUNTA('Appraisal Calcs - IFRS 17'!$B$9:B82))</f>
        <v>38144.029645574134</v>
      </c>
      <c r="F82" s="177">
        <f t="shared" ca="1" si="63"/>
        <v>9348.0437814476027</v>
      </c>
      <c r="G82" s="123">
        <f ca="1">E82+SUM(D$8:D82)</f>
        <v>38144.029645574134</v>
      </c>
      <c r="H82" s="178">
        <f t="shared" ca="1" si="62"/>
        <v>0</v>
      </c>
      <c r="I82" s="177">
        <f t="shared" ca="1" si="64"/>
        <v>1907.2014822787069</v>
      </c>
      <c r="J82" s="177">
        <f t="shared" ca="1" si="65"/>
        <v>-41104.264560145231</v>
      </c>
      <c r="K82" s="177">
        <f t="shared" ca="1" si="66"/>
        <v>0</v>
      </c>
      <c r="L82" s="177">
        <f t="shared" ca="1" si="67"/>
        <v>-41104.264560145231</v>
      </c>
      <c r="M82" s="177">
        <f t="shared" ca="1" si="68"/>
        <v>-31756.220778697629</v>
      </c>
      <c r="N82" s="32">
        <f t="shared" ca="1" si="81"/>
        <v>-1.0776067694492937</v>
      </c>
      <c r="O82" s="31">
        <f t="shared" si="69"/>
        <v>197279210.37320811</v>
      </c>
      <c r="P82" s="179">
        <f t="shared" ca="1" si="70"/>
        <v>-1.6097094427041739E-4</v>
      </c>
      <c r="R82" s="39">
        <f t="shared" si="23"/>
        <v>74</v>
      </c>
      <c r="S82" s="29">
        <f t="shared" ca="1" si="71"/>
        <v>-31756.220778697629</v>
      </c>
      <c r="T82" s="10">
        <f t="shared" si="72"/>
        <v>18505.110780186664</v>
      </c>
      <c r="U82" s="47">
        <f t="shared" ca="1" si="73"/>
        <v>-1.7160783934727302</v>
      </c>
      <c r="W82" s="68">
        <f t="shared" si="24"/>
        <v>74</v>
      </c>
      <c r="X82" s="29">
        <f t="shared" ca="1" si="74"/>
        <v>-31756.220778697629</v>
      </c>
      <c r="Y82" s="29">
        <f t="shared" ca="1" si="75"/>
        <v>-32810489.271173816</v>
      </c>
      <c r="Z82" s="61">
        <f t="shared" si="76"/>
        <v>18505.110780186664</v>
      </c>
      <c r="AA82" s="62">
        <f t="shared" ca="1" si="77"/>
        <v>-1.7160783934727302</v>
      </c>
      <c r="AB82" s="57">
        <f t="shared" ca="1" si="78"/>
        <v>13872339.613693222</v>
      </c>
      <c r="AC82" s="58" t="str">
        <f t="shared" ca="1" si="79"/>
        <v>Payback is Later</v>
      </c>
      <c r="AD82" s="59">
        <f t="shared" ca="1" si="80"/>
        <v>74</v>
      </c>
      <c r="AF82" s="60">
        <f t="shared" si="82"/>
        <v>74</v>
      </c>
      <c r="AG82" s="84">
        <f t="shared" ca="1" si="52"/>
        <v>-41104.264560145231</v>
      </c>
      <c r="AH82" s="61">
        <f t="shared" si="53"/>
        <v>18505.110780186664</v>
      </c>
      <c r="AI82" s="29">
        <f t="shared" ca="1" si="54"/>
        <v>-2.221238502617092</v>
      </c>
      <c r="AJ82" s="57">
        <f t="shared" ca="1" si="55"/>
        <v>9348.0437814476027</v>
      </c>
      <c r="AK82" s="80">
        <f t="shared" ca="1" si="56"/>
        <v>-5416.4522096715264</v>
      </c>
      <c r="AL82" s="57">
        <f t="shared" ca="1" si="57"/>
        <v>-0.29270033959866354</v>
      </c>
      <c r="AM82" s="185">
        <f ca="1">OFFSET('Combined IFRS17 Cashflows'!$E$25,0,COUNTA('Appraisal Calcs - IFRS 17'!$AF$9:AF82))</f>
        <v>2667.2136772605218</v>
      </c>
      <c r="AN82" s="81">
        <f t="shared" ca="1" si="58"/>
        <v>0.14413389408704838</v>
      </c>
      <c r="AP82" s="60">
        <f t="shared" si="83"/>
        <v>74</v>
      </c>
      <c r="AQ82" s="61">
        <f t="shared" si="59"/>
        <v>18505.110780186664</v>
      </c>
      <c r="AR82" s="90">
        <f t="shared" ca="1" si="60"/>
        <v>-0.50516010914436182</v>
      </c>
      <c r="AS82" s="85">
        <f t="shared" ca="1" si="61"/>
        <v>-2.221238502617092</v>
      </c>
    </row>
    <row r="83" spans="2:45" x14ac:dyDescent="0.3">
      <c r="B83" s="39">
        <f t="shared" si="17"/>
        <v>75</v>
      </c>
      <c r="C83" s="176" cm="1">
        <f t="array" aca="1" ref="C83" ca="1">OFFSET('Results Tables'!$D$27,0,'Appraisal Calcs - IFRS 17'!B82:B82)</f>
        <v>-30604.243546159803</v>
      </c>
      <c r="D83" s="174"/>
      <c r="E83" s="123">
        <f ca="1">OFFSET('CAR Calcs'!$C$59,0,COUNTA('Appraisal Calcs - IFRS 17'!$B$9:B83))</f>
        <v>30393.680974190393</v>
      </c>
      <c r="F83" s="177">
        <f t="shared" ca="1" si="63"/>
        <v>7750.348671383741</v>
      </c>
      <c r="G83" s="123">
        <f ca="1">E83+SUM(D$8:D83)</f>
        <v>30393.680974190393</v>
      </c>
      <c r="H83" s="178">
        <f t="shared" ca="1" si="62"/>
        <v>0</v>
      </c>
      <c r="I83" s="177">
        <f t="shared" ca="1" si="64"/>
        <v>1519.6840487095196</v>
      </c>
      <c r="J83" s="177">
        <f t="shared" ca="1" si="65"/>
        <v>-29084.559497450282</v>
      </c>
      <c r="K83" s="177">
        <f t="shared" ca="1" si="66"/>
        <v>0</v>
      </c>
      <c r="L83" s="177">
        <f t="shared" ca="1" si="67"/>
        <v>-29084.559497450282</v>
      </c>
      <c r="M83" s="177">
        <f t="shared" ca="1" si="68"/>
        <v>-21334.210826066541</v>
      </c>
      <c r="N83" s="32">
        <f t="shared" ca="1" si="81"/>
        <v>-0.9569278404332866</v>
      </c>
      <c r="O83" s="31">
        <f t="shared" si="69"/>
        <v>255374197.25653115</v>
      </c>
      <c r="P83" s="179">
        <f t="shared" ca="1" si="70"/>
        <v>-8.3540980472023479E-5</v>
      </c>
      <c r="R83" s="39">
        <f t="shared" si="23"/>
        <v>75</v>
      </c>
      <c r="S83" s="29">
        <f t="shared" ca="1" si="71"/>
        <v>-21334.210826066541</v>
      </c>
      <c r="T83" s="10">
        <f t="shared" si="72"/>
        <v>21132.836510973171</v>
      </c>
      <c r="U83" s="47">
        <f t="shared" ca="1" si="73"/>
        <v>-1.0095289770963214</v>
      </c>
      <c r="W83" s="68">
        <f t="shared" si="24"/>
        <v>75</v>
      </c>
      <c r="X83" s="29">
        <f t="shared" ca="1" si="74"/>
        <v>-21334.210826066541</v>
      </c>
      <c r="Y83" s="29">
        <f t="shared" ca="1" si="75"/>
        <v>-32831823.481999882</v>
      </c>
      <c r="Z83" s="61">
        <f t="shared" si="76"/>
        <v>21132.836510973171</v>
      </c>
      <c r="AA83" s="62">
        <f t="shared" ca="1" si="77"/>
        <v>-1.0095289770963214</v>
      </c>
      <c r="AB83" s="57">
        <f t="shared" ca="1" si="78"/>
        <v>13872338.604164245</v>
      </c>
      <c r="AC83" s="58" t="str">
        <f t="shared" ca="1" si="79"/>
        <v>Payback is Later</v>
      </c>
      <c r="AD83" s="59">
        <f t="shared" ca="1" si="80"/>
        <v>75</v>
      </c>
      <c r="AF83" s="60">
        <f t="shared" si="82"/>
        <v>75</v>
      </c>
      <c r="AG83" s="84">
        <f t="shared" ref="AG83:AG108" ca="1" si="84">IF(J83&gt;0,J83*(1-Corporate_Tax_Rate),J83)</f>
        <v>-29084.559497450282</v>
      </c>
      <c r="AH83" s="61">
        <f t="shared" ref="AH83:AH108" si="85">(1+Risk_Discount_Rate)^AF83</f>
        <v>21132.836510973171</v>
      </c>
      <c r="AI83" s="29">
        <f t="shared" ref="AI83:AI108" ca="1" si="86">AG83/AH83</f>
        <v>-1.3762733404173264</v>
      </c>
      <c r="AJ83" s="57">
        <f t="shared" ref="AJ83:AJ108" ca="1" si="87">F83</f>
        <v>7750.348671383741</v>
      </c>
      <c r="AK83" s="80">
        <f t="shared" ref="AK83:AK108" ca="1" si="88">-E83*Cost_of_Capital</f>
        <v>-4315.902698335035</v>
      </c>
      <c r="AL83" s="57">
        <f t="shared" ref="AL83:AL108" ca="1" si="89">AK83/AH83</f>
        <v>-0.20422732632668661</v>
      </c>
      <c r="AM83" s="185">
        <f ca="1">OFFSET('Combined IFRS17 Cashflows'!$E$25,0,COUNTA('Appraisal Calcs - IFRS 17'!$AF$9:AF83))</f>
        <v>1685.167018002136</v>
      </c>
      <c r="AN83" s="81">
        <f t="shared" ref="AN83:AN108" ca="1" si="90">AM83/AH83</f>
        <v>7.9741638900538384E-2</v>
      </c>
      <c r="AP83" s="60">
        <f t="shared" si="83"/>
        <v>75</v>
      </c>
      <c r="AQ83" s="61">
        <f t="shared" ref="AQ83:AQ108" si="91">(1+Risk_Discount_Rate)^AP83</f>
        <v>21132.836510973171</v>
      </c>
      <c r="AR83" s="90">
        <f t="shared" ref="AR83:AR108" ca="1" si="92">+-F83/AQ83</f>
        <v>-0.36674436332100485</v>
      </c>
      <c r="AS83" s="85">
        <f t="shared" ref="AS83:AS108" ca="1" si="93">+L83/AQ83</f>
        <v>-1.3762733404173264</v>
      </c>
    </row>
    <row r="84" spans="2:45" x14ac:dyDescent="0.3">
      <c r="B84" s="39">
        <f t="shared" si="17"/>
        <v>76</v>
      </c>
      <c r="C84" s="176" cm="1">
        <f t="array" aca="1" ref="C84" ca="1">OFFSET('Results Tables'!$D$27,0,'Appraisal Calcs - IFRS 17'!B83:B83)</f>
        <v>-17820.067380252647</v>
      </c>
      <c r="D84" s="174"/>
      <c r="E84" s="123">
        <f ca="1">OFFSET('CAR Calcs'!$C$59,0,COUNTA('Appraisal Calcs - IFRS 17'!$B$9:B84))</f>
        <v>22229.453155407558</v>
      </c>
      <c r="F84" s="177">
        <f t="shared" ca="1" si="63"/>
        <v>8164.2278187828342</v>
      </c>
      <c r="G84" s="123">
        <f ca="1">E84+SUM(D$8:D84)</f>
        <v>22229.453155407558</v>
      </c>
      <c r="H84" s="178">
        <f t="shared" ref="H84:H93" ca="1" si="94">E84*0</f>
        <v>0</v>
      </c>
      <c r="I84" s="177">
        <f t="shared" ca="1" si="64"/>
        <v>1111.472657770378</v>
      </c>
      <c r="J84" s="177">
        <f t="shared" ca="1" si="65"/>
        <v>-16708.59472248227</v>
      </c>
      <c r="K84" s="177">
        <f t="shared" ca="1" si="66"/>
        <v>0</v>
      </c>
      <c r="L84" s="177">
        <f t="shared" ca="1" si="67"/>
        <v>-16708.59472248227</v>
      </c>
      <c r="M84" s="177">
        <f t="shared" ca="1" si="68"/>
        <v>-8544.3669036994361</v>
      </c>
      <c r="N84" s="32">
        <f t="shared" ca="1" si="81"/>
        <v>-0.75164218416311879</v>
      </c>
      <c r="O84" s="31">
        <f t="shared" si="69"/>
        <v>330577056.24958479</v>
      </c>
      <c r="P84" s="179">
        <f t="shared" ca="1" si="70"/>
        <v>-2.5846823734943245E-5</v>
      </c>
      <c r="R84" s="39">
        <f t="shared" si="23"/>
        <v>76</v>
      </c>
      <c r="S84" s="29">
        <f t="shared" ca="1" si="71"/>
        <v>-8544.3669036994361</v>
      </c>
      <c r="T84" s="10">
        <f t="shared" si="72"/>
        <v>24133.699295531358</v>
      </c>
      <c r="U84" s="47">
        <f t="shared" ca="1" si="73"/>
        <v>-0.35404298359189085</v>
      </c>
      <c r="W84" s="68">
        <f t="shared" si="24"/>
        <v>76</v>
      </c>
      <c r="X84" s="29">
        <f t="shared" ca="1" si="74"/>
        <v>-8544.3669036994361</v>
      </c>
      <c r="Y84" s="29">
        <f t="shared" ca="1" si="75"/>
        <v>-32840367.848903582</v>
      </c>
      <c r="Z84" s="61">
        <f t="shared" si="76"/>
        <v>24133.699295531358</v>
      </c>
      <c r="AA84" s="62">
        <f t="shared" ca="1" si="77"/>
        <v>-0.35404298359189085</v>
      </c>
      <c r="AB84" s="57">
        <f t="shared" ca="1" si="78"/>
        <v>13872338.250121262</v>
      </c>
      <c r="AC84" s="58" t="str">
        <f t="shared" ca="1" si="79"/>
        <v>Payback is Later</v>
      </c>
      <c r="AD84" s="59">
        <f t="shared" ca="1" si="80"/>
        <v>76</v>
      </c>
      <c r="AF84" s="60">
        <f t="shared" si="82"/>
        <v>76</v>
      </c>
      <c r="AG84" s="84">
        <f t="shared" ca="1" si="84"/>
        <v>-16708.59472248227</v>
      </c>
      <c r="AH84" s="61">
        <f t="shared" si="85"/>
        <v>24133.699295531358</v>
      </c>
      <c r="AI84" s="29">
        <f t="shared" ca="1" si="86"/>
        <v>-0.69233458649980217</v>
      </c>
      <c r="AJ84" s="57">
        <f t="shared" ca="1" si="87"/>
        <v>8164.2278187828342</v>
      </c>
      <c r="AK84" s="80">
        <f t="shared" ca="1" si="88"/>
        <v>-3156.5823480678732</v>
      </c>
      <c r="AL84" s="57">
        <f t="shared" ca="1" si="89"/>
        <v>-0.13079562769941167</v>
      </c>
      <c r="AM84" s="185">
        <f ca="1">OFFSET('Combined IFRS17 Cashflows'!$E$25,0,COUNTA('Appraisal Calcs - IFRS 17'!$AF$9:AF84))</f>
        <v>1014.6788296578926</v>
      </c>
      <c r="AN84" s="81">
        <f t="shared" ca="1" si="90"/>
        <v>4.2044065322624308E-2</v>
      </c>
      <c r="AP84" s="60">
        <f t="shared" si="83"/>
        <v>76</v>
      </c>
      <c r="AQ84" s="61">
        <f t="shared" si="91"/>
        <v>24133.699295531358</v>
      </c>
      <c r="AR84" s="90">
        <f t="shared" ca="1" si="92"/>
        <v>-0.33829160290791138</v>
      </c>
      <c r="AS84" s="85">
        <f t="shared" ca="1" si="93"/>
        <v>-0.69233458649980217</v>
      </c>
    </row>
    <row r="85" spans="2:45" x14ac:dyDescent="0.3">
      <c r="B85" s="39">
        <f t="shared" si="17"/>
        <v>77</v>
      </c>
      <c r="C85" s="176" cm="1">
        <f t="array" aca="1" ref="C85" ca="1">OFFSET('Results Tables'!$D$27,0,'Appraisal Calcs - IFRS 17'!B84:B84)</f>
        <v>-12680.825059352568</v>
      </c>
      <c r="D85" s="174"/>
      <c r="E85" s="123">
        <f ca="1">OFFSET('CAR Calcs'!$C$59,0,COUNTA('Appraisal Calcs - IFRS 17'!$B$9:B85))</f>
        <v>18133.060945453442</v>
      </c>
      <c r="F85" s="177">
        <f t="shared" ref="F85:F93" ca="1" si="95">E84-E85</f>
        <v>4096.392209954116</v>
      </c>
      <c r="G85" s="123">
        <f ca="1">E85+SUM(D$8:D85)</f>
        <v>18133.060945453442</v>
      </c>
      <c r="H85" s="178">
        <f t="shared" ca="1" si="94"/>
        <v>0</v>
      </c>
      <c r="I85" s="177">
        <f t="shared" ref="I85:I93" ca="1" si="96">E85*Required_Return_On_CAR</f>
        <v>906.65304727267221</v>
      </c>
      <c r="J85" s="177">
        <f t="shared" ref="J85:J93" ca="1" si="97">C85+I85</f>
        <v>-11774.172012079896</v>
      </c>
      <c r="K85" s="177">
        <f t="shared" ref="K85:K93" ca="1" si="98">IF(J85&lt;0,0,J85*Corporate_Tax_Rate)</f>
        <v>0</v>
      </c>
      <c r="L85" s="177">
        <f t="shared" ref="L85:L93" ca="1" si="99">J85-K85</f>
        <v>-11774.172012079896</v>
      </c>
      <c r="M85" s="177">
        <f t="shared" ref="M85:M93" ca="1" si="100">D85+F85+H85+L85</f>
        <v>-7677.7798021257804</v>
      </c>
      <c r="N85" s="32">
        <f t="shared" ca="1" si="81"/>
        <v>-0.64932071024842997</v>
      </c>
      <c r="O85" s="31">
        <f t="shared" ref="O85:O93" si="101">(1+$O$3)^B85</f>
        <v>427925731.30974883</v>
      </c>
      <c r="P85" s="179">
        <f t="shared" ref="P85:P93" ca="1" si="102">M85/O85</f>
        <v>-1.7941851214757436E-5</v>
      </c>
      <c r="R85" s="39">
        <f t="shared" si="23"/>
        <v>77</v>
      </c>
      <c r="S85" s="29">
        <f t="shared" ref="S85:S93" ca="1" si="103">M85</f>
        <v>-7677.7798021257804</v>
      </c>
      <c r="T85" s="10">
        <f t="shared" ref="T85:T93" si="104">(1+$T$3)^R85</f>
        <v>27560.684595496808</v>
      </c>
      <c r="U85" s="47">
        <f t="shared" ref="U85:U93" ca="1" si="105">S85/T85</f>
        <v>-0.27857725288073093</v>
      </c>
      <c r="W85" s="68">
        <f t="shared" si="24"/>
        <v>77</v>
      </c>
      <c r="X85" s="29">
        <f t="shared" ref="X85:X93" ca="1" si="106">S85</f>
        <v>-7677.7798021257804</v>
      </c>
      <c r="Y85" s="29">
        <f t="shared" ref="Y85:Y93" ca="1" si="107">Y84+X85</f>
        <v>-32848045.628705706</v>
      </c>
      <c r="Z85" s="61">
        <f t="shared" ref="Z85:Z93" si="108">(1+$T$3)^W85</f>
        <v>27560.684595496808</v>
      </c>
      <c r="AA85" s="62">
        <f t="shared" ref="AA85:AA93" ca="1" si="109">X85/Z85</f>
        <v>-0.27857725288073093</v>
      </c>
      <c r="AB85" s="57">
        <f t="shared" ref="AB85:AB93" ca="1" si="110">AB84+AA85</f>
        <v>13872337.971544009</v>
      </c>
      <c r="AC85" s="58" t="str">
        <f t="shared" ref="AC85:AC93" ca="1" si="111">IF(Y85&gt;=0,W85,"Payback is Later")</f>
        <v>Payback is Later</v>
      </c>
      <c r="AD85" s="59">
        <f t="shared" ref="AD85:AD93" ca="1" si="112">IF(AB85&gt;=0,W85,"Discounted Payback is Later")</f>
        <v>77</v>
      </c>
      <c r="AF85" s="60">
        <f t="shared" si="82"/>
        <v>77</v>
      </c>
      <c r="AG85" s="84">
        <f t="shared" ca="1" si="84"/>
        <v>-11774.172012079896</v>
      </c>
      <c r="AH85" s="61">
        <f t="shared" si="85"/>
        <v>27560.684595496808</v>
      </c>
      <c r="AI85" s="29">
        <f t="shared" ca="1" si="86"/>
        <v>-0.42720898210212455</v>
      </c>
      <c r="AJ85" s="57">
        <f t="shared" ca="1" si="87"/>
        <v>4096.392209954116</v>
      </c>
      <c r="AK85" s="80">
        <f t="shared" ca="1" si="88"/>
        <v>-2574.8946542543886</v>
      </c>
      <c r="AL85" s="57">
        <f t="shared" ca="1" si="89"/>
        <v>-9.3426367742516281E-2</v>
      </c>
      <c r="AM85" s="185">
        <f ca="1">OFFSET('Combined IFRS17 Cashflows'!$E$25,0,COUNTA('Appraisal Calcs - IFRS 17'!$AF$9:AF85))</f>
        <v>675.19821566590417</v>
      </c>
      <c r="AN85" s="81">
        <f t="shared" ca="1" si="90"/>
        <v>2.4498601017197738E-2</v>
      </c>
      <c r="AP85" s="60">
        <f t="shared" si="83"/>
        <v>77</v>
      </c>
      <c r="AQ85" s="61">
        <f t="shared" si="91"/>
        <v>27560.684595496808</v>
      </c>
      <c r="AR85" s="90">
        <f t="shared" ca="1" si="92"/>
        <v>-0.14863172922139362</v>
      </c>
      <c r="AS85" s="85">
        <f t="shared" ca="1" si="93"/>
        <v>-0.42720898210212455</v>
      </c>
    </row>
    <row r="86" spans="2:45" x14ac:dyDescent="0.3">
      <c r="B86" s="39">
        <f t="shared" si="17"/>
        <v>78</v>
      </c>
      <c r="C86" s="176" cm="1">
        <f t="array" aca="1" ref="C86" ca="1">OFFSET('Results Tables'!$D$27,0,'Appraisal Calcs - IFRS 17'!B85:B85)</f>
        <v>-8886.1565001502022</v>
      </c>
      <c r="D86" s="174"/>
      <c r="E86" s="123">
        <f ca="1">OFFSET('CAR Calcs'!$C$59,0,COUNTA('Appraisal Calcs - IFRS 17'!$B$9:B86))</f>
        <v>14689.914053263836</v>
      </c>
      <c r="F86" s="177">
        <f t="shared" ca="1" si="95"/>
        <v>3443.1468921896067</v>
      </c>
      <c r="G86" s="123">
        <f ca="1">E86+SUM(D$8:D86)</f>
        <v>14689.914053263836</v>
      </c>
      <c r="H86" s="178">
        <f t="shared" ca="1" si="94"/>
        <v>0</v>
      </c>
      <c r="I86" s="177">
        <f t="shared" ca="1" si="96"/>
        <v>734.49570266319188</v>
      </c>
      <c r="J86" s="177">
        <f t="shared" ca="1" si="97"/>
        <v>-8151.6607974870103</v>
      </c>
      <c r="K86" s="177">
        <f t="shared" ca="1" si="98"/>
        <v>0</v>
      </c>
      <c r="L86" s="177">
        <f t="shared" ca="1" si="99"/>
        <v>-8151.6607974870103</v>
      </c>
      <c r="M86" s="177">
        <f t="shared" ca="1" si="100"/>
        <v>-4708.5139052974037</v>
      </c>
      <c r="N86" s="32">
        <f t="shared" ca="1" si="81"/>
        <v>-0.55491548608998553</v>
      </c>
      <c r="O86" s="31">
        <f t="shared" si="101"/>
        <v>553941745.36640525</v>
      </c>
      <c r="P86" s="179">
        <f t="shared" ca="1" si="102"/>
        <v>-8.5000163729905437E-6</v>
      </c>
      <c r="R86" s="39">
        <f t="shared" si="23"/>
        <v>78</v>
      </c>
      <c r="S86" s="29">
        <f t="shared" ca="1" si="103"/>
        <v>-4708.5139052974037</v>
      </c>
      <c r="T86" s="10">
        <f t="shared" si="104"/>
        <v>31474.30180805736</v>
      </c>
      <c r="U86" s="47">
        <f t="shared" ca="1" si="105"/>
        <v>-0.14959867685109485</v>
      </c>
      <c r="W86" s="68">
        <f t="shared" si="24"/>
        <v>78</v>
      </c>
      <c r="X86" s="29">
        <f t="shared" ca="1" si="106"/>
        <v>-4708.5139052974037</v>
      </c>
      <c r="Y86" s="29">
        <f t="shared" ca="1" si="107"/>
        <v>-32852754.142611004</v>
      </c>
      <c r="Z86" s="61">
        <f t="shared" si="108"/>
        <v>31474.30180805736</v>
      </c>
      <c r="AA86" s="62">
        <f t="shared" ca="1" si="109"/>
        <v>-0.14959867685109485</v>
      </c>
      <c r="AB86" s="57">
        <f t="shared" ca="1" si="110"/>
        <v>13872337.821945332</v>
      </c>
      <c r="AC86" s="58" t="str">
        <f t="shared" ca="1" si="111"/>
        <v>Payback is Later</v>
      </c>
      <c r="AD86" s="59">
        <f t="shared" ca="1" si="112"/>
        <v>78</v>
      </c>
      <c r="AF86" s="60">
        <f t="shared" si="82"/>
        <v>78</v>
      </c>
      <c r="AG86" s="84">
        <f t="shared" ca="1" si="84"/>
        <v>-8151.6607974870103</v>
      </c>
      <c r="AH86" s="61">
        <f t="shared" si="85"/>
        <v>31474.30180805736</v>
      </c>
      <c r="AI86" s="29">
        <f t="shared" ca="1" si="86"/>
        <v>-0.2589941739517857</v>
      </c>
      <c r="AJ86" s="57">
        <f t="shared" ca="1" si="87"/>
        <v>3443.1468921896067</v>
      </c>
      <c r="AK86" s="80">
        <f t="shared" ca="1" si="88"/>
        <v>-2085.9677955634643</v>
      </c>
      <c r="AL86" s="57">
        <f t="shared" ca="1" si="89"/>
        <v>-6.6275268258038394E-2</v>
      </c>
      <c r="AM86" s="185">
        <f ca="1">OFFSET('Combined IFRS17 Cashflows'!$E$25,0,COUNTA('Appraisal Calcs - IFRS 17'!$AF$9:AF86))</f>
        <v>439.13388014350852</v>
      </c>
      <c r="AN86" s="81">
        <f t="shared" ca="1" si="90"/>
        <v>1.3952140473886258E-2</v>
      </c>
      <c r="AP86" s="60">
        <f t="shared" si="83"/>
        <v>78</v>
      </c>
      <c r="AQ86" s="61">
        <f t="shared" si="91"/>
        <v>31474.30180805736</v>
      </c>
      <c r="AR86" s="90">
        <f t="shared" ca="1" si="92"/>
        <v>-0.10939549710069081</v>
      </c>
      <c r="AS86" s="85">
        <f t="shared" ca="1" si="93"/>
        <v>-0.2589941739517857</v>
      </c>
    </row>
    <row r="87" spans="2:45" x14ac:dyDescent="0.3">
      <c r="B87" s="39">
        <f t="shared" si="17"/>
        <v>79</v>
      </c>
      <c r="C87" s="176" cm="1">
        <f t="array" aca="1" ref="C87" ca="1">OFFSET('Results Tables'!$D$27,0,'Appraisal Calcs - IFRS 17'!B86:B86)</f>
        <v>-6125.9132003673503</v>
      </c>
      <c r="D87" s="174"/>
      <c r="E87" s="123">
        <f ca="1">OFFSET('CAR Calcs'!$C$59,0,COUNTA('Appraisal Calcs - IFRS 17'!$B$9:B87))</f>
        <v>11808.664969048088</v>
      </c>
      <c r="F87" s="177">
        <f t="shared" ca="1" si="95"/>
        <v>2881.2490842157476</v>
      </c>
      <c r="G87" s="123">
        <f ca="1">E87+SUM(D$8:D87)</f>
        <v>11808.664969048088</v>
      </c>
      <c r="H87" s="178">
        <f t="shared" ca="1" si="94"/>
        <v>0</v>
      </c>
      <c r="I87" s="177">
        <f t="shared" ca="1" si="96"/>
        <v>590.43324845240443</v>
      </c>
      <c r="J87" s="177">
        <f t="shared" ca="1" si="97"/>
        <v>-5535.4799519149456</v>
      </c>
      <c r="K87" s="177">
        <f t="shared" ca="1" si="98"/>
        <v>0</v>
      </c>
      <c r="L87" s="177">
        <f t="shared" ca="1" si="99"/>
        <v>-5535.4799519149456</v>
      </c>
      <c r="M87" s="177">
        <f t="shared" ca="1" si="100"/>
        <v>-2654.2308676991979</v>
      </c>
      <c r="N87" s="32">
        <f t="shared" ca="1" si="81"/>
        <v>-0.46876424781498122</v>
      </c>
      <c r="O87" s="31">
        <f t="shared" si="101"/>
        <v>717067086.19834948</v>
      </c>
      <c r="P87" s="179">
        <f t="shared" ca="1" si="102"/>
        <v>-3.7015098291166098E-6</v>
      </c>
      <c r="R87" s="39">
        <f t="shared" si="23"/>
        <v>79</v>
      </c>
      <c r="S87" s="29">
        <f t="shared" ca="1" si="103"/>
        <v>-2654.2308676991979</v>
      </c>
      <c r="T87" s="10">
        <f t="shared" si="104"/>
        <v>35943.652664801499</v>
      </c>
      <c r="U87" s="47">
        <f t="shared" ca="1" si="105"/>
        <v>-7.3844216458790884E-2</v>
      </c>
      <c r="W87" s="68">
        <f t="shared" si="24"/>
        <v>79</v>
      </c>
      <c r="X87" s="29">
        <f t="shared" ca="1" si="106"/>
        <v>-2654.2308676991979</v>
      </c>
      <c r="Y87" s="29">
        <f t="shared" ca="1" si="107"/>
        <v>-32855408.373478703</v>
      </c>
      <c r="Z87" s="61">
        <f t="shared" si="108"/>
        <v>35943.652664801499</v>
      </c>
      <c r="AA87" s="62">
        <f t="shared" ca="1" si="109"/>
        <v>-7.3844216458790884E-2</v>
      </c>
      <c r="AB87" s="57">
        <f t="shared" ca="1" si="110"/>
        <v>13872337.748101115</v>
      </c>
      <c r="AC87" s="58" t="str">
        <f t="shared" ca="1" si="111"/>
        <v>Payback is Later</v>
      </c>
      <c r="AD87" s="59">
        <f t="shared" ca="1" si="112"/>
        <v>79</v>
      </c>
      <c r="AF87" s="60">
        <f t="shared" si="82"/>
        <v>79</v>
      </c>
      <c r="AG87" s="84">
        <f t="shared" ca="1" si="84"/>
        <v>-5535.4799519149456</v>
      </c>
      <c r="AH87" s="61">
        <f t="shared" si="85"/>
        <v>35943.652664801499</v>
      </c>
      <c r="AI87" s="29">
        <f t="shared" ca="1" si="86"/>
        <v>-0.15400438023194202</v>
      </c>
      <c r="AJ87" s="57">
        <f t="shared" ca="1" si="87"/>
        <v>2881.2490842157476</v>
      </c>
      <c r="AK87" s="80">
        <f t="shared" ca="1" si="88"/>
        <v>-1676.8304256048284</v>
      </c>
      <c r="AL87" s="57">
        <f t="shared" ca="1" si="89"/>
        <v>-4.6651642259132341E-2</v>
      </c>
      <c r="AM87" s="185">
        <f ca="1">OFFSET('Combined IFRS17 Cashflows'!$E$25,0,COUNTA('Appraisal Calcs - IFRS 17'!$AF$9:AF87))</f>
        <v>277.18366589608019</v>
      </c>
      <c r="AN87" s="81">
        <f t="shared" ca="1" si="90"/>
        <v>7.7116165260387552E-3</v>
      </c>
      <c r="AP87" s="60">
        <f t="shared" si="83"/>
        <v>79</v>
      </c>
      <c r="AQ87" s="61">
        <f t="shared" si="91"/>
        <v>35943.652664801499</v>
      </c>
      <c r="AR87" s="90">
        <f t="shared" ca="1" si="92"/>
        <v>-8.0160163773151119E-2</v>
      </c>
      <c r="AS87" s="85">
        <f t="shared" ca="1" si="93"/>
        <v>-0.15400438023194202</v>
      </c>
    </row>
    <row r="88" spans="2:45" x14ac:dyDescent="0.3">
      <c r="B88" s="39">
        <f t="shared" si="17"/>
        <v>80</v>
      </c>
      <c r="C88" s="176" cm="1">
        <f t="array" aca="1" ref="C88" ca="1">OFFSET('Results Tables'!$D$27,0,'Appraisal Calcs - IFRS 17'!B87:B87)</f>
        <v>-4154.7270080330927</v>
      </c>
      <c r="D88" s="174"/>
      <c r="E88" s="123">
        <f ca="1">OFFSET('CAR Calcs'!$C$59,0,COUNTA('Appraisal Calcs - IFRS 17'!$B$9:B88))</f>
        <v>9435.5466659265076</v>
      </c>
      <c r="F88" s="177">
        <f t="shared" ca="1" si="95"/>
        <v>2373.1183031215805</v>
      </c>
      <c r="G88" s="123">
        <f ca="1">E88+SUM(D$8:D88)</f>
        <v>9435.5466659265076</v>
      </c>
      <c r="H88" s="178">
        <f t="shared" ca="1" si="94"/>
        <v>0</v>
      </c>
      <c r="I88" s="177">
        <f t="shared" ca="1" si="96"/>
        <v>471.77733329632542</v>
      </c>
      <c r="J88" s="177">
        <f t="shared" ca="1" si="97"/>
        <v>-3682.9496747367675</v>
      </c>
      <c r="K88" s="177">
        <f t="shared" ca="1" si="98"/>
        <v>0</v>
      </c>
      <c r="L88" s="177">
        <f t="shared" ca="1" si="99"/>
        <v>-3682.9496747367675</v>
      </c>
      <c r="M88" s="177">
        <f t="shared" ca="1" si="100"/>
        <v>-1309.831371615187</v>
      </c>
      <c r="N88" s="32">
        <f t="shared" ca="1" si="81"/>
        <v>-0.39032711141544935</v>
      </c>
      <c r="O88" s="31">
        <f t="shared" si="101"/>
        <v>928229746.91839254</v>
      </c>
      <c r="P88" s="179">
        <f t="shared" ca="1" si="102"/>
        <v>-1.4111068687075203E-6</v>
      </c>
      <c r="R88" s="39">
        <f t="shared" si="23"/>
        <v>80</v>
      </c>
      <c r="S88" s="29">
        <f t="shared" ca="1" si="103"/>
        <v>-1309.831371615187</v>
      </c>
      <c r="T88" s="10">
        <f t="shared" si="104"/>
        <v>41047.651343203303</v>
      </c>
      <c r="U88" s="47">
        <f t="shared" ca="1" si="105"/>
        <v>-3.1910019909874084E-2</v>
      </c>
      <c r="W88" s="68">
        <f t="shared" si="24"/>
        <v>80</v>
      </c>
      <c r="X88" s="29">
        <f t="shared" ca="1" si="106"/>
        <v>-1309.831371615187</v>
      </c>
      <c r="Y88" s="29">
        <f t="shared" ca="1" si="107"/>
        <v>-32856718.20485032</v>
      </c>
      <c r="Z88" s="61">
        <f t="shared" si="108"/>
        <v>41047.651343203303</v>
      </c>
      <c r="AA88" s="62">
        <f t="shared" ca="1" si="109"/>
        <v>-3.1910019909874084E-2</v>
      </c>
      <c r="AB88" s="57">
        <f t="shared" ca="1" si="110"/>
        <v>13872337.716191096</v>
      </c>
      <c r="AC88" s="58" t="str">
        <f t="shared" ca="1" si="111"/>
        <v>Payback is Later</v>
      </c>
      <c r="AD88" s="59">
        <f t="shared" ca="1" si="112"/>
        <v>80</v>
      </c>
      <c r="AF88" s="60">
        <f t="shared" si="82"/>
        <v>80</v>
      </c>
      <c r="AG88" s="84">
        <f t="shared" ca="1" si="84"/>
        <v>-3682.9496747367675</v>
      </c>
      <c r="AH88" s="61">
        <f t="shared" si="85"/>
        <v>41047.651343203303</v>
      </c>
      <c r="AI88" s="29">
        <f t="shared" ca="1" si="86"/>
        <v>-8.972376138998249E-2</v>
      </c>
      <c r="AJ88" s="57">
        <f t="shared" ca="1" si="87"/>
        <v>2373.1183031215805</v>
      </c>
      <c r="AK88" s="80">
        <f t="shared" ca="1" si="88"/>
        <v>-1339.8476265615639</v>
      </c>
      <c r="AL88" s="57">
        <f t="shared" ca="1" si="89"/>
        <v>-3.2641273805387082E-2</v>
      </c>
      <c r="AM88" s="185">
        <f ca="1">OFFSET('Combined IFRS17 Cashflows'!$E$25,0,COUNTA('Appraisal Calcs - IFRS 17'!$AF$9:AF88))</f>
        <v>167.65075695209697</v>
      </c>
      <c r="AN88" s="81">
        <f t="shared" ca="1" si="90"/>
        <v>4.084295969831577E-3</v>
      </c>
      <c r="AP88" s="60">
        <f t="shared" si="83"/>
        <v>80</v>
      </c>
      <c r="AQ88" s="61">
        <f t="shared" si="91"/>
        <v>41047.651343203303</v>
      </c>
      <c r="AR88" s="90">
        <f t="shared" ca="1" si="92"/>
        <v>-5.7813741480108413E-2</v>
      </c>
      <c r="AS88" s="85">
        <f t="shared" ca="1" si="93"/>
        <v>-8.972376138998249E-2</v>
      </c>
    </row>
    <row r="89" spans="2:45" x14ac:dyDescent="0.3">
      <c r="B89" s="39">
        <f t="shared" si="17"/>
        <v>81</v>
      </c>
      <c r="C89" s="176" cm="1">
        <f t="array" aca="1" ref="C89" ca="1">OFFSET('Results Tables'!$D$27,0,'Appraisal Calcs - IFRS 17'!B88:B88)</f>
        <v>-2012.3184439830388</v>
      </c>
      <c r="D89" s="174"/>
      <c r="E89" s="123">
        <f ca="1">OFFSET('CAR Calcs'!$C$59,0,COUNTA('Appraisal Calcs - IFRS 17'!$B$9:B89))</f>
        <v>6755.1632322091446</v>
      </c>
      <c r="F89" s="177">
        <f t="shared" ca="1" si="95"/>
        <v>2680.383433717363</v>
      </c>
      <c r="G89" s="123">
        <f ca="1">E89+SUM(D$8:D89)</f>
        <v>6755.1632322091446</v>
      </c>
      <c r="H89" s="178">
        <f t="shared" ca="1" si="94"/>
        <v>0</v>
      </c>
      <c r="I89" s="177">
        <f t="shared" ca="1" si="96"/>
        <v>337.75816161045725</v>
      </c>
      <c r="J89" s="177">
        <f t="shared" ca="1" si="97"/>
        <v>-1674.5602823725817</v>
      </c>
      <c r="K89" s="177">
        <f t="shared" ca="1" si="98"/>
        <v>0</v>
      </c>
      <c r="L89" s="177">
        <f t="shared" ca="1" si="99"/>
        <v>-1674.5602823725817</v>
      </c>
      <c r="M89" s="177">
        <f t="shared" ca="1" si="100"/>
        <v>1005.8231513447813</v>
      </c>
      <c r="N89" s="32">
        <f t="shared" ca="1" si="81"/>
        <v>-0.24789338537196967</v>
      </c>
      <c r="O89" s="31">
        <f t="shared" si="101"/>
        <v>1201575807.4075809</v>
      </c>
      <c r="P89" s="179">
        <f t="shared" ca="1" si="102"/>
        <v>8.3708671990896768E-7</v>
      </c>
      <c r="R89" s="39">
        <f t="shared" si="23"/>
        <v>81</v>
      </c>
      <c r="S89" s="29">
        <f t="shared" ca="1" si="103"/>
        <v>1005.8231513447813</v>
      </c>
      <c r="T89" s="10">
        <f t="shared" si="104"/>
        <v>46876.417833938176</v>
      </c>
      <c r="U89" s="47">
        <f t="shared" ca="1" si="105"/>
        <v>2.1456911552157315E-2</v>
      </c>
      <c r="W89" s="68">
        <f t="shared" si="24"/>
        <v>81</v>
      </c>
      <c r="X89" s="29">
        <f t="shared" ca="1" si="106"/>
        <v>1005.8231513447813</v>
      </c>
      <c r="Y89" s="29">
        <f t="shared" ca="1" si="107"/>
        <v>-32855712.381698973</v>
      </c>
      <c r="Z89" s="61">
        <f t="shared" si="108"/>
        <v>46876.417833938176</v>
      </c>
      <c r="AA89" s="62">
        <f t="shared" ca="1" si="109"/>
        <v>2.1456911552157315E-2</v>
      </c>
      <c r="AB89" s="57">
        <f t="shared" ca="1" si="110"/>
        <v>13872337.737648008</v>
      </c>
      <c r="AC89" s="58" t="str">
        <f t="shared" ca="1" si="111"/>
        <v>Payback is Later</v>
      </c>
      <c r="AD89" s="59">
        <f t="shared" ca="1" si="112"/>
        <v>81</v>
      </c>
      <c r="AF89" s="60">
        <f t="shared" si="82"/>
        <v>81</v>
      </c>
      <c r="AG89" s="84">
        <f t="shared" ca="1" si="84"/>
        <v>-1674.5602823725817</v>
      </c>
      <c r="AH89" s="61">
        <f t="shared" si="85"/>
        <v>46876.417833938176</v>
      </c>
      <c r="AI89" s="29">
        <f t="shared" ca="1" si="86"/>
        <v>-3.5722872176470202E-2</v>
      </c>
      <c r="AJ89" s="57">
        <f t="shared" ca="1" si="87"/>
        <v>2680.383433717363</v>
      </c>
      <c r="AK89" s="80">
        <f t="shared" ca="1" si="88"/>
        <v>-959.23317897369839</v>
      </c>
      <c r="AL89" s="57">
        <f t="shared" ca="1" si="89"/>
        <v>-2.046302220386859E-2</v>
      </c>
      <c r="AM89" s="185">
        <f ca="1">OFFSET('Combined IFRS17 Cashflows'!$E$25,0,COUNTA('Appraisal Calcs - IFRS 17'!$AF$9:AF89))</f>
        <v>94.429167849396293</v>
      </c>
      <c r="AN89" s="81">
        <f t="shared" ca="1" si="90"/>
        <v>2.0144279834674204E-3</v>
      </c>
      <c r="AP89" s="60">
        <f t="shared" si="83"/>
        <v>81</v>
      </c>
      <c r="AQ89" s="61">
        <f t="shared" si="91"/>
        <v>46876.417833938176</v>
      </c>
      <c r="AR89" s="90">
        <f t="shared" ca="1" si="92"/>
        <v>-5.7179783728627517E-2</v>
      </c>
      <c r="AS89" s="85">
        <f t="shared" ca="1" si="93"/>
        <v>-3.5722872176470202E-2</v>
      </c>
    </row>
    <row r="90" spans="2:45" x14ac:dyDescent="0.3">
      <c r="B90" s="39">
        <f t="shared" si="17"/>
        <v>82</v>
      </c>
      <c r="C90" s="176" cm="1">
        <f t="array" aca="1" ref="C90" ca="1">OFFSET('Results Tables'!$D$27,0,'Appraisal Calcs - IFRS 17'!B89:B89)</f>
        <v>-1356.8030173188861</v>
      </c>
      <c r="D90" s="174"/>
      <c r="E90" s="123">
        <f ca="1">OFFSET('CAR Calcs'!$C$59,0,COUNTA('Appraisal Calcs - IFRS 17'!$B$9:B90))</f>
        <v>5373.8970372096992</v>
      </c>
      <c r="F90" s="177">
        <f t="shared" ca="1" si="95"/>
        <v>1381.2661949994454</v>
      </c>
      <c r="G90" s="123">
        <f ca="1">E90+SUM(D$8:D90)</f>
        <v>5373.8970372096992</v>
      </c>
      <c r="H90" s="178">
        <f t="shared" ca="1" si="94"/>
        <v>0</v>
      </c>
      <c r="I90" s="177">
        <f t="shared" ca="1" si="96"/>
        <v>268.69485186048496</v>
      </c>
      <c r="J90" s="177">
        <f t="shared" ca="1" si="97"/>
        <v>-1088.1081654584011</v>
      </c>
      <c r="K90" s="177">
        <f t="shared" ca="1" si="98"/>
        <v>0</v>
      </c>
      <c r="L90" s="177">
        <f t="shared" ca="1" si="99"/>
        <v>-1088.1081654584011</v>
      </c>
      <c r="M90" s="177">
        <f t="shared" ca="1" si="100"/>
        <v>293.15802954104424</v>
      </c>
      <c r="N90" s="32">
        <f t="shared" ca="1" si="81"/>
        <v>-0.20248027789222064</v>
      </c>
      <c r="O90" s="31">
        <f t="shared" si="101"/>
        <v>1555417099.8509421</v>
      </c>
      <c r="P90" s="179">
        <f t="shared" ca="1" si="102"/>
        <v>1.8847550896099701E-7</v>
      </c>
      <c r="R90" s="39">
        <f t="shared" si="23"/>
        <v>82</v>
      </c>
      <c r="S90" s="29">
        <f t="shared" ca="1" si="103"/>
        <v>293.15802954104424</v>
      </c>
      <c r="T90" s="10">
        <f t="shared" si="104"/>
        <v>53532.869166357385</v>
      </c>
      <c r="U90" s="47">
        <f t="shared" ca="1" si="105"/>
        <v>5.4762248709299289E-3</v>
      </c>
      <c r="W90" s="68">
        <f t="shared" si="24"/>
        <v>82</v>
      </c>
      <c r="X90" s="29">
        <f t="shared" ca="1" si="106"/>
        <v>293.15802954104424</v>
      </c>
      <c r="Y90" s="29">
        <f t="shared" ca="1" si="107"/>
        <v>-32855419.223669432</v>
      </c>
      <c r="Z90" s="61">
        <f t="shared" si="108"/>
        <v>53532.869166357385</v>
      </c>
      <c r="AA90" s="62">
        <f t="shared" ca="1" si="109"/>
        <v>5.4762248709299289E-3</v>
      </c>
      <c r="AB90" s="57">
        <f t="shared" ca="1" si="110"/>
        <v>13872337.743124234</v>
      </c>
      <c r="AC90" s="58" t="str">
        <f t="shared" ca="1" si="111"/>
        <v>Payback is Later</v>
      </c>
      <c r="AD90" s="59">
        <f t="shared" ca="1" si="112"/>
        <v>82</v>
      </c>
      <c r="AF90" s="60">
        <f t="shared" si="82"/>
        <v>82</v>
      </c>
      <c r="AG90" s="84">
        <f t="shared" ca="1" si="84"/>
        <v>-1088.1081654584011</v>
      </c>
      <c r="AH90" s="61">
        <f t="shared" si="85"/>
        <v>53532.869166357385</v>
      </c>
      <c r="AI90" s="29">
        <f t="shared" ca="1" si="86"/>
        <v>-2.0325982567402166E-2</v>
      </c>
      <c r="AJ90" s="57">
        <f t="shared" ca="1" si="87"/>
        <v>1381.2661949994454</v>
      </c>
      <c r="AK90" s="80">
        <f t="shared" ca="1" si="88"/>
        <v>-763.09337928377727</v>
      </c>
      <c r="AL90" s="57">
        <f t="shared" ca="1" si="89"/>
        <v>-1.4254669909666296E-2</v>
      </c>
      <c r="AM90" s="185">
        <f ca="1">OFFSET('Combined IFRS17 Cashflows'!$E$25,0,COUNTA('Appraisal Calcs - IFRS 17'!$AF$9:AF90))</f>
        <v>57.332278886664334</v>
      </c>
      <c r="AN90" s="81">
        <f t="shared" ca="1" si="90"/>
        <v>1.0709733996976699E-3</v>
      </c>
      <c r="AP90" s="60">
        <f t="shared" si="83"/>
        <v>82</v>
      </c>
      <c r="AQ90" s="61">
        <f t="shared" si="91"/>
        <v>53532.869166357385</v>
      </c>
      <c r="AR90" s="90">
        <f t="shared" ca="1" si="92"/>
        <v>-2.5802207438332093E-2</v>
      </c>
      <c r="AS90" s="85">
        <f t="shared" ca="1" si="93"/>
        <v>-2.0325982567402166E-2</v>
      </c>
    </row>
    <row r="91" spans="2:45" x14ac:dyDescent="0.3">
      <c r="B91" s="39">
        <f t="shared" si="17"/>
        <v>83</v>
      </c>
      <c r="C91" s="176" cm="1">
        <f t="array" aca="1" ref="C91" ca="1">OFFSET('Results Tables'!$D$27,0,'Appraisal Calcs - IFRS 17'!B90:B90)</f>
        <v>-891.96024173043804</v>
      </c>
      <c r="D91" s="174"/>
      <c r="E91" s="123">
        <f ca="1">OFFSET('CAR Calcs'!$C$59,0,COUNTA('Appraisal Calcs - IFRS 17'!$B$9:B91))</f>
        <v>4246.770504221764</v>
      </c>
      <c r="F91" s="177">
        <f t="shared" ca="1" si="95"/>
        <v>1127.1265329879352</v>
      </c>
      <c r="G91" s="123">
        <f ca="1">E91+SUM(D$8:D91)</f>
        <v>4246.770504221764</v>
      </c>
      <c r="H91" s="178">
        <f t="shared" ca="1" si="94"/>
        <v>0</v>
      </c>
      <c r="I91" s="177">
        <f t="shared" ca="1" si="96"/>
        <v>212.33852521108821</v>
      </c>
      <c r="J91" s="177">
        <f t="shared" ca="1" si="97"/>
        <v>-679.62171651934977</v>
      </c>
      <c r="K91" s="177">
        <f t="shared" ca="1" si="98"/>
        <v>0</v>
      </c>
      <c r="L91" s="177">
        <f t="shared" ca="1" si="99"/>
        <v>-679.62171651934977</v>
      </c>
      <c r="M91" s="177">
        <f t="shared" ca="1" si="100"/>
        <v>447.50481646858543</v>
      </c>
      <c r="N91" s="32">
        <f t="shared" ca="1" si="81"/>
        <v>-0.16003259791027791</v>
      </c>
      <c r="O91" s="31">
        <f t="shared" si="101"/>
        <v>2013457943.8050125</v>
      </c>
      <c r="P91" s="179">
        <f t="shared" ca="1" si="102"/>
        <v>2.2225684814796547E-7</v>
      </c>
      <c r="R91" s="39">
        <f t="shared" si="23"/>
        <v>83</v>
      </c>
      <c r="S91" s="29">
        <f t="shared" ca="1" si="103"/>
        <v>447.50481646858543</v>
      </c>
      <c r="T91" s="10">
        <f t="shared" si="104"/>
        <v>61134.536587980132</v>
      </c>
      <c r="U91" s="47">
        <f t="shared" ca="1" si="105"/>
        <v>7.3200001414024107E-3</v>
      </c>
      <c r="W91" s="68">
        <f t="shared" si="24"/>
        <v>83</v>
      </c>
      <c r="X91" s="29">
        <f t="shared" ca="1" si="106"/>
        <v>447.50481646858543</v>
      </c>
      <c r="Y91" s="29">
        <f t="shared" ca="1" si="107"/>
        <v>-32854971.718852963</v>
      </c>
      <c r="Z91" s="61">
        <f t="shared" si="108"/>
        <v>61134.536587980132</v>
      </c>
      <c r="AA91" s="62">
        <f t="shared" ca="1" si="109"/>
        <v>7.3200001414024107E-3</v>
      </c>
      <c r="AB91" s="57">
        <f t="shared" ca="1" si="110"/>
        <v>13872337.750444233</v>
      </c>
      <c r="AC91" s="58" t="str">
        <f t="shared" ca="1" si="111"/>
        <v>Payback is Later</v>
      </c>
      <c r="AD91" s="59">
        <f t="shared" ca="1" si="112"/>
        <v>83</v>
      </c>
      <c r="AF91" s="60">
        <f t="shared" si="82"/>
        <v>83</v>
      </c>
      <c r="AG91" s="84">
        <f t="shared" ca="1" si="84"/>
        <v>-679.62171651934977</v>
      </c>
      <c r="AH91" s="61">
        <f t="shared" si="85"/>
        <v>61134.536587980132</v>
      </c>
      <c r="AI91" s="29">
        <f t="shared" ca="1" si="86"/>
        <v>-1.1116821267489129E-2</v>
      </c>
      <c r="AJ91" s="57">
        <f t="shared" ca="1" si="87"/>
        <v>1127.1265329879352</v>
      </c>
      <c r="AK91" s="80">
        <f t="shared" ca="1" si="88"/>
        <v>-603.0414115994904</v>
      </c>
      <c r="AL91" s="57">
        <f t="shared" ca="1" si="89"/>
        <v>-9.8641691792599011E-3</v>
      </c>
      <c r="AM91" s="185">
        <f ca="1">OFFSET('Combined IFRS17 Cashflows'!$E$25,0,COUNTA('Appraisal Calcs - IFRS 17'!$AF$9:AF91))</f>
        <v>32.748546081101921</v>
      </c>
      <c r="AN91" s="81">
        <f t="shared" ca="1" si="90"/>
        <v>5.356799594607661E-4</v>
      </c>
      <c r="AP91" s="60">
        <f t="shared" si="83"/>
        <v>83</v>
      </c>
      <c r="AQ91" s="61">
        <f t="shared" si="91"/>
        <v>61134.536587980132</v>
      </c>
      <c r="AR91" s="90">
        <f t="shared" ca="1" si="92"/>
        <v>-1.8436821408891538E-2</v>
      </c>
      <c r="AS91" s="85">
        <f t="shared" ca="1" si="93"/>
        <v>-1.1116821267489129E-2</v>
      </c>
    </row>
    <row r="92" spans="2:45" x14ac:dyDescent="0.3">
      <c r="B92" s="39">
        <f t="shared" si="17"/>
        <v>84</v>
      </c>
      <c r="C92" s="176" cm="1">
        <f t="array" aca="1" ref="C92" ca="1">OFFSET('Results Tables'!$D$27,0,'Appraisal Calcs - IFRS 17'!B91:B91)</f>
        <v>-574.29037242835489</v>
      </c>
      <c r="D92" s="174"/>
      <c r="E92" s="123">
        <f ca="1">OFFSET('CAR Calcs'!$C$59,0,COUNTA('Appraisal Calcs - IFRS 17'!$B$9:B92))</f>
        <v>3450.526389520327</v>
      </c>
      <c r="F92" s="177">
        <f t="shared" ca="1" si="95"/>
        <v>796.24411470143696</v>
      </c>
      <c r="G92" s="123">
        <f ca="1">E92+SUM(D$8:D92)</f>
        <v>3450.526389520327</v>
      </c>
      <c r="H92" s="178">
        <f t="shared" ca="1" si="94"/>
        <v>0</v>
      </c>
      <c r="I92" s="177">
        <f t="shared" ca="1" si="96"/>
        <v>172.52631947601637</v>
      </c>
      <c r="J92" s="177">
        <f t="shared" ca="1" si="97"/>
        <v>-401.76405295233849</v>
      </c>
      <c r="K92" s="177">
        <f t="shared" ca="1" si="98"/>
        <v>0</v>
      </c>
      <c r="L92" s="177">
        <f t="shared" ca="1" si="99"/>
        <v>-401.76405295233849</v>
      </c>
      <c r="M92" s="177">
        <f t="shared" ca="1" si="100"/>
        <v>394.48006174909847</v>
      </c>
      <c r="N92" s="32">
        <f t="shared" ca="1" si="81"/>
        <v>-0.11643558332796565</v>
      </c>
      <c r="O92" s="31">
        <f t="shared" si="101"/>
        <v>2606383131.4828744</v>
      </c>
      <c r="P92" s="179">
        <f t="shared" ca="1" si="102"/>
        <v>1.5135152502489654E-7</v>
      </c>
      <c r="R92" s="39">
        <f t="shared" si="23"/>
        <v>84</v>
      </c>
      <c r="S92" s="29">
        <f t="shared" ca="1" si="103"/>
        <v>394.48006174909847</v>
      </c>
      <c r="T92" s="10">
        <f t="shared" si="104"/>
        <v>69815.640783473311</v>
      </c>
      <c r="U92" s="47">
        <f t="shared" ca="1" si="105"/>
        <v>5.6503106943119165E-3</v>
      </c>
      <c r="W92" s="68">
        <f t="shared" si="24"/>
        <v>84</v>
      </c>
      <c r="X92" s="29">
        <f t="shared" ca="1" si="106"/>
        <v>394.48006174909847</v>
      </c>
      <c r="Y92" s="29">
        <f t="shared" ca="1" si="107"/>
        <v>-32854577.238791212</v>
      </c>
      <c r="Z92" s="61">
        <f t="shared" si="108"/>
        <v>69815.640783473311</v>
      </c>
      <c r="AA92" s="62">
        <f t="shared" ca="1" si="109"/>
        <v>5.6503106943119165E-3</v>
      </c>
      <c r="AB92" s="57">
        <f t="shared" ca="1" si="110"/>
        <v>13872337.756094543</v>
      </c>
      <c r="AC92" s="58" t="str">
        <f t="shared" ca="1" si="111"/>
        <v>Payback is Later</v>
      </c>
      <c r="AD92" s="59">
        <f t="shared" ca="1" si="112"/>
        <v>84</v>
      </c>
      <c r="AF92" s="60">
        <f t="shared" si="82"/>
        <v>84</v>
      </c>
      <c r="AG92" s="84">
        <f t="shared" ca="1" si="84"/>
        <v>-401.76405295233849</v>
      </c>
      <c r="AH92" s="61">
        <f t="shared" si="85"/>
        <v>69815.640783473311</v>
      </c>
      <c r="AI92" s="29">
        <f t="shared" ca="1" si="86"/>
        <v>-5.7546424904753391E-3</v>
      </c>
      <c r="AJ92" s="57">
        <f t="shared" ca="1" si="87"/>
        <v>796.24411470143696</v>
      </c>
      <c r="AK92" s="80">
        <f t="shared" ca="1" si="88"/>
        <v>-489.9747473118864</v>
      </c>
      <c r="AL92" s="57">
        <f t="shared" ca="1" si="89"/>
        <v>-7.01812289930128E-3</v>
      </c>
      <c r="AM92" s="185">
        <f ca="1">OFFSET('Combined IFRS17 Cashflows'!$E$25,0,COUNTA('Appraisal Calcs - IFRS 17'!$AF$9:AF92))</f>
        <v>16.801962965845522</v>
      </c>
      <c r="AN92" s="81">
        <f t="shared" ca="1" si="90"/>
        <v>2.4066187429196907E-4</v>
      </c>
      <c r="AP92" s="60">
        <f t="shared" si="83"/>
        <v>84</v>
      </c>
      <c r="AQ92" s="61">
        <f t="shared" si="91"/>
        <v>69815.640783473311</v>
      </c>
      <c r="AR92" s="90">
        <f t="shared" ca="1" si="92"/>
        <v>-1.1404953184787256E-2</v>
      </c>
      <c r="AS92" s="85">
        <f t="shared" ca="1" si="93"/>
        <v>-5.7546424904753391E-3</v>
      </c>
    </row>
    <row r="93" spans="2:45" x14ac:dyDescent="0.3">
      <c r="B93" s="39">
        <f t="shared" si="17"/>
        <v>85</v>
      </c>
      <c r="C93" s="176" cm="1">
        <f t="array" aca="1" ref="C93" ca="1">OFFSET('Results Tables'!$D$27,0,'Appraisal Calcs - IFRS 17'!B92:B92)</f>
        <v>-365.68688402625372</v>
      </c>
      <c r="D93" s="174"/>
      <c r="E93" s="123">
        <f ca="1">OFFSET('CAR Calcs'!$C$59,0,COUNTA('Appraisal Calcs - IFRS 17'!$B$9:B93))</f>
        <v>15.85775859036813</v>
      </c>
      <c r="F93" s="177">
        <f t="shared" ca="1" si="95"/>
        <v>3434.6686309299589</v>
      </c>
      <c r="G93" s="123">
        <f ca="1">E93+SUM(D$8:D93)</f>
        <v>15.85775859036813</v>
      </c>
      <c r="H93" s="178">
        <f t="shared" ca="1" si="94"/>
        <v>0</v>
      </c>
      <c r="I93" s="177">
        <f t="shared" ca="1" si="96"/>
        <v>0.79288792951840659</v>
      </c>
      <c r="J93" s="177">
        <f t="shared" ca="1" si="97"/>
        <v>-364.89399609673529</v>
      </c>
      <c r="K93" s="177">
        <f t="shared" ca="1" si="98"/>
        <v>0</v>
      </c>
      <c r="L93" s="177">
        <f t="shared" ca="1" si="99"/>
        <v>-364.89399609673529</v>
      </c>
      <c r="M93" s="177">
        <f t="shared" ca="1" si="100"/>
        <v>3069.7746348332234</v>
      </c>
      <c r="N93" s="32">
        <f t="shared" ca="1" si="81"/>
        <v>-23.010439591277979</v>
      </c>
      <c r="O93" s="31">
        <f t="shared" si="101"/>
        <v>3373913544.5961642</v>
      </c>
      <c r="P93" s="179">
        <f t="shared" ca="1" si="102"/>
        <v>9.0985574889728112E-7</v>
      </c>
      <c r="R93" s="39">
        <f t="shared" si="23"/>
        <v>85</v>
      </c>
      <c r="S93" s="29">
        <f t="shared" ca="1" si="103"/>
        <v>3069.7746348332234</v>
      </c>
      <c r="T93" s="10">
        <f t="shared" si="104"/>
        <v>79729.461774726515</v>
      </c>
      <c r="U93" s="47">
        <f t="shared" ca="1" si="105"/>
        <v>3.8502387530305805E-2</v>
      </c>
      <c r="W93" s="68">
        <f t="shared" si="24"/>
        <v>85</v>
      </c>
      <c r="X93" s="29">
        <f t="shared" ca="1" si="106"/>
        <v>3069.7746348332234</v>
      </c>
      <c r="Y93" s="29">
        <f t="shared" ca="1" si="107"/>
        <v>-32851507.464156378</v>
      </c>
      <c r="Z93" s="61">
        <f t="shared" si="108"/>
        <v>79729.461774726515</v>
      </c>
      <c r="AA93" s="62">
        <f t="shared" ca="1" si="109"/>
        <v>3.8502387530305805E-2</v>
      </c>
      <c r="AB93" s="57">
        <f t="shared" ca="1" si="110"/>
        <v>13872337.794596931</v>
      </c>
      <c r="AC93" s="58" t="str">
        <f t="shared" ca="1" si="111"/>
        <v>Payback is Later</v>
      </c>
      <c r="AD93" s="59">
        <f t="shared" ca="1" si="112"/>
        <v>85</v>
      </c>
      <c r="AF93" s="60">
        <f t="shared" si="82"/>
        <v>85</v>
      </c>
      <c r="AG93" s="84">
        <f t="shared" ca="1" si="84"/>
        <v>-364.89399609673529</v>
      </c>
      <c r="AH93" s="61">
        <f t="shared" si="85"/>
        <v>79729.461774726515</v>
      </c>
      <c r="AI93" s="29">
        <f t="shared" ca="1" si="86"/>
        <v>-4.5766519423865379E-3</v>
      </c>
      <c r="AJ93" s="57">
        <f t="shared" ca="1" si="87"/>
        <v>3434.6686309299589</v>
      </c>
      <c r="AK93" s="80">
        <f t="shared" ca="1" si="88"/>
        <v>-2.2518017198322742</v>
      </c>
      <c r="AL93" s="57">
        <f t="shared" ca="1" si="89"/>
        <v>-2.8243031743957842E-5</v>
      </c>
      <c r="AM93" s="185">
        <f ca="1">OFFSET('Combined IFRS17 Cashflows'!$E$25,0,COUNTA('Appraisal Calcs - IFRS 17'!$AF$9:AF93))</f>
        <v>6.5908525249837124</v>
      </c>
      <c r="AN93" s="81">
        <f t="shared" ca="1" si="90"/>
        <v>8.2665207794905125E-5</v>
      </c>
      <c r="AP93" s="60">
        <f t="shared" si="83"/>
        <v>85</v>
      </c>
      <c r="AQ93" s="61">
        <f t="shared" si="91"/>
        <v>79729.461774726515</v>
      </c>
      <c r="AR93" s="90">
        <f t="shared" ca="1" si="92"/>
        <v>-4.3079039472692343E-2</v>
      </c>
      <c r="AS93" s="85">
        <f t="shared" ca="1" si="93"/>
        <v>-4.5766519423865379E-3</v>
      </c>
    </row>
    <row r="94" spans="2:45" x14ac:dyDescent="0.3">
      <c r="B94" s="39">
        <f t="shared" si="17"/>
        <v>86</v>
      </c>
      <c r="C94" s="176" cm="1">
        <f t="array" aca="1" ref="C94" ca="1">OFFSET('Results Tables'!$D$27,0,'Appraisal Calcs - IFRS 17'!B93:B93)</f>
        <v>9.1784301048392077E-9</v>
      </c>
      <c r="D94" s="174"/>
      <c r="E94" s="123">
        <f ca="1">OFFSET('CAR Calcs'!$C$59,0,COUNTA('Appraisal Calcs - IFRS 17'!$B$9:B94))</f>
        <v>6.1447735339873741</v>
      </c>
      <c r="F94" s="177">
        <f t="shared" ref="F94:F107" ca="1" si="113">E93-E94</f>
        <v>9.7129850563807558</v>
      </c>
      <c r="G94" s="123">
        <f ca="1">E94+SUM(D$8:D94)</f>
        <v>6.1447735339873741</v>
      </c>
      <c r="H94" s="178">
        <f t="shared" ref="H94:H107" ca="1" si="114">E94*0</f>
        <v>0</v>
      </c>
      <c r="I94" s="177">
        <f t="shared" ref="I94:I107" ca="1" si="115">E94*Required_Return_On_CAR</f>
        <v>0.30723867669936872</v>
      </c>
      <c r="J94" s="177">
        <f t="shared" ref="J94:J107" ca="1" si="116">C94+I94</f>
        <v>0.30723868587779884</v>
      </c>
      <c r="K94" s="177">
        <f t="shared" ref="K94:K107" ca="1" si="117">IF(J94&lt;0,0,J94*Corporate_Tax_Rate)</f>
        <v>6.7592510893115743E-2</v>
      </c>
      <c r="L94" s="177">
        <f t="shared" ref="L94:L107" ca="1" si="118">J94-K94</f>
        <v>0.2396461749846831</v>
      </c>
      <c r="M94" s="177">
        <f t="shared" ref="M94:M107" ca="1" si="119">D94+F94+H94+L94</f>
        <v>9.952631231365439</v>
      </c>
      <c r="N94" s="32">
        <f t="shared" ca="1" si="81"/>
        <v>3.9000001165083703E-2</v>
      </c>
      <c r="O94" s="31">
        <f t="shared" ref="O94:O107" si="120">(1+$O$3)^B94</f>
        <v>4367467111.3809147</v>
      </c>
      <c r="P94" s="179">
        <f t="shared" ref="P94:P107" ca="1" si="121">M94/O94</f>
        <v>2.2788108021307103E-9</v>
      </c>
      <c r="R94" s="39">
        <f t="shared" si="23"/>
        <v>86</v>
      </c>
      <c r="S94" s="29">
        <f t="shared" ref="S94:S107" ca="1" si="122">M94</f>
        <v>9.952631231365439</v>
      </c>
      <c r="T94" s="10">
        <f t="shared" ref="T94:T107" si="123">(1+$T$3)^R94</f>
        <v>91051.045346737679</v>
      </c>
      <c r="U94" s="47">
        <f t="shared" ref="U94:U107" ca="1" si="124">S94/T94</f>
        <v>1.0930825882848624E-4</v>
      </c>
      <c r="W94" s="68">
        <f t="shared" si="24"/>
        <v>86</v>
      </c>
      <c r="X94" s="29">
        <f t="shared" ref="X94:X107" ca="1" si="125">S94</f>
        <v>9.952631231365439</v>
      </c>
      <c r="Y94" s="29">
        <f t="shared" ref="Y94:Y107" ca="1" si="126">Y93+X94</f>
        <v>-32851497.511525147</v>
      </c>
      <c r="Z94" s="61">
        <f t="shared" ref="Z94:Z107" si="127">(1+$T$3)^W94</f>
        <v>91051.045346737679</v>
      </c>
      <c r="AA94" s="62">
        <f t="shared" ref="AA94:AA107" ca="1" si="128">X94/Z94</f>
        <v>1.0930825882848624E-4</v>
      </c>
      <c r="AB94" s="57">
        <f t="shared" ref="AB94:AB107" ca="1" si="129">AB93+AA94</f>
        <v>13872337.794706238</v>
      </c>
      <c r="AC94" s="58" t="str">
        <f t="shared" ref="AC94:AC107" ca="1" si="130">IF(Y94&gt;=0,W94,"Payback is Later")</f>
        <v>Payback is Later</v>
      </c>
      <c r="AD94" s="59">
        <f t="shared" ref="AD94:AD107" ca="1" si="131">IF(AB94&gt;=0,W94,"Discounted Payback is Later")</f>
        <v>86</v>
      </c>
      <c r="AF94" s="60">
        <f t="shared" si="82"/>
        <v>86</v>
      </c>
      <c r="AG94" s="84">
        <f t="shared" ca="1" si="84"/>
        <v>0.2396461749846831</v>
      </c>
      <c r="AH94" s="61">
        <f t="shared" si="85"/>
        <v>91051.045346737679</v>
      </c>
      <c r="AI94" s="29">
        <f t="shared" ca="1" si="86"/>
        <v>2.6319980629774234E-6</v>
      </c>
      <c r="AJ94" s="57">
        <f t="shared" ca="1" si="87"/>
        <v>9.7129850563807558</v>
      </c>
      <c r="AK94" s="80">
        <f t="shared" ca="1" si="88"/>
        <v>-0.8725578418262071</v>
      </c>
      <c r="AL94" s="57">
        <f t="shared" ca="1" si="89"/>
        <v>-9.5831721481434977E-6</v>
      </c>
      <c r="AM94" s="185">
        <f ca="1">OFFSET('Combined IFRS17 Cashflows'!$E$25,0,COUNTA('Appraisal Calcs - IFRS 17'!$AF$9:AF94))</f>
        <v>0</v>
      </c>
      <c r="AN94" s="81">
        <f t="shared" ca="1" si="90"/>
        <v>0</v>
      </c>
      <c r="AP94" s="60">
        <f t="shared" si="83"/>
        <v>86</v>
      </c>
      <c r="AQ94" s="61">
        <f t="shared" si="91"/>
        <v>91051.045346737679</v>
      </c>
      <c r="AR94" s="90">
        <f t="shared" ca="1" si="92"/>
        <v>-1.066762607655088E-4</v>
      </c>
      <c r="AS94" s="85">
        <f t="shared" ca="1" si="93"/>
        <v>2.6319980629774234E-6</v>
      </c>
    </row>
    <row r="95" spans="2:45" x14ac:dyDescent="0.3">
      <c r="B95" s="39">
        <f t="shared" si="17"/>
        <v>87</v>
      </c>
      <c r="C95" s="176" cm="1">
        <f t="array" aca="1" ref="C95" ca="1">OFFSET('Results Tables'!$D$27,0,'Appraisal Calcs - IFRS 17'!B94:B94)</f>
        <v>0</v>
      </c>
      <c r="D95" s="174"/>
      <c r="E95" s="123">
        <f ca="1">OFFSET('CAR Calcs'!$C$59,0,COUNTA('Appraisal Calcs - IFRS 17'!$B$9:B95))</f>
        <v>0</v>
      </c>
      <c r="F95" s="177">
        <f t="shared" ca="1" si="113"/>
        <v>6.1447735339873741</v>
      </c>
      <c r="G95" s="123">
        <f ca="1">E95+SUM(D$8:D95)</f>
        <v>0</v>
      </c>
      <c r="H95" s="178">
        <f t="shared" ca="1" si="114"/>
        <v>0</v>
      </c>
      <c r="I95" s="177">
        <f t="shared" ca="1" si="115"/>
        <v>0</v>
      </c>
      <c r="J95" s="177">
        <f t="shared" ca="1" si="116"/>
        <v>0</v>
      </c>
      <c r="K95" s="177">
        <f t="shared" ca="1" si="117"/>
        <v>0</v>
      </c>
      <c r="L95" s="177">
        <f t="shared" ca="1" si="118"/>
        <v>0</v>
      </c>
      <c r="M95" s="177">
        <f t="shared" ca="1" si="119"/>
        <v>6.1447735339873741</v>
      </c>
      <c r="N95" s="32">
        <f t="shared" ca="1" si="81"/>
        <v>0</v>
      </c>
      <c r="O95" s="31">
        <f t="shared" si="120"/>
        <v>5653603365.0136347</v>
      </c>
      <c r="P95" s="179">
        <f t="shared" ca="1" si="121"/>
        <v>1.0868773660376075E-9</v>
      </c>
      <c r="R95" s="39">
        <f t="shared" si="23"/>
        <v>87</v>
      </c>
      <c r="S95" s="29">
        <f t="shared" ca="1" si="122"/>
        <v>6.1447735339873741</v>
      </c>
      <c r="T95" s="10">
        <f t="shared" si="123"/>
        <v>103980.29378597443</v>
      </c>
      <c r="U95" s="47">
        <f t="shared" ca="1" si="124"/>
        <v>5.9095558497221936E-5</v>
      </c>
      <c r="W95" s="68">
        <f t="shared" si="24"/>
        <v>87</v>
      </c>
      <c r="X95" s="29">
        <f t="shared" ca="1" si="125"/>
        <v>6.1447735339873741</v>
      </c>
      <c r="Y95" s="29">
        <f t="shared" ca="1" si="126"/>
        <v>-32851491.366751611</v>
      </c>
      <c r="Z95" s="61">
        <f t="shared" si="127"/>
        <v>103980.29378597443</v>
      </c>
      <c r="AA95" s="62">
        <f t="shared" ca="1" si="128"/>
        <v>5.9095558497221936E-5</v>
      </c>
      <c r="AB95" s="57">
        <f t="shared" ca="1" si="129"/>
        <v>13872337.794765335</v>
      </c>
      <c r="AC95" s="58" t="str">
        <f t="shared" ca="1" si="130"/>
        <v>Payback is Later</v>
      </c>
      <c r="AD95" s="59">
        <f t="shared" ca="1" si="131"/>
        <v>87</v>
      </c>
      <c r="AF95" s="60">
        <f t="shared" si="82"/>
        <v>87</v>
      </c>
      <c r="AG95" s="84">
        <f t="shared" ca="1" si="84"/>
        <v>0</v>
      </c>
      <c r="AH95" s="61">
        <f t="shared" si="85"/>
        <v>103980.29378597443</v>
      </c>
      <c r="AI95" s="29">
        <f t="shared" ca="1" si="86"/>
        <v>0</v>
      </c>
      <c r="AJ95" s="57">
        <f t="shared" ca="1" si="87"/>
        <v>6.1447735339873741</v>
      </c>
      <c r="AK95" s="80">
        <f t="shared" ca="1" si="88"/>
        <v>0</v>
      </c>
      <c r="AL95" s="57">
        <f t="shared" ca="1" si="89"/>
        <v>0</v>
      </c>
      <c r="AM95" s="185">
        <f ca="1">OFFSET('Combined IFRS17 Cashflows'!$E$25,0,COUNTA('Appraisal Calcs - IFRS 17'!$AF$9:AF95))</f>
        <v>0</v>
      </c>
      <c r="AN95" s="81">
        <f t="shared" ca="1" si="90"/>
        <v>0</v>
      </c>
      <c r="AP95" s="60">
        <f t="shared" si="83"/>
        <v>87</v>
      </c>
      <c r="AQ95" s="61">
        <f t="shared" si="91"/>
        <v>103980.29378597443</v>
      </c>
      <c r="AR95" s="90">
        <f t="shared" ca="1" si="92"/>
        <v>-5.9095558497221936E-5</v>
      </c>
      <c r="AS95" s="85">
        <f t="shared" ca="1" si="93"/>
        <v>0</v>
      </c>
    </row>
    <row r="96" spans="2:45" x14ac:dyDescent="0.3">
      <c r="B96" s="39">
        <f t="shared" si="17"/>
        <v>88</v>
      </c>
      <c r="C96" s="176" cm="1">
        <f t="array" aca="1" ref="C96" ca="1">OFFSET('Results Tables'!$D$27,0,'Appraisal Calcs - IFRS 17'!B95:B95)</f>
        <v>0</v>
      </c>
      <c r="D96" s="174"/>
      <c r="E96" s="123">
        <f ca="1">OFFSET('CAR Calcs'!$C$59,0,COUNTA('Appraisal Calcs - IFRS 17'!$B$9:B96))</f>
        <v>0</v>
      </c>
      <c r="F96" s="177">
        <f t="shared" ca="1" si="113"/>
        <v>0</v>
      </c>
      <c r="G96" s="123">
        <f ca="1">E96+SUM(D$8:D96)</f>
        <v>0</v>
      </c>
      <c r="H96" s="178">
        <f t="shared" ca="1" si="114"/>
        <v>0</v>
      </c>
      <c r="I96" s="177">
        <f t="shared" ca="1" si="115"/>
        <v>0</v>
      </c>
      <c r="J96" s="177">
        <f t="shared" ca="1" si="116"/>
        <v>0</v>
      </c>
      <c r="K96" s="177">
        <f t="shared" ca="1" si="117"/>
        <v>0</v>
      </c>
      <c r="L96" s="177">
        <f t="shared" ca="1" si="118"/>
        <v>0</v>
      </c>
      <c r="M96" s="177">
        <f t="shared" ca="1" si="119"/>
        <v>0</v>
      </c>
      <c r="N96" s="32">
        <f t="shared" ca="1" si="81"/>
        <v>0</v>
      </c>
      <c r="O96" s="31">
        <f t="shared" si="120"/>
        <v>7318482359.1693363</v>
      </c>
      <c r="P96" s="179">
        <f t="shared" ca="1" si="121"/>
        <v>0</v>
      </c>
      <c r="R96" s="39">
        <f t="shared" si="23"/>
        <v>88</v>
      </c>
      <c r="S96" s="29">
        <f t="shared" ca="1" si="122"/>
        <v>0</v>
      </c>
      <c r="T96" s="10">
        <f t="shared" si="123"/>
        <v>118745.49550358277</v>
      </c>
      <c r="U96" s="47">
        <f t="shared" ca="1" si="124"/>
        <v>0</v>
      </c>
      <c r="W96" s="68">
        <f t="shared" si="24"/>
        <v>88</v>
      </c>
      <c r="X96" s="29">
        <f t="shared" ca="1" si="125"/>
        <v>0</v>
      </c>
      <c r="Y96" s="29">
        <f t="shared" ca="1" si="126"/>
        <v>-32851491.366751611</v>
      </c>
      <c r="Z96" s="61">
        <f t="shared" si="127"/>
        <v>118745.49550358277</v>
      </c>
      <c r="AA96" s="62">
        <f t="shared" ca="1" si="128"/>
        <v>0</v>
      </c>
      <c r="AB96" s="57">
        <f t="shared" ca="1" si="129"/>
        <v>13872337.794765335</v>
      </c>
      <c r="AC96" s="58" t="str">
        <f t="shared" ca="1" si="130"/>
        <v>Payback is Later</v>
      </c>
      <c r="AD96" s="59">
        <f t="shared" ca="1" si="131"/>
        <v>88</v>
      </c>
      <c r="AF96" s="60">
        <f t="shared" si="82"/>
        <v>88</v>
      </c>
      <c r="AG96" s="84">
        <f t="shared" ca="1" si="84"/>
        <v>0</v>
      </c>
      <c r="AH96" s="61">
        <f t="shared" si="85"/>
        <v>118745.49550358277</v>
      </c>
      <c r="AI96" s="29">
        <f t="shared" ca="1" si="86"/>
        <v>0</v>
      </c>
      <c r="AJ96" s="57">
        <f t="shared" ca="1" si="87"/>
        <v>0</v>
      </c>
      <c r="AK96" s="80">
        <f t="shared" ca="1" si="88"/>
        <v>0</v>
      </c>
      <c r="AL96" s="57">
        <f t="shared" ca="1" si="89"/>
        <v>0</v>
      </c>
      <c r="AM96" s="185">
        <f ca="1">OFFSET('Combined IFRS17 Cashflows'!$E$25,0,COUNTA('Appraisal Calcs - IFRS 17'!$AF$9:AF96))</f>
        <v>0</v>
      </c>
      <c r="AN96" s="81">
        <f t="shared" ca="1" si="90"/>
        <v>0</v>
      </c>
      <c r="AP96" s="60">
        <f t="shared" si="83"/>
        <v>88</v>
      </c>
      <c r="AQ96" s="61">
        <f t="shared" si="91"/>
        <v>118745.49550358277</v>
      </c>
      <c r="AR96" s="90">
        <f t="shared" ca="1" si="92"/>
        <v>0</v>
      </c>
      <c r="AS96" s="85">
        <f t="shared" ca="1" si="93"/>
        <v>0</v>
      </c>
    </row>
    <row r="97" spans="2:103" x14ac:dyDescent="0.3">
      <c r="B97" s="39">
        <f t="shared" si="17"/>
        <v>89</v>
      </c>
      <c r="C97" s="176" cm="1">
        <f t="array" aca="1" ref="C97" ca="1">OFFSET('Results Tables'!$D$27,0,'Appraisal Calcs - IFRS 17'!B96:B96)</f>
        <v>0</v>
      </c>
      <c r="D97" s="174"/>
      <c r="E97" s="123">
        <f ca="1">OFFSET('CAR Calcs'!$C$59,0,COUNTA('Appraisal Calcs - IFRS 17'!$B$9:B97))</f>
        <v>0</v>
      </c>
      <c r="F97" s="177">
        <f t="shared" ca="1" si="113"/>
        <v>0</v>
      </c>
      <c r="G97" s="123">
        <f ca="1">E97+SUM(D$8:D97)</f>
        <v>0</v>
      </c>
      <c r="H97" s="178">
        <f t="shared" ca="1" si="114"/>
        <v>0</v>
      </c>
      <c r="I97" s="177">
        <f t="shared" ca="1" si="115"/>
        <v>0</v>
      </c>
      <c r="J97" s="177">
        <f t="shared" ca="1" si="116"/>
        <v>0</v>
      </c>
      <c r="K97" s="177">
        <f t="shared" ca="1" si="117"/>
        <v>0</v>
      </c>
      <c r="L97" s="177">
        <f t="shared" ca="1" si="118"/>
        <v>0</v>
      </c>
      <c r="M97" s="177">
        <f t="shared" ca="1" si="119"/>
        <v>0</v>
      </c>
      <c r="N97" s="32">
        <f t="shared" ca="1" si="81"/>
        <v>0</v>
      </c>
      <c r="O97" s="31">
        <f t="shared" si="120"/>
        <v>9473636649.6668129</v>
      </c>
      <c r="P97" s="179">
        <f t="shared" ca="1" si="121"/>
        <v>0</v>
      </c>
      <c r="R97" s="39">
        <f t="shared" si="23"/>
        <v>89</v>
      </c>
      <c r="S97" s="29">
        <f t="shared" ca="1" si="122"/>
        <v>0</v>
      </c>
      <c r="T97" s="10">
        <f t="shared" si="123"/>
        <v>135607.35586509152</v>
      </c>
      <c r="U97" s="47">
        <f t="shared" ca="1" si="124"/>
        <v>0</v>
      </c>
      <c r="W97" s="68">
        <f t="shared" si="24"/>
        <v>89</v>
      </c>
      <c r="X97" s="29">
        <f t="shared" ca="1" si="125"/>
        <v>0</v>
      </c>
      <c r="Y97" s="29">
        <f t="shared" ca="1" si="126"/>
        <v>-32851491.366751611</v>
      </c>
      <c r="Z97" s="61">
        <f t="shared" si="127"/>
        <v>135607.35586509152</v>
      </c>
      <c r="AA97" s="62">
        <f t="shared" ca="1" si="128"/>
        <v>0</v>
      </c>
      <c r="AB97" s="57">
        <f t="shared" ca="1" si="129"/>
        <v>13872337.794765335</v>
      </c>
      <c r="AC97" s="58" t="str">
        <f t="shared" ca="1" si="130"/>
        <v>Payback is Later</v>
      </c>
      <c r="AD97" s="59">
        <f t="shared" ca="1" si="131"/>
        <v>89</v>
      </c>
      <c r="AF97" s="60">
        <f t="shared" si="82"/>
        <v>89</v>
      </c>
      <c r="AG97" s="84">
        <f t="shared" ca="1" si="84"/>
        <v>0</v>
      </c>
      <c r="AH97" s="61">
        <f t="shared" si="85"/>
        <v>135607.35586509152</v>
      </c>
      <c r="AI97" s="29">
        <f t="shared" ca="1" si="86"/>
        <v>0</v>
      </c>
      <c r="AJ97" s="57">
        <f t="shared" ca="1" si="87"/>
        <v>0</v>
      </c>
      <c r="AK97" s="80">
        <f t="shared" ca="1" si="88"/>
        <v>0</v>
      </c>
      <c r="AL97" s="57">
        <f t="shared" ca="1" si="89"/>
        <v>0</v>
      </c>
      <c r="AM97" s="185">
        <f ca="1">OFFSET('Combined IFRS17 Cashflows'!$E$25,0,COUNTA('Appraisal Calcs - IFRS 17'!$AF$9:AF97))</f>
        <v>0</v>
      </c>
      <c r="AN97" s="81">
        <f t="shared" ca="1" si="90"/>
        <v>0</v>
      </c>
      <c r="AP97" s="60">
        <f t="shared" si="83"/>
        <v>89</v>
      </c>
      <c r="AQ97" s="61">
        <f t="shared" si="91"/>
        <v>135607.35586509152</v>
      </c>
      <c r="AR97" s="90">
        <f t="shared" ca="1" si="92"/>
        <v>0</v>
      </c>
      <c r="AS97" s="85">
        <f t="shared" ca="1" si="93"/>
        <v>0</v>
      </c>
    </row>
    <row r="98" spans="2:103" x14ac:dyDescent="0.3">
      <c r="B98" s="39">
        <f t="shared" si="17"/>
        <v>90</v>
      </c>
      <c r="C98" s="176" cm="1">
        <f t="array" aca="1" ref="C98" ca="1">OFFSET('Results Tables'!$D$27,0,'Appraisal Calcs - IFRS 17'!B97:B97)</f>
        <v>0</v>
      </c>
      <c r="D98" s="174"/>
      <c r="E98" s="123">
        <f ca="1">OFFSET('CAR Calcs'!$C$59,0,COUNTA('Appraisal Calcs - IFRS 17'!$B$9:B98))</f>
        <v>0</v>
      </c>
      <c r="F98" s="177">
        <f t="shared" ca="1" si="113"/>
        <v>0</v>
      </c>
      <c r="G98" s="123">
        <f ca="1">E98+SUM(D$8:D98)</f>
        <v>0</v>
      </c>
      <c r="H98" s="178">
        <f t="shared" ca="1" si="114"/>
        <v>0</v>
      </c>
      <c r="I98" s="177">
        <f t="shared" ca="1" si="115"/>
        <v>0</v>
      </c>
      <c r="J98" s="177">
        <f t="shared" ca="1" si="116"/>
        <v>0</v>
      </c>
      <c r="K98" s="177">
        <f t="shared" ca="1" si="117"/>
        <v>0</v>
      </c>
      <c r="L98" s="177">
        <f t="shared" ca="1" si="118"/>
        <v>0</v>
      </c>
      <c r="M98" s="177">
        <f t="shared" ca="1" si="119"/>
        <v>0</v>
      </c>
      <c r="N98" s="32">
        <f t="shared" ca="1" si="81"/>
        <v>0</v>
      </c>
      <c r="O98" s="31">
        <f t="shared" si="120"/>
        <v>12263443015.267036</v>
      </c>
      <c r="P98" s="179">
        <f t="shared" ca="1" si="121"/>
        <v>0</v>
      </c>
      <c r="R98" s="39">
        <f t="shared" si="23"/>
        <v>90</v>
      </c>
      <c r="S98" s="29">
        <f t="shared" ca="1" si="122"/>
        <v>0</v>
      </c>
      <c r="T98" s="10">
        <f t="shared" si="123"/>
        <v>154863.6003979345</v>
      </c>
      <c r="U98" s="47">
        <f t="shared" ca="1" si="124"/>
        <v>0</v>
      </c>
      <c r="W98" s="68">
        <f t="shared" si="24"/>
        <v>90</v>
      </c>
      <c r="X98" s="29">
        <f t="shared" ca="1" si="125"/>
        <v>0</v>
      </c>
      <c r="Y98" s="29">
        <f t="shared" ca="1" si="126"/>
        <v>-32851491.366751611</v>
      </c>
      <c r="Z98" s="61">
        <f t="shared" si="127"/>
        <v>154863.6003979345</v>
      </c>
      <c r="AA98" s="62">
        <f t="shared" ca="1" si="128"/>
        <v>0</v>
      </c>
      <c r="AB98" s="57">
        <f t="shared" ca="1" si="129"/>
        <v>13872337.794765335</v>
      </c>
      <c r="AC98" s="58" t="str">
        <f t="shared" ca="1" si="130"/>
        <v>Payback is Later</v>
      </c>
      <c r="AD98" s="59">
        <f t="shared" ca="1" si="131"/>
        <v>90</v>
      </c>
      <c r="AF98" s="60">
        <f t="shared" si="82"/>
        <v>90</v>
      </c>
      <c r="AG98" s="84">
        <f t="shared" ca="1" si="84"/>
        <v>0</v>
      </c>
      <c r="AH98" s="61">
        <f t="shared" si="85"/>
        <v>154863.6003979345</v>
      </c>
      <c r="AI98" s="29">
        <f t="shared" ca="1" si="86"/>
        <v>0</v>
      </c>
      <c r="AJ98" s="57">
        <f t="shared" ca="1" si="87"/>
        <v>0</v>
      </c>
      <c r="AK98" s="80">
        <f t="shared" ca="1" si="88"/>
        <v>0</v>
      </c>
      <c r="AL98" s="57">
        <f t="shared" ca="1" si="89"/>
        <v>0</v>
      </c>
      <c r="AM98" s="185">
        <f ca="1">OFFSET('Combined IFRS17 Cashflows'!$E$25,0,COUNTA('Appraisal Calcs - IFRS 17'!$AF$9:AF98))</f>
        <v>0</v>
      </c>
      <c r="AN98" s="81">
        <f t="shared" ca="1" si="90"/>
        <v>0</v>
      </c>
      <c r="AP98" s="60">
        <f t="shared" si="83"/>
        <v>90</v>
      </c>
      <c r="AQ98" s="61">
        <f t="shared" si="91"/>
        <v>154863.6003979345</v>
      </c>
      <c r="AR98" s="90">
        <f t="shared" ca="1" si="92"/>
        <v>0</v>
      </c>
      <c r="AS98" s="85">
        <f t="shared" ca="1" si="93"/>
        <v>0</v>
      </c>
    </row>
    <row r="99" spans="2:103" x14ac:dyDescent="0.3">
      <c r="B99" s="39">
        <f t="shared" si="17"/>
        <v>91</v>
      </c>
      <c r="C99" s="176" cm="1">
        <f t="array" aca="1" ref="C99" ca="1">OFFSET('Results Tables'!$D$27,0,'Appraisal Calcs - IFRS 17'!B98:B98)</f>
        <v>0</v>
      </c>
      <c r="D99" s="174"/>
      <c r="E99" s="123">
        <f ca="1">OFFSET('CAR Calcs'!$C$59,0,COUNTA('Appraisal Calcs - IFRS 17'!$B$9:B99))</f>
        <v>0</v>
      </c>
      <c r="F99" s="177">
        <f t="shared" ca="1" si="113"/>
        <v>0</v>
      </c>
      <c r="G99" s="123">
        <f ca="1">E99+SUM(D$8:D99)</f>
        <v>0</v>
      </c>
      <c r="H99" s="178">
        <f t="shared" ca="1" si="114"/>
        <v>0</v>
      </c>
      <c r="I99" s="177">
        <f t="shared" ca="1" si="115"/>
        <v>0</v>
      </c>
      <c r="J99" s="177">
        <f t="shared" ca="1" si="116"/>
        <v>0</v>
      </c>
      <c r="K99" s="177">
        <f t="shared" ca="1" si="117"/>
        <v>0</v>
      </c>
      <c r="L99" s="177">
        <f t="shared" ca="1" si="118"/>
        <v>0</v>
      </c>
      <c r="M99" s="177">
        <f t="shared" ca="1" si="119"/>
        <v>0</v>
      </c>
      <c r="N99" s="32">
        <f t="shared" ca="1" si="81"/>
        <v>0</v>
      </c>
      <c r="O99" s="31">
        <f t="shared" si="120"/>
        <v>15874794458.576914</v>
      </c>
      <c r="P99" s="179">
        <f t="shared" ca="1" si="121"/>
        <v>0</v>
      </c>
      <c r="R99" s="39">
        <f t="shared" si="23"/>
        <v>91</v>
      </c>
      <c r="S99" s="29">
        <f t="shared" ca="1" si="122"/>
        <v>0</v>
      </c>
      <c r="T99" s="10">
        <f t="shared" si="123"/>
        <v>176854.23165444122</v>
      </c>
      <c r="U99" s="47">
        <f t="shared" ca="1" si="124"/>
        <v>0</v>
      </c>
      <c r="W99" s="68">
        <f t="shared" si="24"/>
        <v>91</v>
      </c>
      <c r="X99" s="29">
        <f t="shared" ca="1" si="125"/>
        <v>0</v>
      </c>
      <c r="Y99" s="29">
        <f t="shared" ca="1" si="126"/>
        <v>-32851491.366751611</v>
      </c>
      <c r="Z99" s="61">
        <f t="shared" si="127"/>
        <v>176854.23165444122</v>
      </c>
      <c r="AA99" s="62">
        <f t="shared" ca="1" si="128"/>
        <v>0</v>
      </c>
      <c r="AB99" s="57">
        <f t="shared" ca="1" si="129"/>
        <v>13872337.794765335</v>
      </c>
      <c r="AC99" s="58" t="str">
        <f t="shared" ca="1" si="130"/>
        <v>Payback is Later</v>
      </c>
      <c r="AD99" s="59">
        <f t="shared" ca="1" si="131"/>
        <v>91</v>
      </c>
      <c r="AF99" s="60">
        <f t="shared" si="82"/>
        <v>91</v>
      </c>
      <c r="AG99" s="84">
        <f t="shared" ca="1" si="84"/>
        <v>0</v>
      </c>
      <c r="AH99" s="61">
        <f t="shared" si="85"/>
        <v>176854.23165444122</v>
      </c>
      <c r="AI99" s="29">
        <f t="shared" ca="1" si="86"/>
        <v>0</v>
      </c>
      <c r="AJ99" s="57">
        <f t="shared" ca="1" si="87"/>
        <v>0</v>
      </c>
      <c r="AK99" s="80">
        <f t="shared" ca="1" si="88"/>
        <v>0</v>
      </c>
      <c r="AL99" s="57">
        <f t="shared" ca="1" si="89"/>
        <v>0</v>
      </c>
      <c r="AM99" s="185">
        <f ca="1">OFFSET('Combined IFRS17 Cashflows'!$E$25,0,COUNTA('Appraisal Calcs - IFRS 17'!$AF$9:AF99))</f>
        <v>0</v>
      </c>
      <c r="AN99" s="81">
        <f t="shared" ca="1" si="90"/>
        <v>0</v>
      </c>
      <c r="AP99" s="60">
        <f t="shared" si="83"/>
        <v>91</v>
      </c>
      <c r="AQ99" s="61">
        <f t="shared" si="91"/>
        <v>176854.23165444122</v>
      </c>
      <c r="AR99" s="90">
        <f t="shared" ca="1" si="92"/>
        <v>0</v>
      </c>
      <c r="AS99" s="85">
        <f t="shared" ca="1" si="93"/>
        <v>0</v>
      </c>
    </row>
    <row r="100" spans="2:103" x14ac:dyDescent="0.3">
      <c r="B100" s="39">
        <f t="shared" si="17"/>
        <v>92</v>
      </c>
      <c r="C100" s="176" cm="1">
        <f t="array" aca="1" ref="C100" ca="1">OFFSET('Results Tables'!$D$27,0,'Appraisal Calcs - IFRS 17'!B99:B99)</f>
        <v>0</v>
      </c>
      <c r="D100" s="174"/>
      <c r="E100" s="123">
        <f ca="1">OFFSET('CAR Calcs'!$C$59,0,COUNTA('Appraisal Calcs - IFRS 17'!$B$9:B100))</f>
        <v>0</v>
      </c>
      <c r="F100" s="177">
        <f t="shared" ca="1" si="113"/>
        <v>0</v>
      </c>
      <c r="G100" s="123">
        <f ca="1">E100+SUM(D$8:D100)</f>
        <v>0</v>
      </c>
      <c r="H100" s="178">
        <f t="shared" ca="1" si="114"/>
        <v>0</v>
      </c>
      <c r="I100" s="177">
        <f t="shared" ca="1" si="115"/>
        <v>0</v>
      </c>
      <c r="J100" s="177">
        <f t="shared" ca="1" si="116"/>
        <v>0</v>
      </c>
      <c r="K100" s="177">
        <f t="shared" ca="1" si="117"/>
        <v>0</v>
      </c>
      <c r="L100" s="177">
        <f t="shared" ca="1" si="118"/>
        <v>0</v>
      </c>
      <c r="M100" s="177">
        <f t="shared" ca="1" si="119"/>
        <v>0</v>
      </c>
      <c r="N100" s="32">
        <f t="shared" ca="1" si="81"/>
        <v>0</v>
      </c>
      <c r="O100" s="31">
        <f t="shared" si="120"/>
        <v>20549620427.830299</v>
      </c>
      <c r="P100" s="179">
        <f t="shared" ca="1" si="121"/>
        <v>0</v>
      </c>
      <c r="R100" s="39">
        <f t="shared" si="23"/>
        <v>92</v>
      </c>
      <c r="S100" s="29">
        <f t="shared" ca="1" si="122"/>
        <v>0</v>
      </c>
      <c r="T100" s="10">
        <f t="shared" si="123"/>
        <v>201967.53254937186</v>
      </c>
      <c r="U100" s="47">
        <f t="shared" ca="1" si="124"/>
        <v>0</v>
      </c>
      <c r="W100" s="68">
        <f t="shared" si="24"/>
        <v>92</v>
      </c>
      <c r="X100" s="29">
        <f t="shared" ca="1" si="125"/>
        <v>0</v>
      </c>
      <c r="Y100" s="29">
        <f t="shared" ca="1" si="126"/>
        <v>-32851491.366751611</v>
      </c>
      <c r="Z100" s="61">
        <f t="shared" si="127"/>
        <v>201967.53254937186</v>
      </c>
      <c r="AA100" s="62">
        <f t="shared" ca="1" si="128"/>
        <v>0</v>
      </c>
      <c r="AB100" s="57">
        <f t="shared" ca="1" si="129"/>
        <v>13872337.794765335</v>
      </c>
      <c r="AC100" s="58" t="str">
        <f t="shared" ca="1" si="130"/>
        <v>Payback is Later</v>
      </c>
      <c r="AD100" s="59">
        <f t="shared" ca="1" si="131"/>
        <v>92</v>
      </c>
      <c r="AF100" s="60">
        <f t="shared" si="82"/>
        <v>92</v>
      </c>
      <c r="AG100" s="84">
        <f t="shared" ca="1" si="84"/>
        <v>0</v>
      </c>
      <c r="AH100" s="61">
        <f t="shared" si="85"/>
        <v>201967.53254937186</v>
      </c>
      <c r="AI100" s="29">
        <f t="shared" ca="1" si="86"/>
        <v>0</v>
      </c>
      <c r="AJ100" s="57">
        <f t="shared" ca="1" si="87"/>
        <v>0</v>
      </c>
      <c r="AK100" s="80">
        <f t="shared" ca="1" si="88"/>
        <v>0</v>
      </c>
      <c r="AL100" s="57">
        <f t="shared" ca="1" si="89"/>
        <v>0</v>
      </c>
      <c r="AM100" s="185">
        <f ca="1">OFFSET('Combined IFRS17 Cashflows'!$E$25,0,COUNTA('Appraisal Calcs - IFRS 17'!$AF$9:AF100))</f>
        <v>0</v>
      </c>
      <c r="AN100" s="81">
        <f t="shared" ca="1" si="90"/>
        <v>0</v>
      </c>
      <c r="AP100" s="60">
        <f t="shared" si="83"/>
        <v>92</v>
      </c>
      <c r="AQ100" s="61">
        <f t="shared" si="91"/>
        <v>201967.53254937186</v>
      </c>
      <c r="AR100" s="90">
        <f t="shared" ca="1" si="92"/>
        <v>0</v>
      </c>
      <c r="AS100" s="85">
        <f t="shared" ca="1" si="93"/>
        <v>0</v>
      </c>
    </row>
    <row r="101" spans="2:103" x14ac:dyDescent="0.3">
      <c r="B101" s="39">
        <f t="shared" si="17"/>
        <v>93</v>
      </c>
      <c r="C101" s="176" cm="1">
        <f t="array" aca="1" ref="C101" ca="1">OFFSET('Results Tables'!$D$27,0,'Appraisal Calcs - IFRS 17'!B100:B100)</f>
        <v>0</v>
      </c>
      <c r="D101" s="174"/>
      <c r="E101" s="123">
        <f ca="1">OFFSET('CAR Calcs'!$C$59,0,COUNTA('Appraisal Calcs - IFRS 17'!$B$9:B101))</f>
        <v>0</v>
      </c>
      <c r="F101" s="177">
        <f t="shared" ca="1" si="113"/>
        <v>0</v>
      </c>
      <c r="G101" s="123">
        <f ca="1">E101+SUM(D$8:D101)</f>
        <v>0</v>
      </c>
      <c r="H101" s="178">
        <f t="shared" ca="1" si="114"/>
        <v>0</v>
      </c>
      <c r="I101" s="177">
        <f t="shared" ca="1" si="115"/>
        <v>0</v>
      </c>
      <c r="J101" s="177">
        <f t="shared" ca="1" si="116"/>
        <v>0</v>
      </c>
      <c r="K101" s="177">
        <f t="shared" ca="1" si="117"/>
        <v>0</v>
      </c>
      <c r="L101" s="177">
        <f t="shared" ca="1" si="118"/>
        <v>0</v>
      </c>
      <c r="M101" s="177">
        <f t="shared" ca="1" si="119"/>
        <v>0</v>
      </c>
      <c r="N101" s="32">
        <f t="shared" ca="1" si="81"/>
        <v>0</v>
      </c>
      <c r="O101" s="31">
        <f t="shared" si="120"/>
        <v>26601094006.590122</v>
      </c>
      <c r="P101" s="179">
        <f t="shared" ca="1" si="121"/>
        <v>0</v>
      </c>
      <c r="R101" s="39">
        <f t="shared" si="23"/>
        <v>93</v>
      </c>
      <c r="S101" s="29">
        <f t="shared" ca="1" si="122"/>
        <v>0</v>
      </c>
      <c r="T101" s="10">
        <f t="shared" si="123"/>
        <v>230646.92217138264</v>
      </c>
      <c r="U101" s="47">
        <f t="shared" ca="1" si="124"/>
        <v>0</v>
      </c>
      <c r="W101" s="68">
        <f t="shared" si="24"/>
        <v>93</v>
      </c>
      <c r="X101" s="29">
        <f t="shared" ca="1" si="125"/>
        <v>0</v>
      </c>
      <c r="Y101" s="29">
        <f t="shared" ca="1" si="126"/>
        <v>-32851491.366751611</v>
      </c>
      <c r="Z101" s="61">
        <f t="shared" si="127"/>
        <v>230646.92217138264</v>
      </c>
      <c r="AA101" s="62">
        <f t="shared" ca="1" si="128"/>
        <v>0</v>
      </c>
      <c r="AB101" s="57">
        <f t="shared" ca="1" si="129"/>
        <v>13872337.794765335</v>
      </c>
      <c r="AC101" s="58" t="str">
        <f t="shared" ca="1" si="130"/>
        <v>Payback is Later</v>
      </c>
      <c r="AD101" s="59">
        <f t="shared" ca="1" si="131"/>
        <v>93</v>
      </c>
      <c r="AF101" s="60">
        <f t="shared" si="82"/>
        <v>93</v>
      </c>
      <c r="AG101" s="84">
        <f t="shared" ca="1" si="84"/>
        <v>0</v>
      </c>
      <c r="AH101" s="61">
        <f t="shared" si="85"/>
        <v>230646.92217138264</v>
      </c>
      <c r="AI101" s="29">
        <f t="shared" ca="1" si="86"/>
        <v>0</v>
      </c>
      <c r="AJ101" s="57">
        <f t="shared" ca="1" si="87"/>
        <v>0</v>
      </c>
      <c r="AK101" s="80">
        <f t="shared" ca="1" si="88"/>
        <v>0</v>
      </c>
      <c r="AL101" s="57">
        <f t="shared" ca="1" si="89"/>
        <v>0</v>
      </c>
      <c r="AM101" s="185">
        <f ca="1">OFFSET('Combined IFRS17 Cashflows'!$E$25,0,COUNTA('Appraisal Calcs - IFRS 17'!$AF$9:AF101))</f>
        <v>0</v>
      </c>
      <c r="AN101" s="81">
        <f t="shared" ca="1" si="90"/>
        <v>0</v>
      </c>
      <c r="AP101" s="60">
        <f t="shared" si="83"/>
        <v>93</v>
      </c>
      <c r="AQ101" s="61">
        <f t="shared" si="91"/>
        <v>230646.92217138264</v>
      </c>
      <c r="AR101" s="90">
        <f t="shared" ca="1" si="92"/>
        <v>0</v>
      </c>
      <c r="AS101" s="85">
        <f t="shared" ca="1" si="93"/>
        <v>0</v>
      </c>
    </row>
    <row r="102" spans="2:103" x14ac:dyDescent="0.3">
      <c r="B102" s="39">
        <f t="shared" si="17"/>
        <v>94</v>
      </c>
      <c r="C102" s="176" cm="1">
        <f t="array" aca="1" ref="C102" ca="1">OFFSET('Results Tables'!$D$27,0,'Appraisal Calcs - IFRS 17'!B101:B101)</f>
        <v>0</v>
      </c>
      <c r="D102" s="174"/>
      <c r="E102" s="123">
        <f ca="1">OFFSET('CAR Calcs'!$C$59,0,COUNTA('Appraisal Calcs - IFRS 17'!$B$9:B102))</f>
        <v>0</v>
      </c>
      <c r="F102" s="177">
        <f t="shared" ca="1" si="113"/>
        <v>0</v>
      </c>
      <c r="G102" s="123">
        <f ca="1">E102+SUM(D$8:D102)</f>
        <v>0</v>
      </c>
      <c r="H102" s="178">
        <f t="shared" ca="1" si="114"/>
        <v>0</v>
      </c>
      <c r="I102" s="177">
        <f t="shared" ca="1" si="115"/>
        <v>0</v>
      </c>
      <c r="J102" s="177">
        <f t="shared" ca="1" si="116"/>
        <v>0</v>
      </c>
      <c r="K102" s="177">
        <f t="shared" ca="1" si="117"/>
        <v>0</v>
      </c>
      <c r="L102" s="177">
        <f t="shared" ca="1" si="118"/>
        <v>0</v>
      </c>
      <c r="M102" s="177">
        <f t="shared" ca="1" si="119"/>
        <v>0</v>
      </c>
      <c r="N102" s="32">
        <f t="shared" ca="1" si="81"/>
        <v>0</v>
      </c>
      <c r="O102" s="31">
        <f t="shared" si="120"/>
        <v>34434611813.516464</v>
      </c>
      <c r="P102" s="179">
        <f t="shared" ca="1" si="121"/>
        <v>0</v>
      </c>
      <c r="R102" s="39">
        <f t="shared" si="23"/>
        <v>94</v>
      </c>
      <c r="S102" s="29">
        <f t="shared" ca="1" si="122"/>
        <v>0</v>
      </c>
      <c r="T102" s="10">
        <f t="shared" si="123"/>
        <v>263398.78511971899</v>
      </c>
      <c r="U102" s="47">
        <f t="shared" ca="1" si="124"/>
        <v>0</v>
      </c>
      <c r="W102" s="68">
        <f t="shared" si="24"/>
        <v>94</v>
      </c>
      <c r="X102" s="29">
        <f t="shared" ca="1" si="125"/>
        <v>0</v>
      </c>
      <c r="Y102" s="29">
        <f t="shared" ca="1" si="126"/>
        <v>-32851491.366751611</v>
      </c>
      <c r="Z102" s="61">
        <f t="shared" si="127"/>
        <v>263398.78511971899</v>
      </c>
      <c r="AA102" s="62">
        <f t="shared" ca="1" si="128"/>
        <v>0</v>
      </c>
      <c r="AB102" s="57">
        <f t="shared" ca="1" si="129"/>
        <v>13872337.794765335</v>
      </c>
      <c r="AC102" s="58" t="str">
        <f t="shared" ca="1" si="130"/>
        <v>Payback is Later</v>
      </c>
      <c r="AD102" s="59">
        <f t="shared" ca="1" si="131"/>
        <v>94</v>
      </c>
      <c r="AF102" s="60">
        <f t="shared" si="82"/>
        <v>94</v>
      </c>
      <c r="AG102" s="84">
        <f t="shared" ca="1" si="84"/>
        <v>0</v>
      </c>
      <c r="AH102" s="61">
        <f t="shared" si="85"/>
        <v>263398.78511971899</v>
      </c>
      <c r="AI102" s="29">
        <f t="shared" ca="1" si="86"/>
        <v>0</v>
      </c>
      <c r="AJ102" s="57">
        <f t="shared" ca="1" si="87"/>
        <v>0</v>
      </c>
      <c r="AK102" s="80">
        <f t="shared" ca="1" si="88"/>
        <v>0</v>
      </c>
      <c r="AL102" s="57">
        <f t="shared" ca="1" si="89"/>
        <v>0</v>
      </c>
      <c r="AM102" s="185">
        <f ca="1">OFFSET('Combined IFRS17 Cashflows'!$E$25,0,COUNTA('Appraisal Calcs - IFRS 17'!$AF$9:AF102))</f>
        <v>0</v>
      </c>
      <c r="AN102" s="81">
        <f t="shared" ca="1" si="90"/>
        <v>0</v>
      </c>
      <c r="AP102" s="60">
        <f t="shared" si="83"/>
        <v>94</v>
      </c>
      <c r="AQ102" s="61">
        <f t="shared" si="91"/>
        <v>263398.78511971899</v>
      </c>
      <c r="AR102" s="90">
        <f t="shared" ca="1" si="92"/>
        <v>0</v>
      </c>
      <c r="AS102" s="85">
        <f t="shared" ca="1" si="93"/>
        <v>0</v>
      </c>
    </row>
    <row r="103" spans="2:103" x14ac:dyDescent="0.3">
      <c r="B103" s="39">
        <f t="shared" si="17"/>
        <v>95</v>
      </c>
      <c r="C103" s="176" cm="1">
        <f t="array" aca="1" ref="C103" ca="1">OFFSET('Results Tables'!$D$27,0,'Appraisal Calcs - IFRS 17'!B102:B102)</f>
        <v>0</v>
      </c>
      <c r="D103" s="174"/>
      <c r="E103" s="123">
        <f ca="1">OFFSET('CAR Calcs'!$C$59,0,COUNTA('Appraisal Calcs - IFRS 17'!$B$9:B103))</f>
        <v>0</v>
      </c>
      <c r="F103" s="177">
        <f t="shared" ca="1" si="113"/>
        <v>0</v>
      </c>
      <c r="G103" s="123">
        <f ca="1">E103+SUM(D$8:D103)</f>
        <v>0</v>
      </c>
      <c r="H103" s="178">
        <f t="shared" ca="1" si="114"/>
        <v>0</v>
      </c>
      <c r="I103" s="177">
        <f t="shared" ca="1" si="115"/>
        <v>0</v>
      </c>
      <c r="J103" s="177">
        <f t="shared" ca="1" si="116"/>
        <v>0</v>
      </c>
      <c r="K103" s="177">
        <f t="shared" ca="1" si="117"/>
        <v>0</v>
      </c>
      <c r="L103" s="177">
        <f t="shared" ca="1" si="118"/>
        <v>0</v>
      </c>
      <c r="M103" s="177">
        <f t="shared" ca="1" si="119"/>
        <v>0</v>
      </c>
      <c r="N103" s="32">
        <f t="shared" ca="1" si="81"/>
        <v>0</v>
      </c>
      <c r="O103" s="31">
        <f t="shared" si="120"/>
        <v>44574952084.820801</v>
      </c>
      <c r="P103" s="179">
        <f t="shared" ca="1" si="121"/>
        <v>0</v>
      </c>
      <c r="R103" s="39">
        <f t="shared" si="23"/>
        <v>95</v>
      </c>
      <c r="S103" s="29">
        <f t="shared" ca="1" si="122"/>
        <v>0</v>
      </c>
      <c r="T103" s="10">
        <f t="shared" si="123"/>
        <v>300801.41260671907</v>
      </c>
      <c r="U103" s="47">
        <f t="shared" ca="1" si="124"/>
        <v>0</v>
      </c>
      <c r="W103" s="68">
        <f t="shared" si="24"/>
        <v>95</v>
      </c>
      <c r="X103" s="29">
        <f t="shared" ca="1" si="125"/>
        <v>0</v>
      </c>
      <c r="Y103" s="29">
        <f t="shared" ca="1" si="126"/>
        <v>-32851491.366751611</v>
      </c>
      <c r="Z103" s="61">
        <f t="shared" si="127"/>
        <v>300801.41260671907</v>
      </c>
      <c r="AA103" s="62">
        <f t="shared" ca="1" si="128"/>
        <v>0</v>
      </c>
      <c r="AB103" s="57">
        <f t="shared" ca="1" si="129"/>
        <v>13872337.794765335</v>
      </c>
      <c r="AC103" s="58" t="str">
        <f t="shared" ca="1" si="130"/>
        <v>Payback is Later</v>
      </c>
      <c r="AD103" s="59">
        <f t="shared" ca="1" si="131"/>
        <v>95</v>
      </c>
      <c r="AF103" s="60">
        <f t="shared" si="82"/>
        <v>95</v>
      </c>
      <c r="AG103" s="84">
        <f t="shared" ca="1" si="84"/>
        <v>0</v>
      </c>
      <c r="AH103" s="61">
        <f t="shared" si="85"/>
        <v>300801.41260671907</v>
      </c>
      <c r="AI103" s="29">
        <f t="shared" ca="1" si="86"/>
        <v>0</v>
      </c>
      <c r="AJ103" s="57">
        <f t="shared" ca="1" si="87"/>
        <v>0</v>
      </c>
      <c r="AK103" s="80">
        <f t="shared" ca="1" si="88"/>
        <v>0</v>
      </c>
      <c r="AL103" s="57">
        <f t="shared" ca="1" si="89"/>
        <v>0</v>
      </c>
      <c r="AM103" s="185">
        <f ca="1">OFFSET('Combined IFRS17 Cashflows'!$E$25,0,COUNTA('Appraisal Calcs - IFRS 17'!$AF$9:AF103))</f>
        <v>0</v>
      </c>
      <c r="AN103" s="81">
        <f t="shared" ca="1" si="90"/>
        <v>0</v>
      </c>
      <c r="AP103" s="60">
        <f t="shared" si="83"/>
        <v>95</v>
      </c>
      <c r="AQ103" s="61">
        <f t="shared" si="91"/>
        <v>300801.41260671907</v>
      </c>
      <c r="AR103" s="90">
        <f t="shared" ca="1" si="92"/>
        <v>0</v>
      </c>
      <c r="AS103" s="85">
        <f t="shared" ca="1" si="93"/>
        <v>0</v>
      </c>
    </row>
    <row r="104" spans="2:103" x14ac:dyDescent="0.3">
      <c r="B104" s="39">
        <f t="shared" si="17"/>
        <v>96</v>
      </c>
      <c r="C104" s="176" cm="1">
        <f t="array" aca="1" ref="C104" ca="1">OFFSET('Results Tables'!$D$27,0,'Appraisal Calcs - IFRS 17'!B103:B103)</f>
        <v>0</v>
      </c>
      <c r="D104" s="174"/>
      <c r="E104" s="123">
        <f ca="1">OFFSET('CAR Calcs'!$C$59,0,COUNTA('Appraisal Calcs - IFRS 17'!$B$9:B104))</f>
        <v>0</v>
      </c>
      <c r="F104" s="177">
        <f t="shared" ca="1" si="113"/>
        <v>0</v>
      </c>
      <c r="G104" s="123">
        <f ca="1">E104+SUM(D$8:D104)</f>
        <v>0</v>
      </c>
      <c r="H104" s="178">
        <f t="shared" ca="1" si="114"/>
        <v>0</v>
      </c>
      <c r="I104" s="177">
        <f t="shared" ca="1" si="115"/>
        <v>0</v>
      </c>
      <c r="J104" s="177">
        <f t="shared" ca="1" si="116"/>
        <v>0</v>
      </c>
      <c r="K104" s="177">
        <f t="shared" ca="1" si="117"/>
        <v>0</v>
      </c>
      <c r="L104" s="177">
        <f t="shared" ca="1" si="118"/>
        <v>0</v>
      </c>
      <c r="M104" s="177">
        <f t="shared" ca="1" si="119"/>
        <v>0</v>
      </c>
      <c r="N104" s="32">
        <f t="shared" ca="1" si="81"/>
        <v>0</v>
      </c>
      <c r="O104" s="31">
        <f t="shared" si="120"/>
        <v>57701430297.063774</v>
      </c>
      <c r="P104" s="179">
        <f t="shared" ca="1" si="121"/>
        <v>0</v>
      </c>
      <c r="R104" s="39">
        <f t="shared" si="23"/>
        <v>96</v>
      </c>
      <c r="S104" s="29">
        <f t="shared" ca="1" si="122"/>
        <v>0</v>
      </c>
      <c r="T104" s="10">
        <f t="shared" si="123"/>
        <v>343515.21319687308</v>
      </c>
      <c r="U104" s="47">
        <f t="shared" ca="1" si="124"/>
        <v>0</v>
      </c>
      <c r="W104" s="68">
        <f t="shared" si="24"/>
        <v>96</v>
      </c>
      <c r="X104" s="29">
        <f t="shared" ca="1" si="125"/>
        <v>0</v>
      </c>
      <c r="Y104" s="29">
        <f t="shared" ca="1" si="126"/>
        <v>-32851491.366751611</v>
      </c>
      <c r="Z104" s="61">
        <f t="shared" si="127"/>
        <v>343515.21319687308</v>
      </c>
      <c r="AA104" s="62">
        <f t="shared" ca="1" si="128"/>
        <v>0</v>
      </c>
      <c r="AB104" s="57">
        <f t="shared" ca="1" si="129"/>
        <v>13872337.794765335</v>
      </c>
      <c r="AC104" s="58" t="str">
        <f t="shared" ca="1" si="130"/>
        <v>Payback is Later</v>
      </c>
      <c r="AD104" s="59">
        <f t="shared" ca="1" si="131"/>
        <v>96</v>
      </c>
      <c r="AF104" s="60">
        <f t="shared" si="82"/>
        <v>96</v>
      </c>
      <c r="AG104" s="84">
        <f t="shared" ca="1" si="84"/>
        <v>0</v>
      </c>
      <c r="AH104" s="61">
        <f t="shared" si="85"/>
        <v>343515.21319687308</v>
      </c>
      <c r="AI104" s="29">
        <f t="shared" ca="1" si="86"/>
        <v>0</v>
      </c>
      <c r="AJ104" s="57">
        <f t="shared" ca="1" si="87"/>
        <v>0</v>
      </c>
      <c r="AK104" s="80">
        <f t="shared" ca="1" si="88"/>
        <v>0</v>
      </c>
      <c r="AL104" s="57">
        <f t="shared" ca="1" si="89"/>
        <v>0</v>
      </c>
      <c r="AM104" s="185">
        <f ca="1">OFFSET('Combined IFRS17 Cashflows'!$E$25,0,COUNTA('Appraisal Calcs - IFRS 17'!$AF$9:AF104))</f>
        <v>0</v>
      </c>
      <c r="AN104" s="81">
        <f t="shared" ca="1" si="90"/>
        <v>0</v>
      </c>
      <c r="AP104" s="60">
        <f t="shared" si="83"/>
        <v>96</v>
      </c>
      <c r="AQ104" s="61">
        <f t="shared" si="91"/>
        <v>343515.21319687308</v>
      </c>
      <c r="AR104" s="90">
        <f t="shared" ca="1" si="92"/>
        <v>0</v>
      </c>
      <c r="AS104" s="85">
        <f t="shared" ca="1" si="93"/>
        <v>0</v>
      </c>
    </row>
    <row r="105" spans="2:103" x14ac:dyDescent="0.3">
      <c r="B105" s="39">
        <f t="shared" si="17"/>
        <v>97</v>
      </c>
      <c r="C105" s="176" cm="1">
        <f t="array" aca="1" ref="C105" ca="1">OFFSET('Results Tables'!$D$27,0,'Appraisal Calcs - IFRS 17'!B104:B104)</f>
        <v>0</v>
      </c>
      <c r="D105" s="174"/>
      <c r="E105" s="123">
        <f ca="1">OFFSET('CAR Calcs'!$C$59,0,COUNTA('Appraisal Calcs - IFRS 17'!$B$9:B105))</f>
        <v>0</v>
      </c>
      <c r="F105" s="177">
        <f t="shared" ca="1" si="113"/>
        <v>0</v>
      </c>
      <c r="G105" s="123">
        <f ca="1">E105+SUM(D$8:D105)</f>
        <v>0</v>
      </c>
      <c r="H105" s="178">
        <f t="shared" ca="1" si="114"/>
        <v>0</v>
      </c>
      <c r="I105" s="177">
        <f t="shared" ca="1" si="115"/>
        <v>0</v>
      </c>
      <c r="J105" s="177">
        <f t="shared" ca="1" si="116"/>
        <v>0</v>
      </c>
      <c r="K105" s="177">
        <f t="shared" ca="1" si="117"/>
        <v>0</v>
      </c>
      <c r="L105" s="177">
        <f t="shared" ca="1" si="118"/>
        <v>0</v>
      </c>
      <c r="M105" s="177">
        <f t="shared" ca="1" si="119"/>
        <v>0</v>
      </c>
      <c r="N105" s="32">
        <f t="shared" ca="1" si="81"/>
        <v>0</v>
      </c>
      <c r="O105" s="31">
        <f t="shared" si="120"/>
        <v>74693407454.288574</v>
      </c>
      <c r="P105" s="179">
        <f t="shared" ca="1" si="121"/>
        <v>0</v>
      </c>
      <c r="R105" s="39">
        <f t="shared" si="23"/>
        <v>97</v>
      </c>
      <c r="S105" s="29">
        <f t="shared" ca="1" si="122"/>
        <v>0</v>
      </c>
      <c r="T105" s="10">
        <f t="shared" si="123"/>
        <v>392294.37347082898</v>
      </c>
      <c r="U105" s="47">
        <f t="shared" ca="1" si="124"/>
        <v>0</v>
      </c>
      <c r="W105" s="68">
        <f t="shared" si="24"/>
        <v>97</v>
      </c>
      <c r="X105" s="29">
        <f t="shared" ca="1" si="125"/>
        <v>0</v>
      </c>
      <c r="Y105" s="29">
        <f t="shared" ca="1" si="126"/>
        <v>-32851491.366751611</v>
      </c>
      <c r="Z105" s="61">
        <f t="shared" si="127"/>
        <v>392294.37347082898</v>
      </c>
      <c r="AA105" s="62">
        <f t="shared" ca="1" si="128"/>
        <v>0</v>
      </c>
      <c r="AB105" s="57">
        <f t="shared" ca="1" si="129"/>
        <v>13872337.794765335</v>
      </c>
      <c r="AC105" s="58" t="str">
        <f t="shared" ca="1" si="130"/>
        <v>Payback is Later</v>
      </c>
      <c r="AD105" s="59">
        <f t="shared" ca="1" si="131"/>
        <v>97</v>
      </c>
      <c r="AF105" s="60">
        <f t="shared" si="82"/>
        <v>97</v>
      </c>
      <c r="AG105" s="84">
        <f t="shared" ca="1" si="84"/>
        <v>0</v>
      </c>
      <c r="AH105" s="61">
        <f t="shared" si="85"/>
        <v>392294.37347082898</v>
      </c>
      <c r="AI105" s="29">
        <f t="shared" ca="1" si="86"/>
        <v>0</v>
      </c>
      <c r="AJ105" s="57">
        <f t="shared" ca="1" si="87"/>
        <v>0</v>
      </c>
      <c r="AK105" s="80">
        <f t="shared" ca="1" si="88"/>
        <v>0</v>
      </c>
      <c r="AL105" s="57">
        <f t="shared" ca="1" si="89"/>
        <v>0</v>
      </c>
      <c r="AM105" s="185">
        <f ca="1">OFFSET('Combined IFRS17 Cashflows'!$E$25,0,COUNTA('Appraisal Calcs - IFRS 17'!$AF$9:AF105))</f>
        <v>0</v>
      </c>
      <c r="AN105" s="81">
        <f t="shared" ca="1" si="90"/>
        <v>0</v>
      </c>
      <c r="AP105" s="60">
        <f t="shared" si="83"/>
        <v>97</v>
      </c>
      <c r="AQ105" s="61">
        <f t="shared" si="91"/>
        <v>392294.37347082898</v>
      </c>
      <c r="AR105" s="90">
        <f t="shared" ca="1" si="92"/>
        <v>0</v>
      </c>
      <c r="AS105" s="85">
        <f t="shared" ca="1" si="93"/>
        <v>0</v>
      </c>
    </row>
    <row r="106" spans="2:103" x14ac:dyDescent="0.3">
      <c r="B106" s="39">
        <f t="shared" si="17"/>
        <v>98</v>
      </c>
      <c r="C106" s="176" cm="1">
        <f t="array" aca="1" ref="C106" ca="1">OFFSET('Results Tables'!$D$27,0,'Appraisal Calcs - IFRS 17'!B105:B105)</f>
        <v>0</v>
      </c>
      <c r="D106" s="174"/>
      <c r="E106" s="123">
        <f ca="1">OFFSET('CAR Calcs'!$C$59,0,COUNTA('Appraisal Calcs - IFRS 17'!$B$9:B106))</f>
        <v>0</v>
      </c>
      <c r="F106" s="177">
        <f t="shared" ca="1" si="113"/>
        <v>0</v>
      </c>
      <c r="G106" s="123">
        <f ca="1">E106+SUM(D$8:D106)</f>
        <v>0</v>
      </c>
      <c r="H106" s="178">
        <f t="shared" ca="1" si="114"/>
        <v>0</v>
      </c>
      <c r="I106" s="177">
        <f t="shared" ca="1" si="115"/>
        <v>0</v>
      </c>
      <c r="J106" s="177">
        <f t="shared" ca="1" si="116"/>
        <v>0</v>
      </c>
      <c r="K106" s="177">
        <f t="shared" ca="1" si="117"/>
        <v>0</v>
      </c>
      <c r="L106" s="177">
        <f t="shared" ca="1" si="118"/>
        <v>0</v>
      </c>
      <c r="M106" s="177">
        <f t="shared" ca="1" si="119"/>
        <v>0</v>
      </c>
      <c r="N106" s="32">
        <f t="shared" ca="1" si="81"/>
        <v>0</v>
      </c>
      <c r="O106" s="31">
        <f t="shared" si="120"/>
        <v>96689199702.841232</v>
      </c>
      <c r="P106" s="179">
        <f t="shared" ca="1" si="121"/>
        <v>0</v>
      </c>
      <c r="R106" s="39">
        <f t="shared" si="23"/>
        <v>98</v>
      </c>
      <c r="S106" s="29">
        <f t="shared" ca="1" si="122"/>
        <v>0</v>
      </c>
      <c r="T106" s="10">
        <f t="shared" si="123"/>
        <v>448000.17450368672</v>
      </c>
      <c r="U106" s="47">
        <f t="shared" ca="1" si="124"/>
        <v>0</v>
      </c>
      <c r="W106" s="68">
        <f t="shared" si="24"/>
        <v>98</v>
      </c>
      <c r="X106" s="29">
        <f t="shared" ca="1" si="125"/>
        <v>0</v>
      </c>
      <c r="Y106" s="29">
        <f t="shared" ca="1" si="126"/>
        <v>-32851491.366751611</v>
      </c>
      <c r="Z106" s="61">
        <f t="shared" si="127"/>
        <v>448000.17450368672</v>
      </c>
      <c r="AA106" s="62">
        <f t="shared" ca="1" si="128"/>
        <v>0</v>
      </c>
      <c r="AB106" s="57">
        <f t="shared" ca="1" si="129"/>
        <v>13872337.794765335</v>
      </c>
      <c r="AC106" s="58" t="str">
        <f t="shared" ca="1" si="130"/>
        <v>Payback is Later</v>
      </c>
      <c r="AD106" s="59">
        <f t="shared" ca="1" si="131"/>
        <v>98</v>
      </c>
      <c r="AF106" s="60">
        <f t="shared" si="82"/>
        <v>98</v>
      </c>
      <c r="AG106" s="84">
        <f t="shared" ca="1" si="84"/>
        <v>0</v>
      </c>
      <c r="AH106" s="61">
        <f t="shared" si="85"/>
        <v>448000.17450368672</v>
      </c>
      <c r="AI106" s="29">
        <f t="shared" ca="1" si="86"/>
        <v>0</v>
      </c>
      <c r="AJ106" s="57">
        <f t="shared" ca="1" si="87"/>
        <v>0</v>
      </c>
      <c r="AK106" s="80">
        <f t="shared" ca="1" si="88"/>
        <v>0</v>
      </c>
      <c r="AL106" s="57">
        <f t="shared" ca="1" si="89"/>
        <v>0</v>
      </c>
      <c r="AM106" s="185">
        <f ca="1">OFFSET('Combined IFRS17 Cashflows'!$E$25,0,COUNTA('Appraisal Calcs - IFRS 17'!$AF$9:AF106))</f>
        <v>0</v>
      </c>
      <c r="AN106" s="81">
        <f t="shared" ca="1" si="90"/>
        <v>0</v>
      </c>
      <c r="AP106" s="60">
        <f t="shared" si="83"/>
        <v>98</v>
      </c>
      <c r="AQ106" s="61">
        <f t="shared" si="91"/>
        <v>448000.17450368672</v>
      </c>
      <c r="AR106" s="90">
        <f t="shared" ca="1" si="92"/>
        <v>0</v>
      </c>
      <c r="AS106" s="85">
        <f t="shared" ca="1" si="93"/>
        <v>0</v>
      </c>
    </row>
    <row r="107" spans="2:103" x14ac:dyDescent="0.3">
      <c r="B107" s="39">
        <f t="shared" si="17"/>
        <v>99</v>
      </c>
      <c r="C107" s="176" cm="1">
        <f t="array" aca="1" ref="C107" ca="1">OFFSET('Results Tables'!$D$27,0,'Appraisal Calcs - IFRS 17'!B106:B106)</f>
        <v>0</v>
      </c>
      <c r="D107" s="174"/>
      <c r="E107" s="123">
        <f ca="1">OFFSET('CAR Calcs'!$C$59,0,COUNTA('Appraisal Calcs - IFRS 17'!$B$9:B107))</f>
        <v>0</v>
      </c>
      <c r="F107" s="177">
        <f t="shared" ca="1" si="113"/>
        <v>0</v>
      </c>
      <c r="G107" s="123">
        <f ca="1">E107+SUM(D$8:D107)</f>
        <v>0</v>
      </c>
      <c r="H107" s="178">
        <f t="shared" ca="1" si="114"/>
        <v>0</v>
      </c>
      <c r="I107" s="177">
        <f t="shared" ca="1" si="115"/>
        <v>0</v>
      </c>
      <c r="J107" s="177">
        <f t="shared" ca="1" si="116"/>
        <v>0</v>
      </c>
      <c r="K107" s="177">
        <f t="shared" ca="1" si="117"/>
        <v>0</v>
      </c>
      <c r="L107" s="177">
        <f t="shared" ca="1" si="118"/>
        <v>0</v>
      </c>
      <c r="M107" s="177">
        <f t="shared" ca="1" si="119"/>
        <v>0</v>
      </c>
      <c r="N107" s="32">
        <f t="shared" ca="1" si="81"/>
        <v>0</v>
      </c>
      <c r="O107" s="31">
        <f t="shared" si="120"/>
        <v>125162335710.78226</v>
      </c>
      <c r="P107" s="179">
        <f t="shared" ca="1" si="121"/>
        <v>0</v>
      </c>
      <c r="R107" s="39">
        <f t="shared" si="23"/>
        <v>99</v>
      </c>
      <c r="S107" s="29">
        <f t="shared" ca="1" si="122"/>
        <v>0</v>
      </c>
      <c r="T107" s="10">
        <f t="shared" si="123"/>
        <v>511616.19928321027</v>
      </c>
      <c r="U107" s="47">
        <f t="shared" ca="1" si="124"/>
        <v>0</v>
      </c>
      <c r="W107" s="68">
        <f t="shared" si="24"/>
        <v>99</v>
      </c>
      <c r="X107" s="29">
        <f t="shared" ca="1" si="125"/>
        <v>0</v>
      </c>
      <c r="Y107" s="29">
        <f t="shared" ca="1" si="126"/>
        <v>-32851491.366751611</v>
      </c>
      <c r="Z107" s="61">
        <f t="shared" si="127"/>
        <v>511616.19928321027</v>
      </c>
      <c r="AA107" s="62">
        <f t="shared" ca="1" si="128"/>
        <v>0</v>
      </c>
      <c r="AB107" s="57">
        <f t="shared" ca="1" si="129"/>
        <v>13872337.794765335</v>
      </c>
      <c r="AC107" s="58" t="str">
        <f t="shared" ca="1" si="130"/>
        <v>Payback is Later</v>
      </c>
      <c r="AD107" s="59">
        <f t="shared" ca="1" si="131"/>
        <v>99</v>
      </c>
      <c r="AF107" s="60">
        <f t="shared" si="82"/>
        <v>99</v>
      </c>
      <c r="AG107" s="84">
        <f t="shared" ca="1" si="84"/>
        <v>0</v>
      </c>
      <c r="AH107" s="61">
        <f t="shared" si="85"/>
        <v>511616.19928321027</v>
      </c>
      <c r="AI107" s="29">
        <f t="shared" ca="1" si="86"/>
        <v>0</v>
      </c>
      <c r="AJ107" s="57">
        <f t="shared" ca="1" si="87"/>
        <v>0</v>
      </c>
      <c r="AK107" s="80">
        <f t="shared" ca="1" si="88"/>
        <v>0</v>
      </c>
      <c r="AL107" s="57">
        <f t="shared" ca="1" si="89"/>
        <v>0</v>
      </c>
      <c r="AM107" s="185">
        <f ca="1">OFFSET('Combined IFRS17 Cashflows'!$E$25,0,COUNTA('Appraisal Calcs - IFRS 17'!$AF$9:AF107))</f>
        <v>0</v>
      </c>
      <c r="AN107" s="81">
        <f t="shared" ca="1" si="90"/>
        <v>0</v>
      </c>
      <c r="AP107" s="60">
        <f t="shared" si="83"/>
        <v>99</v>
      </c>
      <c r="AQ107" s="61">
        <f t="shared" si="91"/>
        <v>511616.19928321027</v>
      </c>
      <c r="AR107" s="90">
        <f t="shared" ca="1" si="92"/>
        <v>0</v>
      </c>
      <c r="AS107" s="85">
        <f t="shared" ca="1" si="93"/>
        <v>0</v>
      </c>
    </row>
    <row r="108" spans="2:103" x14ac:dyDescent="0.3">
      <c r="B108" s="39">
        <f t="shared" si="17"/>
        <v>100</v>
      </c>
      <c r="C108" s="176" cm="1">
        <f t="array" aca="1" ref="C108" ca="1">OFFSET('Results Tables'!$D$27,0,'Appraisal Calcs - IFRS 17'!B107:B107)</f>
        <v>0</v>
      </c>
      <c r="D108" s="174"/>
      <c r="E108" s="123">
        <f ca="1">OFFSET('CAR Calcs'!$C$59,0,COUNTA('Appraisal Calcs - IFRS 17'!$B$9:B108))</f>
        <v>0</v>
      </c>
      <c r="F108" s="177">
        <f t="shared" ref="F108" ca="1" si="132">E107-E108</f>
        <v>0</v>
      </c>
      <c r="G108" s="123">
        <f ca="1">E108+SUM(D$8:D108)</f>
        <v>0</v>
      </c>
      <c r="H108" s="178">
        <f t="shared" ref="H108" ca="1" si="133">E108*0</f>
        <v>0</v>
      </c>
      <c r="I108" s="177">
        <f t="shared" ref="I108" ca="1" si="134">E108*Required_Return_On_CAR</f>
        <v>0</v>
      </c>
      <c r="J108" s="177">
        <f t="shared" ref="J108" ca="1" si="135">C108+I108</f>
        <v>0</v>
      </c>
      <c r="K108" s="177">
        <f t="shared" ref="K108" ca="1" si="136">IF(J108&lt;0,0,J108*Corporate_Tax_Rate)</f>
        <v>0</v>
      </c>
      <c r="L108" s="177">
        <f t="shared" ref="L108" ca="1" si="137">J108-K108</f>
        <v>0</v>
      </c>
      <c r="M108" s="177">
        <f t="shared" ref="M108" ca="1" si="138">D108+F108+H108+L108</f>
        <v>0</v>
      </c>
      <c r="N108" s="32">
        <f t="shared" ca="1" si="81"/>
        <v>0</v>
      </c>
      <c r="O108" s="31">
        <f t="shared" ref="O108" si="139">(1+$O$3)^B108</f>
        <v>162020270399.63409</v>
      </c>
      <c r="P108" s="179">
        <f t="shared" ref="P108" ca="1" si="140">M108/O108</f>
        <v>0</v>
      </c>
      <c r="R108" s="39">
        <f t="shared" si="23"/>
        <v>100</v>
      </c>
      <c r="S108" s="29">
        <f t="shared" ref="S108" ca="1" si="141">M108</f>
        <v>0</v>
      </c>
      <c r="T108" s="10">
        <f t="shared" ref="T108" si="142">(1+$T$3)^R108</f>
        <v>584265.69958142599</v>
      </c>
      <c r="U108" s="47">
        <f t="shared" ref="U108" ca="1" si="143">S108/T108</f>
        <v>0</v>
      </c>
      <c r="W108" s="68">
        <f t="shared" si="24"/>
        <v>100</v>
      </c>
      <c r="X108" s="29">
        <f t="shared" ref="X108" ca="1" si="144">S108</f>
        <v>0</v>
      </c>
      <c r="Y108" s="29">
        <f t="shared" ref="Y108" ca="1" si="145">Y107+X108</f>
        <v>-32851491.366751611</v>
      </c>
      <c r="Z108" s="61">
        <f t="shared" ref="Z108" si="146">(1+$T$3)^W108</f>
        <v>584265.69958142599</v>
      </c>
      <c r="AA108" s="62">
        <f t="shared" ref="AA108" ca="1" si="147">X108/Z108</f>
        <v>0</v>
      </c>
      <c r="AB108" s="57">
        <f t="shared" ref="AB108" ca="1" si="148">AB107+AA108</f>
        <v>13872337.794765335</v>
      </c>
      <c r="AC108" s="58" t="str">
        <f t="shared" ref="AC108" ca="1" si="149">IF(Y108&gt;=0,W108,"Payback is Later")</f>
        <v>Payback is Later</v>
      </c>
      <c r="AD108" s="59">
        <f t="shared" ref="AD108" ca="1" si="150">IF(AB108&gt;=0,W108,"Discounted Payback is Later")</f>
        <v>100</v>
      </c>
      <c r="AF108" s="60">
        <f t="shared" si="82"/>
        <v>100</v>
      </c>
      <c r="AG108" s="84">
        <f t="shared" ca="1" si="84"/>
        <v>0</v>
      </c>
      <c r="AH108" s="61">
        <f t="shared" si="85"/>
        <v>584265.69958142599</v>
      </c>
      <c r="AI108" s="29">
        <f t="shared" ca="1" si="86"/>
        <v>0</v>
      </c>
      <c r="AJ108" s="57">
        <f t="shared" ca="1" si="87"/>
        <v>0</v>
      </c>
      <c r="AK108" s="80">
        <f t="shared" ca="1" si="88"/>
        <v>0</v>
      </c>
      <c r="AL108" s="57">
        <f t="shared" ca="1" si="89"/>
        <v>0</v>
      </c>
      <c r="AM108" s="185">
        <f ca="1">OFFSET('Combined IFRS17 Cashflows'!$E$25,0,COUNTA('Appraisal Calcs - IFRS 17'!$AF$9:AF108))</f>
        <v>0</v>
      </c>
      <c r="AN108" s="81">
        <f t="shared" ca="1" si="90"/>
        <v>0</v>
      </c>
      <c r="AP108" s="60">
        <f t="shared" si="83"/>
        <v>100</v>
      </c>
      <c r="AQ108" s="61">
        <f t="shared" si="91"/>
        <v>584265.69958142599</v>
      </c>
      <c r="AR108" s="90">
        <f t="shared" ca="1" si="92"/>
        <v>0</v>
      </c>
      <c r="AS108" s="85">
        <f t="shared" ca="1" si="93"/>
        <v>0</v>
      </c>
    </row>
    <row r="109" spans="2:103" x14ac:dyDescent="0.3">
      <c r="B109" s="36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80"/>
      <c r="R109" s="36"/>
      <c r="S109" s="10"/>
      <c r="T109" s="10"/>
      <c r="U109" s="37"/>
      <c r="W109" s="63"/>
      <c r="X109" s="64"/>
      <c r="Y109" s="64"/>
      <c r="Z109" s="64"/>
      <c r="AA109" s="64"/>
      <c r="AB109" s="64"/>
      <c r="AC109" s="65"/>
      <c r="AD109" s="66"/>
      <c r="AF109" s="60"/>
      <c r="AG109" s="51"/>
      <c r="AH109" s="51"/>
      <c r="AI109" s="51"/>
      <c r="AJ109" s="51"/>
      <c r="AK109" s="52"/>
      <c r="AL109" s="82"/>
      <c r="AM109" s="82"/>
      <c r="AN109" s="82"/>
      <c r="AP109" s="60"/>
      <c r="AQ109" s="62"/>
      <c r="AR109" s="10"/>
      <c r="AS109" s="37"/>
    </row>
    <row r="110" spans="2:103" ht="15" thickBot="1" x14ac:dyDescent="0.35">
      <c r="B110" s="41" t="s">
        <v>270</v>
      </c>
      <c r="C110" s="42">
        <f ca="1">SUM(C8:C108)</f>
        <v>-27765035.731571771</v>
      </c>
      <c r="D110" s="42">
        <f>SUM(D8:D18)</f>
        <v>0</v>
      </c>
      <c r="E110" s="43"/>
      <c r="F110" s="43"/>
      <c r="G110" s="43"/>
      <c r="H110" s="43"/>
      <c r="I110" s="43"/>
      <c r="J110" s="43"/>
      <c r="K110" s="43"/>
      <c r="L110" s="182"/>
      <c r="M110" s="182">
        <f ca="1">SUM(M8:M108)</f>
        <v>-32851491.366751611</v>
      </c>
      <c r="N110" s="43"/>
      <c r="O110" s="43"/>
      <c r="P110" s="181">
        <f ca="1">SUM(P8:P108)</f>
        <v>-4.6883336305234501E-9</v>
      </c>
      <c r="Q110" s="44" t="str">
        <f ca="1">IF(ROUND(P110,2)=0,"Goal Seek Okay","Re-run Goal Seek")</f>
        <v>Goal Seek Okay</v>
      </c>
      <c r="R110" s="48" t="s">
        <v>46</v>
      </c>
      <c r="S110" s="40">
        <f ca="1">SUM(S8:S108)</f>
        <v>-32851491.366751611</v>
      </c>
      <c r="T110" s="40"/>
      <c r="U110" s="49">
        <f ca="1">SUM(U8:U108)</f>
        <v>13872337.794765335</v>
      </c>
      <c r="W110" s="69" t="s">
        <v>270</v>
      </c>
      <c r="X110" s="70">
        <f ca="1">SUM(X8:X108)</f>
        <v>-32851491.366751611</v>
      </c>
      <c r="Y110" s="70"/>
      <c r="Z110" s="71"/>
      <c r="AA110" s="70">
        <f ca="1">SUM(AA8:AA108)</f>
        <v>13872337.794765335</v>
      </c>
      <c r="AB110" s="72"/>
      <c r="AC110" s="73"/>
      <c r="AD110" s="74"/>
      <c r="AF110" s="69" t="s">
        <v>270</v>
      </c>
      <c r="AG110" s="70">
        <f ca="1">SUM(AG8:AG108)</f>
        <v>-32261491.366751604</v>
      </c>
      <c r="AH110" s="71"/>
      <c r="AI110" s="70">
        <f ca="1">SUM(AI8:AI108)</f>
        <v>27043658.271350671</v>
      </c>
      <c r="AJ110" s="72"/>
      <c r="AK110" s="73"/>
      <c r="AL110" s="83">
        <f ca="1">SUM(AL8:AL108)</f>
        <v>-14692922.614535533</v>
      </c>
      <c r="AM110" s="83">
        <f ca="1">SUM(AM8:AM108)</f>
        <v>1570829746.95309</v>
      </c>
      <c r="AN110" s="83">
        <f ca="1">SUM(AN8:AN108)</f>
        <v>306905763.12890071</v>
      </c>
      <c r="AP110" s="86"/>
      <c r="AQ110" s="87"/>
      <c r="AR110" s="88">
        <f ca="1">+SUM(AR8:AR108)</f>
        <v>12965956.755285043</v>
      </c>
      <c r="AS110" s="89">
        <f ca="1">+SUM(AS8:AS108)</f>
        <v>27043658.271350663</v>
      </c>
    </row>
    <row r="111" spans="2:103" ht="15" thickTop="1" x14ac:dyDescent="0.3"/>
    <row r="112" spans="2:103" x14ac:dyDescent="0.3">
      <c r="D112">
        <v>1</v>
      </c>
      <c r="E112">
        <v>2</v>
      </c>
      <c r="F112">
        <v>3</v>
      </c>
      <c r="G112">
        <v>4</v>
      </c>
      <c r="H112">
        <v>5</v>
      </c>
      <c r="I112">
        <v>6</v>
      </c>
      <c r="J112">
        <v>7</v>
      </c>
      <c r="K112">
        <v>8</v>
      </c>
      <c r="L112">
        <v>9</v>
      </c>
      <c r="M112">
        <v>10</v>
      </c>
      <c r="N112">
        <v>11</v>
      </c>
      <c r="O112">
        <v>12</v>
      </c>
      <c r="P112">
        <v>13</v>
      </c>
      <c r="Q112">
        <v>14</v>
      </c>
      <c r="R112">
        <v>15</v>
      </c>
      <c r="S112">
        <v>16</v>
      </c>
      <c r="T112">
        <v>17</v>
      </c>
      <c r="U112">
        <v>18</v>
      </c>
      <c r="V112">
        <v>19</v>
      </c>
      <c r="W112">
        <v>20</v>
      </c>
      <c r="X112">
        <v>21</v>
      </c>
      <c r="Y112">
        <v>22</v>
      </c>
      <c r="Z112">
        <v>23</v>
      </c>
      <c r="AA112">
        <v>24</v>
      </c>
      <c r="AB112">
        <v>25</v>
      </c>
      <c r="AC112">
        <v>26</v>
      </c>
      <c r="AD112">
        <v>27</v>
      </c>
      <c r="AE112">
        <v>28</v>
      </c>
      <c r="AF112">
        <v>29</v>
      </c>
      <c r="AG112">
        <v>30</v>
      </c>
      <c r="AH112">
        <v>31</v>
      </c>
      <c r="AI112">
        <v>32</v>
      </c>
      <c r="AJ112">
        <v>33</v>
      </c>
      <c r="AK112">
        <v>34</v>
      </c>
      <c r="AL112">
        <v>35</v>
      </c>
      <c r="AM112">
        <v>36</v>
      </c>
      <c r="AN112">
        <v>37</v>
      </c>
      <c r="AO112">
        <v>38</v>
      </c>
      <c r="AP112">
        <v>39</v>
      </c>
      <c r="AQ112">
        <v>40</v>
      </c>
      <c r="AR112">
        <v>41</v>
      </c>
      <c r="AS112">
        <v>42</v>
      </c>
      <c r="AT112">
        <v>43</v>
      </c>
      <c r="AU112">
        <v>44</v>
      </c>
      <c r="AV112">
        <v>45</v>
      </c>
      <c r="AW112">
        <v>46</v>
      </c>
      <c r="AX112">
        <v>47</v>
      </c>
      <c r="AY112">
        <v>48</v>
      </c>
      <c r="AZ112">
        <v>49</v>
      </c>
      <c r="BA112">
        <v>50</v>
      </c>
      <c r="BB112">
        <v>51</v>
      </c>
      <c r="BC112">
        <v>52</v>
      </c>
      <c r="BD112">
        <v>53</v>
      </c>
      <c r="BE112">
        <v>54</v>
      </c>
      <c r="BF112">
        <v>55</v>
      </c>
      <c r="BG112">
        <v>56</v>
      </c>
      <c r="BH112">
        <v>57</v>
      </c>
      <c r="BI112">
        <v>58</v>
      </c>
      <c r="BJ112">
        <v>59</v>
      </c>
      <c r="BK112">
        <v>60</v>
      </c>
      <c r="BL112">
        <v>61</v>
      </c>
      <c r="BM112">
        <v>62</v>
      </c>
      <c r="BN112">
        <v>63</v>
      </c>
      <c r="BO112">
        <v>64</v>
      </c>
      <c r="BP112">
        <v>65</v>
      </c>
      <c r="BQ112">
        <v>66</v>
      </c>
      <c r="BR112">
        <v>67</v>
      </c>
      <c r="BS112">
        <v>68</v>
      </c>
      <c r="BT112">
        <v>69</v>
      </c>
      <c r="BU112">
        <v>70</v>
      </c>
      <c r="BV112">
        <v>71</v>
      </c>
      <c r="BW112">
        <v>72</v>
      </c>
      <c r="BX112">
        <v>73</v>
      </c>
      <c r="BY112">
        <v>74</v>
      </c>
      <c r="BZ112">
        <v>75</v>
      </c>
      <c r="CA112">
        <v>76</v>
      </c>
      <c r="CB112">
        <v>77</v>
      </c>
      <c r="CC112">
        <v>78</v>
      </c>
      <c r="CD112">
        <v>79</v>
      </c>
      <c r="CE112">
        <v>80</v>
      </c>
      <c r="CF112">
        <v>81</v>
      </c>
      <c r="CG112">
        <v>82</v>
      </c>
      <c r="CH112">
        <v>83</v>
      </c>
      <c r="CI112">
        <v>84</v>
      </c>
      <c r="CJ112">
        <v>85</v>
      </c>
      <c r="CK112">
        <v>86</v>
      </c>
      <c r="CL112">
        <v>87</v>
      </c>
      <c r="CM112">
        <v>88</v>
      </c>
      <c r="CN112">
        <v>89</v>
      </c>
      <c r="CO112">
        <v>90</v>
      </c>
      <c r="CP112">
        <v>91</v>
      </c>
      <c r="CQ112">
        <v>92</v>
      </c>
      <c r="CR112">
        <v>93</v>
      </c>
      <c r="CS112">
        <v>94</v>
      </c>
      <c r="CT112">
        <v>95</v>
      </c>
      <c r="CU112">
        <v>96</v>
      </c>
      <c r="CV112">
        <v>97</v>
      </c>
      <c r="CW112">
        <v>98</v>
      </c>
      <c r="CX112">
        <v>99</v>
      </c>
      <c r="CY112">
        <v>100</v>
      </c>
    </row>
    <row r="113" spans="2:103" x14ac:dyDescent="0.3">
      <c r="B113" s="91" t="s">
        <v>271</v>
      </c>
      <c r="C113" s="91" t="s">
        <v>272</v>
      </c>
      <c r="D113" s="92" t="s">
        <v>273</v>
      </c>
      <c r="E113" s="92" t="s">
        <v>274</v>
      </c>
      <c r="F113" s="92" t="s">
        <v>275</v>
      </c>
      <c r="G113" s="92" t="s">
        <v>276</v>
      </c>
      <c r="H113" s="92" t="s">
        <v>277</v>
      </c>
      <c r="I113" s="92" t="s">
        <v>278</v>
      </c>
      <c r="J113" s="92" t="s">
        <v>279</v>
      </c>
      <c r="K113" s="92" t="s">
        <v>280</v>
      </c>
      <c r="L113" s="92" t="s">
        <v>281</v>
      </c>
      <c r="M113" s="92" t="s">
        <v>282</v>
      </c>
      <c r="N113" s="92" t="s">
        <v>283</v>
      </c>
      <c r="O113" s="92" t="s">
        <v>284</v>
      </c>
      <c r="P113" s="92" t="s">
        <v>285</v>
      </c>
      <c r="Q113" s="92" t="s">
        <v>286</v>
      </c>
      <c r="R113" s="92" t="s">
        <v>287</v>
      </c>
      <c r="S113" s="92" t="s">
        <v>288</v>
      </c>
      <c r="T113" s="92" t="s">
        <v>289</v>
      </c>
      <c r="U113" s="92" t="s">
        <v>290</v>
      </c>
      <c r="V113" s="92" t="s">
        <v>291</v>
      </c>
      <c r="W113" s="92" t="s">
        <v>292</v>
      </c>
      <c r="X113" s="92" t="s">
        <v>293</v>
      </c>
      <c r="Y113" s="92" t="s">
        <v>294</v>
      </c>
      <c r="Z113" s="92" t="s">
        <v>295</v>
      </c>
      <c r="AA113" s="92" t="s">
        <v>296</v>
      </c>
      <c r="AB113" s="92" t="s">
        <v>297</v>
      </c>
      <c r="AC113" s="92" t="s">
        <v>298</v>
      </c>
      <c r="AD113" s="92" t="s">
        <v>299</v>
      </c>
      <c r="AE113" s="92" t="s">
        <v>300</v>
      </c>
      <c r="AF113" s="92" t="s">
        <v>301</v>
      </c>
      <c r="AG113" s="92" t="s">
        <v>302</v>
      </c>
      <c r="AH113" s="92" t="s">
        <v>303</v>
      </c>
      <c r="AI113" s="92" t="s">
        <v>304</v>
      </c>
      <c r="AJ113" s="92" t="s">
        <v>305</v>
      </c>
      <c r="AK113" s="92" t="s">
        <v>306</v>
      </c>
      <c r="AL113" s="92" t="s">
        <v>307</v>
      </c>
      <c r="AM113" s="92" t="s">
        <v>308</v>
      </c>
      <c r="AN113" s="92" t="s">
        <v>309</v>
      </c>
      <c r="AO113" s="92" t="s">
        <v>310</v>
      </c>
      <c r="AP113" s="92" t="s">
        <v>311</v>
      </c>
      <c r="AQ113" s="92" t="s">
        <v>312</v>
      </c>
      <c r="AR113" s="92" t="s">
        <v>313</v>
      </c>
      <c r="AS113" s="92" t="s">
        <v>314</v>
      </c>
      <c r="AT113" s="92" t="s">
        <v>315</v>
      </c>
      <c r="AU113" s="92" t="s">
        <v>316</v>
      </c>
      <c r="AV113" s="92" t="s">
        <v>317</v>
      </c>
      <c r="AW113" s="92" t="s">
        <v>318</v>
      </c>
      <c r="AX113" s="92" t="s">
        <v>319</v>
      </c>
      <c r="AY113" s="92" t="s">
        <v>320</v>
      </c>
      <c r="AZ113" s="92" t="s">
        <v>321</v>
      </c>
      <c r="BA113" s="92" t="s">
        <v>322</v>
      </c>
      <c r="BB113" s="92" t="s">
        <v>323</v>
      </c>
      <c r="BC113" s="92" t="s">
        <v>324</v>
      </c>
      <c r="BD113" s="92" t="s">
        <v>325</v>
      </c>
      <c r="BE113" s="92" t="s">
        <v>326</v>
      </c>
      <c r="BF113" s="92" t="s">
        <v>327</v>
      </c>
      <c r="BG113" s="92" t="s">
        <v>328</v>
      </c>
      <c r="BH113" s="92" t="s">
        <v>329</v>
      </c>
      <c r="BI113" s="92" t="s">
        <v>330</v>
      </c>
      <c r="BJ113" s="92" t="s">
        <v>331</v>
      </c>
      <c r="BK113" s="92" t="s">
        <v>332</v>
      </c>
      <c r="BL113" s="92" t="s">
        <v>333</v>
      </c>
      <c r="BM113" s="92" t="s">
        <v>334</v>
      </c>
      <c r="BN113" s="92" t="s">
        <v>335</v>
      </c>
      <c r="BO113" s="92" t="s">
        <v>336</v>
      </c>
      <c r="BP113" s="92" t="s">
        <v>337</v>
      </c>
      <c r="BQ113" s="92" t="s">
        <v>338</v>
      </c>
      <c r="BR113" s="92" t="s">
        <v>339</v>
      </c>
      <c r="BS113" s="92" t="s">
        <v>340</v>
      </c>
      <c r="BT113" s="92" t="s">
        <v>341</v>
      </c>
      <c r="BU113" s="92" t="s">
        <v>342</v>
      </c>
      <c r="BV113" s="92" t="s">
        <v>343</v>
      </c>
      <c r="BW113" s="92" t="s">
        <v>344</v>
      </c>
      <c r="BX113" s="92" t="s">
        <v>345</v>
      </c>
      <c r="BY113" s="92" t="s">
        <v>346</v>
      </c>
      <c r="BZ113" s="92" t="s">
        <v>347</v>
      </c>
      <c r="CA113" s="92" t="s">
        <v>348</v>
      </c>
      <c r="CB113" s="92" t="s">
        <v>349</v>
      </c>
      <c r="CC113" s="92" t="s">
        <v>350</v>
      </c>
      <c r="CD113" s="92" t="s">
        <v>351</v>
      </c>
      <c r="CE113" s="92" t="s">
        <v>352</v>
      </c>
      <c r="CF113" s="92" t="s">
        <v>353</v>
      </c>
      <c r="CG113" s="92" t="s">
        <v>354</v>
      </c>
      <c r="CH113" s="92" t="s">
        <v>355</v>
      </c>
      <c r="CI113" s="92" t="s">
        <v>356</v>
      </c>
      <c r="CJ113" s="92" t="s">
        <v>357</v>
      </c>
      <c r="CK113" s="92" t="s">
        <v>358</v>
      </c>
      <c r="CL113" s="92" t="s">
        <v>359</v>
      </c>
      <c r="CM113" s="92" t="s">
        <v>360</v>
      </c>
      <c r="CN113" s="92" t="s">
        <v>361</v>
      </c>
      <c r="CO113" s="92" t="s">
        <v>362</v>
      </c>
      <c r="CP113" s="92" t="s">
        <v>363</v>
      </c>
      <c r="CQ113" s="92" t="s">
        <v>364</v>
      </c>
      <c r="CR113" s="92" t="s">
        <v>365</v>
      </c>
      <c r="CS113" s="92" t="s">
        <v>366</v>
      </c>
      <c r="CT113" s="92" t="s">
        <v>367</v>
      </c>
      <c r="CU113" s="92" t="s">
        <v>368</v>
      </c>
      <c r="CV113" s="92" t="s">
        <v>369</v>
      </c>
      <c r="CW113" s="92" t="s">
        <v>370</v>
      </c>
      <c r="CX113" s="92" t="s">
        <v>371</v>
      </c>
      <c r="CY113" s="92" t="s">
        <v>372</v>
      </c>
    </row>
    <row r="114" spans="2:103" x14ac:dyDescent="0.3">
      <c r="B114" s="93" t="s">
        <v>154</v>
      </c>
      <c r="C114" s="93"/>
      <c r="D114" s="196">
        <v>9054.1159505591531</v>
      </c>
      <c r="E114" s="196">
        <v>18338.434373160686</v>
      </c>
      <c r="F114" s="196">
        <v>23473.195997645675</v>
      </c>
      <c r="G114" s="196">
        <v>27245.673925838732</v>
      </c>
      <c r="H114" s="196">
        <v>35524.167157151263</v>
      </c>
      <c r="I114" s="197">
        <v>38877.480871100648</v>
      </c>
      <c r="J114" s="197">
        <v>43383.496174220127</v>
      </c>
      <c r="K114" s="197">
        <v>49147.004120070633</v>
      </c>
      <c r="L114" s="197">
        <v>56587.168922895828</v>
      </c>
      <c r="M114" s="197">
        <v>66332.736904061225</v>
      </c>
      <c r="N114" s="197">
        <v>66333.736904061196</v>
      </c>
      <c r="O114" s="197">
        <v>66334.736904061196</v>
      </c>
      <c r="P114" s="197">
        <v>66335.736904061196</v>
      </c>
      <c r="Q114" s="197">
        <v>66336.736904061196</v>
      </c>
      <c r="R114" s="197">
        <v>66337.736904061196</v>
      </c>
      <c r="S114" s="197">
        <v>66338.736904061196</v>
      </c>
      <c r="T114" s="197">
        <v>66339.736904061196</v>
      </c>
      <c r="U114" s="197">
        <v>66340.736904061196</v>
      </c>
      <c r="V114" s="197">
        <v>66341.736904061196</v>
      </c>
      <c r="W114" s="197">
        <v>66342.736904061196</v>
      </c>
      <c r="X114" s="197">
        <v>66343.736904061196</v>
      </c>
      <c r="Y114" s="197">
        <v>66344.736904061196</v>
      </c>
      <c r="Z114" s="197">
        <v>66345.736904061196</v>
      </c>
      <c r="AA114" s="197">
        <v>66346.736904061196</v>
      </c>
      <c r="AB114" s="197">
        <v>66347.736904061196</v>
      </c>
      <c r="AC114" s="197">
        <v>66348.736904061196</v>
      </c>
      <c r="AD114" s="197">
        <v>66349.736904061196</v>
      </c>
      <c r="AE114" s="197">
        <v>66350.736904061196</v>
      </c>
      <c r="AF114" s="197">
        <v>66351.736904061196</v>
      </c>
      <c r="AG114" s="197">
        <v>66352.736904061196</v>
      </c>
      <c r="AH114" s="197">
        <v>66353.736904061196</v>
      </c>
      <c r="AI114" s="197">
        <v>66354.736904061196</v>
      </c>
      <c r="AJ114" s="197">
        <v>66355.736904061196</v>
      </c>
      <c r="AK114" s="197">
        <v>66356.736904061196</v>
      </c>
      <c r="AL114" s="197">
        <v>66357.736904061196</v>
      </c>
      <c r="AM114" s="197">
        <v>66358.736904061196</v>
      </c>
      <c r="AN114" s="197">
        <v>66359.736904061196</v>
      </c>
      <c r="AO114" s="197">
        <v>66360.736904061196</v>
      </c>
      <c r="AP114" s="197">
        <v>66361.736904061196</v>
      </c>
      <c r="AQ114" s="197">
        <v>66362.736904061196</v>
      </c>
      <c r="AR114" s="197">
        <v>66363.736904061196</v>
      </c>
      <c r="AS114" s="197">
        <v>66364.736904061196</v>
      </c>
      <c r="AT114" s="197">
        <v>66365.736904061196</v>
      </c>
      <c r="AU114" s="197">
        <v>66366.736904061196</v>
      </c>
      <c r="AV114" s="197">
        <v>66367.736904061196</v>
      </c>
      <c r="AW114" s="197">
        <v>66368.736904061196</v>
      </c>
      <c r="AX114" s="197">
        <v>66369.736904061196</v>
      </c>
      <c r="AY114" s="197">
        <v>66370.736904061196</v>
      </c>
      <c r="AZ114" s="197">
        <v>66371.736904061196</v>
      </c>
      <c r="BA114" s="197">
        <v>66372.736904061196</v>
      </c>
      <c r="BB114" s="197">
        <v>66373.736904061196</v>
      </c>
      <c r="BC114" s="197">
        <v>66374.736904061196</v>
      </c>
      <c r="BD114" s="197">
        <v>66375.736904061196</v>
      </c>
      <c r="BE114" s="197">
        <v>66376.736904061196</v>
      </c>
      <c r="BF114" s="197">
        <v>66377.736904061196</v>
      </c>
      <c r="BG114" s="197">
        <v>66378.736904061196</v>
      </c>
      <c r="BH114" s="197">
        <v>66379.736904061196</v>
      </c>
      <c r="BI114" s="197">
        <v>66380.736904061196</v>
      </c>
      <c r="BJ114" s="197">
        <v>66381.736904061196</v>
      </c>
      <c r="BK114" s="197">
        <v>66382.736904061196</v>
      </c>
      <c r="BL114" s="197">
        <v>66383.736904061196</v>
      </c>
      <c r="BM114" s="197">
        <v>66384.736904061196</v>
      </c>
      <c r="BN114" s="197">
        <v>66385.736904061196</v>
      </c>
      <c r="BO114" s="197">
        <v>66386.736904061196</v>
      </c>
      <c r="BP114" s="197">
        <v>66387.736904061196</v>
      </c>
      <c r="BQ114" s="197">
        <v>66388.736904061196</v>
      </c>
      <c r="BR114" s="197">
        <v>66389.736904061196</v>
      </c>
      <c r="BS114" s="197">
        <v>66390.736904061196</v>
      </c>
      <c r="BT114" s="197">
        <v>66391.736904061196</v>
      </c>
      <c r="BU114" s="197">
        <v>66392.736904061196</v>
      </c>
      <c r="BV114" s="197">
        <v>66393.736904061196</v>
      </c>
      <c r="BW114" s="197">
        <v>66394.736904061196</v>
      </c>
      <c r="BX114" s="197">
        <v>66395.736904061196</v>
      </c>
      <c r="BY114" s="197">
        <v>66396.736904061196</v>
      </c>
      <c r="BZ114" s="197">
        <v>66397.736904061196</v>
      </c>
      <c r="CA114" s="197">
        <v>66398.736904061196</v>
      </c>
      <c r="CB114" s="197">
        <v>66399.736904061196</v>
      </c>
      <c r="CC114" s="197">
        <v>66400.736904061196</v>
      </c>
      <c r="CD114" s="197">
        <v>66401.736904061196</v>
      </c>
      <c r="CE114" s="197">
        <v>66402.736904061196</v>
      </c>
      <c r="CF114" s="197">
        <v>66403.736904061196</v>
      </c>
      <c r="CG114" s="197">
        <v>66404.736904061196</v>
      </c>
      <c r="CH114" s="197">
        <v>66405.736904061196</v>
      </c>
      <c r="CI114" s="197">
        <v>66406.736904061196</v>
      </c>
      <c r="CJ114" s="197">
        <v>66407.736904061196</v>
      </c>
      <c r="CK114" s="197">
        <v>66408.736904061196</v>
      </c>
      <c r="CL114" s="197">
        <v>66409.736904061196</v>
      </c>
      <c r="CM114" s="197">
        <v>66410.736904061196</v>
      </c>
      <c r="CN114" s="197">
        <v>66411.736904061196</v>
      </c>
      <c r="CO114" s="197">
        <v>66412.736904061196</v>
      </c>
      <c r="CP114" s="197">
        <v>66413.736904061196</v>
      </c>
      <c r="CQ114" s="197">
        <v>66414.736904061196</v>
      </c>
      <c r="CR114" s="197">
        <v>66415.736904061196</v>
      </c>
      <c r="CS114" s="197">
        <v>66416.736904061196</v>
      </c>
      <c r="CT114" s="197">
        <v>66417.736904061196</v>
      </c>
      <c r="CU114" s="197">
        <v>66418.736904061196</v>
      </c>
      <c r="CV114" s="197">
        <v>66419.736904061196</v>
      </c>
      <c r="CW114" s="197">
        <v>66420.736904061196</v>
      </c>
      <c r="CX114" s="197">
        <v>66421.736904061196</v>
      </c>
      <c r="CY114" s="197">
        <v>66422.736904058605</v>
      </c>
    </row>
    <row r="115" spans="2:103" x14ac:dyDescent="0.3">
      <c r="B115" s="93" t="s">
        <v>155</v>
      </c>
      <c r="C115" s="96"/>
      <c r="D115" s="198">
        <f>'Combined IFRS17 Cashflows'!F48</f>
        <v>3262.1397086800048</v>
      </c>
      <c r="E115" s="198">
        <f>'Combined IFRS17 Cashflows'!G48</f>
        <v>15983.623572048631</v>
      </c>
      <c r="F115" s="198">
        <f>'Combined IFRS17 Cashflows'!H48</f>
        <v>30700.66256035004</v>
      </c>
      <c r="G115" s="198">
        <f>'Combined IFRS17 Cashflows'!I48</f>
        <v>46785.999860253789</v>
      </c>
      <c r="H115" s="198">
        <f>'Combined IFRS17 Cashflows'!J48</f>
        <v>67488.684850067075</v>
      </c>
      <c r="I115" s="198">
        <f>'Combined IFRS17 Cashflows'!K48</f>
        <v>88519.424112235632</v>
      </c>
      <c r="J115" s="198">
        <f>'Combined IFRS17 Cashflows'!L48</f>
        <v>110630.29721034988</v>
      </c>
      <c r="K115" s="198">
        <f>'Combined IFRS17 Cashflows'!M48</f>
        <v>134912.12211707223</v>
      </c>
      <c r="L115" s="198">
        <f>'Combined IFRS17 Cashflows'!N48</f>
        <v>162401.25526815248</v>
      </c>
      <c r="M115" s="198">
        <f>'Combined IFRS17 Cashflows'!O48</f>
        <v>194274.40277664879</v>
      </c>
      <c r="N115" s="198">
        <f>'Combined IFRS17 Cashflows'!P48</f>
        <v>175191.30883552812</v>
      </c>
      <c r="O115" s="198">
        <f>'Combined IFRS17 Cashflows'!Q48</f>
        <v>160388.67087599612</v>
      </c>
      <c r="P115" s="198">
        <f>'Combined IFRS17 Cashflows'!R48</f>
        <v>146237.48445964383</v>
      </c>
      <c r="Q115" s="198">
        <f>'Combined IFRS17 Cashflows'!S48</f>
        <v>132592.3880533787</v>
      </c>
      <c r="R115" s="198">
        <f>'Combined IFRS17 Cashflows'!T48</f>
        <v>119021.32322873751</v>
      </c>
      <c r="S115" s="198">
        <f>'Combined IFRS17 Cashflows'!U48</f>
        <v>108572.29516924442</v>
      </c>
      <c r="T115" s="198">
        <f>'Combined IFRS17 Cashflows'!V48</f>
        <v>98525.182694890871</v>
      </c>
      <c r="U115" s="198">
        <f>'Combined IFRS17 Cashflows'!W48</f>
        <v>88780.423061236143</v>
      </c>
      <c r="V115" s="198">
        <f>'Combined IFRS17 Cashflows'!X48</f>
        <v>79190.131938178631</v>
      </c>
      <c r="W115" s="198">
        <f>'Combined IFRS17 Cashflows'!Y48</f>
        <v>69613.777066438619</v>
      </c>
      <c r="X115" s="198">
        <f>'Combined IFRS17 Cashflows'!Z48</f>
        <v>64205.67869998578</v>
      </c>
      <c r="Y115" s="198">
        <f>'Combined IFRS17 Cashflows'!AA48</f>
        <v>58676.6106923302</v>
      </c>
      <c r="Z115" s="198">
        <f>'Combined IFRS17 Cashflows'!AB48</f>
        <v>53336.531227641477</v>
      </c>
      <c r="AA115" s="198">
        <f>'Combined IFRS17 Cashflows'!AC48</f>
        <v>48231.142356776625</v>
      </c>
      <c r="AB115" s="198">
        <f>'Combined IFRS17 Cashflows'!AD48</f>
        <v>43203.734072915795</v>
      </c>
      <c r="AC115" s="198">
        <f>'Combined IFRS17 Cashflows'!AE48</f>
        <v>38419.886391919354</v>
      </c>
      <c r="AD115" s="198">
        <f>'Combined IFRS17 Cashflows'!AF48</f>
        <v>33823.635923702896</v>
      </c>
      <c r="AE115" s="198">
        <f>'Combined IFRS17 Cashflows'!AG48</f>
        <v>29363.487882451664</v>
      </c>
      <c r="AF115" s="198">
        <f>'Combined IFRS17 Cashflows'!AH48</f>
        <v>24971.721627631279</v>
      </c>
      <c r="AG115" s="198">
        <f>'Combined IFRS17 Cashflows'!AI48</f>
        <v>20559.772543843079</v>
      </c>
      <c r="AH115" s="198">
        <f>'Combined IFRS17 Cashflows'!AJ48</f>
        <v>18685.358372135692</v>
      </c>
      <c r="AI115" s="198">
        <f>'Combined IFRS17 Cashflows'!AK48</f>
        <v>16968.686179303666</v>
      </c>
      <c r="AJ115" s="198">
        <f>'Combined IFRS17 Cashflows'!AL48</f>
        <v>15392.472551535771</v>
      </c>
      <c r="AK115" s="198">
        <f>'Combined IFRS17 Cashflows'!AM48</f>
        <v>13942.717088676418</v>
      </c>
      <c r="AL115" s="198">
        <f>'Combined IFRS17 Cashflows'!AN48</f>
        <v>12608.076347996672</v>
      </c>
      <c r="AM115" s="198">
        <f>'Combined IFRS17 Cashflows'!AO48</f>
        <v>11390.796837579044</v>
      </c>
      <c r="AN115" s="198">
        <f>'Combined IFRS17 Cashflows'!AP48</f>
        <v>10265.666986676353</v>
      </c>
      <c r="AO115" s="198">
        <f>'Combined IFRS17 Cashflows'!AQ48</f>
        <v>9227.8852364189406</v>
      </c>
      <c r="AP115" s="198">
        <f>'Combined IFRS17 Cashflows'!AR48</f>
        <v>8271.7526942433142</v>
      </c>
      <c r="AQ115" s="198">
        <f>'Combined IFRS17 Cashflows'!AS48</f>
        <v>7391.3639946860958</v>
      </c>
      <c r="AR115" s="198">
        <f>'Combined IFRS17 Cashflows'!AT48</f>
        <v>6581.934752228578</v>
      </c>
      <c r="AS115" s="198">
        <f>'Combined IFRS17 Cashflows'!AU48</f>
        <v>5839.0525401993864</v>
      </c>
      <c r="AT115" s="198">
        <f>'Combined IFRS17 Cashflows'!AV48</f>
        <v>5159.9430862433483</v>
      </c>
      <c r="AU115" s="198">
        <f>'Combined IFRS17 Cashflows'!AW48</f>
        <v>4542.1937990476899</v>
      </c>
      <c r="AV115" s="198">
        <f>'Combined IFRS17 Cashflows'!AX48</f>
        <v>3983.4513507694501</v>
      </c>
      <c r="AW115" s="198">
        <f>'Combined IFRS17 Cashflows'!AY48</f>
        <v>3484.8219557633097</v>
      </c>
      <c r="AX115" s="198">
        <f>'Combined IFRS17 Cashflows'!AZ48</f>
        <v>3038.5052531700544</v>
      </c>
      <c r="AY115" s="198">
        <f>'Combined IFRS17 Cashflows'!BA48</f>
        <v>2642.3368365121255</v>
      </c>
      <c r="AZ115" s="198">
        <f>'Combined IFRS17 Cashflows'!BB48</f>
        <v>2292.9536937199296</v>
      </c>
      <c r="BA115" s="198">
        <f>'Combined IFRS17 Cashflows'!BC48</f>
        <v>1986.2121941416099</v>
      </c>
      <c r="BB115" s="198">
        <f>'Combined IFRS17 Cashflows'!BD48</f>
        <v>1718.0306816086718</v>
      </c>
      <c r="BC115" s="198">
        <f>'Combined IFRS17 Cashflows'!BE48</f>
        <v>1483.0761425062669</v>
      </c>
      <c r="BD115" s="198">
        <f>'Combined IFRS17 Cashflows'!BF48</f>
        <v>1276.7984603158795</v>
      </c>
      <c r="BE115" s="198">
        <f>'Combined IFRS17 Cashflows'!BG48</f>
        <v>1095.4096294900783</v>
      </c>
      <c r="BF115" s="198">
        <f>'Combined IFRS17 Cashflows'!BH48</f>
        <v>935.74851104355218</v>
      </c>
      <c r="BG115" s="198">
        <f>'Combined IFRS17 Cashflows'!BI48</f>
        <v>798.04056926375927</v>
      </c>
      <c r="BH115" s="198">
        <f>'Combined IFRS17 Cashflows'!BJ48</f>
        <v>676.38035586046237</v>
      </c>
      <c r="BI115" s="198">
        <f>'Combined IFRS17 Cashflows'!BK48</f>
        <v>569.37289101701822</v>
      </c>
      <c r="BJ115" s="198">
        <f>'Combined IFRS17 Cashflows'!BL48</f>
        <v>475.59102399176328</v>
      </c>
      <c r="BK115" s="198">
        <f>'Combined IFRS17 Cashflows'!BM48</f>
        <v>393.65337912386752</v>
      </c>
      <c r="BL115" s="198">
        <f>'Combined IFRS17 Cashflows'!BN48</f>
        <v>322.45949120560067</v>
      </c>
      <c r="BM115" s="198">
        <f>'Combined IFRS17 Cashflows'!BO48</f>
        <v>260.90591102519585</v>
      </c>
      <c r="BN115" s="198">
        <f>'Combined IFRS17 Cashflows'!BP48</f>
        <v>208.22279457088035</v>
      </c>
      <c r="BO115" s="198">
        <f>'Combined IFRS17 Cashflows'!BQ48</f>
        <v>163.65259421905637</v>
      </c>
      <c r="BP115" s="198">
        <f>'Combined IFRS17 Cashflows'!BR48</f>
        <v>126.44131883541525</v>
      </c>
      <c r="BQ115" s="198">
        <f>'Combined IFRS17 Cashflows'!BS48</f>
        <v>96.074414349502902</v>
      </c>
      <c r="BR115" s="198">
        <f>'Combined IFRS17 Cashflows'!BT48</f>
        <v>71.479060702517884</v>
      </c>
      <c r="BS115" s="198">
        <f>'Combined IFRS17 Cashflows'!BU48</f>
        <v>52.037107691442763</v>
      </c>
      <c r="BT115" s="198">
        <f>'Combined IFRS17 Cashflows'!BV48</f>
        <v>37.061523780230182</v>
      </c>
      <c r="BU115" s="198">
        <f>'Combined IFRS17 Cashflows'!BW48</f>
        <v>25.83478677383302</v>
      </c>
      <c r="BV115" s="198">
        <f>'Combined IFRS17 Cashflows'!BX48</f>
        <v>17.834311806657674</v>
      </c>
      <c r="BW115" s="198">
        <f>'Combined IFRS17 Cashflows'!BY48</f>
        <v>12.098786774929245</v>
      </c>
      <c r="BX115" s="198">
        <f>'Combined IFRS17 Cashflows'!BZ48</f>
        <v>8.0422261237582973</v>
      </c>
      <c r="BY115" s="198">
        <f>'Combined IFRS17 Cashflows'!CA48</f>
        <v>5.2043288333751354</v>
      </c>
      <c r="BZ115" s="198">
        <f>'Combined IFRS17 Cashflows'!CB48</f>
        <v>3.232147685519954</v>
      </c>
      <c r="CA115" s="198">
        <f>'Combined IFRS17 Cashflows'!CC48</f>
        <v>2.1838521299604019</v>
      </c>
      <c r="CB115" s="198">
        <f>'Combined IFRS17 Cashflows'!CD48</f>
        <v>1.4413110098665372</v>
      </c>
      <c r="CC115" s="198">
        <f>'Combined IFRS17 Cashflows'!CE48</f>
        <v>0.92311168011682898</v>
      </c>
      <c r="CD115" s="198">
        <f>'Combined IFRS17 Cashflows'!CF48</f>
        <v>0.56637807705160992</v>
      </c>
      <c r="CE115" s="198">
        <f>'Combined IFRS17 Cashflows'!CG48</f>
        <v>0.32329096801083196</v>
      </c>
      <c r="CF115" s="198">
        <f>'Combined IFRS17 Cashflows'!CH48</f>
        <v>0.19981258500604146</v>
      </c>
      <c r="CG115" s="198">
        <f>'Combined IFRS17 Cashflows'!CI48</f>
        <v>0.11613894308217844</v>
      </c>
      <c r="CH115" s="198">
        <f>'Combined IFRS17 Cashflows'!CJ48</f>
        <v>6.0580836392991333E-2</v>
      </c>
      <c r="CI115" s="198">
        <f>'Combined IFRS17 Cashflows'!CK48</f>
        <v>2.4125804027299441E-2</v>
      </c>
      <c r="CJ115" s="198">
        <f>'Combined IFRS17 Cashflows'!CL48</f>
        <v>0</v>
      </c>
      <c r="CK115" s="198">
        <f>'Combined IFRS17 Cashflows'!CM48</f>
        <v>0</v>
      </c>
      <c r="CL115" s="198">
        <f>'Combined IFRS17 Cashflows'!CN48</f>
        <v>0</v>
      </c>
      <c r="CM115" s="198">
        <f>'Combined IFRS17 Cashflows'!CO48</f>
        <v>0</v>
      </c>
      <c r="CN115" s="198">
        <f>'Combined IFRS17 Cashflows'!CP48</f>
        <v>0</v>
      </c>
      <c r="CO115" s="198">
        <f>'Combined IFRS17 Cashflows'!CQ48</f>
        <v>0</v>
      </c>
      <c r="CP115" s="198">
        <f>'Combined IFRS17 Cashflows'!CR48</f>
        <v>0</v>
      </c>
      <c r="CQ115" s="198">
        <f>'Combined IFRS17 Cashflows'!CS48</f>
        <v>0</v>
      </c>
      <c r="CR115" s="198">
        <f>'Combined IFRS17 Cashflows'!CT48</f>
        <v>0</v>
      </c>
      <c r="CS115" s="198">
        <f>'Combined IFRS17 Cashflows'!CU48</f>
        <v>0</v>
      </c>
      <c r="CT115" s="198">
        <f>'Combined IFRS17 Cashflows'!CV48</f>
        <v>0</v>
      </c>
      <c r="CU115" s="198">
        <f>'Combined IFRS17 Cashflows'!CW48</f>
        <v>0</v>
      </c>
      <c r="CV115" s="198">
        <f>'Combined IFRS17 Cashflows'!CX48</f>
        <v>0</v>
      </c>
      <c r="CW115" s="198">
        <f>'Combined IFRS17 Cashflows'!CY48</f>
        <v>0</v>
      </c>
      <c r="CX115" s="198">
        <f>'Combined IFRS17 Cashflows'!CZ48</f>
        <v>0</v>
      </c>
      <c r="CY115" s="198">
        <f>'Combined IFRS17 Cashflows'!DA48</f>
        <v>0</v>
      </c>
    </row>
    <row r="116" spans="2:103" x14ac:dyDescent="0.3">
      <c r="B116" s="93" t="s">
        <v>156</v>
      </c>
      <c r="C116" s="96"/>
      <c r="D116" s="195">
        <v>5194078.5432546362</v>
      </c>
      <c r="E116" s="195">
        <v>10520166.001947016</v>
      </c>
      <c r="F116" s="195">
        <v>13465812.482492181</v>
      </c>
      <c r="G116" s="195">
        <v>15629960.917178422</v>
      </c>
      <c r="H116" s="195">
        <v>20379064.426628791</v>
      </c>
      <c r="I116" s="195">
        <v>22302751.924127672</v>
      </c>
      <c r="J116" s="195">
        <v>24887706.998891793</v>
      </c>
      <c r="K116" s="195">
        <v>28194044.885218002</v>
      </c>
      <c r="L116" s="195">
        <v>32462226.520293664</v>
      </c>
      <c r="M116" s="195">
        <v>38052943.309899777</v>
      </c>
      <c r="N116" s="195">
        <v>38052944.3098998</v>
      </c>
      <c r="O116" s="195">
        <v>38052945.3098998</v>
      </c>
      <c r="P116" s="195">
        <v>38052946.3098998</v>
      </c>
      <c r="Q116" s="195">
        <v>38052947.3098998</v>
      </c>
      <c r="R116" s="195">
        <v>38052948.3098998</v>
      </c>
      <c r="S116" s="195">
        <v>38052949.3098998</v>
      </c>
      <c r="T116" s="195">
        <v>38052950.3098998</v>
      </c>
      <c r="U116" s="195">
        <v>38052951.3098998</v>
      </c>
      <c r="V116" s="195">
        <v>38052952.3098998</v>
      </c>
      <c r="W116" s="195">
        <v>38052953.3098998</v>
      </c>
      <c r="X116" s="195">
        <v>38052954.3098998</v>
      </c>
      <c r="Y116" s="195">
        <v>38052955.3098998</v>
      </c>
      <c r="Z116" s="195">
        <v>38052956.3098998</v>
      </c>
      <c r="AA116" s="195">
        <v>38052957.3098998</v>
      </c>
      <c r="AB116" s="195">
        <v>38052958.3098998</v>
      </c>
      <c r="AC116" s="195">
        <v>38052959.3098998</v>
      </c>
      <c r="AD116" s="195">
        <v>38052960.3098998</v>
      </c>
      <c r="AE116" s="195">
        <v>38052961.3098998</v>
      </c>
      <c r="AF116" s="195">
        <v>38052962.3098998</v>
      </c>
      <c r="AG116" s="195">
        <v>38052963.3098998</v>
      </c>
      <c r="AH116" s="195">
        <v>38052964.3098998</v>
      </c>
      <c r="AI116" s="195">
        <v>38052965.3098998</v>
      </c>
      <c r="AJ116" s="195">
        <v>38052966.3098998</v>
      </c>
      <c r="AK116" s="195">
        <v>38052967.3098998</v>
      </c>
      <c r="AL116" s="195">
        <v>38052968.3098998</v>
      </c>
      <c r="AM116" s="195">
        <v>38052969.3098998</v>
      </c>
      <c r="AN116" s="195">
        <v>38052970.3098998</v>
      </c>
      <c r="AO116" s="195">
        <v>38052971.3098998</v>
      </c>
      <c r="AP116" s="195">
        <v>38052972.3098998</v>
      </c>
      <c r="AQ116" s="195">
        <v>38052973.3098998</v>
      </c>
      <c r="AR116" s="195">
        <v>38052974.3098998</v>
      </c>
      <c r="AS116" s="195">
        <v>38052975.3098998</v>
      </c>
      <c r="AT116" s="195">
        <v>38052976.3098998</v>
      </c>
      <c r="AU116" s="195">
        <v>38052977.3098998</v>
      </c>
      <c r="AV116" s="195">
        <v>38052978.3098998</v>
      </c>
      <c r="AW116" s="195">
        <v>38052979.3098998</v>
      </c>
      <c r="AX116" s="195">
        <v>38052980.3098998</v>
      </c>
      <c r="AY116" s="195">
        <v>38052981.3098998</v>
      </c>
      <c r="AZ116" s="195">
        <v>38052982.3098998</v>
      </c>
      <c r="BA116" s="195">
        <v>38052983.3098998</v>
      </c>
      <c r="BB116" s="195">
        <v>38052984.3098998</v>
      </c>
      <c r="BC116" s="195">
        <v>38052985.3098998</v>
      </c>
      <c r="BD116" s="195">
        <v>38052986.3098998</v>
      </c>
      <c r="BE116" s="195">
        <v>38052987.3098998</v>
      </c>
      <c r="BF116" s="195">
        <v>38052988.3098998</v>
      </c>
      <c r="BG116" s="195">
        <v>38052989.3098998</v>
      </c>
      <c r="BH116" s="195">
        <v>38052990.3098998</v>
      </c>
      <c r="BI116" s="195">
        <v>38052991.3098998</v>
      </c>
      <c r="BJ116" s="195">
        <v>38052992.3098998</v>
      </c>
      <c r="BK116" s="195">
        <v>38052993.3098998</v>
      </c>
      <c r="BL116" s="195">
        <v>38052994.3098998</v>
      </c>
      <c r="BM116" s="195">
        <v>38052995.3098998</v>
      </c>
      <c r="BN116" s="195">
        <v>38052996.3098998</v>
      </c>
      <c r="BO116" s="195">
        <v>38052997.3098998</v>
      </c>
      <c r="BP116" s="195">
        <v>38052998.3098998</v>
      </c>
      <c r="BQ116" s="195">
        <v>38052999.3098998</v>
      </c>
      <c r="BR116" s="195">
        <v>38053000.3098998</v>
      </c>
      <c r="BS116" s="195">
        <v>38053001.3098998</v>
      </c>
      <c r="BT116" s="195">
        <v>38053002.3098998</v>
      </c>
      <c r="BU116" s="195">
        <v>38053003.3098998</v>
      </c>
      <c r="BV116" s="195">
        <v>38053004.3098998</v>
      </c>
      <c r="BW116" s="195">
        <v>38053005.3098998</v>
      </c>
      <c r="BX116" s="195">
        <v>38053006.3098998</v>
      </c>
      <c r="BY116" s="195">
        <v>38053007.3098998</v>
      </c>
      <c r="BZ116" s="195">
        <v>38053008.3098998</v>
      </c>
      <c r="CA116" s="195">
        <v>38053009.3098998</v>
      </c>
      <c r="CB116" s="195">
        <v>38053010.3098998</v>
      </c>
      <c r="CC116" s="195">
        <v>38053011.3098998</v>
      </c>
      <c r="CD116" s="195">
        <v>38053012.3098998</v>
      </c>
      <c r="CE116" s="195">
        <v>38053013.3098998</v>
      </c>
      <c r="CF116" s="195">
        <v>38053014.3098998</v>
      </c>
      <c r="CG116" s="195">
        <v>38053015.3098998</v>
      </c>
      <c r="CH116" s="195">
        <v>38053016.3098998</v>
      </c>
      <c r="CI116" s="195">
        <v>38053017.3098998</v>
      </c>
      <c r="CJ116" s="195">
        <v>38053018.3098998</v>
      </c>
      <c r="CK116" s="195">
        <v>38053019.3098998</v>
      </c>
      <c r="CL116" s="195">
        <v>38053020.3098998</v>
      </c>
      <c r="CM116" s="195">
        <v>38053021.3098998</v>
      </c>
      <c r="CN116" s="195">
        <v>38053022.3098998</v>
      </c>
      <c r="CO116" s="195">
        <v>38053023.3098998</v>
      </c>
      <c r="CP116" s="195">
        <v>38053024.3098998</v>
      </c>
      <c r="CQ116" s="195">
        <v>38053025.3098998</v>
      </c>
      <c r="CR116" s="195">
        <v>38053026.3098998</v>
      </c>
      <c r="CS116" s="195">
        <v>38053027.3098998</v>
      </c>
      <c r="CT116" s="195">
        <v>38053028.3098998</v>
      </c>
      <c r="CU116" s="195">
        <v>38053029.3098998</v>
      </c>
      <c r="CV116" s="195">
        <v>38053030.3098998</v>
      </c>
      <c r="CW116" s="195">
        <v>38053031.3098998</v>
      </c>
      <c r="CX116" s="195">
        <v>38053032.3098998</v>
      </c>
      <c r="CY116" s="195">
        <v>38053033.309901796</v>
      </c>
    </row>
    <row r="117" spans="2:103" x14ac:dyDescent="0.3">
      <c r="B117" s="93" t="s">
        <v>157</v>
      </c>
      <c r="C117" s="95"/>
      <c r="D117" s="94">
        <f>'CAR Calcs'!D59</f>
        <v>1696268.8695680301</v>
      </c>
      <c r="E117" s="94">
        <f>'CAR Calcs'!E59</f>
        <v>4548353.7346025687</v>
      </c>
      <c r="F117" s="94">
        <f>'CAR Calcs'!F59</f>
        <v>8135393.2896067305</v>
      </c>
      <c r="G117" s="94">
        <f>'CAR Calcs'!G59</f>
        <v>11728973.938224673</v>
      </c>
      <c r="H117" s="94">
        <f>'CAR Calcs'!H59</f>
        <v>16036211.808470229</v>
      </c>
      <c r="I117" s="94">
        <f>'CAR Calcs'!I59</f>
        <v>20197935.146215413</v>
      </c>
      <c r="J117" s="94">
        <f>'CAR Calcs'!J59</f>
        <v>24227133.229596034</v>
      </c>
      <c r="K117" s="94">
        <f>'CAR Calcs'!K59</f>
        <v>28350118.005923755</v>
      </c>
      <c r="L117" s="94">
        <f>'CAR Calcs'!L59</f>
        <v>32936052.174923565</v>
      </c>
      <c r="M117" s="94">
        <f>'CAR Calcs'!M59</f>
        <v>38270602.476094604</v>
      </c>
      <c r="N117" s="94">
        <f>'CAR Calcs'!N59</f>
        <v>31176657.740517166</v>
      </c>
      <c r="O117" s="94">
        <f>'CAR Calcs'!O59</f>
        <v>24535962.401297234</v>
      </c>
      <c r="P117" s="94">
        <f>'CAR Calcs'!P59</f>
        <v>19203468.673064049</v>
      </c>
      <c r="Q117" s="94">
        <f>'CAR Calcs'!Q59</f>
        <v>15407831.619076014</v>
      </c>
      <c r="R117" s="94">
        <f>'CAR Calcs'!R59</f>
        <v>12422926.994764684</v>
      </c>
      <c r="S117" s="94">
        <f>'CAR Calcs'!S59</f>
        <v>10896713.146635314</v>
      </c>
      <c r="T117" s="94">
        <f>'CAR Calcs'!T59</f>
        <v>10378585.357793372</v>
      </c>
      <c r="U117" s="94">
        <f>'CAR Calcs'!U59</f>
        <v>10313968.774553899</v>
      </c>
      <c r="V117" s="94">
        <f>'CAR Calcs'!V59</f>
        <v>10394328.545760809</v>
      </c>
      <c r="W117" s="94">
        <f>'CAR Calcs'!W59</f>
        <v>10639626.918927073</v>
      </c>
      <c r="X117" s="94">
        <f>'CAR Calcs'!X59</f>
        <v>10773588.685127802</v>
      </c>
      <c r="Y117" s="94">
        <f>'CAR Calcs'!Y59</f>
        <v>10837949.092822319</v>
      </c>
      <c r="Z117" s="94">
        <f>'CAR Calcs'!Z59</f>
        <v>10804614.957433376</v>
      </c>
      <c r="AA117" s="94">
        <f>'CAR Calcs'!AA59</f>
        <v>10663107.045442265</v>
      </c>
      <c r="AB117" s="94">
        <f>'CAR Calcs'!AB59</f>
        <v>10549994.667445106</v>
      </c>
      <c r="AC117" s="94">
        <f>'CAR Calcs'!AC59</f>
        <v>10361433.410238234</v>
      </c>
      <c r="AD117" s="94">
        <f>'CAR Calcs'!AD59</f>
        <v>10128928.125910461</v>
      </c>
      <c r="AE117" s="94">
        <f>'CAR Calcs'!AE59</f>
        <v>9854702.7510545161</v>
      </c>
      <c r="AF117" s="94">
        <f>'CAR Calcs'!AF59</f>
        <v>9543467.8723188452</v>
      </c>
      <c r="AG117" s="94">
        <f>'CAR Calcs'!AG59</f>
        <v>9278547.5773074701</v>
      </c>
      <c r="AH117" s="94">
        <f>'CAR Calcs'!AH59</f>
        <v>8958105.7939073704</v>
      </c>
      <c r="AI117" s="94">
        <f>'CAR Calcs'!AI59</f>
        <v>8622677.7706642784</v>
      </c>
      <c r="AJ117" s="94">
        <f>'CAR Calcs'!AJ59</f>
        <v>8263804.2789453594</v>
      </c>
      <c r="AK117" s="94">
        <f>'CAR Calcs'!AK59</f>
        <v>7878862.8171369992</v>
      </c>
      <c r="AL117" s="94">
        <f>'CAR Calcs'!AL59</f>
        <v>7506305.8294549212</v>
      </c>
      <c r="AM117" s="94">
        <f>'CAR Calcs'!AM59</f>
        <v>7123257.0851409063</v>
      </c>
      <c r="AN117" s="94">
        <f>'CAR Calcs'!AN59</f>
        <v>6729162.4762392128</v>
      </c>
      <c r="AO117" s="94">
        <f>'CAR Calcs'!AO59</f>
        <v>6323437.5857862998</v>
      </c>
      <c r="AP117" s="94">
        <f>'CAR Calcs'!AP59</f>
        <v>5907548.198251701</v>
      </c>
      <c r="AQ117" s="94">
        <f>'CAR Calcs'!AQ59</f>
        <v>5503674.3675032221</v>
      </c>
      <c r="AR117" s="94">
        <f>'CAR Calcs'!AR59</f>
        <v>5096911.3323026579</v>
      </c>
      <c r="AS117" s="94">
        <f>'CAR Calcs'!AS59</f>
        <v>4693303.2811544901</v>
      </c>
      <c r="AT117" s="94">
        <f>'CAR Calcs'!AT59</f>
        <v>4295278.7896909118</v>
      </c>
      <c r="AU117" s="94">
        <f>'CAR Calcs'!AU59</f>
        <v>3906063.785235771</v>
      </c>
      <c r="AV117" s="94">
        <f>'CAR Calcs'!AV59</f>
        <v>3539364.3520546914</v>
      </c>
      <c r="AW117" s="94">
        <f>'CAR Calcs'!AW59</f>
        <v>3191680.0676290635</v>
      </c>
      <c r="AX117" s="94">
        <f>'CAR Calcs'!AX59</f>
        <v>2864103.8477810444</v>
      </c>
      <c r="AY117" s="94">
        <f>'CAR Calcs'!AY59</f>
        <v>2558063.1543652802</v>
      </c>
      <c r="AZ117" s="94">
        <f>'CAR Calcs'!AZ59</f>
        <v>2274511.6694447659</v>
      </c>
      <c r="BA117" s="94">
        <f>'CAR Calcs'!BA59</f>
        <v>2018100.182533178</v>
      </c>
      <c r="BB117" s="94">
        <f>'CAR Calcs'!BB59</f>
        <v>1784596.1626570397</v>
      </c>
      <c r="BC117" s="94">
        <f>'CAR Calcs'!BC59</f>
        <v>1572685.8118190987</v>
      </c>
      <c r="BD117" s="94">
        <f>'CAR Calcs'!BD59</f>
        <v>1380768.5670894023</v>
      </c>
      <c r="BE117" s="94">
        <f>'CAR Calcs'!BE59</f>
        <v>1207286.4761942332</v>
      </c>
      <c r="BF117" s="94">
        <f>'CAR Calcs'!BF59</f>
        <v>1052647.2884973104</v>
      </c>
      <c r="BG117" s="94">
        <f>'CAR Calcs'!BG59</f>
        <v>915034.88904561498</v>
      </c>
      <c r="BH117" s="94">
        <f>'CAR Calcs'!BH59</f>
        <v>793062.38878141448</v>
      </c>
      <c r="BI117" s="94">
        <f>'CAR Calcs'!BI59</f>
        <v>684582.2110587589</v>
      </c>
      <c r="BJ117" s="94">
        <f>'CAR Calcs'!BJ59</f>
        <v>588576.93908365571</v>
      </c>
      <c r="BK117" s="94">
        <f>'CAR Calcs'!BK59</f>
        <v>504597.93101714447</v>
      </c>
      <c r="BL117" s="94">
        <f>'CAR Calcs'!BL59</f>
        <v>431055.5194551553</v>
      </c>
      <c r="BM117" s="94">
        <f>'CAR Calcs'!BM59</f>
        <v>366883.17297279573</v>
      </c>
      <c r="BN117" s="94">
        <f>'CAR Calcs'!BN59</f>
        <v>311124.05971628305</v>
      </c>
      <c r="BO117" s="94">
        <f>'CAR Calcs'!BO59</f>
        <v>262921.55764883669</v>
      </c>
      <c r="BP117" s="94">
        <f>'CAR Calcs'!BP59</f>
        <v>221601.41345230845</v>
      </c>
      <c r="BQ117" s="94">
        <f>'CAR Calcs'!BQ59</f>
        <v>186164.81550758847</v>
      </c>
      <c r="BR117" s="94">
        <f>'CAR Calcs'!BR59</f>
        <v>156020.21799205948</v>
      </c>
      <c r="BS117" s="94">
        <f>'CAR Calcs'!BS59</f>
        <v>130117.23138672349</v>
      </c>
      <c r="BT117" s="94">
        <f>'CAR Calcs'!BT59</f>
        <v>107860.61837226467</v>
      </c>
      <c r="BU117" s="94">
        <f>'CAR Calcs'!BU59</f>
        <v>88789.787091525301</v>
      </c>
      <c r="BV117" s="94">
        <f>'CAR Calcs'!BV59</f>
        <v>72193.996294866447</v>
      </c>
      <c r="BW117" s="94">
        <f>'CAR Calcs'!BW59</f>
        <v>58726.755487874318</v>
      </c>
      <c r="BX117" s="94">
        <f>'CAR Calcs'!BX59</f>
        <v>47492.073427021736</v>
      </c>
      <c r="BY117" s="94">
        <f>'CAR Calcs'!BY59</f>
        <v>38144.029645574134</v>
      </c>
      <c r="BZ117" s="94">
        <f>'CAR Calcs'!BZ59</f>
        <v>30393.680974190393</v>
      </c>
      <c r="CA117" s="94">
        <f>'CAR Calcs'!CA59</f>
        <v>22229.453155407558</v>
      </c>
      <c r="CB117" s="94">
        <f>'CAR Calcs'!CB59</f>
        <v>18133.060945453442</v>
      </c>
      <c r="CC117" s="94">
        <f>'CAR Calcs'!CC59</f>
        <v>14689.914053263836</v>
      </c>
      <c r="CD117" s="94">
        <f>'CAR Calcs'!CD59</f>
        <v>11808.664969048088</v>
      </c>
      <c r="CE117" s="94">
        <f>'CAR Calcs'!CE59</f>
        <v>9435.5466659265076</v>
      </c>
      <c r="CF117" s="94">
        <f>'CAR Calcs'!CF59</f>
        <v>6755.1632322091446</v>
      </c>
      <c r="CG117" s="94">
        <f>'CAR Calcs'!CG59</f>
        <v>5373.8970372096992</v>
      </c>
      <c r="CH117" s="94">
        <f>'CAR Calcs'!CH59</f>
        <v>4246.770504221764</v>
      </c>
      <c r="CI117" s="94">
        <f>'CAR Calcs'!CI59</f>
        <v>3450.526389520327</v>
      </c>
      <c r="CJ117" s="94">
        <f>'CAR Calcs'!CJ59</f>
        <v>15.85775859036813</v>
      </c>
      <c r="CK117" s="94">
        <f>'CAR Calcs'!CK59</f>
        <v>6.1447735339873741</v>
      </c>
      <c r="CL117" s="94">
        <f>'CAR Calcs'!CL59</f>
        <v>0</v>
      </c>
      <c r="CM117" s="94">
        <f>'CAR Calcs'!CM59</f>
        <v>0</v>
      </c>
      <c r="CN117" s="94">
        <f>'CAR Calcs'!CN59</f>
        <v>0</v>
      </c>
      <c r="CO117" s="94">
        <f>'CAR Calcs'!CO59</f>
        <v>0</v>
      </c>
      <c r="CP117" s="94">
        <f>'CAR Calcs'!CP59</f>
        <v>0</v>
      </c>
      <c r="CQ117" s="94">
        <f>'CAR Calcs'!CQ59</f>
        <v>0</v>
      </c>
      <c r="CR117" s="94">
        <f>'CAR Calcs'!CR59</f>
        <v>0</v>
      </c>
      <c r="CS117" s="94">
        <f>'CAR Calcs'!CS59</f>
        <v>0</v>
      </c>
      <c r="CT117" s="94">
        <f>'CAR Calcs'!CT59</f>
        <v>0</v>
      </c>
      <c r="CU117" s="94">
        <f>'CAR Calcs'!CU59</f>
        <v>0</v>
      </c>
      <c r="CV117" s="94">
        <f>'CAR Calcs'!CV59</f>
        <v>0</v>
      </c>
      <c r="CW117" s="94">
        <f>'CAR Calcs'!CW59</f>
        <v>0</v>
      </c>
      <c r="CX117" s="94">
        <f>'CAR Calcs'!CX59</f>
        <v>0</v>
      </c>
      <c r="CY117" s="94">
        <f>'CAR Calcs'!CY59</f>
        <v>0</v>
      </c>
    </row>
    <row r="118" spans="2:103" ht="12.6" customHeight="1" x14ac:dyDescent="0.3">
      <c r="B118" s="93" t="s">
        <v>373</v>
      </c>
      <c r="C118" s="95"/>
      <c r="D118" s="94">
        <f>D117/D123</f>
        <v>1485349.2728266465</v>
      </c>
      <c r="E118" s="94">
        <f t="shared" ref="E118:M118" si="151">E117/E123</f>
        <v>3487562.7103666174</v>
      </c>
      <c r="F118" s="94">
        <f t="shared" si="151"/>
        <v>5462359.0188016519</v>
      </c>
      <c r="G118" s="94">
        <f t="shared" si="151"/>
        <v>6895973.8452150999</v>
      </c>
      <c r="H118" s="94">
        <f t="shared" si="151"/>
        <v>8256030.0361704482</v>
      </c>
      <c r="I118" s="94">
        <f t="shared" si="151"/>
        <v>9105637.3551474866</v>
      </c>
      <c r="J118" s="94">
        <f t="shared" si="151"/>
        <v>9563994.11508427</v>
      </c>
      <c r="K118" s="94">
        <f t="shared" si="151"/>
        <v>9799999.1874278486</v>
      </c>
      <c r="L118" s="94">
        <f t="shared" si="151"/>
        <v>9969574.1257782169</v>
      </c>
      <c r="M118" s="94">
        <f t="shared" si="151"/>
        <v>10143883.669864727</v>
      </c>
      <c r="N118" s="94">
        <f t="shared" ref="N118:BY118" si="152">N117/N123</f>
        <v>7236064.2151871985</v>
      </c>
      <c r="O118" s="94">
        <f t="shared" si="152"/>
        <v>4986661.0603473783</v>
      </c>
      <c r="P118" s="94">
        <f t="shared" si="152"/>
        <v>3417592.9132336052</v>
      </c>
      <c r="Q118" s="94">
        <f t="shared" si="152"/>
        <v>2401132.1842929334</v>
      </c>
      <c r="R118" s="94">
        <f t="shared" si="152"/>
        <v>1695244.6184482404</v>
      </c>
      <c r="S118" s="94">
        <f t="shared" si="152"/>
        <v>1302080.5625095898</v>
      </c>
      <c r="T118" s="94">
        <f t="shared" si="152"/>
        <v>1085961.4157429556</v>
      </c>
      <c r="U118" s="94">
        <f t="shared" si="152"/>
        <v>945008.99400674296</v>
      </c>
      <c r="V118" s="94">
        <f t="shared" si="152"/>
        <v>833950.86920793867</v>
      </c>
      <c r="W118" s="94">
        <f t="shared" si="152"/>
        <v>747488.16591964592</v>
      </c>
      <c r="X118" s="94">
        <f t="shared" si="152"/>
        <v>662784.2947636554</v>
      </c>
      <c r="Y118" s="94">
        <f t="shared" si="152"/>
        <v>583838.62166173838</v>
      </c>
      <c r="Z118" s="94">
        <f t="shared" si="152"/>
        <v>509669.80473257793</v>
      </c>
      <c r="AA118" s="94">
        <f t="shared" si="152"/>
        <v>440450.6702603398</v>
      </c>
      <c r="AB118" s="94">
        <f t="shared" si="152"/>
        <v>381592.33488887135</v>
      </c>
      <c r="AC118" s="94">
        <f t="shared" si="152"/>
        <v>328171.70892515162</v>
      </c>
      <c r="AD118" s="94">
        <f t="shared" si="152"/>
        <v>280917.42824128317</v>
      </c>
      <c r="AE118" s="94">
        <f t="shared" si="152"/>
        <v>239327.50849944219</v>
      </c>
      <c r="AF118" s="94">
        <f t="shared" si="152"/>
        <v>202950.06858742001</v>
      </c>
      <c r="AG118" s="94">
        <f t="shared" si="152"/>
        <v>172781.35745482612</v>
      </c>
      <c r="AH118" s="94">
        <f t="shared" si="152"/>
        <v>146071.99672895094</v>
      </c>
      <c r="AI118" s="94">
        <f t="shared" si="152"/>
        <v>123119.49676688136</v>
      </c>
      <c r="AJ118" s="94">
        <f t="shared" si="152"/>
        <v>103323.37737951202</v>
      </c>
      <c r="AK118" s="94">
        <f t="shared" si="152"/>
        <v>86261.301390480556</v>
      </c>
      <c r="AL118" s="94">
        <f t="shared" si="152"/>
        <v>71963.556442029454</v>
      </c>
      <c r="AM118" s="94">
        <f t="shared" si="152"/>
        <v>59799.682475352813</v>
      </c>
      <c r="AN118" s="94">
        <f t="shared" si="152"/>
        <v>49466.954111089377</v>
      </c>
      <c r="AO118" s="94">
        <f t="shared" si="152"/>
        <v>40704.393465812376</v>
      </c>
      <c r="AP118" s="94">
        <f t="shared" si="152"/>
        <v>33298.848930345928</v>
      </c>
      <c r="AQ118" s="94">
        <f t="shared" si="152"/>
        <v>27164.92898061794</v>
      </c>
      <c r="AR118" s="94">
        <f t="shared" si="152"/>
        <v>22029.103237137137</v>
      </c>
      <c r="AS118" s="94">
        <f t="shared" si="152"/>
        <v>17762.424911263297</v>
      </c>
      <c r="AT118" s="94">
        <f t="shared" si="152"/>
        <v>14234.718702332295</v>
      </c>
      <c r="AU118" s="94">
        <f t="shared" si="152"/>
        <v>11335.241020041998</v>
      </c>
      <c r="AV118" s="94">
        <f t="shared" si="152"/>
        <v>8993.9526428283389</v>
      </c>
      <c r="AW118" s="94">
        <f t="shared" si="152"/>
        <v>7101.9657175237744</v>
      </c>
      <c r="AX118" s="94">
        <f t="shared" si="152"/>
        <v>5580.6126213193857</v>
      </c>
      <c r="AY118" s="94">
        <f t="shared" si="152"/>
        <v>4364.5379555140589</v>
      </c>
      <c r="AZ118" s="94">
        <f t="shared" si="152"/>
        <v>3398.2011126528919</v>
      </c>
      <c r="BA118" s="94">
        <f t="shared" si="152"/>
        <v>2640.2042522891024</v>
      </c>
      <c r="BB118" s="94">
        <f t="shared" si="152"/>
        <v>2044.4131013201422</v>
      </c>
      <c r="BC118" s="94">
        <f t="shared" si="152"/>
        <v>1577.6278541748834</v>
      </c>
      <c r="BD118" s="94">
        <f t="shared" si="152"/>
        <v>1212.878742986037</v>
      </c>
      <c r="BE118" s="94">
        <f t="shared" si="152"/>
        <v>928.62575540431465</v>
      </c>
      <c r="BF118" s="94">
        <f t="shared" si="152"/>
        <v>709.00151153343461</v>
      </c>
      <c r="BG118" s="94">
        <f t="shared" si="152"/>
        <v>539.67939190405696</v>
      </c>
      <c r="BH118" s="94">
        <f t="shared" si="152"/>
        <v>409.58065007117762</v>
      </c>
      <c r="BI118" s="94">
        <f t="shared" si="152"/>
        <v>309.59332108142956</v>
      </c>
      <c r="BJ118" s="94">
        <f t="shared" si="152"/>
        <v>233.07898136738348</v>
      </c>
      <c r="BK118" s="94">
        <f t="shared" si="152"/>
        <v>174.97630082716617</v>
      </c>
      <c r="BL118" s="94">
        <f t="shared" si="152"/>
        <v>130.88831351475079</v>
      </c>
      <c r="BM118" s="94">
        <f t="shared" si="152"/>
        <v>97.550466584596776</v>
      </c>
      <c r="BN118" s="94">
        <f t="shared" si="152"/>
        <v>72.438433626094024</v>
      </c>
      <c r="BO118" s="94">
        <f t="shared" si="152"/>
        <v>53.603796072485395</v>
      </c>
      <c r="BP118" s="94">
        <f t="shared" si="152"/>
        <v>39.561775305795834</v>
      </c>
      <c r="BQ118" s="94">
        <f t="shared" si="152"/>
        <v>29.102798088056357</v>
      </c>
      <c r="BR118" s="94">
        <f t="shared" si="152"/>
        <v>21.357573932055683</v>
      </c>
      <c r="BS118" s="94">
        <f t="shared" si="152"/>
        <v>15.59695244492929</v>
      </c>
      <c r="BT118" s="94">
        <f t="shared" si="152"/>
        <v>11.321441739844374</v>
      </c>
      <c r="BU118" s="94">
        <f t="shared" si="152"/>
        <v>8.1608564923709306</v>
      </c>
      <c r="BV118" s="94">
        <f t="shared" si="152"/>
        <v>5.8104223974025366</v>
      </c>
      <c r="BW118" s="94">
        <f t="shared" si="152"/>
        <v>4.1388198781329066</v>
      </c>
      <c r="BX118" s="94">
        <f t="shared" si="152"/>
        <v>2.9308631814152117</v>
      </c>
      <c r="BY118" s="94">
        <f t="shared" si="152"/>
        <v>2.0612699971736874</v>
      </c>
      <c r="BZ118" s="94">
        <f t="shared" ref="BZ118:CY118" si="153">BZ117/BZ123</f>
        <v>1.4382206079344129</v>
      </c>
      <c r="CA118" s="94">
        <f t="shared" si="153"/>
        <v>0.92109596971416674</v>
      </c>
      <c r="CB118" s="94">
        <f t="shared" si="153"/>
        <v>0.65793216720081904</v>
      </c>
      <c r="CC118" s="94">
        <f t="shared" si="153"/>
        <v>0.46672724125379156</v>
      </c>
      <c r="CD118" s="94">
        <f t="shared" si="153"/>
        <v>0.32853269196572071</v>
      </c>
      <c r="CE118" s="94">
        <f t="shared" si="153"/>
        <v>0.22986812539004992</v>
      </c>
      <c r="CF118" s="94">
        <f t="shared" si="153"/>
        <v>0.14410579016808867</v>
      </c>
      <c r="CG118" s="94">
        <f t="shared" si="153"/>
        <v>0.10038499936384716</v>
      </c>
      <c r="CH118" s="94">
        <f t="shared" si="153"/>
        <v>6.9465980135633112E-2</v>
      </c>
      <c r="CI118" s="94">
        <f t="shared" si="153"/>
        <v>4.9423400699304794E-2</v>
      </c>
      <c r="CJ118" s="94">
        <f t="shared" si="153"/>
        <v>1.9889458974618201E-4</v>
      </c>
      <c r="CK118" s="94">
        <f t="shared" si="153"/>
        <v>6.7487127803827443E-5</v>
      </c>
      <c r="CL118" s="94">
        <f t="shared" si="153"/>
        <v>0</v>
      </c>
      <c r="CM118" s="94">
        <f t="shared" si="153"/>
        <v>0</v>
      </c>
      <c r="CN118" s="94">
        <f t="shared" si="153"/>
        <v>0</v>
      </c>
      <c r="CO118" s="94">
        <f t="shared" si="153"/>
        <v>0</v>
      </c>
      <c r="CP118" s="94">
        <f t="shared" si="153"/>
        <v>0</v>
      </c>
      <c r="CQ118" s="94">
        <f t="shared" si="153"/>
        <v>0</v>
      </c>
      <c r="CR118" s="94">
        <f t="shared" si="153"/>
        <v>0</v>
      </c>
      <c r="CS118" s="94">
        <f t="shared" si="153"/>
        <v>0</v>
      </c>
      <c r="CT118" s="94">
        <f t="shared" si="153"/>
        <v>0</v>
      </c>
      <c r="CU118" s="94">
        <f t="shared" si="153"/>
        <v>0</v>
      </c>
      <c r="CV118" s="94">
        <f t="shared" si="153"/>
        <v>0</v>
      </c>
      <c r="CW118" s="94">
        <f t="shared" si="153"/>
        <v>0</v>
      </c>
      <c r="CX118" s="94">
        <f t="shared" si="153"/>
        <v>0</v>
      </c>
      <c r="CY118" s="94">
        <f t="shared" si="153"/>
        <v>0</v>
      </c>
    </row>
    <row r="119" spans="2:103" x14ac:dyDescent="0.3">
      <c r="B119" s="93" t="s">
        <v>374</v>
      </c>
      <c r="C119" s="95"/>
      <c r="D119" s="94">
        <f>'IFRS 17 Income Statement'!C31</f>
        <v>-98279.583213858772</v>
      </c>
      <c r="E119" s="94">
        <f>'IFRS 17 Income Statement'!D31</f>
        <v>219608.46953935176</v>
      </c>
      <c r="F119" s="94">
        <f>'IFRS 17 Income Statement'!E31</f>
        <v>1240423.1222044192</v>
      </c>
      <c r="G119" s="94">
        <f>'IFRS 17 Income Statement'!F31</f>
        <v>2799737.1803883389</v>
      </c>
      <c r="H119" s="94">
        <f>'IFRS 17 Income Statement'!G31</f>
        <v>4263884.5613826215</v>
      </c>
      <c r="I119" s="94">
        <f>'IFRS 17 Income Statement'!H31</f>
        <v>6181563.9785480276</v>
      </c>
      <c r="J119" s="94">
        <f>'IFRS 17 Income Statement'!I31</f>
        <v>8519110.2341216207</v>
      </c>
      <c r="K119" s="94">
        <f>'IFRS 17 Income Statement'!J31</f>
        <v>11068978.754341453</v>
      </c>
      <c r="L119" s="94">
        <f>'IFRS 17 Income Statement'!K31</f>
        <v>13618815.821706265</v>
      </c>
      <c r="M119" s="94">
        <f>'IFRS 17 Income Statement'!L31</f>
        <v>16375927.453713089</v>
      </c>
      <c r="N119" s="94">
        <f>'IFRS 17 Income Statement'!M31</f>
        <v>20313165.220313236</v>
      </c>
      <c r="O119" s="94">
        <f>'IFRS 17 Income Statement'!N31</f>
        <v>20461490.503825709</v>
      </c>
      <c r="P119" s="94">
        <f>'IFRS 17 Income Statement'!O31</f>
        <v>18579901.532984778</v>
      </c>
      <c r="Q119" s="94">
        <f>'IFRS 17 Income Statement'!P31</f>
        <v>15656150.10588149</v>
      </c>
      <c r="R119" s="94">
        <f>'IFRS 17 Income Statement'!Q31</f>
        <v>15620766.140488371</v>
      </c>
      <c r="S119" s="94">
        <f>'IFRS 17 Income Statement'!R31</f>
        <v>12864228.664840922</v>
      </c>
      <c r="T119" s="94">
        <f>'IFRS 17 Income Statement'!S31</f>
        <v>9979993.9907455295</v>
      </c>
      <c r="U119" s="94">
        <f>'IFRS 17 Income Statement'!T31</f>
        <v>7267220.2640058622</v>
      </c>
      <c r="V119" s="94">
        <f>'IFRS 17 Income Statement'!U31</f>
        <v>4282615.6483051553</v>
      </c>
      <c r="W119" s="94">
        <f>'IFRS 17 Income Statement'!V31</f>
        <v>3507919.1716832444</v>
      </c>
      <c r="X119" s="94">
        <f>'IFRS 17 Income Statement'!W31</f>
        <v>1036475.8864361793</v>
      </c>
      <c r="Y119" s="94">
        <f>'IFRS 17 Income Statement'!X31</f>
        <v>-1014644.3139963672</v>
      </c>
      <c r="Z119" s="94">
        <f>'IFRS 17 Income Statement'!Y31</f>
        <v>-2780667.9431279525</v>
      </c>
      <c r="AA119" s="94">
        <f>'IFRS 17 Income Statement'!Z31</f>
        <v>-4341683.8586380035</v>
      </c>
      <c r="AB119" s="94">
        <f>'IFRS 17 Income Statement'!AA31</f>
        <v>-4403673.4028940573</v>
      </c>
      <c r="AC119" s="94">
        <f>'IFRS 17 Income Statement'!AB31</f>
        <v>-5359413.3537504748</v>
      </c>
      <c r="AD119" s="94">
        <f>'IFRS 17 Income Statement'!AC31</f>
        <v>-6041652.0619983897</v>
      </c>
      <c r="AE119" s="94">
        <f>'IFRS 17 Income Statement'!AD31</f>
        <v>-6565520.9303156026</v>
      </c>
      <c r="AF119" s="94">
        <f>'IFRS 17 Income Statement'!AE31</f>
        <v>-7011937.0932163913</v>
      </c>
      <c r="AG119" s="94">
        <f>'IFRS 17 Income Statement'!AF31</f>
        <v>-6657049.7723001335</v>
      </c>
      <c r="AH119" s="94">
        <f>'IFRS 17 Income Statement'!AG31</f>
        <v>-6898393.1922470611</v>
      </c>
      <c r="AI119" s="94">
        <f>'IFRS 17 Income Statement'!AH31</f>
        <v>-7094696.7227693237</v>
      </c>
      <c r="AJ119" s="94">
        <f>'IFRS 17 Income Statement'!AI31</f>
        <v>-7292100.4882349484</v>
      </c>
      <c r="AK119" s="94">
        <f>'IFRS 17 Income Statement'!AJ31</f>
        <v>-7498409.9887001291</v>
      </c>
      <c r="AL119" s="94">
        <f>'IFRS 17 Income Statement'!AK31</f>
        <v>-7291200.6846970106</v>
      </c>
      <c r="AM119" s="94">
        <f>'IFRS 17 Income Statement'!AL31</f>
        <v>-7272963.5579509502</v>
      </c>
      <c r="AN119" s="94">
        <f>'IFRS 17 Income Statement'!AM31</f>
        <v>-7348754.3464656034</v>
      </c>
      <c r="AO119" s="94">
        <f>'IFRS 17 Income Statement'!AN31</f>
        <v>-7375050.3573510833</v>
      </c>
      <c r="AP119" s="94">
        <f>'IFRS 17 Income Statement'!AO31</f>
        <v>-7375097.3959889589</v>
      </c>
      <c r="AQ119" s="94">
        <f>'IFRS 17 Income Statement'!AP31</f>
        <v>-7119162.8123747101</v>
      </c>
      <c r="AR119" s="94">
        <f>'IFRS 17 Income Statement'!AQ31</f>
        <v>-7025720.5064645093</v>
      </c>
      <c r="AS119" s="94">
        <f>'IFRS 17 Income Statement'!AR31</f>
        <v>-6878384.3787678592</v>
      </c>
      <c r="AT119" s="94">
        <f>'IFRS 17 Income Statement'!AS31</f>
        <v>-6685746.6919000605</v>
      </c>
      <c r="AU119" s="94">
        <f>'IFRS 17 Income Statement'!AT31</f>
        <v>-6454621.6770519279</v>
      </c>
      <c r="AV119" s="94">
        <f>'IFRS 17 Income Statement'!AU31</f>
        <v>-6057708.001796918</v>
      </c>
      <c r="AW119" s="94">
        <f>'IFRS 17 Income Statement'!AV31</f>
        <v>-5696487.1489907717</v>
      </c>
      <c r="AX119" s="94">
        <f>'IFRS 17 Income Statement'!AW31</f>
        <v>-5351712.2127687465</v>
      </c>
      <c r="AY119" s="94">
        <f>'IFRS 17 Income Statement'!AX31</f>
        <v>-4981493.1245380528</v>
      </c>
      <c r="AZ119" s="94">
        <f>'IFRS 17 Income Statement'!AY31</f>
        <v>-4603487.3910253849</v>
      </c>
      <c r="BA119" s="94">
        <f>'IFRS 17 Income Statement'!AZ31</f>
        <v>-4168275.6058203243</v>
      </c>
      <c r="BB119" s="94">
        <f>'IFRS 17 Income Statement'!BA31</f>
        <v>-3794959.2229646253</v>
      </c>
      <c r="BC119" s="94">
        <f>'IFRS 17 Income Statement'!BB31</f>
        <v>-3448333.7041828064</v>
      </c>
      <c r="BD119" s="94">
        <f>'IFRS 17 Income Statement'!BC31</f>
        <v>-3127298.4150140001</v>
      </c>
      <c r="BE119" s="94">
        <f>'IFRS 17 Income Statement'!BD31</f>
        <v>-2830877.9142031185</v>
      </c>
      <c r="BF119" s="94">
        <f>'IFRS 17 Income Statement'!BE31</f>
        <v>-2528939.4518957031</v>
      </c>
      <c r="BG119" s="94">
        <f>'IFRS 17 Income Statement'!BF31</f>
        <v>-2238368.1547543625</v>
      </c>
      <c r="BH119" s="94">
        <f>'IFRS 17 Income Statement'!BG31</f>
        <v>-2006352.3994775508</v>
      </c>
      <c r="BI119" s="94">
        <f>'IFRS 17 Income Statement'!BH31</f>
        <v>-1787080.3146122003</v>
      </c>
      <c r="BJ119" s="94">
        <f>'IFRS 17 Income Statement'!BI31</f>
        <v>-1583575.2679429816</v>
      </c>
      <c r="BK119" s="94">
        <f>'IFRS 17 Income Statement'!BJ31</f>
        <v>-1384924.9534038003</v>
      </c>
      <c r="BL119" s="94">
        <f>'IFRS 17 Income Statement'!BK31</f>
        <v>-1210164.9825102827</v>
      </c>
      <c r="BM119" s="94">
        <f>'IFRS 17 Income Statement'!BL31</f>
        <v>-1052705.7768393359</v>
      </c>
      <c r="BN119" s="94">
        <f>'IFRS 17 Income Statement'!BM31</f>
        <v>-907237.51421470754</v>
      </c>
      <c r="BO119" s="94">
        <f>'IFRS 17 Income Statement'!BN31</f>
        <v>-773938.93766964751</v>
      </c>
      <c r="BP119" s="94">
        <f>'IFRS 17 Income Statement'!BO31</f>
        <v>-648245.89496747614</v>
      </c>
      <c r="BQ119" s="94">
        <f>'IFRS 17 Income Statement'!BP31</f>
        <v>-533549.00578740856</v>
      </c>
      <c r="BR119" s="94">
        <f>'IFRS 17 Income Statement'!BQ31</f>
        <v>-437918.14814635308</v>
      </c>
      <c r="BS119" s="94">
        <f>'IFRS 17 Income Statement'!BR31</f>
        <v>-352487.1026691671</v>
      </c>
      <c r="BT119" s="94">
        <f>'IFRS 17 Income Statement'!BS31</f>
        <v>-277816.12877004134</v>
      </c>
      <c r="BU119" s="94">
        <f>'IFRS 17 Income Statement'!BT31</f>
        <v>-213054.93072691106</v>
      </c>
      <c r="BV119" s="94">
        <f>'IFRS 17 Income Statement'!BU31</f>
        <v>-156551.62407187279</v>
      </c>
      <c r="BW119" s="94">
        <f>'IFRS 17 Income Statement'!BV31</f>
        <v>-116344.28569172656</v>
      </c>
      <c r="BX119" s="94">
        <f>'IFRS 17 Income Statement'!BW31</f>
        <v>-85285.880150308949</v>
      </c>
      <c r="BY119" s="94">
        <f>'IFRS 17 Income Statement'!BX31</f>
        <v>-61729.697401502519</v>
      </c>
      <c r="BZ119" s="94">
        <f>'IFRS 17 Income Statement'!BY31</f>
        <v>-44032.081169217876</v>
      </c>
      <c r="CA119" s="94">
        <f>'IFRS 17 Income Statement'!BZ31</f>
        <v>-26211.709680245203</v>
      </c>
      <c r="CB119" s="94">
        <f>'IFRS 17 Income Statement'!CA31</f>
        <v>-18803.069046509976</v>
      </c>
      <c r="CC119" s="94">
        <f>'IFRS 17 Income Statement'!CB31</f>
        <v>-13300.257538859229</v>
      </c>
      <c r="CD119" s="94">
        <f>'IFRS 17 Income Statement'!CC31</f>
        <v>-9272.1801380586403</v>
      </c>
      <c r="CE119" s="94">
        <f>'IFRS 17 Income Statement'!CD31</f>
        <v>-6367.8468586630561</v>
      </c>
      <c r="CF119" s="94">
        <f>'IFRS 17 Income Statement'!CE31</f>
        <v>-3323.9089959239741</v>
      </c>
      <c r="CG119" s="94">
        <f>'IFRS 17 Income Statement'!CF31</f>
        <v>-2260.1268703171827</v>
      </c>
      <c r="CH119" s="94">
        <f>'IFRS 17 Income Statement'!CG31</f>
        <v>-1500.6638522658729</v>
      </c>
      <c r="CI119" s="94">
        <f>'IFRS 17 Income Statement'!CH31</f>
        <v>-978.40157181559766</v>
      </c>
      <c r="CJ119" s="94">
        <f>'IFRS 17 Income Statement'!CI31</f>
        <v>-633.98956625465621</v>
      </c>
      <c r="CK119" s="94">
        <f>'IFRS 17 Income Statement'!CJ31</f>
        <v>0</v>
      </c>
      <c r="CL119" s="94">
        <f>'IFRS 17 Income Statement'!CK31</f>
        <v>0</v>
      </c>
      <c r="CM119" s="94">
        <f>'IFRS 17 Income Statement'!CL31</f>
        <v>0</v>
      </c>
      <c r="CN119" s="94">
        <f>'IFRS 17 Income Statement'!CM31</f>
        <v>0</v>
      </c>
      <c r="CO119" s="94">
        <f>'IFRS 17 Income Statement'!CN31</f>
        <v>0</v>
      </c>
      <c r="CP119" s="94">
        <f>'IFRS 17 Income Statement'!CO31</f>
        <v>0</v>
      </c>
      <c r="CQ119" s="94">
        <f>'IFRS 17 Income Statement'!CP31</f>
        <v>0</v>
      </c>
      <c r="CR119" s="94">
        <f>'IFRS 17 Income Statement'!CQ31</f>
        <v>0</v>
      </c>
      <c r="CS119" s="94">
        <f>'IFRS 17 Income Statement'!CR31</f>
        <v>0</v>
      </c>
      <c r="CT119" s="94">
        <f>'IFRS 17 Income Statement'!CS31</f>
        <v>0</v>
      </c>
      <c r="CU119" s="94">
        <f>'IFRS 17 Income Statement'!CT31</f>
        <v>0</v>
      </c>
      <c r="CV119" s="94">
        <f>'IFRS 17 Income Statement'!CU31</f>
        <v>0</v>
      </c>
      <c r="CW119" s="94">
        <f>'IFRS 17 Income Statement'!CV31</f>
        <v>0</v>
      </c>
      <c r="CX119" s="94">
        <f>'IFRS 17 Income Statement'!CW31</f>
        <v>0</v>
      </c>
      <c r="CY119" s="94">
        <f>'IFRS 17 Income Statement'!CX31</f>
        <v>0</v>
      </c>
    </row>
    <row r="120" spans="2:103" x14ac:dyDescent="0.3">
      <c r="B120" s="93" t="s">
        <v>375</v>
      </c>
      <c r="C120" s="95"/>
      <c r="D120" s="94">
        <f ca="1">'Results Tables'!D27</f>
        <v>-336041.480636489</v>
      </c>
      <c r="E120" s="94">
        <f ca="1">'Results Tables'!E27</f>
        <v>-434527.30382555613</v>
      </c>
      <c r="F120" s="94">
        <f ca="1">'Results Tables'!F27</f>
        <v>663155.20582097536</v>
      </c>
      <c r="G120" s="94">
        <f ca="1">'Results Tables'!G27</f>
        <v>2144275.2467415701</v>
      </c>
      <c r="H120" s="94">
        <f ca="1">'Results Tables'!H27</f>
        <v>3325158.8677593539</v>
      </c>
      <c r="I120" s="94">
        <f ca="1">'Results Tables'!I27</f>
        <v>5218298.6913499255</v>
      </c>
      <c r="J120" s="94">
        <f ca="1">'Results Tables'!J27</f>
        <v>7230805.8337208312</v>
      </c>
      <c r="K120" s="94">
        <f ca="1">'Results Tables'!K27</f>
        <v>9195852.3167760074</v>
      </c>
      <c r="L120" s="94">
        <f ca="1">'Results Tables'!L27</f>
        <v>10976904.120345421</v>
      </c>
      <c r="M120" s="94">
        <f ca="1">'Results Tables'!M27</f>
        <v>12798020.056833118</v>
      </c>
      <c r="N120" s="94">
        <f ca="1">'Results Tables'!N27</f>
        <v>18500743.561796647</v>
      </c>
      <c r="O120" s="94">
        <f ca="1">'Results Tables'!O27</f>
        <v>16715703.735810308</v>
      </c>
      <c r="P120" s="94">
        <f ca="1">'Results Tables'!P27</f>
        <v>13867836.768594027</v>
      </c>
      <c r="Q120" s="94">
        <f ca="1">'Results Tables'!Q27</f>
        <v>10508186.365808854</v>
      </c>
      <c r="R120" s="94">
        <f ca="1">'Results Tables'!R27</f>
        <v>9242957.4336594958</v>
      </c>
      <c r="S120" s="94">
        <f ca="1">'Results Tables'!S27</f>
        <v>6225883.3751818947</v>
      </c>
      <c r="T120" s="94">
        <f ca="1">'Results Tables'!T27</f>
        <v>3664467.4628586299</v>
      </c>
      <c r="U120" s="94">
        <f ca="1">'Results Tables'!U27</f>
        <v>1883673.7526751105</v>
      </c>
      <c r="V120" s="94">
        <f ca="1">'Results Tables'!V27</f>
        <v>330569.17757193075</v>
      </c>
      <c r="W120" s="94">
        <f ca="1">'Results Tables'!W27</f>
        <v>-490060.20314060303</v>
      </c>
      <c r="X120" s="94">
        <f ca="1">'Results Tables'!X27</f>
        <v>-1747733.5746391879</v>
      </c>
      <c r="Y120" s="94">
        <f ca="1">'Results Tables'!Y27</f>
        <v>-2839029.7145686606</v>
      </c>
      <c r="Z120" s="94">
        <f ca="1">'Results Tables'!Z27</f>
        <v>-3758508.2163615297</v>
      </c>
      <c r="AA120" s="94">
        <f ca="1">'Results Tables'!AA27</f>
        <v>-4497402.1751979263</v>
      </c>
      <c r="AB120" s="94">
        <f ca="1">'Results Tables'!AB27</f>
        <v>-4675447.0724724559</v>
      </c>
      <c r="AC120" s="94">
        <f ca="1">'Results Tables'!AC27</f>
        <v>-5074832.6451679654</v>
      </c>
      <c r="AD120" s="94">
        <f ca="1">'Results Tables'!AD27</f>
        <v>-5370065.5545329107</v>
      </c>
      <c r="AE120" s="94">
        <f ca="1">'Results Tables'!AE27</f>
        <v>-5559155.332626408</v>
      </c>
      <c r="AF120" s="94">
        <f ca="1">'Results Tables'!AF27</f>
        <v>-5693690.631879136</v>
      </c>
      <c r="AG120" s="94">
        <f ca="1">'Results Tables'!AG27</f>
        <v>-5548498.1772643561</v>
      </c>
      <c r="AH120" s="94">
        <f ca="1">'Results Tables'!AH27</f>
        <v>-5578189.8995441087</v>
      </c>
      <c r="AI120" s="94">
        <f ca="1">'Results Tables'!AI27</f>
        <v>-5594072.9287984287</v>
      </c>
      <c r="AJ120" s="94">
        <f ca="1">'Results Tables'!AJ27</f>
        <v>-5605205.835774296</v>
      </c>
      <c r="AK120" s="94">
        <f ca="1">'Results Tables'!AK27</f>
        <v>-5615972.9307560939</v>
      </c>
      <c r="AL120" s="94">
        <f ca="1">'Results Tables'!AL27</f>
        <v>-5463480.2790064001</v>
      </c>
      <c r="AM120" s="94">
        <f ca="1">'Results Tables'!AM27</f>
        <v>-5359341.7382615414</v>
      </c>
      <c r="AN120" s="94">
        <f ca="1">'Results Tables'!AN27</f>
        <v>-5323855.5183666321</v>
      </c>
      <c r="AO120" s="94">
        <f ca="1">'Results Tables'!AO27</f>
        <v>-5261306.1433779765</v>
      </c>
      <c r="AP120" s="94">
        <f ca="1">'Results Tables'!AP27</f>
        <v>-5181404.4395600464</v>
      </c>
      <c r="AQ120" s="94">
        <f ca="1">'Results Tables'!AQ27</f>
        <v>-4985362.0419877348</v>
      </c>
      <c r="AR120" s="94">
        <f ca="1">'Results Tables'!AR27</f>
        <v>-4858744.9603454731</v>
      </c>
      <c r="AS120" s="94">
        <f ca="1">'Results Tables'!AS27</f>
        <v>-4706826.9565362968</v>
      </c>
      <c r="AT120" s="94">
        <f ca="1">'Results Tables'!AT27</f>
        <v>-4532645.3586225007</v>
      </c>
      <c r="AU120" s="94">
        <f ca="1">'Results Tables'!AU27</f>
        <v>-4339955.2320955489</v>
      </c>
      <c r="AV120" s="94">
        <f ca="1">'Results Tables'!AV27</f>
        <v>-4067462.7994811167</v>
      </c>
      <c r="AW120" s="94">
        <f ca="1">'Results Tables'!AW27</f>
        <v>-3809176.820060655</v>
      </c>
      <c r="AX120" s="94">
        <f ca="1">'Results Tables'!AX27</f>
        <v>-3567942.5259488611</v>
      </c>
      <c r="AY120" s="94">
        <f ca="1">'Results Tables'!AY27</f>
        <v>-3315058.5247517121</v>
      </c>
      <c r="AZ120" s="94">
        <f ca="1">'Results Tables'!AZ27</f>
        <v>-3059297.9143463159</v>
      </c>
      <c r="BA120" s="94">
        <f ca="1">'Results Tables'!BA27</f>
        <v>-2775258.4766987809</v>
      </c>
      <c r="BB120" s="94">
        <f ca="1">'Results Tables'!BB27</f>
        <v>-2526440.0248229266</v>
      </c>
      <c r="BC120" s="94">
        <f ca="1">'Results Tables'!BC27</f>
        <v>-2295491.9520350732</v>
      </c>
      <c r="BD120" s="94">
        <f ca="1">'Results Tables'!BD27</f>
        <v>-2081770.2751191331</v>
      </c>
      <c r="BE120" s="94">
        <f ca="1">'Results Tables'!BE27</f>
        <v>-1884599.0173182788</v>
      </c>
      <c r="BF120" s="94">
        <f ca="1">'Results Tables'!BF27</f>
        <v>-1686678.3305766135</v>
      </c>
      <c r="BG120" s="94">
        <f ca="1">'Results Tables'!BG27</f>
        <v>-1492607.7341136674</v>
      </c>
      <c r="BH120" s="94">
        <f ca="1">'Results Tables'!BH27</f>
        <v>-1340320.7873514167</v>
      </c>
      <c r="BI120" s="94">
        <f ca="1">'Results Tables'!BI27</f>
        <v>-1196457.7748857324</v>
      </c>
      <c r="BJ120" s="94">
        <f ca="1">'Results Tables'!BJ27</f>
        <v>-1062546.8898218633</v>
      </c>
      <c r="BK120" s="94">
        <f ca="1">'Results Tables'!BK27</f>
        <v>-931908.20160158724</v>
      </c>
      <c r="BL120" s="94">
        <f ca="1">'Results Tables'!BL27</f>
        <v>-816061.85366978182</v>
      </c>
      <c r="BM120" s="94">
        <f ca="1">'Results Tables'!BM27</f>
        <v>-711366.94035334745</v>
      </c>
      <c r="BN120" s="94">
        <f ca="1">'Results Tables'!BN27</f>
        <v>-614498.72630902741</v>
      </c>
      <c r="BO120" s="94">
        <f ca="1">'Results Tables'!BO27</f>
        <v>-525517.0979383681</v>
      </c>
      <c r="BP120" s="94">
        <f ca="1">'Results Tables'!BP27</f>
        <v>-441484.91245893767</v>
      </c>
      <c r="BQ120" s="94">
        <f ca="1">'Results Tables'!BQ27</f>
        <v>-364487.92828155484</v>
      </c>
      <c r="BR120" s="94">
        <f ca="1">'Results Tables'!BR27</f>
        <v>-300083.0393898476</v>
      </c>
      <c r="BS120" s="94">
        <f ca="1">'Results Tables'!BS27</f>
        <v>-242440.26601113868</v>
      </c>
      <c r="BT120" s="94">
        <f ca="1">'Results Tables'!BT27</f>
        <v>-191827.60811549303</v>
      </c>
      <c r="BU120" s="94">
        <f ca="1">'Results Tables'!BU27</f>
        <v>-147699.5204866397</v>
      </c>
      <c r="BV120" s="94">
        <f ca="1">'Results Tables'!BV27</f>
        <v>-108740.30323313872</v>
      </c>
      <c r="BW120" s="94">
        <f ca="1">'Results Tables'!BW27</f>
        <v>-81007.36641997259</v>
      </c>
      <c r="BX120" s="94">
        <f ca="1">'Results Tables'!BX27</f>
        <v>-59453.290232426756</v>
      </c>
      <c r="BY120" s="94">
        <f ca="1">'Results Tables'!BY27</f>
        <v>-43011.466042423941</v>
      </c>
      <c r="BZ120" s="94">
        <f ca="1">'Results Tables'!BZ27</f>
        <v>-30604.243546159803</v>
      </c>
      <c r="CA120" s="94">
        <f ca="1">'Results Tables'!CA27</f>
        <v>-17820.067380252647</v>
      </c>
      <c r="CB120" s="94">
        <f ca="1">'Results Tables'!CB27</f>
        <v>-12680.825059352568</v>
      </c>
      <c r="CC120" s="94">
        <f ca="1">'Results Tables'!CC27</f>
        <v>-8886.1565001502022</v>
      </c>
      <c r="CD120" s="94">
        <f ca="1">'Results Tables'!CD27</f>
        <v>-6125.9132003673503</v>
      </c>
      <c r="CE120" s="94">
        <f ca="1">'Results Tables'!CE27</f>
        <v>-4154.7270080330927</v>
      </c>
      <c r="CF120" s="94">
        <f ca="1">'Results Tables'!CF27</f>
        <v>-2012.3184439830388</v>
      </c>
      <c r="CG120" s="94">
        <f ca="1">'Results Tables'!CG27</f>
        <v>-1356.8030173188861</v>
      </c>
      <c r="CH120" s="94">
        <f ca="1">'Results Tables'!CH27</f>
        <v>-891.96024173043804</v>
      </c>
      <c r="CI120" s="94">
        <f ca="1">'Results Tables'!CI27</f>
        <v>-574.29037242835489</v>
      </c>
      <c r="CJ120" s="94">
        <f ca="1">'Results Tables'!CJ27</f>
        <v>-365.68688402625372</v>
      </c>
      <c r="CK120" s="94">
        <f ca="1">'Results Tables'!CK27</f>
        <v>9.1784301048392077E-9</v>
      </c>
      <c r="CL120" s="94">
        <f ca="1">'Results Tables'!CL27</f>
        <v>0</v>
      </c>
      <c r="CM120" s="94">
        <f ca="1">'Results Tables'!CM27</f>
        <v>0</v>
      </c>
      <c r="CN120" s="94">
        <f ca="1">'Results Tables'!CN27</f>
        <v>0</v>
      </c>
      <c r="CO120" s="94">
        <f ca="1">'Results Tables'!CO27</f>
        <v>0</v>
      </c>
      <c r="CP120" s="94">
        <f ca="1">'Results Tables'!CP27</f>
        <v>0</v>
      </c>
      <c r="CQ120" s="94">
        <f ca="1">'Results Tables'!CQ27</f>
        <v>0</v>
      </c>
      <c r="CR120" s="94">
        <f ca="1">'Results Tables'!CR27</f>
        <v>0</v>
      </c>
      <c r="CS120" s="94">
        <f ca="1">'Results Tables'!CS27</f>
        <v>0</v>
      </c>
      <c r="CT120" s="94">
        <f ca="1">'Results Tables'!CT27</f>
        <v>0</v>
      </c>
      <c r="CU120" s="94">
        <f ca="1">'Results Tables'!CU27</f>
        <v>0</v>
      </c>
      <c r="CV120" s="94">
        <f ca="1">'Results Tables'!CV27</f>
        <v>0</v>
      </c>
      <c r="CW120" s="94">
        <f ca="1">'Results Tables'!CW27</f>
        <v>0</v>
      </c>
      <c r="CX120" s="94">
        <f ca="1">'Results Tables'!CX27</f>
        <v>0</v>
      </c>
      <c r="CY120" s="94">
        <f ca="1">'Results Tables'!CY27</f>
        <v>0</v>
      </c>
    </row>
    <row r="121" spans="2:103" x14ac:dyDescent="0.3">
      <c r="B121" s="93" t="s">
        <v>151</v>
      </c>
      <c r="C121" s="95"/>
      <c r="D121" s="94">
        <f ca="1">'Results Tables'!D33/D123</f>
        <v>-430909.1213982029</v>
      </c>
      <c r="E121" s="94">
        <f ca="1">'Results Tables'!E33/E123</f>
        <v>-654040.32576347177</v>
      </c>
      <c r="F121" s="94">
        <f ca="1">'Results Tables'!F33/F123</f>
        <v>-215317.62828718172</v>
      </c>
      <c r="G121" s="94">
        <f ca="1">'Results Tables'!G33/G123</f>
        <v>273070.57444486552</v>
      </c>
      <c r="H121" s="94">
        <f ca="1">'Results Tables'!H33/H123</f>
        <v>484921.63100338302</v>
      </c>
      <c r="I121" s="94">
        <f ca="1">'Results Tables'!I33/I123</f>
        <v>897080.66986307257</v>
      </c>
      <c r="J121" s="94">
        <f ca="1">'Results Tables'!J33/J123</f>
        <v>1241387.4616017821</v>
      </c>
      <c r="K121" s="94">
        <f ca="1">'Results Tables'!K33/K123</f>
        <v>1470063.811724534</v>
      </c>
      <c r="L121" s="94">
        <f ca="1">'Results Tables'!L33/L123</f>
        <v>1564802.8908328873</v>
      </c>
      <c r="M121" s="94">
        <f ca="1">'Results Tables'!M33/M123</f>
        <v>1601097.7947406955</v>
      </c>
      <c r="N121" s="94">
        <f ca="1">'Results Tables'!N33/N123</f>
        <v>2604005.3884399408</v>
      </c>
      <c r="O121" s="94">
        <f ca="1">'Results Tables'!O33/O123</f>
        <v>2136252.7739334349</v>
      </c>
      <c r="P121" s="94">
        <f ca="1">'Results Tables'!P33/P123</f>
        <v>1573046.6131315343</v>
      </c>
      <c r="Q121" s="94">
        <f ca="1">'Results Tables'!Q33/Q123</f>
        <v>1029995.1562081112</v>
      </c>
      <c r="R121" s="94">
        <f ca="1">'Results Tables'!R33/R123</f>
        <v>809206.06648646225</v>
      </c>
      <c r="S121" s="94">
        <f ca="1">'Results Tables'!S33/S123</f>
        <v>446166.12811160967</v>
      </c>
      <c r="T121" s="94">
        <f ca="1">'Results Tables'!T33/T123</f>
        <v>187222.07237898358</v>
      </c>
      <c r="U121" s="94">
        <f ca="1">'Results Tables'!U33/U123</f>
        <v>37284.331641204357</v>
      </c>
      <c r="V121" s="94">
        <f ca="1">'Results Tables'!V33/V123</f>
        <v>-65209.774179591011</v>
      </c>
      <c r="W121" s="94">
        <f ca="1">'Results Tables'!W33/W123</f>
        <v>-103846.08343167635</v>
      </c>
      <c r="X121" s="94">
        <f ca="1">'Results Tables'!X33/X123</f>
        <v>-168495.608343814</v>
      </c>
      <c r="Y121" s="94">
        <f ca="1">'Results Tables'!Y33/Y123</f>
        <v>-206651.23965318874</v>
      </c>
      <c r="Z121" s="94">
        <f ca="1">'Results Tables'!Z33/Z123</f>
        <v>-224184.06114920138</v>
      </c>
      <c r="AA121" s="94">
        <f ca="1">'Results Tables'!AA33/AA123</f>
        <v>-226291.31223887601</v>
      </c>
      <c r="AB121" s="94">
        <f ca="1">'Results Tables'!AB33/AB123</f>
        <v>-204216.9845562285</v>
      </c>
      <c r="AC121" s="94">
        <f ca="1">'Results Tables'!AC33/AC123</f>
        <v>-190924.04687571331</v>
      </c>
      <c r="AD121" s="94">
        <f ca="1">'Results Tables'!AD33/AD123</f>
        <v>-174778.72165123498</v>
      </c>
      <c r="AE121" s="94">
        <f ca="1">'Results Tables'!AE33/AE123</f>
        <v>-157025.63214737529</v>
      </c>
      <c r="AF121" s="94">
        <f ca="1">'Results Tables'!AF33/AF123</f>
        <v>-139752.64425365115</v>
      </c>
      <c r="AG121" s="94">
        <f ca="1">'Results Tables'!AG33/AG123</f>
        <v>-119217.7721657022</v>
      </c>
      <c r="AH121" s="94">
        <f ca="1">'Results Tables'!AH33/AH123</f>
        <v>-104397.28789723043</v>
      </c>
      <c r="AI121" s="94">
        <f ca="1">'Results Tables'!AI33/AI123</f>
        <v>-91202.348225726601</v>
      </c>
      <c r="AJ121" s="94">
        <f ca="1">'Results Tables'!AJ33/AJ123</f>
        <v>-79588.339598121063</v>
      </c>
      <c r="AK121" s="94">
        <f ca="1">'Results Tables'!AK33/AK123</f>
        <v>-69422.214170134743</v>
      </c>
      <c r="AL121" s="94">
        <f ca="1">'Results Tables'!AL33/AL123</f>
        <v>-58999.471125656193</v>
      </c>
      <c r="AM121" s="94">
        <f ca="1">'Results Tables'!AM33/AM123</f>
        <v>-50493.198970503006</v>
      </c>
      <c r="AN121" s="94">
        <f ca="1">'Results Tables'!AN33/AN123</f>
        <v>-43687.318508006108</v>
      </c>
      <c r="AO121" s="94">
        <f ca="1">'Results Tables'!AO33/AO123</f>
        <v>-37612.186061772751</v>
      </c>
      <c r="AP121" s="94">
        <f ca="1">'Results Tables'!AP33/AP123</f>
        <v>-32269.316532459878</v>
      </c>
      <c r="AQ121" s="94">
        <f ca="1">'Results Tables'!AQ33/AQ123</f>
        <v>-27105.826543823005</v>
      </c>
      <c r="AR121" s="94">
        <f ca="1">'Results Tables'!AR33/AR123</f>
        <v>-23026.413878558207</v>
      </c>
      <c r="AS121" s="94">
        <f ca="1">'Results Tables'!AS33/AS123</f>
        <v>-19447.750135193604</v>
      </c>
      <c r="AT121" s="94">
        <f ca="1">'Results Tables'!AT33/AT123</f>
        <v>-16330.95473922678</v>
      </c>
      <c r="AU121" s="94">
        <f ca="1">'Results Tables'!AU33/AU123</f>
        <v>-13637.218834548079</v>
      </c>
      <c r="AV121" s="94">
        <f ca="1">'Results Tables'!AV33/AV123</f>
        <v>-11163.358275314777</v>
      </c>
      <c r="AW121" s="94">
        <f ca="1">'Results Tables'!AW33/AW123</f>
        <v>-9129.3692329538117</v>
      </c>
      <c r="AX121" s="94">
        <f ca="1">'Results Tables'!AX33/AX123</f>
        <v>-7465.4356141918233</v>
      </c>
      <c r="AY121" s="94">
        <f ca="1">'Results Tables'!AY33/AY123</f>
        <v>-6057.6522486281201</v>
      </c>
      <c r="AZ121" s="94">
        <f ca="1">'Results Tables'!AZ33/AZ123</f>
        <v>-4883.3341018108913</v>
      </c>
      <c r="BA121" s="94">
        <f ca="1">'Results Tables'!BA33/BA123</f>
        <v>-3873.6646445609113</v>
      </c>
      <c r="BB121" s="94">
        <f ca="1">'Results Tables'!BB33/BB123</f>
        <v>-3082.3470121127098</v>
      </c>
      <c r="BC121" s="94">
        <f ca="1">'Results Tables'!BC33/BC123</f>
        <v>-2447.8471188281051</v>
      </c>
      <c r="BD121" s="94">
        <f ca="1">'Results Tables'!BD33/BD123</f>
        <v>-1940.2293939584472</v>
      </c>
      <c r="BE121" s="94">
        <f ca="1">'Results Tables'!BE33/BE123</f>
        <v>-1535.0374709740613</v>
      </c>
      <c r="BF121" s="94">
        <f ca="1">'Results Tables'!BF33/BF123</f>
        <v>-1201.2757961605744</v>
      </c>
      <c r="BG121" s="94">
        <f ca="1">'Results Tables'!BG33/BG123</f>
        <v>-929.97719316964719</v>
      </c>
      <c r="BH121" s="94">
        <f ca="1">'Results Tables'!BH33/BH123</f>
        <v>-729.89613979954731</v>
      </c>
      <c r="BI121" s="94">
        <f ca="1">'Results Tables'!BI33/BI123</f>
        <v>-569.56491294571435</v>
      </c>
      <c r="BJ121" s="94">
        <f ca="1">'Results Tables'!BJ33/BJ123</f>
        <v>-442.216372211992</v>
      </c>
      <c r="BK121" s="94">
        <f ca="1">'Results Tables'!BK33/BK123</f>
        <v>-339.24985777116331</v>
      </c>
      <c r="BL121" s="94">
        <f ca="1">'Results Tables'!BL33/BL123</f>
        <v>-259.8356978461116</v>
      </c>
      <c r="BM121" s="94">
        <f ca="1">'Results Tables'!BM33/BM123</f>
        <v>-198.11980426429878</v>
      </c>
      <c r="BN121" s="94">
        <f ca="1">'Results Tables'!BN33/BN123</f>
        <v>-149.7369264211475</v>
      </c>
      <c r="BO121" s="94">
        <f ca="1">'Results Tables'!BO33/BO123</f>
        <v>-112.07267377177617</v>
      </c>
      <c r="BP121" s="94">
        <f ca="1">'Results Tables'!BP33/BP123</f>
        <v>-82.456540294428393</v>
      </c>
      <c r="BQ121" s="94">
        <f ca="1">'Results Tables'!BQ33/BQ123</f>
        <v>-59.657174850242157</v>
      </c>
      <c r="BR121" s="94">
        <f ca="1">'Results Tables'!BR33/BR123</f>
        <v>-43.043199229520582</v>
      </c>
      <c r="BS121" s="94">
        <f ca="1">'Results Tables'!BS33/BS123</f>
        <v>-30.495861511048393</v>
      </c>
      <c r="BT121" s="94">
        <f ca="1">'Results Tables'!BT33/BT123</f>
        <v>-21.176494191115324</v>
      </c>
      <c r="BU121" s="94">
        <f ca="1">'Results Tables'!BU33/BU123</f>
        <v>-14.326173062369588</v>
      </c>
      <c r="BV121" s="94">
        <f ca="1">'Results Tables'!BV33/BV123</f>
        <v>-9.2863543814179454</v>
      </c>
      <c r="BW121" s="94">
        <f ca="1">'Results Tables'!BW33/BW123</f>
        <v>-6.0898370093549081</v>
      </c>
      <c r="BX121" s="94">
        <f ca="1">'Results Tables'!BX33/BX123</f>
        <v>-3.9386613521928213</v>
      </c>
      <c r="BY121" s="94">
        <f ca="1">'Results Tables'!BY33/BY123</f>
        <v>-2.5139388422157558</v>
      </c>
      <c r="BZ121" s="94">
        <f ca="1">'Results Tables'!BZ33/BZ123</f>
        <v>-1.5805006667440129</v>
      </c>
      <c r="CA121" s="94">
        <f ca="1">'Results Tables'!CA33/CA123</f>
        <v>-0.82313021419921384</v>
      </c>
      <c r="CB121" s="94">
        <f ca="1">'Results Tables'!CB33/CB123</f>
        <v>-0.52063534984464088</v>
      </c>
      <c r="CC121" s="94">
        <f ca="1">'Results Tables'!CC33/CC123</f>
        <v>-0.32526944220982407</v>
      </c>
      <c r="CD121" s="94">
        <f ca="1">'Results Tables'!CD33/CD123</f>
        <v>-0.20065602249107437</v>
      </c>
      <c r="CE121" s="94">
        <f ca="1">'Results Tables'!CE33/CE123</f>
        <v>-0.12236503519536956</v>
      </c>
      <c r="CF121" s="94">
        <f ca="1">'Results Tables'!CF33/CF123</f>
        <v>-5.6185894380338795E-2</v>
      </c>
      <c r="CG121" s="94">
        <f ca="1">'Results Tables'!CG33/CG123</f>
        <v>-3.4580652477068465E-2</v>
      </c>
      <c r="CH121" s="94">
        <f ca="1">'Results Tables'!CH33/CH123</f>
        <v>-2.0980990446749028E-2</v>
      </c>
      <c r="CI121" s="94">
        <f ca="1">'Results Tables'!CI33/CI123</f>
        <v>-1.2772765389776619E-2</v>
      </c>
      <c r="CJ121" s="94">
        <f ca="1">'Results Tables'!CJ33/CJ123</f>
        <v>-4.604894974130495E-3</v>
      </c>
      <c r="CK121" s="94">
        <f ca="1">'Results Tables'!CK33/CK123</f>
        <v>-6.9511740851660739E-6</v>
      </c>
      <c r="CL121" s="94">
        <f ca="1">'Results Tables'!CL33/CL123</f>
        <v>0</v>
      </c>
      <c r="CM121" s="94">
        <f ca="1">'Results Tables'!CM33/CM123</f>
        <v>0</v>
      </c>
      <c r="CN121" s="94">
        <f ca="1">'Results Tables'!CN33/CN123</f>
        <v>0</v>
      </c>
      <c r="CO121" s="94">
        <f ca="1">'Results Tables'!CO33/CO123</f>
        <v>0</v>
      </c>
      <c r="CP121" s="94">
        <f ca="1">'Results Tables'!CP33/CP123</f>
        <v>0</v>
      </c>
      <c r="CQ121" s="94">
        <f ca="1">'Results Tables'!CQ33/CQ123</f>
        <v>0</v>
      </c>
      <c r="CR121" s="94">
        <f ca="1">'Results Tables'!CR33/CR123</f>
        <v>0</v>
      </c>
      <c r="CS121" s="94">
        <f ca="1">'Results Tables'!CS33/CS123</f>
        <v>0</v>
      </c>
      <c r="CT121" s="94">
        <f ca="1">'Results Tables'!CT33/CT123</f>
        <v>0</v>
      </c>
      <c r="CU121" s="94">
        <f ca="1">'Results Tables'!CU33/CU123</f>
        <v>0</v>
      </c>
      <c r="CV121" s="94">
        <f ca="1">'Results Tables'!CV33/CV123</f>
        <v>0</v>
      </c>
      <c r="CW121" s="94">
        <f ca="1">'Results Tables'!CW33/CW123</f>
        <v>0</v>
      </c>
      <c r="CX121" s="94">
        <f ca="1">'Results Tables'!CX33/CX123</f>
        <v>0</v>
      </c>
      <c r="CY121" s="94">
        <f ca="1">'Results Tables'!CY33/CY123</f>
        <v>0</v>
      </c>
    </row>
    <row r="122" spans="2:103" x14ac:dyDescent="0.3">
      <c r="B122" s="93" t="s">
        <v>240</v>
      </c>
      <c r="C122" s="93"/>
      <c r="D122" s="118">
        <f ca="1">'Results Tables'!D31/'Results Tables'!D40</f>
        <v>-0.14810625937034672</v>
      </c>
      <c r="E122" s="118">
        <f ca="1">'Results Tables'!E31/'Results Tables'!E40</f>
        <v>-4.5535072507619012E-2</v>
      </c>
      <c r="F122" s="118">
        <f ca="1">'Results Tables'!F31/'Results Tables'!F40</f>
        <v>0.10258156786361897</v>
      </c>
      <c r="G122" s="118">
        <f ca="1">'Results Tables'!G31/'Results Tables'!G40</f>
        <v>0.18159855135389477</v>
      </c>
      <c r="H122" s="118">
        <f ca="1">'Results Tables'!H31/'Results Tables'!H40</f>
        <v>0.20073544898442661</v>
      </c>
      <c r="I122" s="118">
        <f ca="1">'Results Tables'!I31/'Results Tables'!I40</f>
        <v>0.24051926173580215</v>
      </c>
      <c r="J122" s="118">
        <f ca="1">'Results Tables'!J31/'Results Tables'!J40</f>
        <v>0.27179801604476878</v>
      </c>
      <c r="K122" s="118">
        <f ca="1">'Results Tables'!K31/'Results Tables'!K40</f>
        <v>0.29200652383833242</v>
      </c>
      <c r="L122" s="118">
        <f ca="1">'Results Tables'!L31/'Results Tables'!L40</f>
        <v>0.29895784705454903</v>
      </c>
      <c r="M122" s="118">
        <f ca="1">'Results Tables'!M31/'Results Tables'!M40</f>
        <v>0.29983873779006448</v>
      </c>
      <c r="N122" s="118">
        <f ca="1">'Results Tables'!N31/'Results Tables'!N40</f>
        <v>0.50186488110133154</v>
      </c>
      <c r="O122" s="118">
        <f ca="1">'Results Tables'!O31/'Results Tables'!O40</f>
        <v>0.57039341757561124</v>
      </c>
      <c r="P122" s="118">
        <f ca="1">'Results Tables'!P31/'Results Tables'!P40</f>
        <v>0.60227910668950135</v>
      </c>
      <c r="Q122" s="118">
        <f ca="1">'Results Tables'!Q31/'Results Tables'!Q40</f>
        <v>0.57096228826794726</v>
      </c>
      <c r="R122" s="118">
        <f ca="1">'Results Tables'!R31/'Results Tables'!R40</f>
        <v>0.61933882041588617</v>
      </c>
      <c r="S122" s="118">
        <f ca="1">'Results Tables'!S31/'Results Tables'!S40</f>
        <v>0.48465631555983202</v>
      </c>
      <c r="T122" s="118">
        <f ca="1">'Results Tables'!T31/'Results Tables'!T40</f>
        <v>0.31440214031996377</v>
      </c>
      <c r="U122" s="118">
        <f ca="1">'Results Tables'!U31/'Results Tables'!U40</f>
        <v>0.18145394369541662</v>
      </c>
      <c r="V122" s="118">
        <f ca="1">'Results Tables'!V31/'Results Tables'!V40</f>
        <v>6.3806215944681138E-2</v>
      </c>
      <c r="W122" s="118">
        <f ca="1">'Results Tables'!W31/'Results Tables'!W40</f>
        <v>3.0732742452009732E-3</v>
      </c>
      <c r="X122" s="118">
        <f ca="1">'Results Tables'!X31/'Results Tables'!X40</f>
        <v>-0.11222390010598919</v>
      </c>
      <c r="Y122" s="118">
        <f ca="1">'Results Tables'!Y31/'Results Tables'!Y40</f>
        <v>-0.21195267114226191</v>
      </c>
      <c r="Z122" s="118">
        <f ca="1">'Results Tables'!Z31/'Results Tables'!Z40</f>
        <v>-0.29786137508544391</v>
      </c>
      <c r="AA122" s="118">
        <f ca="1">'Results Tables'!AA31/'Results Tables'!AA40</f>
        <v>-0.37177220542114436</v>
      </c>
      <c r="AB122" s="118">
        <f ca="1">'Results Tables'!AB31/'Results Tables'!AB40</f>
        <v>-0.3931705626259534</v>
      </c>
      <c r="AC122" s="118">
        <f ca="1">'Results Tables'!AC31/'Results Tables'!AC40</f>
        <v>-0.43978094480185276</v>
      </c>
      <c r="AD122" s="118">
        <f ca="1">'Results Tables'!AD31/'Results Tables'!AD40</f>
        <v>-0.48017115807110244</v>
      </c>
      <c r="AE122" s="118">
        <f ca="1">'Results Tables'!AE31/'Results Tables'!AE40</f>
        <v>-0.51411192433293262</v>
      </c>
      <c r="AF122" s="118">
        <f ca="1">'Results Tables'!AF31/'Results Tables'!AF40</f>
        <v>-0.54660604594205009</v>
      </c>
      <c r="AG122" s="118">
        <f ca="1">'Results Tables'!AG31/'Results Tables'!AG40</f>
        <v>-0.54799210286255473</v>
      </c>
      <c r="AH122" s="118">
        <f ca="1">'Results Tables'!AH31/'Results Tables'!AH40</f>
        <v>-0.57269747956515249</v>
      </c>
      <c r="AI122" s="118">
        <f ca="1">'Results Tables'!AI31/'Results Tables'!AI40</f>
        <v>-0.59876284114783396</v>
      </c>
      <c r="AJ122" s="118">
        <f ca="1">'Results Tables'!AJ31/'Results Tables'!AJ40</f>
        <v>-0.62828395331860898</v>
      </c>
      <c r="AK122" s="118">
        <f ca="1">'Results Tables'!AK31/'Results Tables'!AK40</f>
        <v>-0.66278978465534599</v>
      </c>
      <c r="AL122" s="118">
        <f ca="1">'Results Tables'!AL31/'Results Tables'!AL40</f>
        <v>-0.67785207572646111</v>
      </c>
      <c r="AM122" s="118">
        <f ca="1">'Results Tables'!AM31/'Results Tables'!AM40</f>
        <v>-0.70237235918960617</v>
      </c>
      <c r="AN122" s="118">
        <f ca="1">'Results Tables'!AN31/'Results Tables'!AN40</f>
        <v>-0.74116168426089513</v>
      </c>
      <c r="AO122" s="118">
        <f ca="1">'Results Tables'!AO31/'Results Tables'!AO40</f>
        <v>-0.782032588604059</v>
      </c>
      <c r="AP122" s="118">
        <f ca="1">'Results Tables'!AP31/'Results Tables'!AP40</f>
        <v>-0.82708204244418149</v>
      </c>
      <c r="AQ122" s="118">
        <f ca="1">'Results Tables'!AQ31/'Results Tables'!AQ40</f>
        <v>-0.85582431101376677</v>
      </c>
      <c r="AR122" s="118">
        <f ca="1">'Results Tables'!AR31/'Results Tables'!AR40</f>
        <v>-0.90327241216700016</v>
      </c>
      <c r="AS122" s="118">
        <f ca="1">'Results Tables'!AS31/'Results Tables'!AS40</f>
        <v>-0.95288148337570899</v>
      </c>
      <c r="AT122" s="118">
        <f ca="1">'Results Tables'!AT31/'Results Tables'!AT40</f>
        <v>-1.0052622031196885</v>
      </c>
      <c r="AU122" s="118">
        <f ca="1">'Results Tables'!AU31/'Results Tables'!AU40</f>
        <v>-1.0610815057603029</v>
      </c>
      <c r="AV122" s="118">
        <f ca="1">'Results Tables'!AV31/'Results Tables'!AV40</f>
        <v>-1.0992071442488962</v>
      </c>
      <c r="AW122" s="118">
        <f ca="1">'Results Tables'!AW31/'Results Tables'!AW40</f>
        <v>-1.143470755009069</v>
      </c>
      <c r="AX122" s="118">
        <f ca="1">'Results Tables'!AX31/'Results Tables'!AX40</f>
        <v>-1.1957448177771604</v>
      </c>
      <c r="AY122" s="118">
        <f ca="1">'Results Tables'!AY31/'Results Tables'!AY40</f>
        <v>-1.2459252077473675</v>
      </c>
      <c r="AZ122" s="118">
        <f ca="1">'Results Tables'!AZ31/'Results Tables'!AZ40</f>
        <v>-1.2950350488169291</v>
      </c>
      <c r="BA122" s="118">
        <f ca="1">'Results Tables'!BA31/'Results Tables'!BA40</f>
        <v>-1.3251837003528713</v>
      </c>
      <c r="BB122" s="118">
        <f ca="1">'Results Tables'!BB31/'Results Tables'!BB40</f>
        <v>-1.3656928484376962</v>
      </c>
      <c r="BC122" s="118">
        <f ca="1">'Results Tables'!BC31/'Results Tables'!BC40</f>
        <v>-1.4095998353796535</v>
      </c>
      <c r="BD122" s="118">
        <f ca="1">'Results Tables'!BD31/'Results Tables'!BD40</f>
        <v>-1.4576895033230737</v>
      </c>
      <c r="BE122" s="118">
        <f ca="1">'Results Tables'!BE31/'Results Tables'!BE40</f>
        <v>-1.511020565109914</v>
      </c>
      <c r="BF122" s="118">
        <f ca="1">'Results Tables'!BF31/'Results Tables'!BF40</f>
        <v>-1.5523205009005476</v>
      </c>
      <c r="BG122" s="118">
        <f ca="1">'Results Tables'!BG31/'Results Tables'!BG40</f>
        <v>-1.5812030852402397</v>
      </c>
      <c r="BH122" s="118">
        <f ca="1">'Results Tables'!BH31/'Results Tables'!BH40</f>
        <v>-1.6400571837871365</v>
      </c>
      <c r="BI122" s="118">
        <f ca="1">'Results Tables'!BI31/'Results Tables'!BI40</f>
        <v>-1.6977196391581937</v>
      </c>
      <c r="BJ122" s="118">
        <f ca="1">'Results Tables'!BJ31/'Results Tables'!BJ40</f>
        <v>-1.7552812117921615</v>
      </c>
      <c r="BK122" s="118">
        <f ca="1">'Results Tables'!BK31/'Results Tables'!BK40</f>
        <v>-1.7968331800788224</v>
      </c>
      <c r="BL122" s="118">
        <f ca="1">'Results Tables'!BL31/'Results Tables'!BL40</f>
        <v>-1.843171104040765</v>
      </c>
      <c r="BM122" s="118">
        <f ca="1">'Results Tables'!BM31/'Results Tables'!BM40</f>
        <v>-1.8889467622329332</v>
      </c>
      <c r="BN122" s="118">
        <f ca="1">'Results Tables'!BN31/'Results Tables'!BN40</f>
        <v>-1.9250922730610887</v>
      </c>
      <c r="BO122" s="118">
        <f ca="1">'Results Tables'!BO31/'Results Tables'!BO40</f>
        <v>-1.9487600204326314</v>
      </c>
      <c r="BP122" s="118">
        <f ca="1">'Results Tables'!BP31/'Results Tables'!BP40</f>
        <v>-1.9422477279412798</v>
      </c>
      <c r="BQ122" s="118">
        <f ca="1">'Results Tables'!BQ31/'Results Tables'!BQ40</f>
        <v>-1.9078776327189364</v>
      </c>
      <c r="BR122" s="118">
        <f ca="1">'Results Tables'!BR31/'Results Tables'!BR40</f>
        <v>-1.8733599545740931</v>
      </c>
      <c r="BS122" s="118">
        <f ca="1">'Results Tables'!BS31/'Results Tables'!BS40</f>
        <v>-1.8132448863792536</v>
      </c>
      <c r="BT122" s="118">
        <f ca="1">'Results Tables'!BT31/'Results Tables'!BT40</f>
        <v>-1.7284768065525915</v>
      </c>
      <c r="BU122" s="118">
        <f ca="1">'Results Tables'!BU31/'Results Tables'!BU40</f>
        <v>-1.6134742049149156</v>
      </c>
      <c r="BV122" s="118">
        <f ca="1">'Results Tables'!BV31/'Results Tables'!BV40</f>
        <v>-1.4562236309651555</v>
      </c>
      <c r="BW122" s="118">
        <f ca="1">'Results Tables'!BW31/'Results Tables'!BW40</f>
        <v>-1.329394549332777</v>
      </c>
      <c r="BX122" s="118">
        <f ca="1">'Results Tables'!BX31/'Results Tables'!BX40</f>
        <v>-1.2018571193524561</v>
      </c>
      <c r="BY122" s="118">
        <f ca="1">'Results Tables'!BY31/'Results Tables'!BY40</f>
        <v>-1.0776067694492937</v>
      </c>
      <c r="BZ122" s="118">
        <f ca="1">'Results Tables'!BZ31/'Results Tables'!BZ40</f>
        <v>-0.9569278404332866</v>
      </c>
      <c r="CA122" s="118">
        <f ca="1">'Results Tables'!CA31/'Results Tables'!CA40</f>
        <v>-0.75164218416311879</v>
      </c>
      <c r="CB122" s="118">
        <f ca="1">'Results Tables'!CB31/'Results Tables'!CB40</f>
        <v>-0.64932071024842997</v>
      </c>
      <c r="CC122" s="118">
        <f ca="1">'Results Tables'!CC31/'Results Tables'!CC40</f>
        <v>-0.55491548608998553</v>
      </c>
      <c r="CD122" s="118">
        <f ca="1">'Results Tables'!CD31/'Results Tables'!CD40</f>
        <v>-0.46876424781498122</v>
      </c>
      <c r="CE122" s="118">
        <f ca="1">'Results Tables'!CE31/'Results Tables'!CE40</f>
        <v>-0.39032711141544935</v>
      </c>
      <c r="CF122" s="118">
        <f ca="1">'Results Tables'!CF31/'Results Tables'!CF40</f>
        <v>-0.24789338537196967</v>
      </c>
      <c r="CG122" s="118">
        <f ca="1">'Results Tables'!CG31/'Results Tables'!CG40</f>
        <v>-0.20248027789222064</v>
      </c>
      <c r="CH122" s="118">
        <f ca="1">'Results Tables'!CH31/'Results Tables'!CH40</f>
        <v>-0.16003259791027791</v>
      </c>
      <c r="CI122" s="118">
        <f ca="1">'Results Tables'!CI31/'Results Tables'!CI40</f>
        <v>-0.11643558332796565</v>
      </c>
      <c r="CJ122" s="118">
        <f ca="1">'Results Tables'!CJ31/'Results Tables'!CJ40</f>
        <v>-23.010439591277979</v>
      </c>
      <c r="CK122" s="118">
        <f ca="1">'Results Tables'!CK31/'Results Tables'!CK40</f>
        <v>3.9000001165083703E-2</v>
      </c>
      <c r="CL122" s="118" t="e">
        <f ca="1">'Results Tables'!CL31/'Results Tables'!CL40</f>
        <v>#DIV/0!</v>
      </c>
      <c r="CM122" s="118" t="e">
        <f ca="1">'Results Tables'!CM31/'Results Tables'!CM40</f>
        <v>#DIV/0!</v>
      </c>
      <c r="CN122" s="118" t="e">
        <f ca="1">'Results Tables'!CN31/'Results Tables'!CN40</f>
        <v>#DIV/0!</v>
      </c>
      <c r="CO122" s="118" t="e">
        <f ca="1">'Results Tables'!CO31/'Results Tables'!CO40</f>
        <v>#DIV/0!</v>
      </c>
      <c r="CP122" s="118" t="e">
        <f ca="1">'Results Tables'!CP31/'Results Tables'!CP40</f>
        <v>#DIV/0!</v>
      </c>
      <c r="CQ122" s="118" t="e">
        <f ca="1">'Results Tables'!CQ31/'Results Tables'!CQ40</f>
        <v>#DIV/0!</v>
      </c>
      <c r="CR122" s="118" t="e">
        <f ca="1">'Results Tables'!CR31/'Results Tables'!CR40</f>
        <v>#DIV/0!</v>
      </c>
      <c r="CS122" s="118" t="e">
        <f ca="1">'Results Tables'!CS31/'Results Tables'!CS40</f>
        <v>#DIV/0!</v>
      </c>
      <c r="CT122" s="118" t="e">
        <f ca="1">'Results Tables'!CT31/'Results Tables'!CT40</f>
        <v>#DIV/0!</v>
      </c>
      <c r="CU122" s="118" t="e">
        <f ca="1">'Results Tables'!CU31/'Results Tables'!CU40</f>
        <v>#DIV/0!</v>
      </c>
      <c r="CV122" s="118" t="e">
        <f ca="1">'Results Tables'!CV31/'Results Tables'!CV40</f>
        <v>#DIV/0!</v>
      </c>
      <c r="CW122" s="118" t="e">
        <f ca="1">'Results Tables'!CW31/'Results Tables'!CW40</f>
        <v>#DIV/0!</v>
      </c>
      <c r="CX122" s="118" t="e">
        <f ca="1">'Results Tables'!CX31/'Results Tables'!CX40</f>
        <v>#DIV/0!</v>
      </c>
      <c r="CY122" s="118" t="e">
        <f ca="1">'Results Tables'!CY31/'Results Tables'!CY40</f>
        <v>#DIV/0!</v>
      </c>
    </row>
    <row r="123" spans="2:103" ht="12.6" customHeight="1" x14ac:dyDescent="0.3">
      <c r="B123" s="93" t="s">
        <v>376</v>
      </c>
      <c r="C123" s="226"/>
      <c r="D123" s="229">
        <f t="shared" ref="D123:M123" si="154">(1+Risk_Discount_Rate)^D112</f>
        <v>1.1419999999999999</v>
      </c>
      <c r="E123" s="229">
        <f t="shared" si="154"/>
        <v>1.3041639999999999</v>
      </c>
      <c r="F123" s="229">
        <f t="shared" si="154"/>
        <v>1.4893552879999998</v>
      </c>
      <c r="G123" s="229">
        <f t="shared" si="154"/>
        <v>1.7008437388959996</v>
      </c>
      <c r="H123" s="229">
        <f t="shared" si="154"/>
        <v>1.9423635498192313</v>
      </c>
      <c r="I123" s="229">
        <f t="shared" si="154"/>
        <v>2.2181791738935623</v>
      </c>
      <c r="J123" s="229">
        <f t="shared" si="154"/>
        <v>2.5331606165864482</v>
      </c>
      <c r="K123" s="229">
        <f t="shared" si="154"/>
        <v>2.8928694241417232</v>
      </c>
      <c r="L123" s="229">
        <f t="shared" si="154"/>
        <v>3.3036568823698476</v>
      </c>
      <c r="M123" s="229">
        <f t="shared" si="154"/>
        <v>3.7727761596663658</v>
      </c>
      <c r="N123" s="229">
        <f t="shared" ref="N123:BY123" si="155">(1+Risk_Discount_Rate)^N112</f>
        <v>4.3085103743389901</v>
      </c>
      <c r="O123" s="229">
        <f t="shared" si="155"/>
        <v>4.9203188474951256</v>
      </c>
      <c r="P123" s="229">
        <f t="shared" si="155"/>
        <v>5.6190041238394333</v>
      </c>
      <c r="Q123" s="229">
        <f t="shared" si="155"/>
        <v>6.4169027094246331</v>
      </c>
      <c r="R123" s="229">
        <f t="shared" si="155"/>
        <v>7.3281028941629307</v>
      </c>
      <c r="S123" s="229">
        <f t="shared" si="155"/>
        <v>8.3686935051340647</v>
      </c>
      <c r="T123" s="229">
        <f t="shared" si="155"/>
        <v>9.5570479828631019</v>
      </c>
      <c r="U123" s="229">
        <f t="shared" si="155"/>
        <v>10.914148796429661</v>
      </c>
      <c r="V123" s="229">
        <f t="shared" si="155"/>
        <v>12.463957925522672</v>
      </c>
      <c r="W123" s="229">
        <f t="shared" si="155"/>
        <v>14.233839950946891</v>
      </c>
      <c r="X123" s="229">
        <f t="shared" si="155"/>
        <v>16.255045223981348</v>
      </c>
      <c r="Y123" s="229">
        <f t="shared" si="155"/>
        <v>18.563261645786699</v>
      </c>
      <c r="Z123" s="229">
        <f t="shared" si="155"/>
        <v>21.199244799488412</v>
      </c>
      <c r="AA123" s="229">
        <f t="shared" si="155"/>
        <v>24.209537561015761</v>
      </c>
      <c r="AB123" s="229">
        <f t="shared" si="155"/>
        <v>27.647291894679995</v>
      </c>
      <c r="AC123" s="229">
        <f t="shared" si="155"/>
        <v>31.573207343724555</v>
      </c>
      <c r="AD123" s="229">
        <f t="shared" si="155"/>
        <v>36.056602786533446</v>
      </c>
      <c r="AE123" s="229">
        <f t="shared" si="155"/>
        <v>41.176640382221187</v>
      </c>
      <c r="AF123" s="229">
        <f t="shared" si="155"/>
        <v>47.023723316496593</v>
      </c>
      <c r="AG123" s="229">
        <f t="shared" si="155"/>
        <v>53.70109202743911</v>
      </c>
      <c r="AH123" s="229">
        <f t="shared" si="155"/>
        <v>61.32664709533546</v>
      </c>
      <c r="AI123" s="229">
        <f t="shared" si="155"/>
        <v>70.035030982873081</v>
      </c>
      <c r="AJ123" s="229">
        <f t="shared" si="155"/>
        <v>79.98000538244105</v>
      </c>
      <c r="AK123" s="229">
        <f t="shared" si="155"/>
        <v>91.337166146747677</v>
      </c>
      <c r="AL123" s="229">
        <f t="shared" si="155"/>
        <v>104.30704373958585</v>
      </c>
      <c r="AM123" s="229">
        <f t="shared" si="155"/>
        <v>119.11864395060702</v>
      </c>
      <c r="AN123" s="229">
        <f t="shared" si="155"/>
        <v>136.0334913915932</v>
      </c>
      <c r="AO123" s="229">
        <f t="shared" si="155"/>
        <v>155.35024716919946</v>
      </c>
      <c r="AP123" s="229">
        <f t="shared" si="155"/>
        <v>177.40998226722579</v>
      </c>
      <c r="AQ123" s="229">
        <f t="shared" si="155"/>
        <v>202.6021997491718</v>
      </c>
      <c r="AR123" s="229">
        <f t="shared" si="155"/>
        <v>231.37171211355417</v>
      </c>
      <c r="AS123" s="229">
        <f t="shared" si="155"/>
        <v>264.22649523367886</v>
      </c>
      <c r="AT123" s="229">
        <f t="shared" si="155"/>
        <v>301.74665755686129</v>
      </c>
      <c r="AU123" s="229">
        <f t="shared" si="155"/>
        <v>344.59468292993552</v>
      </c>
      <c r="AV123" s="229">
        <f t="shared" si="155"/>
        <v>393.52712790598633</v>
      </c>
      <c r="AW123" s="229">
        <f t="shared" si="155"/>
        <v>449.40798006863639</v>
      </c>
      <c r="AX123" s="229">
        <f t="shared" si="155"/>
        <v>513.22391323838281</v>
      </c>
      <c r="AY123" s="229">
        <f t="shared" si="155"/>
        <v>586.10170891823293</v>
      </c>
      <c r="AZ123" s="229">
        <f t="shared" si="155"/>
        <v>669.32815158462199</v>
      </c>
      <c r="BA123" s="229">
        <f t="shared" si="155"/>
        <v>764.37274910963822</v>
      </c>
      <c r="BB123" s="229">
        <f t="shared" si="155"/>
        <v>872.91367948320692</v>
      </c>
      <c r="BC123" s="229">
        <f t="shared" si="155"/>
        <v>996.8674219698222</v>
      </c>
      <c r="BD123" s="229">
        <f t="shared" si="155"/>
        <v>1138.4225958895368</v>
      </c>
      <c r="BE123" s="229">
        <f t="shared" si="155"/>
        <v>1300.078604505851</v>
      </c>
      <c r="BF123" s="229">
        <f t="shared" si="155"/>
        <v>1484.6897663456818</v>
      </c>
      <c r="BG123" s="229">
        <f t="shared" si="155"/>
        <v>1695.5157131667684</v>
      </c>
      <c r="BH123" s="229">
        <f t="shared" si="155"/>
        <v>1936.2789444364494</v>
      </c>
      <c r="BI123" s="229">
        <f t="shared" si="155"/>
        <v>2211.2305545464251</v>
      </c>
      <c r="BJ123" s="229">
        <f t="shared" si="155"/>
        <v>2525.2252932920178</v>
      </c>
      <c r="BK123" s="229">
        <f t="shared" si="155"/>
        <v>2883.8072849394839</v>
      </c>
      <c r="BL123" s="229">
        <f t="shared" si="155"/>
        <v>3293.3079194008901</v>
      </c>
      <c r="BM123" s="229">
        <f t="shared" si="155"/>
        <v>3760.9576439558168</v>
      </c>
      <c r="BN123" s="229">
        <f t="shared" si="155"/>
        <v>4295.013629397542</v>
      </c>
      <c r="BO123" s="229">
        <f t="shared" si="155"/>
        <v>4904.9055647719924</v>
      </c>
      <c r="BP123" s="229">
        <f t="shared" si="155"/>
        <v>5601.4021549696145</v>
      </c>
      <c r="BQ123" s="229">
        <f t="shared" si="155"/>
        <v>6396.8012609753005</v>
      </c>
      <c r="BR123" s="229">
        <f t="shared" si="155"/>
        <v>7305.147040033793</v>
      </c>
      <c r="BS123" s="229">
        <f t="shared" si="155"/>
        <v>8342.4779197185908</v>
      </c>
      <c r="BT123" s="229">
        <f t="shared" si="155"/>
        <v>9527.109784318629</v>
      </c>
      <c r="BU123" s="229">
        <f t="shared" si="155"/>
        <v>10879.959373691874</v>
      </c>
      <c r="BV123" s="229">
        <f t="shared" si="155"/>
        <v>12424.913604756121</v>
      </c>
      <c r="BW123" s="229">
        <f t="shared" si="155"/>
        <v>14189.251336631487</v>
      </c>
      <c r="BX123" s="229">
        <f t="shared" si="155"/>
        <v>16204.125026433157</v>
      </c>
      <c r="BY123" s="229">
        <f t="shared" si="155"/>
        <v>18505.110780186664</v>
      </c>
      <c r="BZ123" s="229">
        <f t="shared" ref="BZ123:CY123" si="156">(1+Risk_Discount_Rate)^BZ112</f>
        <v>21132.836510973171</v>
      </c>
      <c r="CA123" s="229">
        <f t="shared" si="156"/>
        <v>24133.699295531358</v>
      </c>
      <c r="CB123" s="229">
        <f t="shared" si="156"/>
        <v>27560.684595496808</v>
      </c>
      <c r="CC123" s="229">
        <f t="shared" si="156"/>
        <v>31474.30180805736</v>
      </c>
      <c r="CD123" s="229">
        <f t="shared" si="156"/>
        <v>35943.652664801499</v>
      </c>
      <c r="CE123" s="229">
        <f t="shared" si="156"/>
        <v>41047.651343203303</v>
      </c>
      <c r="CF123" s="229">
        <f t="shared" si="156"/>
        <v>46876.417833938176</v>
      </c>
      <c r="CG123" s="229">
        <f t="shared" si="156"/>
        <v>53532.869166357385</v>
      </c>
      <c r="CH123" s="229">
        <f t="shared" si="156"/>
        <v>61134.536587980132</v>
      </c>
      <c r="CI123" s="229">
        <f t="shared" si="156"/>
        <v>69815.640783473311</v>
      </c>
      <c r="CJ123" s="229">
        <f t="shared" si="156"/>
        <v>79729.461774726515</v>
      </c>
      <c r="CK123" s="229">
        <f t="shared" si="156"/>
        <v>91051.045346737679</v>
      </c>
      <c r="CL123" s="229">
        <f t="shared" si="156"/>
        <v>103980.29378597443</v>
      </c>
      <c r="CM123" s="229">
        <f t="shared" si="156"/>
        <v>118745.49550358277</v>
      </c>
      <c r="CN123" s="229">
        <f t="shared" si="156"/>
        <v>135607.35586509152</v>
      </c>
      <c r="CO123" s="229">
        <f t="shared" si="156"/>
        <v>154863.6003979345</v>
      </c>
      <c r="CP123" s="229">
        <f t="shared" si="156"/>
        <v>176854.23165444122</v>
      </c>
      <c r="CQ123" s="229">
        <f t="shared" si="156"/>
        <v>201967.53254937186</v>
      </c>
      <c r="CR123" s="229">
        <f t="shared" si="156"/>
        <v>230646.92217138264</v>
      </c>
      <c r="CS123" s="229">
        <f t="shared" si="156"/>
        <v>263398.78511971899</v>
      </c>
      <c r="CT123" s="229">
        <f t="shared" si="156"/>
        <v>300801.41260671907</v>
      </c>
      <c r="CU123" s="229">
        <f t="shared" si="156"/>
        <v>343515.21319687308</v>
      </c>
      <c r="CV123" s="229">
        <f t="shared" si="156"/>
        <v>392294.37347082898</v>
      </c>
      <c r="CW123" s="229">
        <f t="shared" si="156"/>
        <v>448000.17450368672</v>
      </c>
      <c r="CX123" s="229">
        <f t="shared" si="156"/>
        <v>511616.19928321027</v>
      </c>
      <c r="CY123" s="229">
        <f t="shared" si="156"/>
        <v>584265.69958142599</v>
      </c>
    </row>
    <row r="124" spans="2:103" x14ac:dyDescent="0.3">
      <c r="B124" s="93" t="s">
        <v>166</v>
      </c>
      <c r="C124" s="93"/>
      <c r="D124" s="105">
        <f ca="1">AI3</f>
        <v>12350735.656815138</v>
      </c>
      <c r="E124" s="105"/>
      <c r="F124" s="103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  <c r="BO124" s="102"/>
      <c r="BP124" s="102"/>
      <c r="BQ124" s="102"/>
      <c r="BR124" s="102"/>
      <c r="BS124" s="102"/>
      <c r="BT124" s="102"/>
      <c r="BU124" s="102"/>
      <c r="BV124" s="102"/>
      <c r="BW124" s="102"/>
      <c r="BX124" s="102"/>
      <c r="BY124" s="102"/>
      <c r="BZ124" s="102"/>
      <c r="CA124" s="102"/>
      <c r="CB124" s="102"/>
      <c r="CC124" s="102"/>
      <c r="CD124" s="102"/>
      <c r="CE124" s="102"/>
      <c r="CF124" s="102"/>
      <c r="CG124" s="102"/>
      <c r="CH124" s="102"/>
      <c r="CI124" s="102"/>
      <c r="CJ124" s="102"/>
      <c r="CK124" s="102"/>
      <c r="CL124" s="102"/>
      <c r="CM124" s="102"/>
      <c r="CN124" s="102"/>
      <c r="CO124" s="102"/>
      <c r="CP124" s="102"/>
      <c r="CQ124" s="102"/>
      <c r="CR124" s="102"/>
      <c r="CS124" s="102"/>
      <c r="CT124" s="102"/>
      <c r="CU124" s="102"/>
      <c r="CV124" s="102"/>
      <c r="CW124" s="102"/>
      <c r="CX124" s="102"/>
      <c r="CY124" s="102"/>
    </row>
    <row r="125" spans="2:103" x14ac:dyDescent="0.3">
      <c r="B125" s="93" t="s">
        <v>168</v>
      </c>
      <c r="C125" s="93"/>
      <c r="D125" s="106">
        <f ca="1">AI5</f>
        <v>4.0242762243691776E-2</v>
      </c>
      <c r="E125" s="106"/>
      <c r="F125" s="103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  <c r="BO125" s="102"/>
      <c r="BP125" s="102"/>
      <c r="BQ125" s="102"/>
      <c r="BR125" s="102"/>
      <c r="BS125" s="102"/>
      <c r="BT125" s="102"/>
      <c r="BU125" s="102"/>
      <c r="BV125" s="102"/>
      <c r="BW125" s="102"/>
      <c r="BX125" s="102"/>
      <c r="BY125" s="102"/>
      <c r="BZ125" s="102"/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102"/>
      <c r="CM125" s="102"/>
      <c r="CN125" s="102"/>
      <c r="CO125" s="102"/>
      <c r="CP125" s="102"/>
      <c r="CQ125" s="102"/>
      <c r="CR125" s="102"/>
      <c r="CS125" s="102"/>
      <c r="CT125" s="102"/>
      <c r="CU125" s="102"/>
      <c r="CV125" s="102"/>
      <c r="CW125" s="102"/>
      <c r="CX125" s="102"/>
      <c r="CY125" s="102"/>
    </row>
    <row r="126" spans="2:103" x14ac:dyDescent="0.3">
      <c r="B126" s="93"/>
      <c r="C126" s="9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  <c r="CB126" s="105"/>
      <c r="CC126" s="105"/>
      <c r="CD126" s="105"/>
      <c r="CE126" s="105"/>
      <c r="CF126" s="105"/>
      <c r="CG126" s="105"/>
      <c r="CH126" s="105"/>
      <c r="CI126" s="105"/>
      <c r="CJ126" s="105"/>
      <c r="CK126" s="105"/>
      <c r="CL126" s="105"/>
      <c r="CM126" s="105"/>
      <c r="CN126" s="105"/>
      <c r="CO126" s="105"/>
      <c r="CP126" s="105"/>
      <c r="CQ126" s="105"/>
      <c r="CR126" s="105"/>
      <c r="CS126" s="105"/>
      <c r="CT126" s="105"/>
      <c r="CU126" s="105"/>
      <c r="CV126" s="105"/>
      <c r="CW126" s="105"/>
      <c r="CX126" s="105"/>
      <c r="CY126" s="105"/>
    </row>
    <row r="127" spans="2:103" x14ac:dyDescent="0.3">
      <c r="B127" s="93" t="s">
        <v>158</v>
      </c>
      <c r="C127" s="93"/>
      <c r="D127" s="108">
        <f ca="1">SUM(D136:CY136)/SUM(D118:CY118)</f>
        <v>0.26136389439176205</v>
      </c>
      <c r="E127" s="108">
        <f ca="1">SUM(D121:M121)/SUM(D118:M118)</f>
        <v>8.4024905344909862E-2</v>
      </c>
      <c r="F127" s="104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  <c r="BO127" s="107"/>
      <c r="BP127" s="107"/>
      <c r="BQ127" s="107"/>
      <c r="BR127" s="107"/>
      <c r="BS127" s="107"/>
      <c r="BT127" s="107"/>
      <c r="BU127" s="107"/>
      <c r="BV127" s="107"/>
      <c r="BW127" s="107"/>
      <c r="BX127" s="107"/>
      <c r="BY127" s="107"/>
      <c r="BZ127" s="107"/>
      <c r="CA127" s="107"/>
      <c r="CB127" s="107"/>
      <c r="CC127" s="107"/>
      <c r="CD127" s="107"/>
      <c r="CE127" s="107"/>
      <c r="CF127" s="107"/>
      <c r="CG127" s="107"/>
      <c r="CH127" s="107"/>
      <c r="CI127" s="107"/>
      <c r="CJ127" s="107"/>
      <c r="CK127" s="107"/>
      <c r="CL127" s="107"/>
      <c r="CM127" s="107"/>
      <c r="CN127" s="107"/>
      <c r="CO127" s="107"/>
      <c r="CP127" s="107"/>
      <c r="CQ127" s="107"/>
      <c r="CR127" s="107"/>
      <c r="CS127" s="107"/>
      <c r="CT127" s="107"/>
      <c r="CU127" s="107"/>
      <c r="CV127" s="107"/>
      <c r="CW127" s="107"/>
      <c r="CX127" s="107"/>
      <c r="CY127" s="107"/>
    </row>
    <row r="128" spans="2:103" x14ac:dyDescent="0.3">
      <c r="B128" s="93" t="s">
        <v>159</v>
      </c>
      <c r="C128" s="93"/>
      <c r="D128" s="108">
        <f>O3</f>
        <v>0.29448103920033092</v>
      </c>
      <c r="E128" s="106"/>
      <c r="F128" s="104"/>
      <c r="G128" s="109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  <c r="BO128" s="107"/>
      <c r="BP128" s="107"/>
      <c r="BQ128" s="107"/>
      <c r="BR128" s="107"/>
      <c r="BS128" s="107"/>
      <c r="BT128" s="107"/>
      <c r="BU128" s="107"/>
      <c r="BV128" s="107"/>
      <c r="BW128" s="107"/>
      <c r="BX128" s="107"/>
      <c r="BY128" s="107"/>
      <c r="BZ128" s="107"/>
      <c r="CA128" s="107"/>
      <c r="CB128" s="107"/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</row>
    <row r="129" spans="2:103" x14ac:dyDescent="0.3">
      <c r="B129" s="93" t="s">
        <v>160</v>
      </c>
      <c r="C129" s="93"/>
      <c r="D129" s="105" t="str">
        <f ca="1">AA4</f>
        <v>9 years</v>
      </c>
      <c r="E129" s="105"/>
      <c r="F129" s="104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  <c r="BO129" s="107"/>
      <c r="BP129" s="107"/>
      <c r="BQ129" s="107"/>
      <c r="BR129" s="107"/>
      <c r="BS129" s="107"/>
      <c r="BT129" s="107"/>
      <c r="BU129" s="107"/>
      <c r="BV129" s="107"/>
      <c r="BW129" s="107"/>
      <c r="BX129" s="107"/>
      <c r="BY129" s="107"/>
      <c r="BZ129" s="107"/>
      <c r="CA129" s="107"/>
      <c r="CB129" s="107"/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</row>
    <row r="130" spans="2:103" x14ac:dyDescent="0.3">
      <c r="B130" s="93" t="s">
        <v>161</v>
      </c>
      <c r="C130" s="93"/>
      <c r="D130" s="105" t="str">
        <f ca="1">AA3</f>
        <v>After 10 years</v>
      </c>
      <c r="E130" s="105"/>
      <c r="F130" s="104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  <c r="BO130" s="107"/>
      <c r="BP130" s="107"/>
      <c r="BQ130" s="107"/>
      <c r="BR130" s="107"/>
      <c r="BS130" s="107"/>
      <c r="BT130" s="107"/>
      <c r="BU130" s="107"/>
      <c r="BV130" s="107"/>
      <c r="BW130" s="107"/>
      <c r="BX130" s="107"/>
      <c r="BY130" s="107"/>
      <c r="BZ130" s="107"/>
      <c r="CA130" s="107"/>
      <c r="CB130" s="107"/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</row>
    <row r="131" spans="2:103" x14ac:dyDescent="0.3">
      <c r="B131" s="93" t="s">
        <v>162</v>
      </c>
      <c r="C131" s="93"/>
      <c r="D131" s="110">
        <f ca="1">T5</f>
        <v>13872337.794765335</v>
      </c>
      <c r="E131" s="110"/>
      <c r="F131" s="104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  <c r="BO131" s="107"/>
      <c r="BP131" s="107"/>
      <c r="BQ131" s="107"/>
      <c r="BR131" s="107"/>
      <c r="BS131" s="107"/>
      <c r="BT131" s="107"/>
      <c r="BU131" s="107"/>
      <c r="BV131" s="107"/>
      <c r="BW131" s="107"/>
      <c r="BX131" s="107"/>
      <c r="BY131" s="107"/>
      <c r="BZ131" s="107"/>
      <c r="CA131" s="107"/>
      <c r="CB131" s="107"/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</row>
    <row r="132" spans="2:103" x14ac:dyDescent="0.3">
      <c r="B132" s="93" t="s">
        <v>163</v>
      </c>
      <c r="C132" s="10"/>
      <c r="D132" s="110">
        <f ca="1">-Initial_Project_Cost+F9</f>
        <v>-1796268.8695680301</v>
      </c>
      <c r="E132" s="110"/>
      <c r="F132" s="104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  <c r="CA132" s="107"/>
      <c r="CB132" s="107"/>
      <c r="CC132" s="107"/>
      <c r="CD132" s="107"/>
      <c r="CE132" s="107"/>
      <c r="CF132" s="107"/>
      <c r="CG132" s="107"/>
      <c r="CH132" s="107"/>
      <c r="CI132" s="107"/>
      <c r="CJ132" s="107"/>
      <c r="CK132" s="107"/>
      <c r="CL132" s="107"/>
      <c r="CM132" s="107"/>
      <c r="CN132" s="107"/>
      <c r="CO132" s="107"/>
      <c r="CP132" s="107"/>
      <c r="CQ132" s="107"/>
      <c r="CR132" s="107"/>
      <c r="CS132" s="107"/>
      <c r="CT132" s="107"/>
      <c r="CU132" s="107"/>
      <c r="CV132" s="107"/>
      <c r="CW132" s="107"/>
      <c r="CX132" s="107"/>
      <c r="CY132" s="107"/>
    </row>
    <row r="133" spans="2:103" x14ac:dyDescent="0.3">
      <c r="B133" s="93" t="s">
        <v>164</v>
      </c>
      <c r="C133" s="10"/>
      <c r="D133" s="110">
        <f>SUM('Combined IFRS17 Cashflows'!F25:O25)</f>
        <v>484427018.25657141</v>
      </c>
      <c r="E133" s="110"/>
      <c r="F133" s="104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  <c r="BO133" s="107"/>
      <c r="BP133" s="107"/>
      <c r="BQ133" s="107"/>
      <c r="BR133" s="107"/>
      <c r="BS133" s="107"/>
      <c r="BT133" s="107"/>
      <c r="BU133" s="107"/>
      <c r="BV133" s="107"/>
      <c r="BW133" s="107"/>
      <c r="BX133" s="107"/>
      <c r="BY133" s="107"/>
      <c r="BZ133" s="107"/>
      <c r="CA133" s="107"/>
      <c r="CB133" s="107"/>
      <c r="CC133" s="107"/>
      <c r="CD133" s="107"/>
      <c r="CE133" s="107"/>
      <c r="CF133" s="107"/>
      <c r="CG133" s="107"/>
      <c r="CH133" s="107"/>
      <c r="CI133" s="107"/>
      <c r="CJ133" s="107"/>
      <c r="CK133" s="107"/>
      <c r="CL133" s="107"/>
      <c r="CM133" s="107"/>
      <c r="CN133" s="107"/>
      <c r="CO133" s="107"/>
      <c r="CP133" s="107"/>
      <c r="CQ133" s="107"/>
      <c r="CR133" s="107"/>
      <c r="CS133" s="107"/>
      <c r="CT133" s="107"/>
      <c r="CU133" s="107"/>
      <c r="CV133" s="107"/>
      <c r="CW133" s="107"/>
      <c r="CX133" s="107"/>
      <c r="CY133" s="107"/>
    </row>
    <row r="134" spans="2:103" x14ac:dyDescent="0.3">
      <c r="B134" s="93" t="s">
        <v>165</v>
      </c>
      <c r="C134" s="10"/>
      <c r="D134" s="110">
        <f ca="1">SUM(D120:CY120)</f>
        <v>-27765035.731571771</v>
      </c>
      <c r="E134" s="110"/>
      <c r="F134" s="104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  <c r="CA134" s="107"/>
      <c r="CB134" s="107"/>
      <c r="CC134" s="107"/>
      <c r="CD134" s="107"/>
      <c r="CE134" s="107"/>
      <c r="CF134" s="107"/>
      <c r="CG134" s="107"/>
      <c r="CH134" s="107"/>
      <c r="CI134" s="107"/>
      <c r="CJ134" s="107"/>
      <c r="CK134" s="107"/>
      <c r="CL134" s="107"/>
      <c r="CM134" s="107"/>
      <c r="CN134" s="107"/>
      <c r="CO134" s="107"/>
      <c r="CP134" s="107"/>
      <c r="CQ134" s="107"/>
      <c r="CR134" s="107"/>
      <c r="CS134" s="107"/>
      <c r="CT134" s="107"/>
      <c r="CU134" s="107"/>
      <c r="CV134" s="107"/>
      <c r="CW134" s="107"/>
      <c r="CX134" s="107"/>
      <c r="CY134" s="107"/>
    </row>
    <row r="136" spans="2:103" x14ac:dyDescent="0.3">
      <c r="D136" s="229">
        <f ca="1">'Results Tables'!D31/D123</f>
        <v>-219989.52465681918</v>
      </c>
      <c r="E136" s="229">
        <f ca="1">'Results Tables'!E31/E123</f>
        <v>-158806.42089141218</v>
      </c>
      <c r="F136" s="229">
        <f ca="1">'Results Tables'!F31/F123</f>
        <v>560337.35238265269</v>
      </c>
      <c r="G136" s="229">
        <f ca="1">'Results Tables'!G31/G123</f>
        <v>1252298.8604654095</v>
      </c>
      <c r="H136" s="229">
        <f ca="1">'Results Tables'!H31/H123</f>
        <v>1657277.8961395866</v>
      </c>
      <c r="I136" s="229">
        <f ca="1">'Results Tables'!I31/I123</f>
        <v>2190081.1742940154</v>
      </c>
      <c r="J136" s="229">
        <f ca="1">'Results Tables'!J31/J123</f>
        <v>2599474.6259437487</v>
      </c>
      <c r="K136" s="229">
        <f ca="1">'Results Tables'!K31/K123</f>
        <v>2861663.6963392883</v>
      </c>
      <c r="L136" s="229">
        <f ca="1">'Results Tables'!L31/L123</f>
        <v>2980482.4166933941</v>
      </c>
      <c r="M136" s="229">
        <f ca="1">'Results Tables'!M31/M123</f>
        <v>3041529.2758614863</v>
      </c>
      <c r="N136" s="229">
        <f ca="1">'Results Tables'!N31/N123</f>
        <v>3631526.5069965231</v>
      </c>
      <c r="O136" s="229">
        <f ca="1">'Results Tables'!O31/O123</f>
        <v>2844358.6445027627</v>
      </c>
      <c r="P136" s="229">
        <f ca="1">'Results Tables'!P31/P123</f>
        <v>2058344.8068107059</v>
      </c>
      <c r="Q136" s="229">
        <f ca="1">'Results Tables'!Q31/Q123</f>
        <v>1370955.9263777076</v>
      </c>
      <c r="R136" s="229">
        <f ca="1">'Results Tables'!R31/R123</f>
        <v>1049930.8023061124</v>
      </c>
      <c r="S136" s="229">
        <f ca="1">'Results Tables'!S31/S123</f>
        <v>631061.56798797136</v>
      </c>
      <c r="T136" s="229">
        <f ca="1">'Results Tables'!T31/T123</f>
        <v>341428.59341448324</v>
      </c>
      <c r="U136" s="229">
        <f ca="1">'Results Tables'!U31/U123</f>
        <v>171475.60879016184</v>
      </c>
      <c r="V136" s="229">
        <f ca="1">'Results Tables'!V31/V123</f>
        <v>53211.249247936263</v>
      </c>
      <c r="W136" s="229">
        <f ca="1">'Results Tables'!W31/W123</f>
        <v>2297.2361289133592</v>
      </c>
      <c r="X136" s="229">
        <f ca="1">'Results Tables'!X31/X123</f>
        <v>-74380.238487374954</v>
      </c>
      <c r="Y136" s="229">
        <f ca="1">'Results Tables'!Y31/Y123</f>
        <v>-123746.15537722189</v>
      </c>
      <c r="Z136" s="229">
        <f ca="1">'Results Tables'!Z31/Z123</f>
        <v>-151810.94887717534</v>
      </c>
      <c r="AA136" s="229">
        <f ca="1">'Results Tables'!AA31/AA123</f>
        <v>-163747.31706190776</v>
      </c>
      <c r="AB136" s="229">
        <f ca="1">'Results Tables'!AB31/AB123</f>
        <v>-150030.87300200877</v>
      </c>
      <c r="AC136" s="229">
        <f ca="1">'Results Tables'!AC31/AC123</f>
        <v>-144323.6642083418</v>
      </c>
      <c r="AD136" s="229">
        <f ca="1">'Results Tables'!AD31/AD123</f>
        <v>-134888.44684097279</v>
      </c>
      <c r="AE136" s="229">
        <f ca="1">'Results Tables'!AE31/AE123</f>
        <v>-123041.12594045451</v>
      </c>
      <c r="AF136" s="229">
        <f ca="1">'Results Tables'!AF31/AF123</f>
        <v>-110933.73451423751</v>
      </c>
      <c r="AG136" s="229">
        <f ca="1">'Results Tables'!AG31/AG123</f>
        <v>-94682.819407116913</v>
      </c>
      <c r="AH136" s="229">
        <f ca="1">'Results Tables'!AH31/AH123</f>
        <v>-83655.064361719415</v>
      </c>
      <c r="AI136" s="229">
        <f ca="1">'Results Tables'!AI31/AI123</f>
        <v>-73719.379684829444</v>
      </c>
      <c r="AJ136" s="229">
        <f ca="1">'Results Tables'!AJ31/AJ123</f>
        <v>-64916.420010230358</v>
      </c>
      <c r="AK136" s="229">
        <f ca="1">'Results Tables'!AK31/AK123</f>
        <v>-57173.1093726865</v>
      </c>
      <c r="AL136" s="229">
        <f ca="1">'Results Tables'!AL31/AL123</f>
        <v>-48780.64611088801</v>
      </c>
      <c r="AM136" s="229">
        <f ca="1">'Results Tables'!AM31/AM123</f>
        <v>-42001.644059002909</v>
      </c>
      <c r="AN136" s="229">
        <f ca="1">'Results Tables'!AN31/AN123</f>
        <v>-36663.011024231419</v>
      </c>
      <c r="AO136" s="229">
        <f ca="1">'Results Tables'!AO31/AO123</f>
        <v>-31832.162189627394</v>
      </c>
      <c r="AP136" s="229">
        <f ca="1">'Results Tables'!AP31/AP123</f>
        <v>-27540.879984350755</v>
      </c>
      <c r="AQ136" s="229">
        <f ca="1">'Results Tables'!AQ31/AQ123</f>
        <v>-23248.406628575256</v>
      </c>
      <c r="AR136" s="229">
        <f ca="1">'Results Tables'!AR31/AR123</f>
        <v>-19898.281218884735</v>
      </c>
      <c r="AS136" s="229">
        <f ca="1">'Results Tables'!AS31/AS123</f>
        <v>-16925.485797794216</v>
      </c>
      <c r="AT136" s="229">
        <f ca="1">'Results Tables'!AT31/AT123</f>
        <v>-14309.624683495595</v>
      </c>
      <c r="AU136" s="229">
        <f ca="1">'Results Tables'!AU31/AU123</f>
        <v>-12027.614609702116</v>
      </c>
      <c r="AV136" s="229">
        <f ca="1">'Results Tables'!AV31/AV123</f>
        <v>-9886.2170000331516</v>
      </c>
      <c r="AW136" s="229">
        <f ca="1">'Results Tables'!AW31/AW123</f>
        <v>-8120.8901010654363</v>
      </c>
      <c r="AX136" s="229">
        <f ca="1">'Results Tables'!AX31/AX123</f>
        <v>-6672.9886219644695</v>
      </c>
      <c r="AY136" s="229">
        <f ca="1">'Results Tables'!AY31/AY123</f>
        <v>-5437.8878589451242</v>
      </c>
      <c r="AZ136" s="229">
        <f ca="1">'Results Tables'!AZ31/AZ123</f>
        <v>-4400.7895438141804</v>
      </c>
      <c r="BA136" s="229">
        <f ca="1">'Results Tables'!BA31/BA123</f>
        <v>-3498.7556407358584</v>
      </c>
      <c r="BB136" s="229">
        <f ca="1">'Results Tables'!BB31/BB123</f>
        <v>-2792.0403517252494</v>
      </c>
      <c r="BC136" s="229">
        <f ca="1">'Results Tables'!BC31/BC123</f>
        <v>-2223.8239635352716</v>
      </c>
      <c r="BD136" s="229">
        <f ca="1">'Results Tables'!BD31/BD123</f>
        <v>-1768.00061245443</v>
      </c>
      <c r="BE136" s="229">
        <f ca="1">'Results Tables'!BE31/BE123</f>
        <v>-1403.1726137066485</v>
      </c>
      <c r="BF136" s="229">
        <f ca="1">'Results Tables'!BF31/BF123</f>
        <v>-1100.5975815228267</v>
      </c>
      <c r="BG136" s="229">
        <f ca="1">'Results Tables'!BG31/BG123</f>
        <v>-853.34271951927121</v>
      </c>
      <c r="BH136" s="229">
        <f ca="1">'Results Tables'!BH31/BH123</f>
        <v>-671.73568748944012</v>
      </c>
      <c r="BI136" s="229">
        <f ca="1">'Results Tables'!BI31/BI123</f>
        <v>-525.60266135215136</v>
      </c>
      <c r="BJ136" s="229">
        <f ca="1">'Results Tables'!BJ31/BJ123</f>
        <v>-409.1191568578235</v>
      </c>
      <c r="BK136" s="229">
        <f ca="1">'Results Tables'!BK31/BK123</f>
        <v>-314.40322305370569</v>
      </c>
      <c r="BL136" s="229">
        <f ca="1">'Results Tables'!BL31/BL123</f>
        <v>-241.24955732701699</v>
      </c>
      <c r="BM136" s="229">
        <f ca="1">'Results Tables'!BM31/BM123</f>
        <v>-184.267638009286</v>
      </c>
      <c r="BN136" s="229">
        <f ca="1">'Results Tables'!BN31/BN123</f>
        <v>-139.45066884624214</v>
      </c>
      <c r="BO136" s="229">
        <f ca="1">'Results Tables'!BO31/BO123</f>
        <v>-104.46093472948326</v>
      </c>
      <c r="BP136" s="229">
        <f ca="1">'Results Tables'!BP31/BP123</f>
        <v>-76.838768201005379</v>
      </c>
      <c r="BQ136" s="229">
        <f ca="1">'Results Tables'!BQ31/BQ123</f>
        <v>-55.524577521738152</v>
      </c>
      <c r="BR136" s="229">
        <f ca="1">'Results Tables'!BR31/BR123</f>
        <v>-40.010423731168672</v>
      </c>
      <c r="BS136" s="229">
        <f ca="1">'Results Tables'!BS31/BS123</f>
        <v>-28.281094263868432</v>
      </c>
      <c r="BT136" s="229">
        <f ca="1">'Results Tables'!BT31/BT123</f>
        <v>-19.568849464057422</v>
      </c>
      <c r="BU136" s="229">
        <f ca="1">'Results Tables'!BU31/BU123</f>
        <v>-13.167331440452916</v>
      </c>
      <c r="BV136" s="229">
        <f ca="1">'Results Tables'!BV31/BV123</f>
        <v>-8.4612744009867846</v>
      </c>
      <c r="BW136" s="229">
        <f ca="1">'Results Tables'!BW31/BW123</f>
        <v>-5.5021245866600355</v>
      </c>
      <c r="BX136" s="229">
        <f ca="1">'Results Tables'!BX31/BX123</f>
        <v>-3.5224787804318614</v>
      </c>
      <c r="BY136" s="229">
        <f ca="1">'Results Tables'!BY31/BY123</f>
        <v>-2.221238502617092</v>
      </c>
      <c r="BZ136" s="229">
        <f ca="1">'Results Tables'!BZ31/BZ123</f>
        <v>-1.3762733404173264</v>
      </c>
      <c r="CA136" s="229">
        <f ca="1">'Results Tables'!CA31/CA123</f>
        <v>-0.69233458649980217</v>
      </c>
      <c r="CB136" s="229">
        <f ca="1">'Results Tables'!CB31/CB123</f>
        <v>-0.42720898210212455</v>
      </c>
      <c r="CC136" s="229">
        <f ca="1">'Results Tables'!CC31/CC123</f>
        <v>-0.2589941739517857</v>
      </c>
      <c r="CD136" s="229">
        <f ca="1">'Results Tables'!CD31/CD123</f>
        <v>-0.15400438023194202</v>
      </c>
      <c r="CE136" s="229">
        <f ca="1">'Results Tables'!CE31/CE123</f>
        <v>-8.972376138998249E-2</v>
      </c>
      <c r="CF136" s="229">
        <f ca="1">'Results Tables'!CF31/CF123</f>
        <v>-3.5722872176470202E-2</v>
      </c>
      <c r="CG136" s="229">
        <f ca="1">'Results Tables'!CG31/CG123</f>
        <v>-2.0325982567402166E-2</v>
      </c>
      <c r="CH136" s="229">
        <f ca="1">'Results Tables'!CH31/CH123</f>
        <v>-1.1116821267489129E-2</v>
      </c>
      <c r="CI136" s="229">
        <f ca="1">'Results Tables'!CI31/CI123</f>
        <v>-5.7546424904753391E-3</v>
      </c>
      <c r="CJ136" s="229">
        <f ca="1">'Results Tables'!CJ31/CJ123</f>
        <v>-4.5766519423865379E-3</v>
      </c>
      <c r="CK136" s="229">
        <f ca="1">'Results Tables'!CK31/CK123</f>
        <v>2.6319980629774234E-6</v>
      </c>
      <c r="CL136" s="229">
        <f ca="1">'Results Tables'!CL31/CL123</f>
        <v>0</v>
      </c>
      <c r="CM136" s="229">
        <f ca="1">'Results Tables'!CM31/CM123</f>
        <v>0</v>
      </c>
      <c r="CN136" s="229">
        <f ca="1">'Results Tables'!CN31/CN123</f>
        <v>0</v>
      </c>
      <c r="CO136" s="229">
        <f ca="1">'Results Tables'!CO31/CO123</f>
        <v>0</v>
      </c>
      <c r="CP136" s="229">
        <f ca="1">'Results Tables'!CP31/CP123</f>
        <v>0</v>
      </c>
      <c r="CQ136" s="229">
        <f ca="1">'Results Tables'!CQ31/CQ123</f>
        <v>0</v>
      </c>
      <c r="CR136" s="229">
        <f ca="1">'Results Tables'!CR31/CR123</f>
        <v>0</v>
      </c>
      <c r="CS136" s="229">
        <f ca="1">'Results Tables'!CS31/CS123</f>
        <v>0</v>
      </c>
      <c r="CT136" s="229">
        <f ca="1">'Results Tables'!CT31/CT123</f>
        <v>0</v>
      </c>
      <c r="CU136" s="229">
        <f ca="1">'Results Tables'!CU31/CU123</f>
        <v>0</v>
      </c>
      <c r="CV136" s="229">
        <f ca="1">'Results Tables'!CV31/CV123</f>
        <v>0</v>
      </c>
      <c r="CW136" s="229">
        <f ca="1">'Results Tables'!CW31/CW123</f>
        <v>0</v>
      </c>
      <c r="CX136" s="229">
        <f ca="1">'Results Tables'!CX31/CX123</f>
        <v>0</v>
      </c>
      <c r="CY136" s="229">
        <f ca="1">'Results Tables'!CY31/CY123</f>
        <v>0</v>
      </c>
    </row>
  </sheetData>
  <mergeCells count="12">
    <mergeCell ref="R5:S5"/>
    <mergeCell ref="AG5:AH5"/>
    <mergeCell ref="B2:P2"/>
    <mergeCell ref="R2:U2"/>
    <mergeCell ref="W2:AD2"/>
    <mergeCell ref="AF2:AN2"/>
    <mergeCell ref="AP2:AS2"/>
    <mergeCell ref="R3:S3"/>
    <mergeCell ref="Y3:Z3"/>
    <mergeCell ref="AG3:AH3"/>
    <mergeCell ref="Y4:Z4"/>
    <mergeCell ref="AG4:AH4"/>
  </mergeCells>
  <phoneticPr fontId="30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E5B0-A082-4F64-9241-D833424E995C}">
  <sheetPr codeName="Sheet6"/>
  <dimension ref="B2:N45"/>
  <sheetViews>
    <sheetView topLeftCell="A17" workbookViewId="0">
      <selection activeCell="E10" sqref="E10"/>
    </sheetView>
  </sheetViews>
  <sheetFormatPr defaultRowHeight="14.4" x14ac:dyDescent="0.3"/>
  <cols>
    <col min="3" max="3" width="34.6640625" customWidth="1"/>
    <col min="4" max="4" width="10.6640625" customWidth="1"/>
    <col min="5" max="12" width="10.109375" customWidth="1"/>
    <col min="13" max="13" width="10.88671875" customWidth="1"/>
  </cols>
  <sheetData>
    <row r="2" spans="2:14" ht="15" thickBot="1" x14ac:dyDescent="0.35"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2:14" ht="15" thickBot="1" x14ac:dyDescent="0.35">
      <c r="B3" s="236"/>
      <c r="C3" s="210" t="s">
        <v>141</v>
      </c>
      <c r="D3" s="211">
        <v>1</v>
      </c>
      <c r="E3" s="211">
        <v>2</v>
      </c>
      <c r="F3" s="211">
        <v>3</v>
      </c>
      <c r="G3" s="211">
        <v>4</v>
      </c>
      <c r="H3" s="211">
        <v>5</v>
      </c>
      <c r="I3" s="211">
        <v>6</v>
      </c>
      <c r="J3" s="211">
        <v>7</v>
      </c>
      <c r="K3" s="211">
        <v>8</v>
      </c>
      <c r="L3" s="211">
        <v>9</v>
      </c>
      <c r="M3" s="211">
        <v>10</v>
      </c>
      <c r="N3" s="236"/>
    </row>
    <row r="4" spans="2:14" ht="15" thickBot="1" x14ac:dyDescent="0.35">
      <c r="B4" s="236"/>
      <c r="C4" s="209" t="s">
        <v>202</v>
      </c>
      <c r="D4" s="237">
        <v>9054.1159505591531</v>
      </c>
      <c r="E4" s="237">
        <v>18338.434373160686</v>
      </c>
      <c r="F4" s="237">
        <v>23473.195997645675</v>
      </c>
      <c r="G4" s="237">
        <v>27245.673925838732</v>
      </c>
      <c r="H4" s="237">
        <v>35524.167157151263</v>
      </c>
      <c r="I4" s="237">
        <v>38877.480871100648</v>
      </c>
      <c r="J4" s="237">
        <v>43383.496174220127</v>
      </c>
      <c r="K4" s="237">
        <v>49147.004120070633</v>
      </c>
      <c r="L4" s="237">
        <v>56587.168922895828</v>
      </c>
      <c r="M4" s="237">
        <v>66332.736904061225</v>
      </c>
      <c r="N4" s="236"/>
    </row>
    <row r="5" spans="2:14" ht="15" thickBot="1" x14ac:dyDescent="0.35">
      <c r="B5" s="236"/>
      <c r="C5" s="209" t="s">
        <v>203</v>
      </c>
      <c r="D5" s="237">
        <v>3262.1397086800048</v>
      </c>
      <c r="E5" s="237">
        <v>12145.596993078543</v>
      </c>
      <c r="F5" s="237">
        <v>24812.046643808419</v>
      </c>
      <c r="G5" s="237">
        <v>53441.925638129709</v>
      </c>
      <c r="H5" s="237">
        <v>80825.123630724571</v>
      </c>
      <c r="I5" s="237">
        <v>98949.684332006305</v>
      </c>
      <c r="J5" s="237">
        <v>118472.78228191292</v>
      </c>
      <c r="K5" s="237">
        <v>140055.84195411665</v>
      </c>
      <c r="L5" s="237">
        <v>164580.99008317516</v>
      </c>
      <c r="M5" s="237">
        <v>193088.00236168382</v>
      </c>
      <c r="N5" s="236"/>
    </row>
    <row r="6" spans="2:14" ht="15" thickBot="1" x14ac:dyDescent="0.35">
      <c r="B6" s="236"/>
      <c r="C6" s="209" t="s">
        <v>204</v>
      </c>
      <c r="D6" s="237">
        <v>5194078.5432546362</v>
      </c>
      <c r="E6" s="237">
        <v>10520166.001947016</v>
      </c>
      <c r="F6" s="237">
        <v>13465812.482492181</v>
      </c>
      <c r="G6" s="237">
        <v>15629960.917178422</v>
      </c>
      <c r="H6" s="237">
        <v>20379064.426628791</v>
      </c>
      <c r="I6" s="237">
        <v>22302751.924127672</v>
      </c>
      <c r="J6" s="237">
        <v>24887706.998891793</v>
      </c>
      <c r="K6" s="237">
        <v>28194044.885218002</v>
      </c>
      <c r="L6" s="237">
        <v>32462226.520293664</v>
      </c>
      <c r="M6" s="237">
        <v>38052943.309899777</v>
      </c>
      <c r="N6" s="236"/>
    </row>
    <row r="7" spans="2:14" ht="15" thickBot="1" x14ac:dyDescent="0.35">
      <c r="B7" s="236"/>
      <c r="C7" s="209" t="s">
        <v>205</v>
      </c>
      <c r="D7" s="237">
        <v>1709527.8938779798</v>
      </c>
      <c r="E7" s="237">
        <v>4075795.0663991841</v>
      </c>
      <c r="F7" s="237">
        <v>7134341.0286736712</v>
      </c>
      <c r="G7" s="237">
        <v>13997945.986479659</v>
      </c>
      <c r="H7" s="237">
        <v>20153143.111658525</v>
      </c>
      <c r="I7" s="237">
        <v>22931914.837095294</v>
      </c>
      <c r="J7" s="237">
        <v>25537944.538116865</v>
      </c>
      <c r="K7" s="237">
        <v>28811139.925094835</v>
      </c>
      <c r="L7" s="237">
        <v>32078165.668434221</v>
      </c>
      <c r="M7" s="237">
        <v>36233124.752735972</v>
      </c>
      <c r="N7" s="236"/>
    </row>
    <row r="8" spans="2:14" ht="9" customHeight="1" thickBot="1" x14ac:dyDescent="0.35"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</row>
    <row r="9" spans="2:14" ht="15" thickBot="1" x14ac:dyDescent="0.35">
      <c r="B9" s="236"/>
      <c r="C9" s="210" t="s">
        <v>141</v>
      </c>
      <c r="D9" s="211">
        <v>1</v>
      </c>
      <c r="E9" s="211">
        <v>2</v>
      </c>
      <c r="F9" s="211">
        <v>3</v>
      </c>
      <c r="G9" s="211">
        <v>4</v>
      </c>
      <c r="H9" s="211">
        <v>5</v>
      </c>
      <c r="I9" s="211">
        <v>6</v>
      </c>
      <c r="J9" s="211">
        <v>7</v>
      </c>
      <c r="K9" s="211">
        <v>8</v>
      </c>
      <c r="L9" s="211">
        <v>9</v>
      </c>
      <c r="M9" s="211">
        <v>10</v>
      </c>
      <c r="N9" s="236"/>
    </row>
    <row r="10" spans="2:14" ht="23.25" customHeight="1" thickBot="1" x14ac:dyDescent="0.35">
      <c r="B10" s="236"/>
      <c r="C10" s="209" t="s">
        <v>206</v>
      </c>
      <c r="D10" s="213">
        <v>2659731.8270136411</v>
      </c>
      <c r="E10" s="213">
        <v>9102158.3708133772</v>
      </c>
      <c r="F10" s="213">
        <v>17499754.119359531</v>
      </c>
      <c r="G10" s="213">
        <v>38157793.65410617</v>
      </c>
      <c r="H10" s="213">
        <v>53877888.32537853</v>
      </c>
      <c r="I10" s="213">
        <v>63332972.451755889</v>
      </c>
      <c r="J10" s="213">
        <v>74771366.337844685</v>
      </c>
      <c r="K10" s="213">
        <v>87493064.796168983</v>
      </c>
      <c r="L10" s="213">
        <v>101843436.71754323</v>
      </c>
      <c r="M10" s="213">
        <v>118829318.01701561</v>
      </c>
      <c r="N10" s="236"/>
    </row>
    <row r="11" spans="2:14" ht="23.25" customHeight="1" thickBot="1" x14ac:dyDescent="0.35">
      <c r="B11" s="236"/>
      <c r="C11" s="209" t="s">
        <v>207</v>
      </c>
      <c r="D11" s="213">
        <v>-686210.81136951933</v>
      </c>
      <c r="E11" s="213">
        <v>-2348356.859669853</v>
      </c>
      <c r="F11" s="213">
        <v>-4514936.562794758</v>
      </c>
      <c r="G11" s="213">
        <v>-9844710.7627593894</v>
      </c>
      <c r="H11" s="213">
        <v>-13900495.187947657</v>
      </c>
      <c r="I11" s="213">
        <v>-16339906.892553005</v>
      </c>
      <c r="J11" s="213">
        <v>-19291012.515163928</v>
      </c>
      <c r="K11" s="213">
        <v>-22573210.717411596</v>
      </c>
      <c r="L11" s="213">
        <v>-26275606.673126169</v>
      </c>
      <c r="M11" s="213">
        <v>-30657964.048390027</v>
      </c>
      <c r="N11" s="236"/>
    </row>
    <row r="12" spans="2:14" ht="23.25" customHeight="1" thickBot="1" x14ac:dyDescent="0.35">
      <c r="B12" s="236"/>
      <c r="C12" s="209" t="s">
        <v>208</v>
      </c>
      <c r="D12" s="213">
        <v>-43642.408594125962</v>
      </c>
      <c r="E12" s="213">
        <v>-88379.331898911114</v>
      </c>
      <c r="F12" s="213">
        <v>-113125.54483060626</v>
      </c>
      <c r="G12" s="213">
        <v>-319680.66909720429</v>
      </c>
      <c r="H12" s="213">
        <v>-171203.39150703355</v>
      </c>
      <c r="I12" s="213">
        <v>-187364.1836256916</v>
      </c>
      <c r="J12" s="213">
        <v>-209080.24803513833</v>
      </c>
      <c r="K12" s="213">
        <v>-236856.60948908186</v>
      </c>
      <c r="L12" s="213">
        <v>-272713.36700235435</v>
      </c>
      <c r="M12" s="213">
        <v>-319680.66909720429</v>
      </c>
      <c r="N12" s="236"/>
    </row>
    <row r="13" spans="2:14" ht="23.25" customHeight="1" thickBot="1" x14ac:dyDescent="0.35">
      <c r="B13" s="236"/>
      <c r="C13" s="209" t="s">
        <v>377</v>
      </c>
      <c r="D13" s="213">
        <v>-59000</v>
      </c>
      <c r="E13" s="213">
        <v>-59000</v>
      </c>
      <c r="F13" s="213">
        <v>-59000</v>
      </c>
      <c r="G13" s="213">
        <v>-59000</v>
      </c>
      <c r="H13" s="213">
        <v>-59000</v>
      </c>
      <c r="I13" s="213">
        <v>-59000</v>
      </c>
      <c r="J13" s="213">
        <v>-59000</v>
      </c>
      <c r="K13" s="213">
        <v>-59000</v>
      </c>
      <c r="L13" s="213">
        <v>-59000</v>
      </c>
      <c r="M13" s="213">
        <v>-59000</v>
      </c>
      <c r="N13" s="236"/>
    </row>
    <row r="14" spans="2:14" ht="23.25" customHeight="1" thickBot="1" x14ac:dyDescent="0.35">
      <c r="B14" s="236"/>
      <c r="C14" s="209" t="s">
        <v>378</v>
      </c>
      <c r="D14" s="213">
        <v>-158215.38980407998</v>
      </c>
      <c r="E14" s="213">
        <v>-563458.89423656464</v>
      </c>
      <c r="F14" s="213">
        <v>-1119741.6933530932</v>
      </c>
      <c r="G14" s="213">
        <v>-2440981.808315638</v>
      </c>
      <c r="H14" s="213">
        <v>-3599483.0172965573</v>
      </c>
      <c r="I14" s="213">
        <v>-4390112.57760642</v>
      </c>
      <c r="J14" s="213">
        <v>-5335505.5700315461</v>
      </c>
      <c r="K14" s="213">
        <v>-6396255.6330600176</v>
      </c>
      <c r="L14" s="213">
        <v>-7596795.9086318761</v>
      </c>
      <c r="M14" s="213">
        <v>-9013685.2658748161</v>
      </c>
      <c r="N14" s="236"/>
    </row>
    <row r="15" spans="2:14" ht="23.25" customHeight="1" thickBot="1" x14ac:dyDescent="0.35">
      <c r="B15" s="236"/>
      <c r="C15" s="209" t="s">
        <v>211</v>
      </c>
      <c r="D15" s="213">
        <v>-1447.4829458505019</v>
      </c>
      <c r="E15" s="213">
        <v>-2931.2500000000032</v>
      </c>
      <c r="F15" s="213">
        <v>-3752.0000000000041</v>
      </c>
      <c r="G15" s="213">
        <v>-10602.750000000009</v>
      </c>
      <c r="H15" s="213">
        <v>-5678.2500000000064</v>
      </c>
      <c r="I15" s="213">
        <v>-6214.2500000000064</v>
      </c>
      <c r="J15" s="213">
        <v>-6934.5000000000064</v>
      </c>
      <c r="K15" s="213">
        <v>-7855.7500000000082</v>
      </c>
      <c r="L15" s="213">
        <v>-9045.0000000000091</v>
      </c>
      <c r="M15" s="213">
        <v>-10602.750000000009</v>
      </c>
      <c r="N15" s="236"/>
    </row>
    <row r="16" spans="2:14" ht="23.25" customHeight="1" thickBot="1" x14ac:dyDescent="0.35">
      <c r="B16" s="236"/>
      <c r="C16" s="209" t="s">
        <v>212</v>
      </c>
      <c r="D16" s="213">
        <v>-8327.1257791621138</v>
      </c>
      <c r="E16" s="213">
        <v>-29655.731275608687</v>
      </c>
      <c r="F16" s="213">
        <v>-58933.773334373356</v>
      </c>
      <c r="G16" s="213">
        <v>-128472.72675345476</v>
      </c>
      <c r="H16" s="213">
        <v>-189446.47459455568</v>
      </c>
      <c r="I16" s="213">
        <v>-231058.55671612729</v>
      </c>
      <c r="J16" s="213">
        <v>-280816.0826332391</v>
      </c>
      <c r="K16" s="213">
        <v>-336645.03331894905</v>
      </c>
      <c r="L16" s="213">
        <v>-399831.36361220392</v>
      </c>
      <c r="M16" s="213">
        <v>-474404.48767762264</v>
      </c>
      <c r="N16" s="236"/>
    </row>
    <row r="17" spans="2:14" ht="23.25" customHeight="1" thickBot="1" x14ac:dyDescent="0.35">
      <c r="B17" s="236"/>
      <c r="C17" s="209" t="s">
        <v>213</v>
      </c>
      <c r="D17" s="213">
        <v>-1860168.1917347617</v>
      </c>
      <c r="E17" s="213">
        <v>-5843524.0959253265</v>
      </c>
      <c r="F17" s="213">
        <v>-10428088.570828749</v>
      </c>
      <c r="G17" s="213">
        <v>-22996561.507356003</v>
      </c>
      <c r="H17" s="213">
        <v>-29847070.335938081</v>
      </c>
      <c r="I17" s="213">
        <v>-33086881.802301738</v>
      </c>
      <c r="J17" s="213">
        <v>-37992357.777281851</v>
      </c>
      <c r="K17" s="213">
        <v>-45486453.73479154</v>
      </c>
      <c r="L17" s="213">
        <v>-51048683.309274606</v>
      </c>
      <c r="M17" s="213">
        <v>-59551832.21299772</v>
      </c>
      <c r="N17" s="236"/>
    </row>
    <row r="18" spans="2:14" ht="27" customHeight="1" thickBot="1" x14ac:dyDescent="0.35">
      <c r="B18" s="236"/>
      <c r="C18" s="238" t="s">
        <v>214</v>
      </c>
      <c r="D18" s="213">
        <v>-154538.13306961389</v>
      </c>
      <c r="E18" s="213">
        <v>-299384.19294468994</v>
      </c>
      <c r="F18" s="213">
        <v>-347811.0853573177</v>
      </c>
      <c r="G18" s="213">
        <v>-1069565.9424714956</v>
      </c>
      <c r="H18" s="213">
        <v>-455560.20740367426</v>
      </c>
      <c r="I18" s="213">
        <v>-464280.5581881688</v>
      </c>
      <c r="J18" s="213">
        <v>-898608.18516401295</v>
      </c>
      <c r="K18" s="213">
        <v>-1104354.8979901215</v>
      </c>
      <c r="L18" s="213">
        <v>-2078797.0107429484</v>
      </c>
      <c r="M18" s="213">
        <v>-3137388.3100723727</v>
      </c>
      <c r="N18" s="236"/>
    </row>
    <row r="19" spans="2:14" ht="27" customHeight="1" thickBot="1" x14ac:dyDescent="0.35">
      <c r="B19" s="236"/>
      <c r="C19" s="239" t="s">
        <v>215</v>
      </c>
      <c r="D19" s="214">
        <v>-311817.7162834722</v>
      </c>
      <c r="E19" s="214">
        <v>-132531.98513757653</v>
      </c>
      <c r="F19" s="214">
        <v>854364.88886063546</v>
      </c>
      <c r="G19" s="214">
        <v>1288217.4873529871</v>
      </c>
      <c r="H19" s="214">
        <v>5649951.4606909677</v>
      </c>
      <c r="I19" s="214">
        <v>8568153.6307647359</v>
      </c>
      <c r="J19" s="214">
        <v>10698051.459534965</v>
      </c>
      <c r="K19" s="214">
        <v>11292432.420107678</v>
      </c>
      <c r="L19" s="214">
        <v>14102964.085153066</v>
      </c>
      <c r="M19" s="214">
        <v>15604760.272905845</v>
      </c>
      <c r="N19" s="236"/>
    </row>
    <row r="20" spans="2:14" ht="27" customHeight="1" thickBot="1" x14ac:dyDescent="0.35">
      <c r="B20" s="236"/>
      <c r="C20" s="238" t="s">
        <v>379</v>
      </c>
      <c r="D20" s="213">
        <v>15590.885814173611</v>
      </c>
      <c r="E20" s="213">
        <v>6626.599256878827</v>
      </c>
      <c r="F20" s="213">
        <v>-42718.244443031777</v>
      </c>
      <c r="G20" s="213">
        <v>-64410.874367649354</v>
      </c>
      <c r="H20" s="213">
        <v>-282497.57303454838</v>
      </c>
      <c r="I20" s="213">
        <v>-428407.68153823679</v>
      </c>
      <c r="J20" s="213">
        <v>-534902.57297674834</v>
      </c>
      <c r="K20" s="213">
        <v>-564621.6210053839</v>
      </c>
      <c r="L20" s="213">
        <v>-705148.20425765333</v>
      </c>
      <c r="M20" s="213">
        <v>-780238.01364529226</v>
      </c>
      <c r="N20" s="236"/>
    </row>
    <row r="21" spans="2:14" ht="27" customHeight="1" thickBot="1" x14ac:dyDescent="0.35">
      <c r="B21" s="236"/>
      <c r="C21" s="238" t="s">
        <v>380</v>
      </c>
      <c r="D21" s="213">
        <v>85476.394693898998</v>
      </c>
      <c r="E21" s="213">
        <v>203789.75331995921</v>
      </c>
      <c r="F21" s="213">
        <v>356717.05143368361</v>
      </c>
      <c r="G21" s="213">
        <v>699897.29932398302</v>
      </c>
      <c r="H21" s="213">
        <v>1007657.1555829262</v>
      </c>
      <c r="I21" s="213">
        <v>1146595.7418547648</v>
      </c>
      <c r="J21" s="213">
        <v>1276897.2269058432</v>
      </c>
      <c r="K21" s="213">
        <v>1440556.9962547419</v>
      </c>
      <c r="L21" s="213">
        <v>1603908.2834217111</v>
      </c>
      <c r="M21" s="213">
        <v>1811656.2376367988</v>
      </c>
      <c r="N21" s="236"/>
    </row>
    <row r="22" spans="2:14" ht="27" customHeight="1" thickBot="1" x14ac:dyDescent="0.35">
      <c r="B22" s="236"/>
      <c r="C22" s="239" t="s">
        <v>218</v>
      </c>
      <c r="D22" s="214">
        <v>-210750.43577539959</v>
      </c>
      <c r="E22" s="214">
        <v>77884.367439261507</v>
      </c>
      <c r="F22" s="214">
        <v>1168363.6958512873</v>
      </c>
      <c r="G22" s="214">
        <v>1923703.9123093206</v>
      </c>
      <c r="H22" s="214">
        <v>6375111.0432393458</v>
      </c>
      <c r="I22" s="214">
        <v>9286341.6910812631</v>
      </c>
      <c r="J22" s="214">
        <v>11440046.113464061</v>
      </c>
      <c r="K22" s="214">
        <v>12168367.795357035</v>
      </c>
      <c r="L22" s="214">
        <v>15001724.164317124</v>
      </c>
      <c r="M22" s="214">
        <v>16636178.496897353</v>
      </c>
      <c r="N22" s="236"/>
    </row>
    <row r="23" spans="2:14" ht="27" customHeight="1" thickBot="1" x14ac:dyDescent="0.35">
      <c r="B23" s="236"/>
      <c r="C23" s="238" t="s">
        <v>219</v>
      </c>
      <c r="D23" s="213">
        <v>0</v>
      </c>
      <c r="E23" s="213">
        <v>-17134.560836637531</v>
      </c>
      <c r="F23" s="213">
        <v>-257040.01308728321</v>
      </c>
      <c r="G23" s="213">
        <v>-423214.86070805055</v>
      </c>
      <c r="H23" s="213">
        <v>-1402524.4295126561</v>
      </c>
      <c r="I23" s="213">
        <v>-2042995.1720378778</v>
      </c>
      <c r="J23" s="213">
        <v>-2516810.1449620933</v>
      </c>
      <c r="K23" s="213">
        <v>-2677040.914978548</v>
      </c>
      <c r="L23" s="213">
        <v>-3300379.316149767</v>
      </c>
      <c r="M23" s="213">
        <v>-3659959.2693174179</v>
      </c>
      <c r="N23" s="236"/>
    </row>
    <row r="24" spans="2:14" s="34" customFormat="1" ht="27" customHeight="1" thickBot="1" x14ac:dyDescent="0.35">
      <c r="B24" s="240"/>
      <c r="C24" s="239" t="s">
        <v>220</v>
      </c>
      <c r="D24" s="214">
        <v>-210750.43577539959</v>
      </c>
      <c r="E24" s="214">
        <v>60749.806602623976</v>
      </c>
      <c r="F24" s="214">
        <v>911323.6827640041</v>
      </c>
      <c r="G24" s="214">
        <v>1500489.0516012702</v>
      </c>
      <c r="H24" s="214">
        <v>4972586.6137266895</v>
      </c>
      <c r="I24" s="214">
        <v>7243346.5190433851</v>
      </c>
      <c r="J24" s="214">
        <v>8923235.9685019683</v>
      </c>
      <c r="K24" s="214">
        <v>9491326.8803784885</v>
      </c>
      <c r="L24" s="214">
        <v>11701344.848167356</v>
      </c>
      <c r="M24" s="214">
        <v>12976219.227579935</v>
      </c>
      <c r="N24" s="240"/>
    </row>
    <row r="25" spans="2:14" ht="27" customHeight="1" thickBot="1" x14ac:dyDescent="0.35">
      <c r="B25" s="236"/>
      <c r="C25" s="238" t="s">
        <v>381</v>
      </c>
      <c r="D25" s="213">
        <v>-242752.96093067311</v>
      </c>
      <c r="E25" s="213">
        <v>-578762.89942868403</v>
      </c>
      <c r="F25" s="213">
        <v>-1013076.4260716612</v>
      </c>
      <c r="G25" s="213">
        <v>-1987708.3300801113</v>
      </c>
      <c r="H25" s="213">
        <v>-2861746.3218555101</v>
      </c>
      <c r="I25" s="213">
        <v>-3256331.9068675316</v>
      </c>
      <c r="J25" s="213">
        <v>-3626388.1244125944</v>
      </c>
      <c r="K25" s="213">
        <v>-4091181.8693634663</v>
      </c>
      <c r="L25" s="213">
        <v>-4555099.5249176593</v>
      </c>
      <c r="M25" s="213">
        <v>-5145103.7148885075</v>
      </c>
      <c r="N25" s="236"/>
    </row>
    <row r="26" spans="2:14" s="34" customFormat="1" ht="26.25" customHeight="1" thickBot="1" x14ac:dyDescent="0.35">
      <c r="B26" s="240"/>
      <c r="C26" s="239" t="s">
        <v>222</v>
      </c>
      <c r="D26" s="214">
        <v>-453503.39670607273</v>
      </c>
      <c r="E26" s="214">
        <v>-518013.09282606008</v>
      </c>
      <c r="F26" s="214">
        <v>-101752.74330765707</v>
      </c>
      <c r="G26" s="214">
        <v>-487219.27847884106</v>
      </c>
      <c r="H26" s="214">
        <v>2110840.2918711794</v>
      </c>
      <c r="I26" s="214">
        <v>3987014.6121758535</v>
      </c>
      <c r="J26" s="214">
        <v>5296847.8440893739</v>
      </c>
      <c r="K26" s="214">
        <v>5400145.0110150222</v>
      </c>
      <c r="L26" s="214">
        <v>7146245.3232496968</v>
      </c>
      <c r="M26" s="214">
        <v>7831115.512691427</v>
      </c>
      <c r="N26" s="240"/>
    </row>
    <row r="27" spans="2:14" ht="25.5" customHeight="1" thickBot="1" x14ac:dyDescent="0.35">
      <c r="B27" s="236"/>
      <c r="C27" s="238" t="s">
        <v>382</v>
      </c>
      <c r="D27" s="242">
        <v>-0.12327990466263911</v>
      </c>
      <c r="E27" s="242">
        <v>1.4905019907267862E-2</v>
      </c>
      <c r="F27" s="242">
        <v>0.12773761151889121</v>
      </c>
      <c r="G27" s="242">
        <v>0.1071935163237923</v>
      </c>
      <c r="H27" s="242">
        <v>0.2467400040865122</v>
      </c>
      <c r="I27" s="242">
        <v>0.31586313530723342</v>
      </c>
      <c r="J27" s="242">
        <v>0.34941089151413579</v>
      </c>
      <c r="K27" s="242">
        <v>0.32943253564609687</v>
      </c>
      <c r="L27" s="242">
        <v>0.36477599651783688</v>
      </c>
      <c r="M27" s="242">
        <v>0.35813138712526021</v>
      </c>
      <c r="N27" s="236"/>
    </row>
    <row r="28" spans="2:14" ht="15" thickBot="1" x14ac:dyDescent="0.35"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</row>
    <row r="29" spans="2:14" ht="15" thickBot="1" x14ac:dyDescent="0.35">
      <c r="B29" s="236"/>
      <c r="C29" s="210" t="s">
        <v>224</v>
      </c>
      <c r="D29" s="210" t="s">
        <v>225</v>
      </c>
      <c r="E29" s="236"/>
      <c r="F29" s="236"/>
      <c r="G29" s="236"/>
      <c r="H29" s="236"/>
      <c r="I29" s="236"/>
      <c r="J29" s="236"/>
      <c r="K29" s="236"/>
      <c r="L29" s="236"/>
      <c r="M29" s="236"/>
      <c r="N29" s="236"/>
    </row>
    <row r="30" spans="2:14" ht="15" thickBot="1" x14ac:dyDescent="0.35">
      <c r="B30" s="236"/>
      <c r="C30" s="209" t="s">
        <v>166</v>
      </c>
      <c r="D30" s="241">
        <v>9931609.4247659817</v>
      </c>
      <c r="E30" s="236"/>
      <c r="F30" s="236"/>
      <c r="G30" s="236"/>
      <c r="H30" s="236"/>
      <c r="I30" s="236"/>
      <c r="J30" s="236"/>
      <c r="K30" s="236"/>
      <c r="L30" s="236"/>
      <c r="M30" s="236"/>
      <c r="N30" s="236"/>
    </row>
    <row r="31" spans="2:14" ht="15" thickBot="1" x14ac:dyDescent="0.35">
      <c r="B31" s="236"/>
      <c r="C31" s="209" t="s">
        <v>167</v>
      </c>
      <c r="D31" s="241">
        <v>221868344.88765794</v>
      </c>
      <c r="E31" s="236"/>
      <c r="F31" s="236"/>
      <c r="G31" s="236"/>
      <c r="H31" s="236"/>
      <c r="I31" s="236"/>
      <c r="J31" s="236"/>
      <c r="K31" s="236"/>
      <c r="L31" s="236"/>
      <c r="M31" s="236"/>
      <c r="N31" s="236"/>
    </row>
    <row r="32" spans="2:14" ht="15" thickBot="1" x14ac:dyDescent="0.35">
      <c r="B32" s="236"/>
      <c r="C32" s="212" t="s">
        <v>168</v>
      </c>
      <c r="D32" s="243">
        <v>4.4763525999145161E-2</v>
      </c>
      <c r="E32" s="236"/>
      <c r="F32" s="236"/>
      <c r="G32" s="236"/>
      <c r="H32" s="236"/>
      <c r="I32" s="236"/>
      <c r="J32" s="236"/>
      <c r="K32" s="236"/>
      <c r="L32" s="236"/>
      <c r="M32" s="236"/>
      <c r="N32" s="236"/>
    </row>
    <row r="33" spans="2:13" ht="15" thickBot="1" x14ac:dyDescent="0.35">
      <c r="B33" s="236"/>
      <c r="C33" s="209" t="s">
        <v>158</v>
      </c>
      <c r="D33" s="231">
        <v>0.26980234473317632</v>
      </c>
      <c r="E33" s="236"/>
      <c r="F33" s="236"/>
      <c r="G33" s="236"/>
      <c r="H33" s="236"/>
      <c r="I33" s="236"/>
      <c r="J33" s="236"/>
      <c r="K33" s="236"/>
      <c r="L33" s="236"/>
      <c r="M33" s="236"/>
    </row>
    <row r="34" spans="2:13" ht="15" thickBot="1" x14ac:dyDescent="0.35">
      <c r="B34" s="236"/>
      <c r="C34" s="209" t="s">
        <v>159</v>
      </c>
      <c r="D34" s="231">
        <v>0.31909733363160608</v>
      </c>
      <c r="E34" s="236"/>
      <c r="F34" s="236"/>
      <c r="G34" s="236"/>
      <c r="H34" s="236"/>
      <c r="I34" s="236"/>
      <c r="J34" s="236"/>
      <c r="K34" s="236"/>
      <c r="L34" s="236"/>
      <c r="M34" s="236"/>
    </row>
    <row r="35" spans="2:13" ht="15" thickBot="1" x14ac:dyDescent="0.35">
      <c r="B35" s="236"/>
      <c r="C35" s="209" t="s">
        <v>160</v>
      </c>
      <c r="D35" s="232" t="s">
        <v>383</v>
      </c>
      <c r="E35" s="236"/>
      <c r="F35" s="236"/>
      <c r="G35" s="236"/>
      <c r="H35" s="236"/>
      <c r="I35" s="236"/>
      <c r="J35" s="236"/>
      <c r="K35" s="236"/>
      <c r="L35" s="236"/>
      <c r="M35" s="236"/>
    </row>
    <row r="36" spans="2:13" x14ac:dyDescent="0.3"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</row>
    <row r="37" spans="2:13" x14ac:dyDescent="0.3">
      <c r="B37" s="236"/>
      <c r="C37" s="236"/>
      <c r="D37" s="244" t="s">
        <v>226</v>
      </c>
      <c r="E37" s="244" t="s">
        <v>227</v>
      </c>
      <c r="F37" s="244"/>
      <c r="G37" s="236"/>
      <c r="H37" s="236"/>
      <c r="I37" s="236"/>
      <c r="J37" s="236"/>
      <c r="K37" s="236"/>
      <c r="L37" s="236"/>
      <c r="M37" s="236"/>
    </row>
    <row r="38" spans="2:13" x14ac:dyDescent="0.3">
      <c r="C38" s="236"/>
      <c r="D38" s="244"/>
      <c r="E38" s="244" t="s">
        <v>228</v>
      </c>
      <c r="F38" s="244"/>
      <c r="G38" s="236"/>
      <c r="H38" s="236"/>
      <c r="I38" s="236"/>
      <c r="J38" s="236"/>
      <c r="K38" s="236"/>
      <c r="L38" s="236"/>
      <c r="M38" s="236"/>
    </row>
    <row r="39" spans="2:13" x14ac:dyDescent="0.3">
      <c r="C39" s="236"/>
      <c r="D39" s="244"/>
      <c r="E39" s="244" t="s">
        <v>229</v>
      </c>
      <c r="F39" s="244"/>
      <c r="G39" s="236"/>
      <c r="H39" s="236"/>
      <c r="I39" s="236"/>
      <c r="J39" s="236"/>
      <c r="K39" s="236"/>
      <c r="L39" s="236"/>
      <c r="M39" s="236"/>
    </row>
    <row r="40" spans="2:13" x14ac:dyDescent="0.3">
      <c r="C40" s="236"/>
      <c r="D40" s="236"/>
      <c r="E40" s="244" t="s">
        <v>230</v>
      </c>
      <c r="F40" s="236"/>
      <c r="G40" s="236"/>
      <c r="H40" s="236"/>
      <c r="I40" s="236"/>
      <c r="J40" s="236"/>
      <c r="K40" s="236"/>
      <c r="L40" s="236"/>
      <c r="M40" s="236"/>
    </row>
    <row r="41" spans="2:13" x14ac:dyDescent="0.3">
      <c r="C41" s="236"/>
      <c r="E41" s="236"/>
      <c r="F41" s="236"/>
      <c r="G41" s="236"/>
      <c r="H41" s="236"/>
      <c r="I41" s="236"/>
      <c r="J41" s="236"/>
      <c r="K41" s="236"/>
      <c r="L41" s="236"/>
      <c r="M41" s="236"/>
    </row>
    <row r="42" spans="2:13" x14ac:dyDescent="0.3">
      <c r="C42" s="236"/>
      <c r="D42" s="244" t="s">
        <v>231</v>
      </c>
      <c r="E42" s="244" t="s">
        <v>232</v>
      </c>
      <c r="F42" s="244"/>
      <c r="G42" s="236"/>
      <c r="H42" s="236"/>
      <c r="I42" s="236"/>
      <c r="J42" s="236"/>
      <c r="K42" s="236"/>
      <c r="L42" s="236"/>
      <c r="M42" s="236"/>
    </row>
    <row r="43" spans="2:13" x14ac:dyDescent="0.3">
      <c r="C43" s="236"/>
      <c r="D43" s="244"/>
      <c r="E43" s="244" t="s">
        <v>233</v>
      </c>
      <c r="F43" s="244"/>
      <c r="G43" s="236"/>
      <c r="H43" s="236"/>
      <c r="I43" s="236"/>
      <c r="J43" s="236"/>
      <c r="K43" s="236"/>
      <c r="L43" s="236"/>
      <c r="M43" s="236"/>
    </row>
    <row r="44" spans="2:13" x14ac:dyDescent="0.3">
      <c r="C44" s="236"/>
      <c r="D44" s="244"/>
      <c r="E44" s="244" t="s">
        <v>234</v>
      </c>
      <c r="F44" s="236"/>
      <c r="G44" s="236"/>
      <c r="H44" s="236"/>
      <c r="I44" s="236"/>
      <c r="J44" s="236"/>
      <c r="K44" s="236"/>
      <c r="L44" s="236"/>
      <c r="M44" s="236"/>
    </row>
    <row r="45" spans="2:13" x14ac:dyDescent="0.3">
      <c r="C45" s="236"/>
      <c r="D45" s="236"/>
      <c r="E45" s="244" t="s">
        <v>235</v>
      </c>
      <c r="F45" s="236"/>
      <c r="G45" s="236"/>
      <c r="H45" s="236"/>
      <c r="I45" s="236"/>
      <c r="J45" s="236"/>
      <c r="K45" s="236"/>
      <c r="L45" s="236"/>
      <c r="M45" s="2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02EEE1A51C47ABCF5F8A8FBFC833" ma:contentTypeVersion="9" ma:contentTypeDescription="Create a new document." ma:contentTypeScope="" ma:versionID="2c658c4c41a1eba90648740be45ab70f">
  <xsd:schema xmlns:xsd="http://www.w3.org/2001/XMLSchema" xmlns:xs="http://www.w3.org/2001/XMLSchema" xmlns:p="http://schemas.microsoft.com/office/2006/metadata/properties" xmlns:ns2="8db071c6-845f-4d0c-9be5-d55f83491acf" xmlns:ns3="78e5f743-7113-4a18-8b17-637bc9e21add" targetNamespace="http://schemas.microsoft.com/office/2006/metadata/properties" ma:root="true" ma:fieldsID="de45b0ebe355e707159f492dcafd0416" ns2:_="" ns3:_="">
    <xsd:import namespace="8db071c6-845f-4d0c-9be5-d55f83491acf"/>
    <xsd:import namespace="78e5f743-7113-4a18-8b17-637bc9e21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071c6-845f-4d0c-9be5-d55f83491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5f743-7113-4a18-8b17-637bc9e21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A85E6-DDDC-4A90-BF0D-97196B36D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071c6-845f-4d0c-9be5-d55f83491acf"/>
    <ds:schemaRef ds:uri="78e5f743-7113-4a18-8b17-637bc9e21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8D3A6-CBC7-4AC4-B77D-54EEDAE3A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F2D983-F713-413B-8DA8-0C87C89FEEAA}">
  <ds:schemaRefs>
    <ds:schemaRef ds:uri="8db071c6-845f-4d0c-9be5-d55f83491acf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78e5f743-7113-4a18-8b17-637bc9e21a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27</vt:i4>
      </vt:variant>
    </vt:vector>
  </HeadingPairs>
  <TitlesOfParts>
    <vt:vector size="35" baseType="lpstr">
      <vt:lpstr>Parameters</vt:lpstr>
      <vt:lpstr>Combined IFRS17 Cashflows</vt:lpstr>
      <vt:lpstr>Results Tables</vt:lpstr>
      <vt:lpstr>CAR Calcs</vt:lpstr>
      <vt:lpstr>IFRS 17 Income Statement</vt:lpstr>
      <vt:lpstr>Report Tables</vt:lpstr>
      <vt:lpstr>Appraisal Calcs - IFRS 17</vt:lpstr>
      <vt:lpstr>Pasted values</vt:lpstr>
      <vt:lpstr>Cash_Percent</vt:lpstr>
      <vt:lpstr>Commission_Percent</vt:lpstr>
      <vt:lpstr>Corporate_Tax_Rate</vt:lpstr>
      <vt:lpstr>Cost_of_Capital</vt:lpstr>
      <vt:lpstr>Credit_Factor</vt:lpstr>
      <vt:lpstr>Credit_Risk_Percent</vt:lpstr>
      <vt:lpstr>Deaths_Lapses_Period</vt:lpstr>
      <vt:lpstr>Discretionary_Loading</vt:lpstr>
      <vt:lpstr>Equities_Percent</vt:lpstr>
      <vt:lpstr>Equity_Stress</vt:lpstr>
      <vt:lpstr>Expense_Inflation</vt:lpstr>
      <vt:lpstr>Expense_Risk</vt:lpstr>
      <vt:lpstr>Fixed_Int_Sec_Percent</vt:lpstr>
      <vt:lpstr>Fixed_Int_Stress</vt:lpstr>
      <vt:lpstr>Income_Benefit_Amt</vt:lpstr>
      <vt:lpstr>Initial_Expense</vt:lpstr>
      <vt:lpstr>Initial_Project_Cost</vt:lpstr>
      <vt:lpstr>Investment_Return</vt:lpstr>
      <vt:lpstr>New_Business_Period</vt:lpstr>
      <vt:lpstr>Operational_Risk_Factor</vt:lpstr>
      <vt:lpstr>Prem_Miss</vt:lpstr>
      <vt:lpstr>Property_Percent</vt:lpstr>
      <vt:lpstr>Property_Stress</vt:lpstr>
      <vt:lpstr>Renewal_Expense</vt:lpstr>
      <vt:lpstr>Required_Return_On_CAR</vt:lpstr>
      <vt:lpstr>Risk_Discount_Rate</vt:lpstr>
      <vt:lpstr>Terminal_Expense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emadhume@mail.smu.edu</dc:creator>
  <cp:keywords/>
  <dc:description/>
  <cp:lastModifiedBy>Evidence Madhume</cp:lastModifiedBy>
  <cp:revision/>
  <dcterms:created xsi:type="dcterms:W3CDTF">2023-07-24T09:06:12Z</dcterms:created>
  <dcterms:modified xsi:type="dcterms:W3CDTF">2024-10-18T02:31:43Z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a4d758-6f56-43dd-bd60-078c6ffd0f9d_Enabled">
    <vt:lpwstr>true</vt:lpwstr>
  </property>
  <property fmtid="{D5CDD505-2E9C-101B-9397-08002B2CF9AE}" pid="3" name="MSIP_Label_43a4d758-6f56-43dd-bd60-078c6ffd0f9d_SetDate">
    <vt:lpwstr>2023-08-29T07:32:22Z</vt:lpwstr>
  </property>
  <property fmtid="{D5CDD505-2E9C-101B-9397-08002B2CF9AE}" pid="4" name="MSIP_Label_43a4d758-6f56-43dd-bd60-078c6ffd0f9d_Method">
    <vt:lpwstr>Privileged</vt:lpwstr>
  </property>
  <property fmtid="{D5CDD505-2E9C-101B-9397-08002B2CF9AE}" pid="5" name="MSIP_Label_43a4d758-6f56-43dd-bd60-078c6ffd0f9d_Name">
    <vt:lpwstr>Confidential</vt:lpwstr>
  </property>
  <property fmtid="{D5CDD505-2E9C-101B-9397-08002B2CF9AE}" pid="6" name="MSIP_Label_43a4d758-6f56-43dd-bd60-078c6ffd0f9d_SiteId">
    <vt:lpwstr>30f51673-ff88-423e-bee3-3b57203338e7</vt:lpwstr>
  </property>
  <property fmtid="{D5CDD505-2E9C-101B-9397-08002B2CF9AE}" pid="7" name="MSIP_Label_43a4d758-6f56-43dd-bd60-078c6ffd0f9d_ActionId">
    <vt:lpwstr>0eaa1202-a88e-4b3d-9769-e1f49c1408dd</vt:lpwstr>
  </property>
  <property fmtid="{D5CDD505-2E9C-101B-9397-08002B2CF9AE}" pid="8" name="MSIP_Label_43a4d758-6f56-43dd-bd60-078c6ffd0f9d_ContentBits">
    <vt:lpwstr>1</vt:lpwstr>
  </property>
  <property fmtid="{D5CDD505-2E9C-101B-9397-08002B2CF9AE}" pid="9" name="ContentTypeId">
    <vt:lpwstr>0x0101009D0202EEE1A51C47ABCF5F8A8FBFC833</vt:lpwstr>
  </property>
</Properties>
</file>