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ott_000\Documents\D&amp;D\"/>
    </mc:Choice>
  </mc:AlternateContent>
  <bookViews>
    <workbookView xWindow="0" yWindow="0" windowWidth="24000" windowHeight="9150"/>
  </bookViews>
  <sheets>
    <sheet name="Character Sheet" sheetId="1" r:id="rId1"/>
    <sheet name="Tables" sheetId="2" r:id="rId2"/>
    <sheet name="Dice Roller" sheetId="3" r:id="rId3"/>
  </sheets>
  <definedNames>
    <definedName name="ac">'Character Sheet'!$F$5</definedName>
    <definedName name="acro.prof">'Character Sheet'!$D$14</definedName>
    <definedName name="anim.prof">'Character Sheet'!$D$15</definedName>
    <definedName name="arca.prof">'Character Sheet'!$D$16</definedName>
    <definedName name="armor.list">armor.tbl[Armor]</definedName>
    <definedName name="athl.prof">'Character Sheet'!$D$17</definedName>
    <definedName name="cha.base">'Character Sheet'!$A$26</definedName>
    <definedName name="cha.bonus">'Character Sheet'!$A$25</definedName>
    <definedName name="cha.save">'Character Sheet'!$C$12</definedName>
    <definedName name="cha.save.prof">'Character Sheet'!$D$12</definedName>
    <definedName name="class">'Character Sheet'!$F$1</definedName>
    <definedName name="con.base">'Character Sheet'!$A$14</definedName>
    <definedName name="con.bonus">'Character Sheet'!$A$13</definedName>
    <definedName name="con.save">'Character Sheet'!$C$9</definedName>
    <definedName name="con.save.prof">'Character Sheet'!$D$9</definedName>
    <definedName name="cp">'Character Sheet'!$G$25</definedName>
    <definedName name="dece.prof">'Character Sheet'!$D$18</definedName>
    <definedName name="dex.base">'Character Sheet'!$A$10</definedName>
    <definedName name="dex.bonus">'Character Sheet'!$A$9</definedName>
    <definedName name="dex.save">'Character Sheet'!$C$8</definedName>
    <definedName name="dex.save.prof">'Character Sheet'!$D$8</definedName>
    <definedName name="dmg">'Character Sheet'!$G$8</definedName>
    <definedName name="ep">'Character Sheet'!$G$27</definedName>
    <definedName name="exp">'Character Sheet'!$L$2</definedName>
    <definedName name="gp">'Character Sheet'!$G$28</definedName>
    <definedName name="hist.prof">'Character Sheet'!$D$19</definedName>
    <definedName name="hp.curr">'Character Sheet'!$G$10</definedName>
    <definedName name="hp.max">'Character Sheet'!$G$7</definedName>
    <definedName name="hp.temp">'Character Sheet'!$G$9</definedName>
    <definedName name="initiative">'Character Sheet'!$G$5</definedName>
    <definedName name="insi.prof">'Character Sheet'!$D$20</definedName>
    <definedName name="int.base">'Character Sheet'!$A$18</definedName>
    <definedName name="int.bonus">'Character Sheet'!$A$17</definedName>
    <definedName name="int.pass">'Character Sheet'!$J$5</definedName>
    <definedName name="int.save">'Character Sheet'!$C$10</definedName>
    <definedName name="int.save.prof">'Character Sheet'!$D$10</definedName>
    <definedName name="inti.prof">'Character Sheet'!$D$21</definedName>
    <definedName name="inve.prof">'Character Sheet'!$D$22</definedName>
    <definedName name="level.monk">'Character Sheet'!$H$1</definedName>
    <definedName name="level.rogue">'Character Sheet'!$I$1</definedName>
    <definedName name="medi.prof">'Character Sheet'!$D$23</definedName>
    <definedName name="natu.prof">'Character Sheet'!$D$24</definedName>
    <definedName name="perc.prof">'Character Sheet'!$D$25</definedName>
    <definedName name="perf.prof">'Character Sheet'!$D$26</definedName>
    <definedName name="pers.prof">'Character Sheet'!$D$27</definedName>
    <definedName name="pp">'Character Sheet'!$G$29</definedName>
    <definedName name="prof.bonus">'Character Sheet'!$C$5</definedName>
    <definedName name="rel.prof">'Character Sheet'!$D$28</definedName>
    <definedName name="soh.prof">'Character Sheet'!$D$29</definedName>
    <definedName name="sp">'Character Sheet'!$G$26</definedName>
    <definedName name="speed">'Character Sheet'!$H$5</definedName>
    <definedName name="stea.prof">'Character Sheet'!$D$30</definedName>
    <definedName name="str.base">'Character Sheet'!$A$6</definedName>
    <definedName name="str.bonus">'Character Sheet'!$A$5</definedName>
    <definedName name="str.save">'Character Sheet'!$C$7</definedName>
    <definedName name="str.save.prof">'Character Sheet'!$D$7</definedName>
    <definedName name="surv.prof">'Character Sheet'!$D$31</definedName>
    <definedName name="weapon.list">weapon.tbl[Name]</definedName>
    <definedName name="wis.base">'Character Sheet'!$A$22</definedName>
    <definedName name="wis.bonus">'Character Sheet'!$A$21</definedName>
    <definedName name="wis.pass">'Character Sheet'!$I$5</definedName>
    <definedName name="wis.save">'Character Sheet'!$C$11</definedName>
    <definedName name="wis.save.prof">'Character Sheet'!$D$11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2" i="3"/>
  <c r="D2" i="3" s="1"/>
  <c r="B3" i="3"/>
  <c r="D3" i="3" s="1"/>
  <c r="F1" i="1" l="1"/>
  <c r="C5" i="1"/>
  <c r="G11" i="1"/>
  <c r="H5" i="1"/>
  <c r="B4" i="3" l="1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D22" i="3" l="1"/>
  <c r="B22" i="3"/>
  <c r="M21" i="1"/>
  <c r="G30" i="1"/>
  <c r="M15" i="1" l="1"/>
  <c r="M16" i="1"/>
  <c r="M17" i="1"/>
  <c r="J15" i="1"/>
  <c r="J16" i="1"/>
  <c r="J17" i="1"/>
  <c r="G15" i="1"/>
  <c r="G16" i="1"/>
  <c r="G17" i="1"/>
  <c r="L21" i="1"/>
  <c r="I21" i="1"/>
  <c r="G21" i="1"/>
  <c r="A5" i="1"/>
  <c r="A25" i="1"/>
  <c r="A21" i="1"/>
  <c r="A17" i="1"/>
  <c r="C28" i="1" s="1"/>
  <c r="A13" i="1"/>
  <c r="G7" i="1" s="1"/>
  <c r="A9" i="1"/>
  <c r="G5" i="1" l="1"/>
  <c r="I17" i="1"/>
  <c r="I16" i="1"/>
  <c r="I15" i="1"/>
  <c r="J5" i="1"/>
  <c r="I5" i="1"/>
  <c r="H16" i="1"/>
  <c r="H17" i="1"/>
  <c r="H15" i="1"/>
  <c r="H21" i="1"/>
  <c r="J21" i="1" s="1"/>
  <c r="C30" i="1"/>
  <c r="C16" i="1"/>
  <c r="C20" i="1"/>
  <c r="C29" i="1"/>
  <c r="C14" i="1"/>
  <c r="C18" i="1"/>
  <c r="C22" i="1"/>
  <c r="C26" i="1"/>
  <c r="C31" i="1"/>
  <c r="C15" i="1"/>
  <c r="C19" i="1"/>
  <c r="C23" i="1"/>
  <c r="C27" i="1"/>
  <c r="C24" i="1"/>
  <c r="C17" i="1"/>
  <c r="C21" i="1"/>
  <c r="C25" i="1"/>
  <c r="C9" i="1"/>
  <c r="G10" i="1" s="1"/>
  <c r="C10" i="1"/>
  <c r="C8" i="1"/>
  <c r="C12" i="1"/>
  <c r="C7" i="1"/>
  <c r="C11" i="1"/>
  <c r="J22" i="1" l="1"/>
  <c r="F5" i="1" s="1"/>
</calcChain>
</file>

<file path=xl/sharedStrings.xml><?xml version="1.0" encoding="utf-8"?>
<sst xmlns="http://schemas.openxmlformats.org/spreadsheetml/2006/main" count="449" uniqueCount="177">
  <si>
    <t>Strength</t>
  </si>
  <si>
    <t>Dexterity</t>
  </si>
  <si>
    <t>Constitution</t>
  </si>
  <si>
    <t>Intelligence</t>
  </si>
  <si>
    <t>Wisdom</t>
  </si>
  <si>
    <t>Charisma</t>
  </si>
  <si>
    <t>Name</t>
  </si>
  <si>
    <t>Inspiration</t>
  </si>
  <si>
    <t>Proficiency</t>
  </si>
  <si>
    <t>Level</t>
  </si>
  <si>
    <t>Armor Class</t>
  </si>
  <si>
    <t>Initiative</t>
  </si>
  <si>
    <t>Speed</t>
  </si>
  <si>
    <t>Damage</t>
  </si>
  <si>
    <t>Str</t>
  </si>
  <si>
    <t>Str Save</t>
  </si>
  <si>
    <t>Dex Save</t>
  </si>
  <si>
    <t>Con Save</t>
  </si>
  <si>
    <t>Int Save</t>
  </si>
  <si>
    <t>Wis Save</t>
  </si>
  <si>
    <t>Cha Save</t>
  </si>
  <si>
    <t>Max HP</t>
  </si>
  <si>
    <t>Temp HP</t>
  </si>
  <si>
    <t>Current HP</t>
  </si>
  <si>
    <t>XP</t>
  </si>
  <si>
    <t>Acrobatics</t>
  </si>
  <si>
    <t>Animal Handling</t>
  </si>
  <si>
    <t>Arcana</t>
  </si>
  <si>
    <t>Athletics</t>
  </si>
  <si>
    <t>Deception</t>
  </si>
  <si>
    <t>History</t>
  </si>
  <si>
    <t>Insight</t>
  </si>
  <si>
    <t>Intimidation</t>
  </si>
  <si>
    <t>Investigation</t>
  </si>
  <si>
    <t>Medicine</t>
  </si>
  <si>
    <t>Nature</t>
  </si>
  <si>
    <t>Perception</t>
  </si>
  <si>
    <t>Performance</t>
  </si>
  <si>
    <t>Persuasion</t>
  </si>
  <si>
    <t>Sleight of Hand</t>
  </si>
  <si>
    <t>Stealth</t>
  </si>
  <si>
    <t>Survival</t>
  </si>
  <si>
    <t>Hit Dice</t>
  </si>
  <si>
    <t>Weapons</t>
  </si>
  <si>
    <t>Dart</t>
  </si>
  <si>
    <t>Bonus</t>
  </si>
  <si>
    <t>Prof</t>
  </si>
  <si>
    <t>Magic</t>
  </si>
  <si>
    <t>Str?</t>
  </si>
  <si>
    <t>Passive Wis</t>
  </si>
  <si>
    <t>Passive Int</t>
  </si>
  <si>
    <t>Dmg Type</t>
  </si>
  <si>
    <t>Bludgeoning</t>
  </si>
  <si>
    <t>Piercing</t>
  </si>
  <si>
    <t>Shield</t>
  </si>
  <si>
    <t>Padded</t>
  </si>
  <si>
    <t>Dex</t>
  </si>
  <si>
    <t>Disadvantage</t>
  </si>
  <si>
    <t>Leather</t>
  </si>
  <si>
    <t>Hide</t>
  </si>
  <si>
    <t>Breastplate</t>
  </si>
  <si>
    <t>Splint</t>
  </si>
  <si>
    <t>Plate</t>
  </si>
  <si>
    <t>Chain Shirt</t>
  </si>
  <si>
    <t>Scale Mail</t>
  </si>
  <si>
    <t>Half Plate</t>
  </si>
  <si>
    <t>Ring Mail</t>
  </si>
  <si>
    <t>Chain Mail</t>
  </si>
  <si>
    <t>Studded Leather</t>
  </si>
  <si>
    <t>Armor</t>
  </si>
  <si>
    <t>AC</t>
  </si>
  <si>
    <t>Weight (lbs)</t>
  </si>
  <si>
    <t>Cost (gp)</t>
  </si>
  <si>
    <t>Dex Bonus</t>
  </si>
  <si>
    <t>Max Bonus</t>
  </si>
  <si>
    <t>Min Strength</t>
  </si>
  <si>
    <t>-</t>
  </si>
  <si>
    <t>Base AC</t>
  </si>
  <si>
    <t>Total AC</t>
  </si>
  <si>
    <t>Total</t>
  </si>
  <si>
    <t>Weight</t>
  </si>
  <si>
    <t>Club</t>
  </si>
  <si>
    <t>1d4</t>
  </si>
  <si>
    <t>Light</t>
  </si>
  <si>
    <t>Dagger</t>
  </si>
  <si>
    <t>Greatclub</t>
  </si>
  <si>
    <t>1d8</t>
  </si>
  <si>
    <t>Handaxe</t>
  </si>
  <si>
    <t>1d6</t>
  </si>
  <si>
    <t>Thrown</t>
  </si>
  <si>
    <t>Mace</t>
  </si>
  <si>
    <t>Quarterstaff</t>
  </si>
  <si>
    <t>Versatile</t>
  </si>
  <si>
    <t>Sickle</t>
  </si>
  <si>
    <t>Spear</t>
  </si>
  <si>
    <t>Ammunition</t>
  </si>
  <si>
    <t>Shortbow</t>
  </si>
  <si>
    <t>Sling</t>
  </si>
  <si>
    <t>Battleaxe</t>
  </si>
  <si>
    <t>Flail</t>
  </si>
  <si>
    <t>Glaive</t>
  </si>
  <si>
    <t>1d10</t>
  </si>
  <si>
    <t>Greataxe</t>
  </si>
  <si>
    <t>1d12</t>
  </si>
  <si>
    <t>Greatsword</t>
  </si>
  <si>
    <t>2d6</t>
  </si>
  <si>
    <t>Halberd</t>
  </si>
  <si>
    <t>Lance</t>
  </si>
  <si>
    <t>Longsword</t>
  </si>
  <si>
    <t>Maul</t>
  </si>
  <si>
    <t>Morningstar</t>
  </si>
  <si>
    <t>Pike</t>
  </si>
  <si>
    <t>Rapier</t>
  </si>
  <si>
    <t>Finesse</t>
  </si>
  <si>
    <t>Scimitar</t>
  </si>
  <si>
    <t>Shortsword</t>
  </si>
  <si>
    <t>Trident</t>
  </si>
  <si>
    <t>Warhammer</t>
  </si>
  <si>
    <t>Whip</t>
  </si>
  <si>
    <t>Blowgun</t>
  </si>
  <si>
    <t>Longbow</t>
  </si>
  <si>
    <t>Net</t>
  </si>
  <si>
    <t>Light Hammer</t>
  </si>
  <si>
    <t>Unarmed Strike</t>
  </si>
  <si>
    <t>Crossbow, Light</t>
  </si>
  <si>
    <t>War Pick</t>
  </si>
  <si>
    <t>Crossbow, Hand</t>
  </si>
  <si>
    <t>Crossbow, Heavy</t>
  </si>
  <si>
    <t>Javelin</t>
  </si>
  <si>
    <t>Damage Type</t>
  </si>
  <si>
    <t>Heavy</t>
  </si>
  <si>
    <t>Type</t>
  </si>
  <si>
    <t>Simple Melee Weapons</t>
  </si>
  <si>
    <t>Martial Melee Weapons</t>
  </si>
  <si>
    <t>Simple Ranged Weapons</t>
  </si>
  <si>
    <t>Martial Ranged Weapons</t>
  </si>
  <si>
    <t>Handedness</t>
  </si>
  <si>
    <t>Two-Handed</t>
  </si>
  <si>
    <t>One-Handed</t>
  </si>
  <si>
    <t>Fist</t>
  </si>
  <si>
    <t>Special</t>
  </si>
  <si>
    <t>Range</t>
  </si>
  <si>
    <t>20/60</t>
  </si>
  <si>
    <t>30/120</t>
  </si>
  <si>
    <t>80/320</t>
  </si>
  <si>
    <t>Reach</t>
  </si>
  <si>
    <t>25/100</t>
  </si>
  <si>
    <t>100/400</t>
  </si>
  <si>
    <t>150/600</t>
  </si>
  <si>
    <t>Ammo</t>
  </si>
  <si>
    <t>Loading</t>
  </si>
  <si>
    <t>Str/Dex</t>
  </si>
  <si>
    <t>5/15</t>
  </si>
  <si>
    <t>1d6(1d8)</t>
  </si>
  <si>
    <t>1d8(1d10)</t>
  </si>
  <si>
    <t>Slashing</t>
  </si>
  <si>
    <t>Medium</t>
  </si>
  <si>
    <t>Chaotic Neutral</t>
  </si>
  <si>
    <t>Scott Graham</t>
  </si>
  <si>
    <t>Monk Weapon</t>
  </si>
  <si>
    <t>Urchin</t>
  </si>
  <si>
    <t>Death Saves</t>
  </si>
  <si>
    <t>Successes</t>
  </si>
  <si>
    <t>Failures</t>
  </si>
  <si>
    <t>Money</t>
  </si>
  <si>
    <t>cp</t>
  </si>
  <si>
    <t>sp</t>
  </si>
  <si>
    <t>ep</t>
  </si>
  <si>
    <t>gp</t>
  </si>
  <si>
    <t>pp</t>
  </si>
  <si>
    <t>Unarmored</t>
  </si>
  <si>
    <t>Rolls</t>
  </si>
  <si>
    <t>1d20</t>
  </si>
  <si>
    <t>Elf</t>
  </si>
  <si>
    <t>Joraga Nation</t>
  </si>
  <si>
    <t>Religion</t>
  </si>
  <si>
    <t>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</si>
</sst>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\+#,##0;\-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43" fontId="1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0" fillId="0" borderId="0" xfId="1" applyNumberFormat="1" applyFont="1" applyAlignmen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4">
    <dxf>
      <numFmt numFmtId="164" formatCode="_-* #,##0_-;\-* #,##0_-;_-* &quot;-&quot;??_-;_-@_-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color rgb="FFFF0000"/>
      </font>
    </dxf>
    <dxf>
      <numFmt numFmtId="165" formatCode="\+#,##0;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#,##0;\-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#,##0;\-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</font>
      <border diagonalUp="1" diagonalDown="1">
        <left style="thick">
          <color auto="1"/>
        </left>
        <right style="thick">
          <color auto="1"/>
        </right>
        <top/>
        <bottom style="thick">
          <color auto="1"/>
        </bottom>
        <diagonal style="thick">
          <color auto="1"/>
        </diagon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/>
        <horizontal style="thin">
          <color auto="1"/>
        </horizontal>
      </border>
    </dxf>
  </dxfs>
  <tableStyles count="1" defaultTableStyle="TableStyleMedium2" defaultPivotStyle="PivotStyleLight16">
    <tableStyle name="Character Sheet Equipment" pivot="0" count="3">
      <tableStyleElement type="wholeTable" dxfId="83"/>
      <tableStyleElement type="headerRow" dxfId="82"/>
      <tableStyleElement type="totalRow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314325</xdr:colOff>
          <xdr:row>4</xdr:row>
          <xdr:rowOff>0</xdr:rowOff>
        </xdr:to>
        <xdr:sp macro="" textlink="">
          <xdr:nvSpPr>
            <xdr:cNvPr id="1040" name="CheckBox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Box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3" name="CheckBox3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044" name="CheckBox4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5" name="CheckBox5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6" name="CheckBox6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047" name="CheckBox7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chrsht.weapon.tbl" displayName="chrsht.weapon.tbl" ref="F14:M17" totalsRowShown="0" headerRowDxfId="80" dataDxfId="78" headerRowBorderDxfId="79">
  <tableColumns count="8">
    <tableColumn id="1" name="Name" dataDxfId="77"/>
    <tableColumn id="9" name="Handedness" dataDxfId="76">
      <calculatedColumnFormula>INDEX(weapon.tbl[Handedness],MATCH(chrsht.weapon.tbl[[#This Row],[Name]],weapon.tbl[Name],0))</calculatedColumnFormula>
    </tableColumn>
    <tableColumn id="2" name="Bonus" dataDxfId="75">
      <calculatedColumnFormula>chrsht.weapon.tbl[[#This Row],[Str?]]*str.bonus+(1-chrsht.weapon.tbl[[#This Row],[Str?]])*dex.bonus+chrsht.weapon.tbl[[#This Row],[Prof]]*prof.bonus+chrsht.weapon.tbl[[#This Row],[Magic]]</calculatedColumnFormula>
    </tableColumn>
    <tableColumn id="3" name="Damage" dataDxfId="74">
      <calculatedColumnFormula>_xlfn.CONCAT(INDEX(weapon.tbl[Damage],MATCH(chrsht.weapon.tbl[[#This Row],[Name]],weapon.tbl[Name],0)),
"+",
chrsht.weapon.tbl[[#This Row],[Str?]]*str.bonus+(1-chrsht.weapon.tbl[[#This Row],[Str?]])*dex.bonus+chrsht.weapon.tbl[[#This Row],[Magic]])</calculatedColumnFormula>
    </tableColumn>
    <tableColumn id="7" name="Dmg Type" dataDxfId="73">
      <calculatedColumnFormula>INDEX(weapon.tbl[Damage Type],MATCH(chrsht.weapon.tbl[[#This Row],[Name]],weapon.tbl[Name],0))</calculatedColumnFormula>
    </tableColumn>
    <tableColumn id="4" name="Prof" dataDxfId="72"/>
    <tableColumn id="5" name="Magic" dataDxfId="71"/>
    <tableColumn id="6" name="Str?" dataDxfId="70">
      <calculatedColumnFormula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calculatedColumnFormula>
    </tableColumn>
  </tableColumns>
  <tableStyleInfo name="Character Sheet Equipment" showFirstColumn="0" showLastColumn="0" showRowStripes="0" showColumnStripes="0"/>
</table>
</file>

<file path=xl/tables/table2.xml><?xml version="1.0" encoding="utf-8"?>
<table xmlns="http://schemas.openxmlformats.org/spreadsheetml/2006/main" id="4" name="chrsht.armor.tbl" displayName="chrsht.armor.tbl" ref="F20:M22" totalsRowCount="1" headerRowDxfId="69" dataDxfId="46" totalsRowDxfId="67" tableBorderDxfId="68">
  <tableColumns count="8">
    <tableColumn id="1" name="Name" totalsRowLabel="Total" dataDxfId="54" totalsRowDxfId="13"/>
    <tableColumn id="2" name="Base AC" dataDxfId="53" totalsRowDxfId="12" dataCellStyle="Comma">
      <calculatedColumnFormula>INDEX(armor.tbl[AC],MATCH(chrsht.armor.tbl[[#This Row],[Name]],armor.tbl[Armor],0))</calculatedColumnFormula>
    </tableColumn>
    <tableColumn id="3" name="Dex Bonus" dataDxfId="52" totalsRowDxfId="11" dataCellStyle="Comma">
      <calculatedColumnFormula>INDEX(armor.tbl[Dex Bonus],MATCH(chrsht.armor.tbl[[#This Row],[Name]],armor.tbl[Armor],0))*MIN(dex.bonus,chrsht.armor.tbl[[#This Row],[Max Bonus]])</calculatedColumnFormula>
    </tableColumn>
    <tableColumn id="4" name="Max Bonus" dataDxfId="51" totalsRowDxfId="10" dataCellStyle="Comma">
      <calculatedColumnFormula>INDEX(armor.tbl[Max Bonus],MATCH(chrsht.armor.tbl[[#This Row],[Name]],armor.tbl[Armor],0))</calculatedColumnFormula>
    </tableColumn>
    <tableColumn id="7" name="Total AC" totalsRowFunction="sum" dataDxfId="50" totalsRowDxfId="9" dataCellStyle="Comma">
      <calculatedColumnFormula>chrsht.armor.tbl[[#This Row],[Base AC]]+chrsht.armor.tbl[[#This Row],[Dex Bonus]]</calculatedColumnFormula>
    </tableColumn>
    <tableColumn id="5" name="Proficiency" dataDxfId="49" totalsRowDxfId="8" dataCellStyle="Comma"/>
    <tableColumn id="6" name="Min Strength" dataDxfId="48" totalsRowDxfId="7" dataCellStyle="Comma">
      <calculatedColumnFormula>INDEX(armor.tbl[Min Strength],MATCH(chrsht.armor.tbl[[#This Row],[Name]],armor.tbl[Armor],0))</calculatedColumnFormula>
    </tableColumn>
    <tableColumn id="8" name="Stealth" dataDxfId="47" totalsRowDxfId="6" dataCellStyle="Comma">
      <calculatedColumnFormula>INDEX(armor.tbl[Stealth],MATCH(chrsht.armor.tbl[[#This Row],[Name]],armor.tbl[Armor],0))</calculatedColumnFormula>
    </tableColumn>
  </tableColumns>
  <tableStyleInfo name="Character Sheet Equipment" showFirstColumn="0" showLastColumn="0" showRowStripes="0" showColumnStripes="0"/>
</table>
</file>

<file path=xl/tables/table3.xml><?xml version="1.0" encoding="utf-8"?>
<table xmlns="http://schemas.openxmlformats.org/spreadsheetml/2006/main" id="6" name="Table6" displayName="Table6" ref="F25:G30" headerRowCount="0" totalsRowCount="1" headerRowDxfId="66" dataDxfId="64" totalsRowDxfId="62" headerRowBorderDxfId="65" tableBorderDxfId="63">
  <tableColumns count="2">
    <tableColumn id="1" name="Column1" totalsRowLabel="Total" headerRowDxfId="61" dataDxfId="60" totalsRowDxfId="59"/>
    <tableColumn id="2" name="Column2" totalsRowFunction="custom" headerRowDxfId="58" dataDxfId="57" totalsRowDxfId="56" headerRowCellStyle="Comma" dataCellStyle="Comma">
      <totalsRowFormula>0.01*cp+0.1*sp+0.5*ep+1*gp+10*pp</totalsRowFormula>
    </tableColumn>
  </tableColumns>
  <tableStyleInfo name="Character Sheet Equipment" showFirstColumn="0" showLastColumn="0" showRowStripes="0" showColumnStripes="0"/>
</table>
</file>

<file path=xl/tables/table4.xml><?xml version="1.0" encoding="utf-8"?>
<table xmlns="http://schemas.openxmlformats.org/spreadsheetml/2006/main" id="1" name="level.tbl" displayName="level.tbl" ref="A1:B21" totalsRowShown="0" headerRowDxfId="43" dataDxfId="42">
  <autoFilter ref="A1:B21"/>
  <tableColumns count="2">
    <tableColumn id="1" name="Level" dataDxfId="45"/>
    <tableColumn id="2" name="XP" dataDxfId="44" dataCellStyle="Comma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3" name="armor.tbl" displayName="armor.tbl" ref="D1:L15" totalsRowShown="0" headerRowDxfId="32" dataDxfId="31">
  <autoFilter ref="D1:L15"/>
  <tableColumns count="9">
    <tableColumn id="1" name="Armor" dataDxfId="41"/>
    <tableColumn id="2" name="Cost (gp)" dataDxfId="40"/>
    <tableColumn id="3" name="AC" dataDxfId="39"/>
    <tableColumn id="4" name="Dex Bonus" dataDxfId="38"/>
    <tableColumn id="5" name="Max Bonus" dataDxfId="37"/>
    <tableColumn id="6" name="Min Strength" dataDxfId="36"/>
    <tableColumn id="7" name="Weight" dataDxfId="35"/>
    <tableColumn id="8" name="Stealth" dataDxfId="34"/>
    <tableColumn id="9" name="Weight (lbs)" dataDxfId="33" dataCellStyle="Comma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id="5" name="weapon.tbl" displayName="weapon.tbl" ref="D17:P55" totalsRowShown="0" headerRowDxfId="17" dataDxfId="16">
  <autoFilter ref="D17:P55"/>
  <tableColumns count="13">
    <tableColumn id="1" name="Name" dataDxfId="30"/>
    <tableColumn id="2" name="Cost (gp)" dataDxfId="29"/>
    <tableColumn id="3" name="Damage" dataDxfId="28"/>
    <tableColumn id="4" name="Damage Type" dataDxfId="27"/>
    <tableColumn id="5" name="Weight (lbs)" dataDxfId="26"/>
    <tableColumn id="6" name="Type" dataDxfId="25"/>
    <tableColumn id="7" name="Weight" dataDxfId="24"/>
    <tableColumn id="8" name="Handedness" dataDxfId="23"/>
    <tableColumn id="9" name="Range" dataDxfId="22"/>
    <tableColumn id="10" name="Ammo" dataDxfId="21"/>
    <tableColumn id="11" name="Loading" dataDxfId="20"/>
    <tableColumn id="12" name="Str/Dex" dataDxfId="19"/>
    <tableColumn id="13" name="Monk Weapon" dataDxfId="18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id="7" name="Table7" displayName="Table7" ref="A1:D22" totalsRowCount="1" dataDxfId="55" dataCellStyle="Comma">
  <autoFilter ref="A1:D21"/>
  <tableColumns count="4">
    <tableColumn id="1" name="1d20" totalsRowLabel="Total" dataDxfId="15" totalsRowDxfId="2" dataCellStyle="Comma"/>
    <tableColumn id="2" name="Rolls" totalsRowFunction="sum" dataDxfId="14" totalsRowDxfId="1" dataCellStyle="Comma">
      <calculatedColumnFormula>IF(Table7[[#This Row],[1d20]]&lt;=_xlfn.NUMBERVALUE(LEFT(Table7[[#Headers],[1d20]],FIND("d",Table7[[#Headers],[1d20]])-1)),
RANDBETWEEN(1,MID(Table7[[#Headers],[1d20]],FIND("d",Table7[[#Headers],[1d20]])+1,LEN(Table7[[#Headers],[1d20]]))),
0)</calculatedColumnFormula>
    </tableColumn>
    <tableColumn id="3" name="+9" dataDxfId="5" dataCellStyle="Comma">
      <calculatedColumnFormula>Table7[[#Headers],[+9]]</calculatedColumnFormula>
    </tableColumn>
    <tableColumn id="5" name="Total" totalsRowFunction="sum" dataDxfId="3" totalsRowDxfId="0" dataCellStyle="Comma">
      <calculatedColumnFormula>Table7[[#This Row],[Rolls]]+IF(Table7[[#This Row],[Rolls]]&gt;0,Table7[[#This Row],[+9]],0)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table" Target="../tables/table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31"/>
  <sheetViews>
    <sheetView showGridLines="0" tabSelected="1" workbookViewId="0">
      <selection activeCell="C22" sqref="C22"/>
    </sheetView>
  </sheetViews>
  <sheetFormatPr defaultRowHeight="14.25" x14ac:dyDescent="0.45"/>
  <cols>
    <col min="1" max="1" width="10.3984375" style="2" bestFit="1" customWidth="1"/>
    <col min="2" max="2" width="13.796875" style="2" bestFit="1" customWidth="1"/>
    <col min="3" max="3" width="7.53125" style="2" bestFit="1" customWidth="1"/>
    <col min="4" max="4" width="1.73046875" style="2" customWidth="1"/>
    <col min="5" max="5" width="1.73046875" style="26" customWidth="1"/>
    <col min="6" max="6" width="13.06640625" style="2" bestFit="1" customWidth="1"/>
    <col min="7" max="7" width="12.1328125" style="2" customWidth="1"/>
    <col min="8" max="8" width="9" style="2" bestFit="1" customWidth="1"/>
    <col min="9" max="9" width="10.86328125" style="2" bestFit="1" customWidth="1"/>
    <col min="10" max="10" width="10.53125" style="2" bestFit="1" customWidth="1"/>
    <col min="11" max="11" width="9.33203125" style="2" bestFit="1" customWidth="1"/>
    <col min="12" max="12" width="11.06640625" style="2" bestFit="1" customWidth="1"/>
    <col min="13" max="13" width="11.33203125" style="2" bestFit="1" customWidth="1"/>
    <col min="14" max="16384" width="9.06640625" style="2"/>
  </cols>
  <sheetData>
    <row r="1" spans="1:13" x14ac:dyDescent="0.45">
      <c r="A1" s="62"/>
      <c r="B1" s="63"/>
      <c r="C1" s="63"/>
      <c r="D1" s="64"/>
      <c r="F1" s="58" t="str">
        <f>_xlfn.CONCAT("Shadow Monk - ",level.monk," / Assassin - ",level.rogue)</f>
        <v>Shadow Monk - 6 / Assassin - 1</v>
      </c>
      <c r="G1" s="59"/>
      <c r="H1" s="54">
        <v>6</v>
      </c>
      <c r="I1" s="53">
        <v>1</v>
      </c>
      <c r="J1" s="76" t="s">
        <v>160</v>
      </c>
      <c r="K1" s="59"/>
      <c r="L1" s="76" t="s">
        <v>158</v>
      </c>
      <c r="M1" s="69"/>
    </row>
    <row r="2" spans="1:13" ht="14.65" thickBot="1" x14ac:dyDescent="0.5">
      <c r="A2" s="65"/>
      <c r="B2" s="66"/>
      <c r="C2" s="66"/>
      <c r="D2" s="67"/>
      <c r="F2" s="75" t="s">
        <v>173</v>
      </c>
      <c r="G2" s="61"/>
      <c r="H2" s="60" t="s">
        <v>174</v>
      </c>
      <c r="I2" s="61"/>
      <c r="J2" s="60" t="s">
        <v>157</v>
      </c>
      <c r="K2" s="61"/>
      <c r="L2" s="77">
        <v>23000</v>
      </c>
      <c r="M2" s="78"/>
    </row>
    <row r="3" spans="1:13" ht="14.65" thickBot="1" x14ac:dyDescent="0.5"/>
    <row r="4" spans="1:13" ht="15" customHeight="1" thickBot="1" x14ac:dyDescent="0.5">
      <c r="A4" s="28" t="s">
        <v>0</v>
      </c>
      <c r="B4" s="3" t="s">
        <v>7</v>
      </c>
      <c r="C4" s="56"/>
      <c r="D4" s="57"/>
      <c r="F4" s="4" t="s">
        <v>10</v>
      </c>
      <c r="G4" s="5" t="s">
        <v>11</v>
      </c>
      <c r="H4" s="5" t="s">
        <v>12</v>
      </c>
      <c r="I4" s="5" t="s">
        <v>49</v>
      </c>
      <c r="J4" s="6" t="s">
        <v>50</v>
      </c>
    </row>
    <row r="5" spans="1:13" ht="14.65" thickBot="1" x14ac:dyDescent="0.5">
      <c r="A5" s="30">
        <f>_xlfn.FLOOR.MATH((str.base-10)/2)</f>
        <v>1</v>
      </c>
      <c r="B5" s="3" t="s">
        <v>8</v>
      </c>
      <c r="C5" s="73">
        <f>_xlfn.FLOOR.MATH((level.monk+level.rogue-1)/4)+2</f>
        <v>3</v>
      </c>
      <c r="D5" s="74"/>
      <c r="F5" s="7">
        <f>MAX(10+dex.bonus+wis.bonus,chrsht.armor.tbl[[#Totals],[Total AC]])</f>
        <v>16</v>
      </c>
      <c r="G5" s="8">
        <f>dex.bonus</f>
        <v>4</v>
      </c>
      <c r="H5" s="47">
        <f>35+IF(level.monk&gt;1,_xlfn.FLOOR.MATH((level.monk-2)/4)+2,0)*5</f>
        <v>50</v>
      </c>
      <c r="I5" s="47">
        <f>10+wis.bonus+perc.prof*prof.bonus</f>
        <v>18</v>
      </c>
      <c r="J5" s="9">
        <f>10+int.bonus+inve.prof*prof.bonus</f>
        <v>9</v>
      </c>
    </row>
    <row r="6" spans="1:13" ht="14.65" thickBot="1" x14ac:dyDescent="0.5">
      <c r="A6" s="29">
        <v>12</v>
      </c>
    </row>
    <row r="7" spans="1:13" ht="14.65" thickBot="1" x14ac:dyDescent="0.5">
      <c r="B7" s="12" t="s">
        <v>15</v>
      </c>
      <c r="C7" s="10">
        <f>str.bonus+str.save.prof*prof.bonus</f>
        <v>1</v>
      </c>
      <c r="D7" s="11">
        <v>0</v>
      </c>
      <c r="F7" s="12" t="s">
        <v>21</v>
      </c>
      <c r="G7" s="11">
        <f>(8+con.bonus)+(5+con.bonus)*(level.monk+level.rogue-1)</f>
        <v>52</v>
      </c>
      <c r="I7" s="58" t="s">
        <v>161</v>
      </c>
      <c r="J7" s="68"/>
      <c r="K7" s="68"/>
      <c r="L7" s="69"/>
    </row>
    <row r="8" spans="1:13" x14ac:dyDescent="0.45">
      <c r="A8" s="28" t="s">
        <v>1</v>
      </c>
      <c r="B8" s="15" t="s">
        <v>16</v>
      </c>
      <c r="C8" s="13">
        <f>dex.bonus+dex.save.prof*prof.bonus</f>
        <v>7</v>
      </c>
      <c r="D8" s="14">
        <v>1</v>
      </c>
      <c r="F8" s="15" t="s">
        <v>13</v>
      </c>
      <c r="G8" s="14">
        <v>0</v>
      </c>
      <c r="I8" s="39" t="s">
        <v>162</v>
      </c>
      <c r="J8" s="38"/>
      <c r="K8" s="38"/>
      <c r="L8" s="46"/>
    </row>
    <row r="9" spans="1:13" ht="14.65" thickBot="1" x14ac:dyDescent="0.5">
      <c r="A9" s="30">
        <f>_xlfn.FLOOR.MATH((dex.base-10)/2)</f>
        <v>4</v>
      </c>
      <c r="B9" s="15" t="s">
        <v>17</v>
      </c>
      <c r="C9" s="13">
        <f>con.bonus+con.save.prof*prof.bonus</f>
        <v>2</v>
      </c>
      <c r="D9" s="14">
        <v>0</v>
      </c>
      <c r="F9" s="16" t="s">
        <v>22</v>
      </c>
      <c r="G9" s="14">
        <v>0</v>
      </c>
      <c r="I9" s="43" t="s">
        <v>163</v>
      </c>
      <c r="J9" s="44"/>
      <c r="K9" s="44"/>
      <c r="L9" s="45"/>
    </row>
    <row r="10" spans="1:13" ht="14.65" thickBot="1" x14ac:dyDescent="0.5">
      <c r="A10" s="29">
        <v>18</v>
      </c>
      <c r="B10" s="15" t="s">
        <v>18</v>
      </c>
      <c r="C10" s="13">
        <f>int.bonus+int.save.prof*prof.bonus</f>
        <v>2</v>
      </c>
      <c r="D10" s="14">
        <v>1</v>
      </c>
      <c r="F10" s="17" t="s">
        <v>23</v>
      </c>
      <c r="G10" s="18">
        <f>hp.max-dmg+hp.temp</f>
        <v>52</v>
      </c>
    </row>
    <row r="11" spans="1:13" ht="14.65" thickBot="1" x14ac:dyDescent="0.5">
      <c r="B11" s="15" t="s">
        <v>19</v>
      </c>
      <c r="C11" s="13">
        <f>wis.bonus+wis.save.prof*prof.bonus</f>
        <v>2</v>
      </c>
      <c r="D11" s="14">
        <v>0</v>
      </c>
      <c r="F11" s="19" t="s">
        <v>42</v>
      </c>
      <c r="G11" s="42" t="str">
        <f>_xlfn.CONCAT(level.monk,"d8","+",level.rogue,"d8")</f>
        <v>6d8+1d8</v>
      </c>
    </row>
    <row r="12" spans="1:13" ht="14.65" thickBot="1" x14ac:dyDescent="0.5">
      <c r="A12" s="28" t="s">
        <v>2</v>
      </c>
      <c r="B12" s="17" t="s">
        <v>20</v>
      </c>
      <c r="C12" s="20">
        <f>cha.bonus+cha.save.prof*prof.bonus</f>
        <v>0</v>
      </c>
      <c r="D12" s="18">
        <v>0</v>
      </c>
    </row>
    <row r="13" spans="1:13" ht="14.65" thickBot="1" x14ac:dyDescent="0.5">
      <c r="A13" s="30">
        <f>_xlfn.FLOOR.MATH((con.base-10)/2)</f>
        <v>2</v>
      </c>
      <c r="F13" s="70" t="s">
        <v>43</v>
      </c>
      <c r="G13" s="71"/>
      <c r="H13" s="71"/>
      <c r="I13" s="71"/>
      <c r="J13" s="71"/>
      <c r="K13" s="71"/>
      <c r="L13" s="71"/>
      <c r="M13" s="72"/>
    </row>
    <row r="14" spans="1:13" ht="14.65" thickBot="1" x14ac:dyDescent="0.5">
      <c r="A14" s="29">
        <v>14</v>
      </c>
      <c r="B14" s="27" t="s">
        <v>25</v>
      </c>
      <c r="C14" s="10">
        <f>dex.bonus+acro.prof*prof.bonus</f>
        <v>7</v>
      </c>
      <c r="D14" s="11">
        <v>1</v>
      </c>
      <c r="F14" s="31" t="s">
        <v>6</v>
      </c>
      <c r="G14" s="25" t="s">
        <v>136</v>
      </c>
      <c r="H14" s="25" t="s">
        <v>45</v>
      </c>
      <c r="I14" s="25" t="s">
        <v>13</v>
      </c>
      <c r="J14" s="25" t="s">
        <v>51</v>
      </c>
      <c r="K14" s="25" t="s">
        <v>46</v>
      </c>
      <c r="L14" s="25" t="s">
        <v>47</v>
      </c>
      <c r="M14" s="32" t="s">
        <v>48</v>
      </c>
    </row>
    <row r="15" spans="1:13" ht="14.65" thickBot="1" x14ac:dyDescent="0.5">
      <c r="B15" s="16" t="s">
        <v>26</v>
      </c>
      <c r="C15" s="13">
        <f>wis.bonus+anim.prof*prof.bonus</f>
        <v>2</v>
      </c>
      <c r="D15" s="14">
        <v>0</v>
      </c>
      <c r="F15" s="31" t="s">
        <v>123</v>
      </c>
      <c r="G15" s="25" t="str">
        <f>INDEX(weapon.tbl[Handedness],MATCH(chrsht.weapon.tbl[[#This Row],[Name]],weapon.tbl[Name],0))</f>
        <v>Fist</v>
      </c>
      <c r="H15" s="40">
        <f>chrsht.weapon.tbl[[#This Row],[Str?]]*str.bonus+(1-chrsht.weapon.tbl[[#This Row],[Str?]])*dex.bonus+chrsht.weapon.tbl[[#This Row],[Prof]]*prof.bonus+chrsht.weapon.tbl[[#This Row],[Magic]]</f>
        <v>7</v>
      </c>
      <c r="I15" s="25" t="str">
        <f>_xlfn.CONCAT(INDEX(weapon.tbl[Damage],MATCH(chrsht.weapon.tbl[[#This Row],[Name]],weapon.tbl[Name],0)),
"+",
chrsht.weapon.tbl[[#This Row],[Str?]]*str.bonus+(1-chrsht.weapon.tbl[[#This Row],[Str?]])*dex.bonus+chrsht.weapon.tbl[[#This Row],[Magic]])</f>
        <v>1d6+4</v>
      </c>
      <c r="J15" s="25" t="str">
        <f>INDEX(weapon.tbl[Damage Type],MATCH(chrsht.weapon.tbl[[#This Row],[Name]],weapon.tbl[Name],0))</f>
        <v>Bludgeoning</v>
      </c>
      <c r="K15" s="25">
        <v>1</v>
      </c>
      <c r="L15" s="40">
        <v>0</v>
      </c>
      <c r="M15" s="32">
        <f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f>
        <v>0</v>
      </c>
    </row>
    <row r="16" spans="1:13" x14ac:dyDescent="0.45">
      <c r="A16" s="28" t="s">
        <v>3</v>
      </c>
      <c r="B16" s="16" t="s">
        <v>27</v>
      </c>
      <c r="C16" s="13">
        <f>int.bonus+arca.prof*prof.bonus</f>
        <v>-1</v>
      </c>
      <c r="D16" s="14">
        <v>0</v>
      </c>
      <c r="F16" s="31" t="s">
        <v>84</v>
      </c>
      <c r="G16" s="25" t="str">
        <f>INDEX(weapon.tbl[Handedness],MATCH(chrsht.weapon.tbl[[#This Row],[Name]],weapon.tbl[Name],0))</f>
        <v>One-Handed</v>
      </c>
      <c r="H16" s="40">
        <f>chrsht.weapon.tbl[[#This Row],[Str?]]*str.bonus+(1-chrsht.weapon.tbl[[#This Row],[Str?]])*dex.bonus+chrsht.weapon.tbl[[#This Row],[Prof]]*prof.bonus+chrsht.weapon.tbl[[#This Row],[Magic]]</f>
        <v>7</v>
      </c>
      <c r="I16" s="25" t="str">
        <f>_xlfn.CONCAT(INDEX(weapon.tbl[Damage],MATCH(chrsht.weapon.tbl[[#This Row],[Name]],weapon.tbl[Name],0)),
"+",
chrsht.weapon.tbl[[#This Row],[Str?]]*str.bonus+(1-chrsht.weapon.tbl[[#This Row],[Str?]])*dex.bonus+chrsht.weapon.tbl[[#This Row],[Magic]])</f>
        <v>1d4+4</v>
      </c>
      <c r="J16" s="25" t="str">
        <f>INDEX(weapon.tbl[Damage Type],MATCH(chrsht.weapon.tbl[[#This Row],[Name]],weapon.tbl[Name],0))</f>
        <v>Piercing</v>
      </c>
      <c r="K16" s="25">
        <v>1</v>
      </c>
      <c r="L16" s="40">
        <v>0</v>
      </c>
      <c r="M16" s="32">
        <f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f>
        <v>0</v>
      </c>
    </row>
    <row r="17" spans="1:13" ht="14.65" thickBot="1" x14ac:dyDescent="0.5">
      <c r="A17" s="30">
        <f>_xlfn.FLOOR.MATH((int.base-10)/2)</f>
        <v>-1</v>
      </c>
      <c r="B17" s="16" t="s">
        <v>28</v>
      </c>
      <c r="C17" s="13">
        <f>str.bonus+athl.prof*prof.bonus</f>
        <v>1</v>
      </c>
      <c r="D17" s="14">
        <v>0</v>
      </c>
      <c r="F17" s="21" t="s">
        <v>126</v>
      </c>
      <c r="G17" s="22" t="str">
        <f>INDEX(weapon.tbl[Handedness],MATCH(chrsht.weapon.tbl[[#This Row],[Name]],weapon.tbl[Name],0))</f>
        <v>One-Handed</v>
      </c>
      <c r="H17" s="41">
        <f>chrsht.weapon.tbl[[#This Row],[Str?]]*str.bonus+(1-chrsht.weapon.tbl[[#This Row],[Str?]])*dex.bonus+chrsht.weapon.tbl[[#This Row],[Prof]]*prof.bonus+chrsht.weapon.tbl[[#This Row],[Magic]]</f>
        <v>7</v>
      </c>
      <c r="I17" s="22" t="str">
        <f>_xlfn.CONCAT(INDEX(weapon.tbl[Damage],MATCH(chrsht.weapon.tbl[[#This Row],[Name]],weapon.tbl[Name],0)),
"+",
chrsht.weapon.tbl[[#This Row],[Str?]]*str.bonus+(1-chrsht.weapon.tbl[[#This Row],[Str?]])*dex.bonus+chrsht.weapon.tbl[[#This Row],[Magic]])</f>
        <v>1d6+4</v>
      </c>
      <c r="J17" s="22" t="str">
        <f>INDEX(weapon.tbl[Damage Type],MATCH(chrsht.weapon.tbl[[#This Row],[Name]],weapon.tbl[Name],0))</f>
        <v>Piercing</v>
      </c>
      <c r="K17" s="22">
        <v>1</v>
      </c>
      <c r="L17" s="41">
        <v>0</v>
      </c>
      <c r="M17" s="23">
        <f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f>
        <v>0</v>
      </c>
    </row>
    <row r="18" spans="1:13" ht="14.65" thickBot="1" x14ac:dyDescent="0.5">
      <c r="A18" s="29">
        <v>9</v>
      </c>
      <c r="B18" s="16" t="s">
        <v>29</v>
      </c>
      <c r="C18" s="13">
        <f>cha.bonus+dece.prof*prof.bonus</f>
        <v>3</v>
      </c>
      <c r="D18" s="14">
        <v>1</v>
      </c>
    </row>
    <row r="19" spans="1:13" ht="14.65" thickBot="1" x14ac:dyDescent="0.5">
      <c r="B19" s="16" t="s">
        <v>30</v>
      </c>
      <c r="C19" s="13">
        <f>int.bonus+hist.prof*prof.bonus</f>
        <v>-1</v>
      </c>
      <c r="D19" s="14">
        <v>0</v>
      </c>
      <c r="F19" s="62" t="s">
        <v>69</v>
      </c>
      <c r="G19" s="63"/>
      <c r="H19" s="63"/>
      <c r="I19" s="63"/>
      <c r="J19" s="63"/>
      <c r="K19" s="63"/>
      <c r="L19" s="63"/>
      <c r="M19" s="64"/>
    </row>
    <row r="20" spans="1:13" x14ac:dyDescent="0.45">
      <c r="A20" s="28" t="s">
        <v>4</v>
      </c>
      <c r="B20" s="16" t="s">
        <v>31</v>
      </c>
      <c r="C20" s="13">
        <f>wis.bonus+insi.prof*prof.bonus</f>
        <v>5</v>
      </c>
      <c r="D20" s="14">
        <v>1</v>
      </c>
      <c r="F20" s="33" t="s">
        <v>6</v>
      </c>
      <c r="G20" s="26" t="s">
        <v>77</v>
      </c>
      <c r="H20" s="26" t="s">
        <v>73</v>
      </c>
      <c r="I20" s="26" t="s">
        <v>74</v>
      </c>
      <c r="J20" s="26" t="s">
        <v>78</v>
      </c>
      <c r="K20" s="26" t="s">
        <v>8</v>
      </c>
      <c r="L20" s="26" t="s">
        <v>75</v>
      </c>
      <c r="M20" s="34" t="s">
        <v>40</v>
      </c>
    </row>
    <row r="21" spans="1:13" x14ac:dyDescent="0.45">
      <c r="A21" s="30">
        <f>_xlfn.FLOOR.MATH((wis.base-10)/2)</f>
        <v>2</v>
      </c>
      <c r="B21" s="16" t="s">
        <v>32</v>
      </c>
      <c r="C21" s="13">
        <f>cha.bonus+inti.prof*prof.bonus</f>
        <v>0</v>
      </c>
      <c r="D21" s="14">
        <v>0</v>
      </c>
      <c r="F21" s="33" t="s">
        <v>58</v>
      </c>
      <c r="G21" s="48">
        <f>INDEX(armor.tbl[AC],MATCH(chrsht.armor.tbl[[#This Row],[Name]],armor.tbl[Armor],0))</f>
        <v>11</v>
      </c>
      <c r="H21" s="48">
        <f>INDEX(armor.tbl[Dex Bonus],MATCH(chrsht.armor.tbl[[#This Row],[Name]],armor.tbl[Armor],0))*MIN(dex.bonus,chrsht.armor.tbl[[#This Row],[Max Bonus]])</f>
        <v>4</v>
      </c>
      <c r="I21" s="48" t="str">
        <f>INDEX(armor.tbl[Max Bonus],MATCH(chrsht.armor.tbl[[#This Row],[Name]],armor.tbl[Armor],0))</f>
        <v>-</v>
      </c>
      <c r="J21" s="48">
        <f>chrsht.armor.tbl[[#This Row],[Base AC]]+chrsht.armor.tbl[[#This Row],[Dex Bonus]]</f>
        <v>15</v>
      </c>
      <c r="K21" s="48">
        <v>0</v>
      </c>
      <c r="L21" s="48" t="str">
        <f>INDEX(armor.tbl[Min Strength],MATCH(chrsht.armor.tbl[[#This Row],[Name]],armor.tbl[Armor],0))</f>
        <v>-</v>
      </c>
      <c r="M21" s="51" t="str">
        <f>INDEX(armor.tbl[Stealth],MATCH(chrsht.armor.tbl[[#This Row],[Name]],armor.tbl[Armor],0))</f>
        <v>-</v>
      </c>
    </row>
    <row r="22" spans="1:13" ht="14.65" thickBot="1" x14ac:dyDescent="0.5">
      <c r="A22" s="29">
        <v>14</v>
      </c>
      <c r="B22" s="16" t="s">
        <v>33</v>
      </c>
      <c r="C22" s="13">
        <f>int.bonus+inve.prof*prof.bonus</f>
        <v>-1</v>
      </c>
      <c r="D22" s="14">
        <v>0</v>
      </c>
      <c r="F22" s="55" t="s">
        <v>79</v>
      </c>
      <c r="G22" s="79"/>
      <c r="H22" s="79"/>
      <c r="I22" s="79"/>
      <c r="J22" s="79">
        <f>SUBTOTAL(109,chrsht.armor.tbl[Total AC])</f>
        <v>15</v>
      </c>
      <c r="K22" s="79"/>
      <c r="L22" s="79"/>
      <c r="M22" s="80"/>
    </row>
    <row r="23" spans="1:13" ht="14.65" thickBot="1" x14ac:dyDescent="0.5">
      <c r="B23" s="16" t="s">
        <v>34</v>
      </c>
      <c r="C23" s="13">
        <f>wis.bonus+medi.prof*prof.bonus</f>
        <v>2</v>
      </c>
      <c r="D23" s="14">
        <v>0</v>
      </c>
    </row>
    <row r="24" spans="1:13" ht="14.65" thickBot="1" x14ac:dyDescent="0.5">
      <c r="A24" s="28" t="s">
        <v>5</v>
      </c>
      <c r="B24" s="16" t="s">
        <v>35</v>
      </c>
      <c r="C24" s="13">
        <f>int.bonus+natu.prof*prof.bonus</f>
        <v>-1</v>
      </c>
      <c r="D24" s="14">
        <v>0</v>
      </c>
      <c r="F24" s="56" t="s">
        <v>164</v>
      </c>
      <c r="G24" s="57"/>
    </row>
    <row r="25" spans="1:13" x14ac:dyDescent="0.45">
      <c r="A25" s="30">
        <f>_xlfn.FLOOR.MATH((cha.base-10)/2)</f>
        <v>0</v>
      </c>
      <c r="B25" s="16" t="s">
        <v>36</v>
      </c>
      <c r="C25" s="13">
        <f>wis.bonus+perc.prof*prof.bonus</f>
        <v>8</v>
      </c>
      <c r="D25" s="14">
        <v>2</v>
      </c>
      <c r="F25" s="26" t="s">
        <v>165</v>
      </c>
      <c r="G25" s="48">
        <v>0</v>
      </c>
    </row>
    <row r="26" spans="1:13" ht="14.65" thickBot="1" x14ac:dyDescent="0.5">
      <c r="A26" s="29">
        <v>10</v>
      </c>
      <c r="B26" s="16" t="s">
        <v>37</v>
      </c>
      <c r="C26" s="13">
        <f>cha.bonus+perf.prof*prof.bonus</f>
        <v>0</v>
      </c>
      <c r="D26" s="14">
        <v>0</v>
      </c>
      <c r="F26" s="26" t="s">
        <v>166</v>
      </c>
      <c r="G26" s="48">
        <v>0</v>
      </c>
    </row>
    <row r="27" spans="1:13" x14ac:dyDescent="0.45">
      <c r="B27" s="16" t="s">
        <v>38</v>
      </c>
      <c r="C27" s="13">
        <f>cha.bonus+pers.prof*prof.bonus</f>
        <v>3</v>
      </c>
      <c r="D27" s="14">
        <v>1</v>
      </c>
      <c r="F27" s="26" t="s">
        <v>167</v>
      </c>
      <c r="G27" s="48">
        <v>0</v>
      </c>
    </row>
    <row r="28" spans="1:13" x14ac:dyDescent="0.45">
      <c r="B28" s="16" t="s">
        <v>175</v>
      </c>
      <c r="C28" s="13">
        <f>int.bonus+rel.prof*prof.bonus</f>
        <v>-1</v>
      </c>
      <c r="D28" s="14">
        <v>0</v>
      </c>
      <c r="F28" s="26" t="s">
        <v>168</v>
      </c>
      <c r="G28" s="48">
        <v>52</v>
      </c>
    </row>
    <row r="29" spans="1:13" x14ac:dyDescent="0.45">
      <c r="B29" s="16" t="s">
        <v>39</v>
      </c>
      <c r="C29" s="13">
        <f>dex.bonus+soh.prof*prof.bonus</f>
        <v>7</v>
      </c>
      <c r="D29" s="14">
        <v>1</v>
      </c>
      <c r="F29" s="26" t="s">
        <v>169</v>
      </c>
      <c r="G29" s="48">
        <v>0</v>
      </c>
    </row>
    <row r="30" spans="1:13" x14ac:dyDescent="0.45">
      <c r="B30" s="16" t="s">
        <v>40</v>
      </c>
      <c r="C30" s="13">
        <f>dex.bonus+stea.prof*prof.bonus</f>
        <v>10</v>
      </c>
      <c r="D30" s="14">
        <v>2</v>
      </c>
      <c r="F30" s="26" t="s">
        <v>79</v>
      </c>
      <c r="G30" s="49">
        <f>0.01*cp+0.1*sp+0.5*ep+1*gp+10*pp</f>
        <v>52</v>
      </c>
    </row>
    <row r="31" spans="1:13" ht="14.65" thickBot="1" x14ac:dyDescent="0.5">
      <c r="B31" s="24" t="s">
        <v>41</v>
      </c>
      <c r="C31" s="20">
        <f>wis.bonus+surv.prof*prof.bonus</f>
        <v>2</v>
      </c>
      <c r="D31" s="18">
        <v>0</v>
      </c>
    </row>
  </sheetData>
  <mergeCells count="14">
    <mergeCell ref="F13:M13"/>
    <mergeCell ref="F19:M19"/>
    <mergeCell ref="F24:G24"/>
    <mergeCell ref="C5:D5"/>
    <mergeCell ref="F2:G2"/>
    <mergeCell ref="J2:K2"/>
    <mergeCell ref="L2:M2"/>
    <mergeCell ref="C4:D4"/>
    <mergeCell ref="F1:G1"/>
    <mergeCell ref="H2:I2"/>
    <mergeCell ref="A1:D2"/>
    <mergeCell ref="I7:L7"/>
    <mergeCell ref="J1:K1"/>
    <mergeCell ref="L1:M1"/>
  </mergeCells>
  <conditionalFormatting sqref="L21">
    <cfRule type="expression" dxfId="4" priority="1">
      <formula>OR(str.base&lt;$L$21,NOT("-"))</formula>
    </cfRule>
  </conditionalFormatting>
  <dataValidations count="2">
    <dataValidation type="list" allowBlank="1" showInputMessage="1" showErrorMessage="1" sqref="F21">
      <formula1>armor.list</formula1>
    </dataValidation>
    <dataValidation type="list" allowBlank="1" showInputMessage="1" showErrorMessage="1" sqref="F15:F17">
      <formula1>weapon.list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0" r:id="rId4" name="CheckBox1">
          <controlPr defaultSize="0" autoLin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314325</xdr:colOff>
                <xdr:row>4</xdr:row>
                <xdr:rowOff>0</xdr:rowOff>
              </to>
            </anchor>
          </controlPr>
        </control>
      </mc:Choice>
      <mc:Fallback>
        <control shapeId="1040" r:id="rId4" name="CheckBox1"/>
      </mc:Fallback>
    </mc:AlternateContent>
    <mc:AlternateContent xmlns:mc="http://schemas.openxmlformats.org/markup-compatibility/2006">
      <mc:Choice Requires="x14">
        <control shapeId="1042" r:id="rId6" name="CheckBox2">
          <controlPr defaultSize="0" autoLine="0" r:id="rId7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10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42" r:id="rId6" name="CheckBox2"/>
      </mc:Fallback>
    </mc:AlternateContent>
    <mc:AlternateContent xmlns:mc="http://schemas.openxmlformats.org/markup-compatibility/2006">
      <mc:Choice Requires="x14">
        <control shapeId="1043" r:id="rId8" name="CheckBox3">
          <controlPr defaultSize="0" autoLine="0" autoPict="0" r:id="rId9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43" r:id="rId8" name="CheckBox3"/>
      </mc:Fallback>
    </mc:AlternateContent>
    <mc:AlternateContent xmlns:mc="http://schemas.openxmlformats.org/markup-compatibility/2006">
      <mc:Choice Requires="x14">
        <control shapeId="1044" r:id="rId10" name="CheckBox4">
          <controlPr defaultSize="0" autoLine="0" autoPict="0" r:id="rId11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44" r:id="rId10" name="CheckBox4"/>
      </mc:Fallback>
    </mc:AlternateContent>
    <mc:AlternateContent xmlns:mc="http://schemas.openxmlformats.org/markup-compatibility/2006">
      <mc:Choice Requires="x14">
        <control shapeId="1045" r:id="rId12" name="CheckBox5">
          <controlPr defaultSize="0" autoLine="0" autoPict="0" r:id="rId13">
            <anchor moveWithCells="1">
              <from>
                <xdr:col>9</xdr:col>
                <xdr:colOff>0</xdr:colOff>
                <xdr:row>8</xdr:row>
                <xdr:rowOff>0</xdr:rowOff>
              </from>
              <to>
                <xdr:col>10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45" r:id="rId12" name="CheckBox5"/>
      </mc:Fallback>
    </mc:AlternateContent>
    <mc:AlternateContent xmlns:mc="http://schemas.openxmlformats.org/markup-compatibility/2006">
      <mc:Choice Requires="x14">
        <control shapeId="1046" r:id="rId14" name="CheckBox6">
          <controlPr defaultSize="0" autoLine="0" autoPict="0" r:id="rId15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46" r:id="rId14" name="CheckBox6"/>
      </mc:Fallback>
    </mc:AlternateContent>
    <mc:AlternateContent xmlns:mc="http://schemas.openxmlformats.org/markup-compatibility/2006">
      <mc:Choice Requires="x14">
        <control shapeId="1047" r:id="rId16" name="CheckBox7">
          <controlPr defaultSize="0" autoLine="0" autoPict="0" r:id="rId17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47" r:id="rId16" name="CheckBox7"/>
      </mc:Fallback>
    </mc:AlternateContent>
  </controls>
  <tableParts count="3"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5"/>
  <sheetViews>
    <sheetView workbookViewId="0">
      <selection activeCell="D22" sqref="D22"/>
    </sheetView>
  </sheetViews>
  <sheetFormatPr defaultRowHeight="14.25" x14ac:dyDescent="0.45"/>
  <cols>
    <col min="1" max="1" width="9.33203125" style="1" bestFit="1" customWidth="1"/>
    <col min="2" max="2" width="8.3984375" style="1" bestFit="1" customWidth="1"/>
    <col min="3" max="3" width="9.06640625" style="1"/>
    <col min="4" max="4" width="14.06640625" style="1" bestFit="1" customWidth="1"/>
    <col min="5" max="5" width="12.33203125" style="1" bestFit="1" customWidth="1"/>
    <col min="6" max="6" width="11.73046875" style="1" bestFit="1" customWidth="1"/>
    <col min="7" max="7" width="16.1328125" style="1" bestFit="1" customWidth="1"/>
    <col min="8" max="8" width="15" style="1" bestFit="1" customWidth="1"/>
    <col min="9" max="9" width="20.796875" style="1" bestFit="1" customWidth="1"/>
    <col min="10" max="10" width="11" style="1" bestFit="1" customWidth="1"/>
    <col min="11" max="11" width="15.1328125" style="1" bestFit="1" customWidth="1"/>
    <col min="12" max="12" width="15" style="1" bestFit="1" customWidth="1"/>
    <col min="13" max="13" width="10.59765625" style="1" bestFit="1" customWidth="1"/>
    <col min="14" max="14" width="11.46484375" style="1" bestFit="1" customWidth="1"/>
    <col min="15" max="15" width="11.265625" style="1" bestFit="1" customWidth="1"/>
    <col min="16" max="16" width="17.265625" style="1" bestFit="1" customWidth="1"/>
    <col min="17" max="16384" width="9.06640625" style="1"/>
  </cols>
  <sheetData>
    <row r="1" spans="1:12" x14ac:dyDescent="0.45">
      <c r="A1" s="1" t="s">
        <v>9</v>
      </c>
      <c r="B1" s="1" t="s">
        <v>24</v>
      </c>
      <c r="D1" s="1" t="s">
        <v>69</v>
      </c>
      <c r="E1" s="1" t="s">
        <v>72</v>
      </c>
      <c r="F1" s="1" t="s">
        <v>70</v>
      </c>
      <c r="G1" s="1" t="s">
        <v>73</v>
      </c>
      <c r="H1" s="1" t="s">
        <v>74</v>
      </c>
      <c r="I1" s="1" t="s">
        <v>75</v>
      </c>
      <c r="J1" s="1" t="s">
        <v>80</v>
      </c>
      <c r="K1" s="1" t="s">
        <v>40</v>
      </c>
      <c r="L1" s="1" t="s">
        <v>71</v>
      </c>
    </row>
    <row r="2" spans="1:12" x14ac:dyDescent="0.45">
      <c r="A2" s="1">
        <v>1</v>
      </c>
      <c r="B2" s="35">
        <v>0</v>
      </c>
      <c r="D2" s="1" t="s">
        <v>170</v>
      </c>
      <c r="E2" s="50">
        <v>0</v>
      </c>
      <c r="F2" s="50">
        <v>10</v>
      </c>
      <c r="G2" s="50">
        <v>1</v>
      </c>
      <c r="H2" s="50" t="s">
        <v>76</v>
      </c>
      <c r="I2" s="50">
        <v>0</v>
      </c>
      <c r="J2" s="1" t="s">
        <v>76</v>
      </c>
      <c r="K2" s="1" t="s">
        <v>76</v>
      </c>
      <c r="L2" s="35">
        <v>0</v>
      </c>
    </row>
    <row r="3" spans="1:12" x14ac:dyDescent="0.45">
      <c r="A3" s="1">
        <v>2</v>
      </c>
      <c r="B3" s="35">
        <v>300</v>
      </c>
      <c r="D3" s="1" t="s">
        <v>55</v>
      </c>
      <c r="E3" s="50">
        <v>5</v>
      </c>
      <c r="F3" s="50">
        <v>11</v>
      </c>
      <c r="G3" s="50">
        <v>1</v>
      </c>
      <c r="H3" s="50" t="s">
        <v>76</v>
      </c>
      <c r="I3" s="50" t="s">
        <v>76</v>
      </c>
      <c r="J3" s="1" t="s">
        <v>83</v>
      </c>
      <c r="K3" s="1" t="s">
        <v>57</v>
      </c>
      <c r="L3" s="35">
        <v>8</v>
      </c>
    </row>
    <row r="4" spans="1:12" x14ac:dyDescent="0.45">
      <c r="A4" s="1">
        <v>3</v>
      </c>
      <c r="B4" s="35">
        <v>900</v>
      </c>
      <c r="D4" s="1" t="s">
        <v>58</v>
      </c>
      <c r="E4" s="50">
        <v>10</v>
      </c>
      <c r="F4" s="50">
        <v>11</v>
      </c>
      <c r="G4" s="50">
        <v>1</v>
      </c>
      <c r="H4" s="50" t="s">
        <v>76</v>
      </c>
      <c r="I4" s="50" t="s">
        <v>76</v>
      </c>
      <c r="J4" s="1" t="s">
        <v>83</v>
      </c>
      <c r="K4" s="1" t="s">
        <v>76</v>
      </c>
      <c r="L4" s="35">
        <v>10</v>
      </c>
    </row>
    <row r="5" spans="1:12" x14ac:dyDescent="0.45">
      <c r="A5" s="1">
        <v>4</v>
      </c>
      <c r="B5" s="35">
        <v>2700</v>
      </c>
      <c r="D5" s="1" t="s">
        <v>68</v>
      </c>
      <c r="E5" s="50">
        <v>45</v>
      </c>
      <c r="F5" s="50">
        <v>12</v>
      </c>
      <c r="G5" s="50">
        <v>1</v>
      </c>
      <c r="H5" s="50" t="s">
        <v>76</v>
      </c>
      <c r="I5" s="50" t="s">
        <v>76</v>
      </c>
      <c r="J5" s="1" t="s">
        <v>83</v>
      </c>
      <c r="K5" s="1" t="s">
        <v>76</v>
      </c>
      <c r="L5" s="35">
        <v>13</v>
      </c>
    </row>
    <row r="6" spans="1:12" x14ac:dyDescent="0.45">
      <c r="A6" s="1">
        <v>5</v>
      </c>
      <c r="B6" s="35">
        <v>6500</v>
      </c>
      <c r="D6" s="1" t="s">
        <v>59</v>
      </c>
      <c r="E6" s="50">
        <v>10</v>
      </c>
      <c r="F6" s="50">
        <v>12</v>
      </c>
      <c r="G6" s="50">
        <v>1</v>
      </c>
      <c r="H6" s="50">
        <v>2</v>
      </c>
      <c r="I6" s="50" t="s">
        <v>76</v>
      </c>
      <c r="J6" s="1" t="s">
        <v>156</v>
      </c>
      <c r="K6" s="1" t="s">
        <v>76</v>
      </c>
      <c r="L6" s="35">
        <v>12</v>
      </c>
    </row>
    <row r="7" spans="1:12" x14ac:dyDescent="0.45">
      <c r="A7" s="1">
        <v>6</v>
      </c>
      <c r="B7" s="35">
        <v>14000</v>
      </c>
      <c r="D7" s="1" t="s">
        <v>63</v>
      </c>
      <c r="E7" s="50">
        <v>50</v>
      </c>
      <c r="F7" s="50">
        <v>13</v>
      </c>
      <c r="G7" s="50">
        <v>1</v>
      </c>
      <c r="H7" s="50">
        <v>2</v>
      </c>
      <c r="I7" s="50" t="s">
        <v>76</v>
      </c>
      <c r="J7" s="1" t="s">
        <v>156</v>
      </c>
      <c r="K7" s="1" t="s">
        <v>76</v>
      </c>
      <c r="L7" s="35">
        <v>20</v>
      </c>
    </row>
    <row r="8" spans="1:12" x14ac:dyDescent="0.45">
      <c r="A8" s="1">
        <v>7</v>
      </c>
      <c r="B8" s="35">
        <v>23000</v>
      </c>
      <c r="D8" s="1" t="s">
        <v>64</v>
      </c>
      <c r="E8" s="50">
        <v>50</v>
      </c>
      <c r="F8" s="50">
        <v>14</v>
      </c>
      <c r="G8" s="50">
        <v>1</v>
      </c>
      <c r="H8" s="50">
        <v>2</v>
      </c>
      <c r="I8" s="50" t="s">
        <v>76</v>
      </c>
      <c r="J8" s="1" t="s">
        <v>156</v>
      </c>
      <c r="K8" s="1" t="s">
        <v>57</v>
      </c>
      <c r="L8" s="35">
        <v>45</v>
      </c>
    </row>
    <row r="9" spans="1:12" x14ac:dyDescent="0.45">
      <c r="A9" s="1">
        <v>8</v>
      </c>
      <c r="B9" s="35">
        <v>34000</v>
      </c>
      <c r="D9" s="1" t="s">
        <v>60</v>
      </c>
      <c r="E9" s="50">
        <v>400</v>
      </c>
      <c r="F9" s="50">
        <v>14</v>
      </c>
      <c r="G9" s="50">
        <v>1</v>
      </c>
      <c r="H9" s="50">
        <v>2</v>
      </c>
      <c r="I9" s="50" t="s">
        <v>76</v>
      </c>
      <c r="J9" s="1" t="s">
        <v>156</v>
      </c>
      <c r="K9" s="1" t="s">
        <v>76</v>
      </c>
      <c r="L9" s="35">
        <v>20</v>
      </c>
    </row>
    <row r="10" spans="1:12" x14ac:dyDescent="0.45">
      <c r="A10" s="1">
        <v>9</v>
      </c>
      <c r="B10" s="35">
        <v>48000</v>
      </c>
      <c r="D10" s="1" t="s">
        <v>65</v>
      </c>
      <c r="E10" s="50">
        <v>750</v>
      </c>
      <c r="F10" s="50">
        <v>15</v>
      </c>
      <c r="G10" s="50">
        <v>1</v>
      </c>
      <c r="H10" s="50">
        <v>2</v>
      </c>
      <c r="I10" s="50" t="s">
        <v>76</v>
      </c>
      <c r="J10" s="1" t="s">
        <v>156</v>
      </c>
      <c r="K10" s="1" t="s">
        <v>57</v>
      </c>
      <c r="L10" s="35">
        <v>40</v>
      </c>
    </row>
    <row r="11" spans="1:12" x14ac:dyDescent="0.45">
      <c r="A11" s="1">
        <v>10</v>
      </c>
      <c r="B11" s="35">
        <v>64000</v>
      </c>
      <c r="D11" s="1" t="s">
        <v>66</v>
      </c>
      <c r="E11" s="50">
        <v>30</v>
      </c>
      <c r="F11" s="50">
        <v>14</v>
      </c>
      <c r="G11" s="50">
        <v>0</v>
      </c>
      <c r="H11" s="50">
        <v>0</v>
      </c>
      <c r="I11" s="50" t="s">
        <v>76</v>
      </c>
      <c r="J11" s="1" t="s">
        <v>130</v>
      </c>
      <c r="K11" s="1" t="s">
        <v>57</v>
      </c>
      <c r="L11" s="35">
        <v>40</v>
      </c>
    </row>
    <row r="12" spans="1:12" x14ac:dyDescent="0.45">
      <c r="A12" s="1">
        <v>11</v>
      </c>
      <c r="B12" s="35">
        <v>85000</v>
      </c>
      <c r="D12" s="1" t="s">
        <v>67</v>
      </c>
      <c r="E12" s="50">
        <v>75</v>
      </c>
      <c r="F12" s="50">
        <v>16</v>
      </c>
      <c r="G12" s="50">
        <v>0</v>
      </c>
      <c r="H12" s="50">
        <v>0</v>
      </c>
      <c r="I12" s="50">
        <v>13</v>
      </c>
      <c r="J12" s="1" t="s">
        <v>130</v>
      </c>
      <c r="K12" s="1" t="s">
        <v>57</v>
      </c>
      <c r="L12" s="35">
        <v>55</v>
      </c>
    </row>
    <row r="13" spans="1:12" x14ac:dyDescent="0.45">
      <c r="A13" s="1">
        <v>12</v>
      </c>
      <c r="B13" s="35">
        <v>100000</v>
      </c>
      <c r="D13" s="1" t="s">
        <v>61</v>
      </c>
      <c r="E13" s="50">
        <v>200</v>
      </c>
      <c r="F13" s="50">
        <v>17</v>
      </c>
      <c r="G13" s="50">
        <v>0</v>
      </c>
      <c r="H13" s="50">
        <v>0</v>
      </c>
      <c r="I13" s="50">
        <v>15</v>
      </c>
      <c r="J13" s="1" t="s">
        <v>130</v>
      </c>
      <c r="K13" s="1" t="s">
        <v>57</v>
      </c>
      <c r="L13" s="35">
        <v>60</v>
      </c>
    </row>
    <row r="14" spans="1:12" x14ac:dyDescent="0.45">
      <c r="A14" s="1">
        <v>13</v>
      </c>
      <c r="B14" s="35">
        <v>120000</v>
      </c>
      <c r="D14" s="1" t="s">
        <v>62</v>
      </c>
      <c r="E14" s="50">
        <v>1500</v>
      </c>
      <c r="F14" s="50">
        <v>18</v>
      </c>
      <c r="G14" s="50">
        <v>0</v>
      </c>
      <c r="H14" s="50">
        <v>0</v>
      </c>
      <c r="I14" s="50">
        <v>15</v>
      </c>
      <c r="J14" s="1" t="s">
        <v>130</v>
      </c>
      <c r="K14" s="1" t="s">
        <v>57</v>
      </c>
      <c r="L14" s="35">
        <v>65</v>
      </c>
    </row>
    <row r="15" spans="1:12" x14ac:dyDescent="0.45">
      <c r="A15" s="1">
        <v>14</v>
      </c>
      <c r="B15" s="35">
        <v>140000</v>
      </c>
      <c r="D15" s="1" t="s">
        <v>54</v>
      </c>
      <c r="E15" s="50">
        <v>10</v>
      </c>
      <c r="F15" s="50">
        <v>2</v>
      </c>
      <c r="G15" s="50">
        <v>0</v>
      </c>
      <c r="H15" s="50">
        <v>0</v>
      </c>
      <c r="I15" s="50" t="s">
        <v>76</v>
      </c>
      <c r="J15" s="1" t="s">
        <v>54</v>
      </c>
      <c r="K15" s="1" t="s">
        <v>76</v>
      </c>
      <c r="L15" s="35">
        <v>6</v>
      </c>
    </row>
    <row r="16" spans="1:12" x14ac:dyDescent="0.45">
      <c r="A16" s="1">
        <v>15</v>
      </c>
      <c r="B16" s="35">
        <v>165000</v>
      </c>
    </row>
    <row r="17" spans="1:16" x14ac:dyDescent="0.45">
      <c r="A17" s="1">
        <v>16</v>
      </c>
      <c r="B17" s="35">
        <v>195000</v>
      </c>
      <c r="D17" s="1" t="s">
        <v>6</v>
      </c>
      <c r="E17" s="1" t="s">
        <v>72</v>
      </c>
      <c r="F17" s="1" t="s">
        <v>13</v>
      </c>
      <c r="G17" s="1" t="s">
        <v>129</v>
      </c>
      <c r="H17" s="1" t="s">
        <v>71</v>
      </c>
      <c r="I17" s="1" t="s">
        <v>131</v>
      </c>
      <c r="J17" s="1" t="s">
        <v>80</v>
      </c>
      <c r="K17" s="1" t="s">
        <v>136</v>
      </c>
      <c r="L17" s="1" t="s">
        <v>141</v>
      </c>
      <c r="M17" s="1" t="s">
        <v>149</v>
      </c>
      <c r="N17" s="1" t="s">
        <v>150</v>
      </c>
      <c r="O17" s="1" t="s">
        <v>151</v>
      </c>
      <c r="P17" s="1" t="s">
        <v>159</v>
      </c>
    </row>
    <row r="18" spans="1:16" x14ac:dyDescent="0.45">
      <c r="A18" s="1">
        <v>17</v>
      </c>
      <c r="B18" s="35">
        <v>225000</v>
      </c>
      <c r="D18" s="1" t="s">
        <v>81</v>
      </c>
      <c r="E18" s="1">
        <v>0.1</v>
      </c>
      <c r="F18" s="1" t="s">
        <v>82</v>
      </c>
      <c r="G18" s="1" t="s">
        <v>52</v>
      </c>
      <c r="H18" s="1">
        <v>2</v>
      </c>
      <c r="I18" s="1" t="s">
        <v>132</v>
      </c>
      <c r="J18" s="1" t="s">
        <v>83</v>
      </c>
      <c r="K18" s="1" t="s">
        <v>138</v>
      </c>
      <c r="L18" s="37"/>
      <c r="O18" s="1" t="s">
        <v>14</v>
      </c>
      <c r="P18" s="1">
        <v>1</v>
      </c>
    </row>
    <row r="19" spans="1:16" x14ac:dyDescent="0.45">
      <c r="A19" s="1">
        <v>18</v>
      </c>
      <c r="B19" s="35">
        <v>265000</v>
      </c>
      <c r="D19" s="1" t="s">
        <v>84</v>
      </c>
      <c r="E19" s="1">
        <v>2</v>
      </c>
      <c r="F19" s="1" t="s">
        <v>82</v>
      </c>
      <c r="G19" s="1" t="s">
        <v>53</v>
      </c>
      <c r="H19" s="1">
        <v>1</v>
      </c>
      <c r="I19" s="1" t="s">
        <v>132</v>
      </c>
      <c r="J19" s="1" t="s">
        <v>83</v>
      </c>
      <c r="K19" s="1" t="s">
        <v>138</v>
      </c>
      <c r="L19" s="37" t="s">
        <v>142</v>
      </c>
      <c r="M19" s="1" t="s">
        <v>89</v>
      </c>
      <c r="O19" s="1" t="s">
        <v>113</v>
      </c>
      <c r="P19" s="1">
        <v>1</v>
      </c>
    </row>
    <row r="20" spans="1:16" x14ac:dyDescent="0.45">
      <c r="A20" s="1">
        <v>19</v>
      </c>
      <c r="B20" s="35">
        <v>305000</v>
      </c>
      <c r="D20" s="1" t="s">
        <v>85</v>
      </c>
      <c r="E20" s="1">
        <v>0.2</v>
      </c>
      <c r="F20" s="1" t="s">
        <v>86</v>
      </c>
      <c r="G20" s="1" t="s">
        <v>52</v>
      </c>
      <c r="H20" s="1">
        <v>10</v>
      </c>
      <c r="I20" s="1" t="s">
        <v>132</v>
      </c>
      <c r="K20" s="1" t="s">
        <v>137</v>
      </c>
      <c r="L20" s="37"/>
      <c r="O20" s="1" t="s">
        <v>14</v>
      </c>
      <c r="P20" s="1">
        <v>0</v>
      </c>
    </row>
    <row r="21" spans="1:16" x14ac:dyDescent="0.45">
      <c r="A21" s="1">
        <v>20</v>
      </c>
      <c r="B21" s="35">
        <v>355000</v>
      </c>
      <c r="D21" s="1" t="s">
        <v>87</v>
      </c>
      <c r="E21" s="1">
        <v>5</v>
      </c>
      <c r="F21" s="1" t="s">
        <v>88</v>
      </c>
      <c r="G21" s="1" t="s">
        <v>155</v>
      </c>
      <c r="H21" s="1">
        <v>2</v>
      </c>
      <c r="I21" s="1" t="s">
        <v>132</v>
      </c>
      <c r="J21" s="1" t="s">
        <v>83</v>
      </c>
      <c r="K21" s="1" t="s">
        <v>138</v>
      </c>
      <c r="L21" s="37" t="s">
        <v>142</v>
      </c>
      <c r="M21" s="1" t="s">
        <v>89</v>
      </c>
      <c r="O21" s="1" t="s">
        <v>14</v>
      </c>
      <c r="P21" s="1">
        <v>1</v>
      </c>
    </row>
    <row r="22" spans="1:16" x14ac:dyDescent="0.45">
      <c r="D22" s="1" t="s">
        <v>128</v>
      </c>
      <c r="E22" s="1">
        <v>0.5</v>
      </c>
      <c r="F22" s="1" t="s">
        <v>88</v>
      </c>
      <c r="G22" s="1" t="s">
        <v>53</v>
      </c>
      <c r="H22" s="1">
        <v>2</v>
      </c>
      <c r="I22" s="1" t="s">
        <v>132</v>
      </c>
      <c r="K22" s="1" t="s">
        <v>138</v>
      </c>
      <c r="L22" s="37" t="s">
        <v>143</v>
      </c>
      <c r="M22" s="1" t="s">
        <v>89</v>
      </c>
      <c r="O22" s="1" t="s">
        <v>14</v>
      </c>
      <c r="P22" s="1">
        <v>1</v>
      </c>
    </row>
    <row r="23" spans="1:16" x14ac:dyDescent="0.45">
      <c r="D23" s="1" t="s">
        <v>122</v>
      </c>
      <c r="E23" s="1">
        <v>2</v>
      </c>
      <c r="F23" s="1" t="s">
        <v>82</v>
      </c>
      <c r="G23" s="1" t="s">
        <v>52</v>
      </c>
      <c r="H23" s="1">
        <v>2</v>
      </c>
      <c r="I23" s="1" t="s">
        <v>132</v>
      </c>
      <c r="J23" s="1" t="s">
        <v>83</v>
      </c>
      <c r="K23" s="1" t="s">
        <v>138</v>
      </c>
      <c r="L23" s="37" t="s">
        <v>142</v>
      </c>
      <c r="M23" s="1" t="s">
        <v>89</v>
      </c>
      <c r="O23" s="1" t="s">
        <v>14</v>
      </c>
      <c r="P23" s="1">
        <v>1</v>
      </c>
    </row>
    <row r="24" spans="1:16" x14ac:dyDescent="0.45">
      <c r="D24" s="1" t="s">
        <v>90</v>
      </c>
      <c r="E24" s="1">
        <v>5</v>
      </c>
      <c r="F24" s="1" t="s">
        <v>88</v>
      </c>
      <c r="G24" s="1" t="s">
        <v>52</v>
      </c>
      <c r="H24" s="1">
        <v>4</v>
      </c>
      <c r="I24" s="1" t="s">
        <v>132</v>
      </c>
      <c r="K24" s="1" t="s">
        <v>138</v>
      </c>
      <c r="L24" s="37"/>
      <c r="O24" s="1" t="s">
        <v>14</v>
      </c>
      <c r="P24" s="1">
        <v>1</v>
      </c>
    </row>
    <row r="25" spans="1:16" x14ac:dyDescent="0.45">
      <c r="D25" s="1" t="s">
        <v>91</v>
      </c>
      <c r="E25" s="1">
        <v>0.2</v>
      </c>
      <c r="F25" s="1" t="s">
        <v>153</v>
      </c>
      <c r="G25" s="1" t="s">
        <v>52</v>
      </c>
      <c r="H25" s="1">
        <v>4</v>
      </c>
      <c r="I25" s="1" t="s">
        <v>132</v>
      </c>
      <c r="K25" s="1" t="s">
        <v>92</v>
      </c>
      <c r="L25" s="37"/>
      <c r="O25" s="1" t="s">
        <v>14</v>
      </c>
      <c r="P25" s="1">
        <v>1</v>
      </c>
    </row>
    <row r="26" spans="1:16" x14ac:dyDescent="0.45">
      <c r="D26" s="1" t="s">
        <v>93</v>
      </c>
      <c r="E26" s="1">
        <v>1</v>
      </c>
      <c r="F26" s="1" t="s">
        <v>82</v>
      </c>
      <c r="G26" s="1" t="s">
        <v>155</v>
      </c>
      <c r="H26" s="1">
        <v>2</v>
      </c>
      <c r="I26" s="1" t="s">
        <v>132</v>
      </c>
      <c r="J26" s="1" t="s">
        <v>83</v>
      </c>
      <c r="K26" s="1" t="s">
        <v>138</v>
      </c>
      <c r="L26" s="37"/>
      <c r="O26" s="1" t="s">
        <v>14</v>
      </c>
      <c r="P26" s="1">
        <v>1</v>
      </c>
    </row>
    <row r="27" spans="1:16" x14ac:dyDescent="0.45">
      <c r="D27" s="1" t="s">
        <v>94</v>
      </c>
      <c r="E27" s="1">
        <v>1</v>
      </c>
      <c r="F27" s="1" t="s">
        <v>153</v>
      </c>
      <c r="G27" s="1" t="s">
        <v>53</v>
      </c>
      <c r="H27" s="1">
        <v>3</v>
      </c>
      <c r="I27" s="1" t="s">
        <v>132</v>
      </c>
      <c r="K27" s="1" t="s">
        <v>92</v>
      </c>
      <c r="L27" s="37" t="s">
        <v>142</v>
      </c>
      <c r="M27" s="1" t="s">
        <v>89</v>
      </c>
      <c r="O27" s="1" t="s">
        <v>14</v>
      </c>
      <c r="P27" s="1">
        <v>1</v>
      </c>
    </row>
    <row r="28" spans="1:16" x14ac:dyDescent="0.45">
      <c r="D28" s="1" t="s">
        <v>123</v>
      </c>
      <c r="E28" s="1">
        <v>0</v>
      </c>
      <c r="F28" s="1" t="s">
        <v>88</v>
      </c>
      <c r="G28" s="1" t="s">
        <v>52</v>
      </c>
      <c r="I28" s="1" t="s">
        <v>132</v>
      </c>
      <c r="K28" s="1" t="s">
        <v>139</v>
      </c>
      <c r="L28" s="37"/>
      <c r="O28" s="1" t="s">
        <v>14</v>
      </c>
      <c r="P28" s="1">
        <v>1</v>
      </c>
    </row>
    <row r="29" spans="1:16" x14ac:dyDescent="0.45">
      <c r="D29" s="1" t="s">
        <v>124</v>
      </c>
      <c r="E29" s="1">
        <v>25</v>
      </c>
      <c r="F29" s="1" t="s">
        <v>86</v>
      </c>
      <c r="G29" s="1" t="s">
        <v>53</v>
      </c>
      <c r="H29" s="1">
        <v>5</v>
      </c>
      <c r="I29" s="1" t="s">
        <v>134</v>
      </c>
      <c r="K29" s="1" t="s">
        <v>137</v>
      </c>
      <c r="L29" s="37" t="s">
        <v>144</v>
      </c>
      <c r="M29" s="1" t="s">
        <v>95</v>
      </c>
      <c r="N29" s="1" t="s">
        <v>150</v>
      </c>
      <c r="O29" s="1" t="s">
        <v>56</v>
      </c>
      <c r="P29" s="1">
        <v>0</v>
      </c>
    </row>
    <row r="30" spans="1:16" x14ac:dyDescent="0.45">
      <c r="D30" s="1" t="s">
        <v>44</v>
      </c>
      <c r="E30" s="1">
        <v>0.05</v>
      </c>
      <c r="F30" s="1" t="s">
        <v>82</v>
      </c>
      <c r="G30" s="1" t="s">
        <v>53</v>
      </c>
      <c r="H30" s="36">
        <v>0.25</v>
      </c>
      <c r="I30" s="1" t="s">
        <v>134</v>
      </c>
      <c r="J30" s="36"/>
      <c r="K30" s="1" t="s">
        <v>138</v>
      </c>
      <c r="L30" s="37" t="s">
        <v>142</v>
      </c>
      <c r="M30" s="1" t="s">
        <v>89</v>
      </c>
      <c r="O30" s="1" t="s">
        <v>56</v>
      </c>
      <c r="P30" s="1">
        <v>0</v>
      </c>
    </row>
    <row r="31" spans="1:16" x14ac:dyDescent="0.45">
      <c r="D31" s="1" t="s">
        <v>96</v>
      </c>
      <c r="E31" s="1">
        <v>25</v>
      </c>
      <c r="F31" s="1" t="s">
        <v>88</v>
      </c>
      <c r="G31" s="1" t="s">
        <v>53</v>
      </c>
      <c r="H31" s="1">
        <v>2</v>
      </c>
      <c r="I31" s="1" t="s">
        <v>134</v>
      </c>
      <c r="K31" s="1" t="s">
        <v>137</v>
      </c>
      <c r="L31" s="37" t="s">
        <v>144</v>
      </c>
      <c r="M31" s="1" t="s">
        <v>95</v>
      </c>
      <c r="O31" s="1" t="s">
        <v>56</v>
      </c>
      <c r="P31" s="1">
        <v>0</v>
      </c>
    </row>
    <row r="32" spans="1:16" x14ac:dyDescent="0.45">
      <c r="D32" s="1" t="s">
        <v>97</v>
      </c>
      <c r="E32" s="1">
        <v>0.1</v>
      </c>
      <c r="F32" s="1" t="s">
        <v>82</v>
      </c>
      <c r="G32" s="1" t="s">
        <v>52</v>
      </c>
      <c r="I32" s="1" t="s">
        <v>134</v>
      </c>
      <c r="K32" s="1" t="s">
        <v>138</v>
      </c>
      <c r="L32" s="37" t="s">
        <v>143</v>
      </c>
      <c r="M32" s="1" t="s">
        <v>95</v>
      </c>
      <c r="O32" s="1" t="s">
        <v>56</v>
      </c>
      <c r="P32" s="1">
        <v>0</v>
      </c>
    </row>
    <row r="33" spans="4:16" x14ac:dyDescent="0.45">
      <c r="D33" s="1" t="s">
        <v>98</v>
      </c>
      <c r="E33" s="1">
        <v>10</v>
      </c>
      <c r="F33" s="1" t="s">
        <v>154</v>
      </c>
      <c r="G33" s="1" t="s">
        <v>155</v>
      </c>
      <c r="H33" s="1">
        <v>4</v>
      </c>
      <c r="I33" s="1" t="s">
        <v>133</v>
      </c>
      <c r="K33" s="1" t="s">
        <v>92</v>
      </c>
      <c r="L33" s="37"/>
      <c r="O33" s="1" t="s">
        <v>14</v>
      </c>
      <c r="P33" s="1">
        <v>0</v>
      </c>
    </row>
    <row r="34" spans="4:16" x14ac:dyDescent="0.45">
      <c r="D34" s="1" t="s">
        <v>99</v>
      </c>
      <c r="E34" s="1">
        <v>10</v>
      </c>
      <c r="F34" s="1" t="s">
        <v>86</v>
      </c>
      <c r="G34" s="1" t="s">
        <v>52</v>
      </c>
      <c r="H34" s="1">
        <v>2</v>
      </c>
      <c r="I34" s="1" t="s">
        <v>133</v>
      </c>
      <c r="K34" s="1" t="s">
        <v>138</v>
      </c>
      <c r="L34" s="37"/>
      <c r="O34" s="1" t="s">
        <v>14</v>
      </c>
      <c r="P34" s="1">
        <v>0</v>
      </c>
    </row>
    <row r="35" spans="4:16" x14ac:dyDescent="0.45">
      <c r="D35" s="1" t="s">
        <v>100</v>
      </c>
      <c r="E35" s="1">
        <v>20</v>
      </c>
      <c r="F35" s="1" t="s">
        <v>101</v>
      </c>
      <c r="G35" s="1" t="s">
        <v>155</v>
      </c>
      <c r="H35" s="1">
        <v>6</v>
      </c>
      <c r="I35" s="1" t="s">
        <v>133</v>
      </c>
      <c r="J35" s="1" t="s">
        <v>130</v>
      </c>
      <c r="K35" s="1" t="s">
        <v>137</v>
      </c>
      <c r="L35" s="37" t="s">
        <v>145</v>
      </c>
      <c r="O35" s="1" t="s">
        <v>14</v>
      </c>
      <c r="P35" s="1">
        <v>0</v>
      </c>
    </row>
    <row r="36" spans="4:16" x14ac:dyDescent="0.45">
      <c r="D36" s="1" t="s">
        <v>102</v>
      </c>
      <c r="E36" s="1">
        <v>30</v>
      </c>
      <c r="F36" s="1" t="s">
        <v>103</v>
      </c>
      <c r="G36" s="1" t="s">
        <v>155</v>
      </c>
      <c r="H36" s="1">
        <v>7</v>
      </c>
      <c r="I36" s="1" t="s">
        <v>133</v>
      </c>
      <c r="J36" s="1" t="s">
        <v>130</v>
      </c>
      <c r="K36" s="1" t="s">
        <v>137</v>
      </c>
      <c r="L36" s="37"/>
      <c r="O36" s="1" t="s">
        <v>14</v>
      </c>
      <c r="P36" s="1">
        <v>0</v>
      </c>
    </row>
    <row r="37" spans="4:16" x14ac:dyDescent="0.45">
      <c r="D37" s="1" t="s">
        <v>104</v>
      </c>
      <c r="E37" s="1">
        <v>50</v>
      </c>
      <c r="F37" s="1" t="s">
        <v>105</v>
      </c>
      <c r="G37" s="1" t="s">
        <v>155</v>
      </c>
      <c r="H37" s="1">
        <v>6</v>
      </c>
      <c r="I37" s="1" t="s">
        <v>133</v>
      </c>
      <c r="J37" s="1" t="s">
        <v>130</v>
      </c>
      <c r="K37" s="1" t="s">
        <v>137</v>
      </c>
      <c r="L37" s="37"/>
      <c r="O37" s="1" t="s">
        <v>14</v>
      </c>
      <c r="P37" s="1">
        <v>0</v>
      </c>
    </row>
    <row r="38" spans="4:16" x14ac:dyDescent="0.45">
      <c r="D38" s="1" t="s">
        <v>106</v>
      </c>
      <c r="E38" s="1">
        <v>20</v>
      </c>
      <c r="F38" s="1" t="s">
        <v>101</v>
      </c>
      <c r="G38" s="1" t="s">
        <v>155</v>
      </c>
      <c r="H38" s="1">
        <v>6</v>
      </c>
      <c r="I38" s="1" t="s">
        <v>133</v>
      </c>
      <c r="J38" s="1" t="s">
        <v>130</v>
      </c>
      <c r="K38" s="1" t="s">
        <v>137</v>
      </c>
      <c r="L38" s="37" t="s">
        <v>145</v>
      </c>
      <c r="O38" s="1" t="s">
        <v>14</v>
      </c>
      <c r="P38" s="1">
        <v>0</v>
      </c>
    </row>
    <row r="39" spans="4:16" x14ac:dyDescent="0.45">
      <c r="D39" s="1" t="s">
        <v>107</v>
      </c>
      <c r="E39" s="1">
        <v>10</v>
      </c>
      <c r="F39" s="1" t="s">
        <v>103</v>
      </c>
      <c r="G39" s="1" t="s">
        <v>53</v>
      </c>
      <c r="H39" s="1">
        <v>6</v>
      </c>
      <c r="I39" s="1" t="s">
        <v>133</v>
      </c>
      <c r="K39" s="1" t="s">
        <v>140</v>
      </c>
      <c r="L39" s="37" t="s">
        <v>145</v>
      </c>
      <c r="O39" s="1" t="s">
        <v>14</v>
      </c>
      <c r="P39" s="1">
        <v>0</v>
      </c>
    </row>
    <row r="40" spans="4:16" x14ac:dyDescent="0.45">
      <c r="D40" s="1" t="s">
        <v>108</v>
      </c>
      <c r="E40" s="1">
        <v>15</v>
      </c>
      <c r="F40" s="1" t="s">
        <v>154</v>
      </c>
      <c r="G40" s="1" t="s">
        <v>155</v>
      </c>
      <c r="H40" s="1">
        <v>3</v>
      </c>
      <c r="I40" s="1" t="s">
        <v>133</v>
      </c>
      <c r="K40" s="1" t="s">
        <v>92</v>
      </c>
      <c r="L40" s="37"/>
      <c r="O40" s="1" t="s">
        <v>14</v>
      </c>
      <c r="P40" s="1">
        <v>0</v>
      </c>
    </row>
    <row r="41" spans="4:16" x14ac:dyDescent="0.45">
      <c r="D41" s="1" t="s">
        <v>109</v>
      </c>
      <c r="E41" s="1">
        <v>10</v>
      </c>
      <c r="F41" s="1" t="s">
        <v>105</v>
      </c>
      <c r="G41" s="1" t="s">
        <v>52</v>
      </c>
      <c r="H41" s="1">
        <v>10</v>
      </c>
      <c r="I41" s="1" t="s">
        <v>133</v>
      </c>
      <c r="J41" s="1" t="s">
        <v>130</v>
      </c>
      <c r="K41" s="1" t="s">
        <v>137</v>
      </c>
      <c r="L41" s="37"/>
      <c r="O41" s="1" t="s">
        <v>14</v>
      </c>
      <c r="P41" s="1">
        <v>0</v>
      </c>
    </row>
    <row r="42" spans="4:16" x14ac:dyDescent="0.45">
      <c r="D42" s="1" t="s">
        <v>110</v>
      </c>
      <c r="E42" s="1">
        <v>15</v>
      </c>
      <c r="F42" s="1" t="s">
        <v>86</v>
      </c>
      <c r="G42" s="1" t="s">
        <v>53</v>
      </c>
      <c r="H42" s="1">
        <v>4</v>
      </c>
      <c r="I42" s="1" t="s">
        <v>133</v>
      </c>
      <c r="K42" s="1" t="s">
        <v>138</v>
      </c>
      <c r="L42" s="37"/>
      <c r="O42" s="1" t="s">
        <v>14</v>
      </c>
      <c r="P42" s="1">
        <v>0</v>
      </c>
    </row>
    <row r="43" spans="4:16" x14ac:dyDescent="0.45">
      <c r="D43" s="1" t="s">
        <v>111</v>
      </c>
      <c r="E43" s="1">
        <v>5</v>
      </c>
      <c r="F43" s="1" t="s">
        <v>101</v>
      </c>
      <c r="G43" s="1" t="s">
        <v>53</v>
      </c>
      <c r="H43" s="1">
        <v>18</v>
      </c>
      <c r="I43" s="1" t="s">
        <v>133</v>
      </c>
      <c r="J43" s="1" t="s">
        <v>130</v>
      </c>
      <c r="K43" s="1" t="s">
        <v>137</v>
      </c>
      <c r="L43" s="37" t="s">
        <v>145</v>
      </c>
      <c r="O43" s="1" t="s">
        <v>14</v>
      </c>
      <c r="P43" s="1">
        <v>0</v>
      </c>
    </row>
    <row r="44" spans="4:16" x14ac:dyDescent="0.45">
      <c r="D44" s="1" t="s">
        <v>112</v>
      </c>
      <c r="E44" s="1">
        <v>25</v>
      </c>
      <c r="F44" s="1" t="s">
        <v>86</v>
      </c>
      <c r="G44" s="1" t="s">
        <v>53</v>
      </c>
      <c r="H44" s="1">
        <v>2</v>
      </c>
      <c r="I44" s="1" t="s">
        <v>133</v>
      </c>
      <c r="K44" s="1" t="s">
        <v>138</v>
      </c>
      <c r="L44" s="37"/>
      <c r="O44" s="1" t="s">
        <v>113</v>
      </c>
      <c r="P44" s="1">
        <v>0</v>
      </c>
    </row>
    <row r="45" spans="4:16" x14ac:dyDescent="0.45">
      <c r="D45" s="1" t="s">
        <v>114</v>
      </c>
      <c r="E45" s="1">
        <v>25</v>
      </c>
      <c r="F45" s="1" t="s">
        <v>88</v>
      </c>
      <c r="G45" s="1" t="s">
        <v>155</v>
      </c>
      <c r="H45" s="1">
        <v>3</v>
      </c>
      <c r="I45" s="1" t="s">
        <v>133</v>
      </c>
      <c r="J45" s="1" t="s">
        <v>83</v>
      </c>
      <c r="K45" s="1" t="s">
        <v>138</v>
      </c>
      <c r="L45" s="37"/>
      <c r="O45" s="1" t="s">
        <v>113</v>
      </c>
      <c r="P45" s="1">
        <v>0</v>
      </c>
    </row>
    <row r="46" spans="4:16" x14ac:dyDescent="0.45">
      <c r="D46" s="1" t="s">
        <v>115</v>
      </c>
      <c r="E46" s="1">
        <v>10</v>
      </c>
      <c r="F46" s="1" t="s">
        <v>88</v>
      </c>
      <c r="G46" s="1" t="s">
        <v>53</v>
      </c>
      <c r="H46" s="1">
        <v>2</v>
      </c>
      <c r="I46" s="1" t="s">
        <v>133</v>
      </c>
      <c r="J46" s="1" t="s">
        <v>83</v>
      </c>
      <c r="K46" s="1" t="s">
        <v>138</v>
      </c>
      <c r="L46" s="37"/>
      <c r="O46" s="1" t="s">
        <v>113</v>
      </c>
      <c r="P46" s="1">
        <v>1</v>
      </c>
    </row>
    <row r="47" spans="4:16" x14ac:dyDescent="0.45">
      <c r="D47" s="1" t="s">
        <v>116</v>
      </c>
      <c r="E47" s="1">
        <v>5</v>
      </c>
      <c r="F47" s="1" t="s">
        <v>153</v>
      </c>
      <c r="G47" s="1" t="s">
        <v>53</v>
      </c>
      <c r="H47" s="1">
        <v>4</v>
      </c>
      <c r="I47" s="1" t="s">
        <v>133</v>
      </c>
      <c r="K47" s="1" t="s">
        <v>92</v>
      </c>
      <c r="L47" s="37" t="s">
        <v>142</v>
      </c>
      <c r="M47" s="1" t="s">
        <v>89</v>
      </c>
      <c r="O47" s="1" t="s">
        <v>14</v>
      </c>
      <c r="P47" s="1">
        <v>0</v>
      </c>
    </row>
    <row r="48" spans="4:16" x14ac:dyDescent="0.45">
      <c r="D48" s="1" t="s">
        <v>125</v>
      </c>
      <c r="E48" s="1">
        <v>5</v>
      </c>
      <c r="F48" s="1" t="s">
        <v>86</v>
      </c>
      <c r="G48" s="1" t="s">
        <v>53</v>
      </c>
      <c r="H48" s="1">
        <v>2</v>
      </c>
      <c r="I48" s="1" t="s">
        <v>133</v>
      </c>
      <c r="K48" s="1" t="s">
        <v>138</v>
      </c>
      <c r="L48" s="37"/>
      <c r="O48" s="1" t="s">
        <v>14</v>
      </c>
      <c r="P48" s="1">
        <v>0</v>
      </c>
    </row>
    <row r="49" spans="4:16" x14ac:dyDescent="0.45">
      <c r="D49" s="1" t="s">
        <v>117</v>
      </c>
      <c r="E49" s="1">
        <v>15</v>
      </c>
      <c r="F49" s="1" t="s">
        <v>86</v>
      </c>
      <c r="G49" s="1" t="s">
        <v>52</v>
      </c>
      <c r="H49" s="1">
        <v>2</v>
      </c>
      <c r="I49" s="1" t="s">
        <v>133</v>
      </c>
      <c r="K49" s="1" t="s">
        <v>92</v>
      </c>
      <c r="L49" s="37"/>
      <c r="O49" s="1" t="s">
        <v>14</v>
      </c>
      <c r="P49" s="1">
        <v>0</v>
      </c>
    </row>
    <row r="50" spans="4:16" x14ac:dyDescent="0.45">
      <c r="D50" s="1" t="s">
        <v>118</v>
      </c>
      <c r="E50" s="1">
        <v>2</v>
      </c>
      <c r="F50" s="1" t="s">
        <v>82</v>
      </c>
      <c r="G50" s="1" t="s">
        <v>155</v>
      </c>
      <c r="H50" s="1">
        <v>3</v>
      </c>
      <c r="I50" s="1" t="s">
        <v>133</v>
      </c>
      <c r="K50" s="1" t="s">
        <v>92</v>
      </c>
      <c r="L50" s="37" t="s">
        <v>145</v>
      </c>
      <c r="O50" s="1" t="s">
        <v>113</v>
      </c>
      <c r="P50" s="1">
        <v>0</v>
      </c>
    </row>
    <row r="51" spans="4:16" x14ac:dyDescent="0.45">
      <c r="D51" s="1" t="s">
        <v>119</v>
      </c>
      <c r="E51" s="1">
        <v>10</v>
      </c>
      <c r="F51" s="1">
        <v>1</v>
      </c>
      <c r="G51" s="1" t="s">
        <v>53</v>
      </c>
      <c r="H51" s="1" t="s">
        <v>95</v>
      </c>
      <c r="I51" s="1" t="s">
        <v>135</v>
      </c>
      <c r="K51" s="1" t="s">
        <v>138</v>
      </c>
      <c r="L51" s="37" t="s">
        <v>146</v>
      </c>
      <c r="M51" s="1" t="s">
        <v>95</v>
      </c>
      <c r="N51" s="1" t="s">
        <v>150</v>
      </c>
      <c r="O51" s="1" t="s">
        <v>56</v>
      </c>
      <c r="P51" s="1">
        <v>0</v>
      </c>
    </row>
    <row r="52" spans="4:16" x14ac:dyDescent="0.45">
      <c r="D52" s="1" t="s">
        <v>126</v>
      </c>
      <c r="E52" s="1">
        <v>75</v>
      </c>
      <c r="F52" s="1" t="s">
        <v>88</v>
      </c>
      <c r="G52" s="1" t="s">
        <v>53</v>
      </c>
      <c r="H52" s="1" t="s">
        <v>95</v>
      </c>
      <c r="I52" s="1" t="s">
        <v>135</v>
      </c>
      <c r="J52" s="1" t="s">
        <v>83</v>
      </c>
      <c r="K52" s="1" t="s">
        <v>138</v>
      </c>
      <c r="L52" s="37" t="s">
        <v>143</v>
      </c>
      <c r="M52" s="1" t="s">
        <v>95</v>
      </c>
      <c r="N52" s="1" t="s">
        <v>150</v>
      </c>
      <c r="O52" s="1" t="s">
        <v>56</v>
      </c>
      <c r="P52" s="1">
        <v>0</v>
      </c>
    </row>
    <row r="53" spans="4:16" x14ac:dyDescent="0.45">
      <c r="D53" s="1" t="s">
        <v>127</v>
      </c>
      <c r="E53" s="1">
        <v>50</v>
      </c>
      <c r="F53" s="1" t="s">
        <v>101</v>
      </c>
      <c r="G53" s="1" t="s">
        <v>53</v>
      </c>
      <c r="H53" s="1" t="s">
        <v>95</v>
      </c>
      <c r="I53" s="1" t="s">
        <v>135</v>
      </c>
      <c r="J53" s="1" t="s">
        <v>130</v>
      </c>
      <c r="K53" s="1" t="s">
        <v>137</v>
      </c>
      <c r="L53" s="37" t="s">
        <v>147</v>
      </c>
      <c r="M53" s="1" t="s">
        <v>95</v>
      </c>
      <c r="N53" s="1" t="s">
        <v>150</v>
      </c>
      <c r="O53" s="1" t="s">
        <v>56</v>
      </c>
      <c r="P53" s="1">
        <v>0</v>
      </c>
    </row>
    <row r="54" spans="4:16" x14ac:dyDescent="0.45">
      <c r="D54" s="1" t="s">
        <v>120</v>
      </c>
      <c r="E54" s="1">
        <v>50</v>
      </c>
      <c r="F54" s="1" t="s">
        <v>86</v>
      </c>
      <c r="G54" s="1" t="s">
        <v>53</v>
      </c>
      <c r="H54" s="1" t="s">
        <v>95</v>
      </c>
      <c r="I54" s="1" t="s">
        <v>135</v>
      </c>
      <c r="J54" s="1" t="s">
        <v>130</v>
      </c>
      <c r="K54" s="1" t="s">
        <v>137</v>
      </c>
      <c r="L54" s="37" t="s">
        <v>148</v>
      </c>
      <c r="M54" s="1" t="s">
        <v>95</v>
      </c>
      <c r="O54" s="1" t="s">
        <v>56</v>
      </c>
      <c r="P54" s="1">
        <v>0</v>
      </c>
    </row>
    <row r="55" spans="4:16" x14ac:dyDescent="0.45">
      <c r="D55" s="1" t="s">
        <v>121</v>
      </c>
      <c r="E55" s="1">
        <v>1</v>
      </c>
      <c r="H55" s="1">
        <v>3</v>
      </c>
      <c r="I55" s="1" t="s">
        <v>135</v>
      </c>
      <c r="K55" s="1" t="s">
        <v>140</v>
      </c>
      <c r="L55" s="37" t="s">
        <v>152</v>
      </c>
      <c r="M55" s="1" t="s">
        <v>89</v>
      </c>
      <c r="O55" s="1" t="s">
        <v>56</v>
      </c>
      <c r="P55" s="1"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5" sqref="C25"/>
    </sheetView>
  </sheetViews>
  <sheetFormatPr defaultRowHeight="14.25" x14ac:dyDescent="0.45"/>
  <sheetData>
    <row r="1" spans="1:4" x14ac:dyDescent="0.45">
      <c r="A1" t="s">
        <v>172</v>
      </c>
      <c r="B1" t="s">
        <v>171</v>
      </c>
      <c r="C1" s="83" t="s">
        <v>176</v>
      </c>
      <c r="D1" t="s">
        <v>79</v>
      </c>
    </row>
    <row r="2" spans="1:4" x14ac:dyDescent="0.45">
      <c r="A2" s="35">
        <v>1</v>
      </c>
      <c r="B2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2</v>
      </c>
      <c r="C2" s="84" t="str">
        <f>Table7[[#Headers],[+9]]</f>
        <v>+9</v>
      </c>
      <c r="D2" s="35">
        <f ca="1">Table7[[#This Row],[Rolls]]+IF(Table7[[#This Row],[Rolls]]&gt;0,Table7[[#This Row],[+9]],0)</f>
        <v>11</v>
      </c>
    </row>
    <row r="3" spans="1:4" x14ac:dyDescent="0.45">
      <c r="A3" s="35">
        <v>2</v>
      </c>
      <c r="B3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3" s="84" t="str">
        <f>Table7[[#Headers],[+9]]</f>
        <v>+9</v>
      </c>
      <c r="D3" s="35">
        <f ca="1">Table7[[#This Row],[Rolls]]+IF(Table7[[#This Row],[Rolls]]&gt;0,Table7[[#This Row],[+9]],0)</f>
        <v>0</v>
      </c>
    </row>
    <row r="4" spans="1:4" x14ac:dyDescent="0.45">
      <c r="A4" s="35">
        <v>3</v>
      </c>
      <c r="B4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4" s="84" t="str">
        <f>Table7[[#Headers],[+9]]</f>
        <v>+9</v>
      </c>
      <c r="D4" s="35">
        <f ca="1">Table7[[#This Row],[Rolls]]+IF(Table7[[#This Row],[Rolls]]&gt;0,Table7[[#This Row],[+9]],0)</f>
        <v>0</v>
      </c>
    </row>
    <row r="5" spans="1:4" x14ac:dyDescent="0.45">
      <c r="A5" s="35">
        <v>4</v>
      </c>
      <c r="B5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5" s="84" t="str">
        <f>Table7[[#Headers],[+9]]</f>
        <v>+9</v>
      </c>
      <c r="D5" s="35">
        <f ca="1">Table7[[#This Row],[Rolls]]+IF(Table7[[#This Row],[Rolls]]&gt;0,Table7[[#This Row],[+9]],0)</f>
        <v>0</v>
      </c>
    </row>
    <row r="6" spans="1:4" x14ac:dyDescent="0.45">
      <c r="A6" s="35">
        <v>5</v>
      </c>
      <c r="B6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6" s="84" t="str">
        <f>Table7[[#Headers],[+9]]</f>
        <v>+9</v>
      </c>
      <c r="D6" s="35">
        <f ca="1">Table7[[#This Row],[Rolls]]+IF(Table7[[#This Row],[Rolls]]&gt;0,Table7[[#This Row],[+9]],0)</f>
        <v>0</v>
      </c>
    </row>
    <row r="7" spans="1:4" x14ac:dyDescent="0.45">
      <c r="A7" s="35">
        <v>6</v>
      </c>
      <c r="B7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7" s="84" t="str">
        <f>Table7[[#Headers],[+9]]</f>
        <v>+9</v>
      </c>
      <c r="D7" s="35">
        <f ca="1">Table7[[#This Row],[Rolls]]+IF(Table7[[#This Row],[Rolls]]&gt;0,Table7[[#This Row],[+9]],0)</f>
        <v>0</v>
      </c>
    </row>
    <row r="8" spans="1:4" x14ac:dyDescent="0.45">
      <c r="A8" s="35">
        <v>7</v>
      </c>
      <c r="B8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8" s="84" t="str">
        <f>Table7[[#Headers],[+9]]</f>
        <v>+9</v>
      </c>
      <c r="D8" s="35">
        <f ca="1">Table7[[#This Row],[Rolls]]+IF(Table7[[#This Row],[Rolls]]&gt;0,Table7[[#This Row],[+9]],0)</f>
        <v>0</v>
      </c>
    </row>
    <row r="9" spans="1:4" x14ac:dyDescent="0.45">
      <c r="A9" s="35">
        <v>8</v>
      </c>
      <c r="B9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9" s="84" t="str">
        <f>Table7[[#Headers],[+9]]</f>
        <v>+9</v>
      </c>
      <c r="D9" s="35">
        <f ca="1">Table7[[#This Row],[Rolls]]+IF(Table7[[#This Row],[Rolls]]&gt;0,Table7[[#This Row],[+9]],0)</f>
        <v>0</v>
      </c>
    </row>
    <row r="10" spans="1:4" x14ac:dyDescent="0.45">
      <c r="A10" s="35">
        <v>9</v>
      </c>
      <c r="B10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0" s="84" t="str">
        <f>Table7[[#Headers],[+9]]</f>
        <v>+9</v>
      </c>
      <c r="D10" s="35">
        <f ca="1">Table7[[#This Row],[Rolls]]+IF(Table7[[#This Row],[Rolls]]&gt;0,Table7[[#This Row],[+9]],0)</f>
        <v>0</v>
      </c>
    </row>
    <row r="11" spans="1:4" x14ac:dyDescent="0.45">
      <c r="A11" s="35">
        <v>10</v>
      </c>
      <c r="B11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1" s="84" t="str">
        <f>Table7[[#Headers],[+9]]</f>
        <v>+9</v>
      </c>
      <c r="D11" s="35">
        <f ca="1">Table7[[#This Row],[Rolls]]+IF(Table7[[#This Row],[Rolls]]&gt;0,Table7[[#This Row],[+9]],0)</f>
        <v>0</v>
      </c>
    </row>
    <row r="12" spans="1:4" x14ac:dyDescent="0.45">
      <c r="A12" s="35">
        <v>11</v>
      </c>
      <c r="B12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2" s="84" t="str">
        <f>Table7[[#Headers],[+9]]</f>
        <v>+9</v>
      </c>
      <c r="D12" s="35">
        <f ca="1">Table7[[#This Row],[Rolls]]+IF(Table7[[#This Row],[Rolls]]&gt;0,Table7[[#This Row],[+9]],0)</f>
        <v>0</v>
      </c>
    </row>
    <row r="13" spans="1:4" x14ac:dyDescent="0.45">
      <c r="A13" s="35">
        <v>12</v>
      </c>
      <c r="B13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3" s="84" t="str">
        <f>Table7[[#Headers],[+9]]</f>
        <v>+9</v>
      </c>
      <c r="D13" s="35">
        <f ca="1">Table7[[#This Row],[Rolls]]+IF(Table7[[#This Row],[Rolls]]&gt;0,Table7[[#This Row],[+9]],0)</f>
        <v>0</v>
      </c>
    </row>
    <row r="14" spans="1:4" x14ac:dyDescent="0.45">
      <c r="A14" s="35">
        <v>13</v>
      </c>
      <c r="B14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4" s="84" t="str">
        <f>Table7[[#Headers],[+9]]</f>
        <v>+9</v>
      </c>
      <c r="D14" s="35">
        <f ca="1">Table7[[#This Row],[Rolls]]+IF(Table7[[#This Row],[Rolls]]&gt;0,Table7[[#This Row],[+9]],0)</f>
        <v>0</v>
      </c>
    </row>
    <row r="15" spans="1:4" x14ac:dyDescent="0.45">
      <c r="A15" s="35">
        <v>14</v>
      </c>
      <c r="B15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5" s="84" t="str">
        <f>Table7[[#Headers],[+9]]</f>
        <v>+9</v>
      </c>
      <c r="D15" s="35">
        <f ca="1">Table7[[#This Row],[Rolls]]+IF(Table7[[#This Row],[Rolls]]&gt;0,Table7[[#This Row],[+9]],0)</f>
        <v>0</v>
      </c>
    </row>
    <row r="16" spans="1:4" x14ac:dyDescent="0.45">
      <c r="A16" s="35">
        <v>15</v>
      </c>
      <c r="B16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6" s="84" t="str">
        <f>Table7[[#Headers],[+9]]</f>
        <v>+9</v>
      </c>
      <c r="D16" s="35">
        <f ca="1">Table7[[#This Row],[Rolls]]+IF(Table7[[#This Row],[Rolls]]&gt;0,Table7[[#This Row],[+9]],0)</f>
        <v>0</v>
      </c>
    </row>
    <row r="17" spans="1:4" x14ac:dyDescent="0.45">
      <c r="A17" s="35">
        <v>16</v>
      </c>
      <c r="B17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7" s="84" t="str">
        <f>Table7[[#Headers],[+9]]</f>
        <v>+9</v>
      </c>
      <c r="D17" s="35">
        <f ca="1">Table7[[#This Row],[Rolls]]+IF(Table7[[#This Row],[Rolls]]&gt;0,Table7[[#This Row],[+9]],0)</f>
        <v>0</v>
      </c>
    </row>
    <row r="18" spans="1:4" x14ac:dyDescent="0.45">
      <c r="A18" s="35">
        <v>17</v>
      </c>
      <c r="B18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8" s="84" t="str">
        <f>Table7[[#Headers],[+9]]</f>
        <v>+9</v>
      </c>
      <c r="D18" s="35">
        <f ca="1">Table7[[#This Row],[Rolls]]+IF(Table7[[#This Row],[Rolls]]&gt;0,Table7[[#This Row],[+9]],0)</f>
        <v>0</v>
      </c>
    </row>
    <row r="19" spans="1:4" x14ac:dyDescent="0.45">
      <c r="A19" s="35">
        <v>18</v>
      </c>
      <c r="B19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19" s="84" t="str">
        <f>Table7[[#Headers],[+9]]</f>
        <v>+9</v>
      </c>
      <c r="D19" s="35">
        <f ca="1">Table7[[#This Row],[Rolls]]+IF(Table7[[#This Row],[Rolls]]&gt;0,Table7[[#This Row],[+9]],0)</f>
        <v>0</v>
      </c>
    </row>
    <row r="20" spans="1:4" x14ac:dyDescent="0.45">
      <c r="A20" s="35">
        <v>19</v>
      </c>
      <c r="B20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20" s="84" t="str">
        <f>Table7[[#Headers],[+9]]</f>
        <v>+9</v>
      </c>
      <c r="D20" s="35">
        <f ca="1">Table7[[#This Row],[Rolls]]+IF(Table7[[#This Row],[Rolls]]&gt;0,Table7[[#This Row],[+9]],0)</f>
        <v>0</v>
      </c>
    </row>
    <row r="21" spans="1:4" x14ac:dyDescent="0.45">
      <c r="A21" s="35">
        <v>20</v>
      </c>
      <c r="B21" s="81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  <c r="C21" s="84" t="str">
        <f>Table7[[#Headers],[+9]]</f>
        <v>+9</v>
      </c>
      <c r="D21" s="35">
        <f ca="1">Table7[[#This Row],[Rolls]]+IF(Table7[[#This Row],[Rolls]]&gt;0,Table7[[#This Row],[+9]],0)</f>
        <v>0</v>
      </c>
    </row>
    <row r="22" spans="1:4" x14ac:dyDescent="0.45">
      <c r="A22" s="36" t="s">
        <v>79</v>
      </c>
      <c r="B22" s="52">
        <f ca="1">SUBTOTAL(109,Table7[Rolls])</f>
        <v>2</v>
      </c>
      <c r="D22" s="82">
        <f ca="1">SUBTOTAL(109,Table7[Total])</f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Character Sheet</vt:lpstr>
      <vt:lpstr>Tables</vt:lpstr>
      <vt:lpstr>Dice Roller</vt:lpstr>
      <vt:lpstr>ac</vt:lpstr>
      <vt:lpstr>acro.prof</vt:lpstr>
      <vt:lpstr>anim.prof</vt:lpstr>
      <vt:lpstr>arca.prof</vt:lpstr>
      <vt:lpstr>armor.list</vt:lpstr>
      <vt:lpstr>athl.prof</vt:lpstr>
      <vt:lpstr>cha.base</vt:lpstr>
      <vt:lpstr>cha.bonus</vt:lpstr>
      <vt:lpstr>cha.save</vt:lpstr>
      <vt:lpstr>cha.save.prof</vt:lpstr>
      <vt:lpstr>class</vt:lpstr>
      <vt:lpstr>con.base</vt:lpstr>
      <vt:lpstr>con.bonus</vt:lpstr>
      <vt:lpstr>con.save</vt:lpstr>
      <vt:lpstr>con.save.prof</vt:lpstr>
      <vt:lpstr>cp</vt:lpstr>
      <vt:lpstr>dece.prof</vt:lpstr>
      <vt:lpstr>dex.base</vt:lpstr>
      <vt:lpstr>dex.bonus</vt:lpstr>
      <vt:lpstr>dex.save</vt:lpstr>
      <vt:lpstr>dex.save.prof</vt:lpstr>
      <vt:lpstr>dmg</vt:lpstr>
      <vt:lpstr>ep</vt:lpstr>
      <vt:lpstr>exp</vt:lpstr>
      <vt:lpstr>gp</vt:lpstr>
      <vt:lpstr>hist.prof</vt:lpstr>
      <vt:lpstr>hp.curr</vt:lpstr>
      <vt:lpstr>hp.max</vt:lpstr>
      <vt:lpstr>hp.temp</vt:lpstr>
      <vt:lpstr>initiative</vt:lpstr>
      <vt:lpstr>insi.prof</vt:lpstr>
      <vt:lpstr>int.base</vt:lpstr>
      <vt:lpstr>int.bonus</vt:lpstr>
      <vt:lpstr>int.pass</vt:lpstr>
      <vt:lpstr>int.save</vt:lpstr>
      <vt:lpstr>int.save.prof</vt:lpstr>
      <vt:lpstr>inti.prof</vt:lpstr>
      <vt:lpstr>inve.prof</vt:lpstr>
      <vt:lpstr>level.monk</vt:lpstr>
      <vt:lpstr>level.rogue</vt:lpstr>
      <vt:lpstr>medi.prof</vt:lpstr>
      <vt:lpstr>natu.prof</vt:lpstr>
      <vt:lpstr>perc.prof</vt:lpstr>
      <vt:lpstr>perf.prof</vt:lpstr>
      <vt:lpstr>pers.prof</vt:lpstr>
      <vt:lpstr>pp</vt:lpstr>
      <vt:lpstr>prof.bonus</vt:lpstr>
      <vt:lpstr>rel.prof</vt:lpstr>
      <vt:lpstr>soh.prof</vt:lpstr>
      <vt:lpstr>sp</vt:lpstr>
      <vt:lpstr>speed</vt:lpstr>
      <vt:lpstr>stea.prof</vt:lpstr>
      <vt:lpstr>str.base</vt:lpstr>
      <vt:lpstr>str.bonus</vt:lpstr>
      <vt:lpstr>str.save</vt:lpstr>
      <vt:lpstr>str.save.prof</vt:lpstr>
      <vt:lpstr>surv.prof</vt:lpstr>
      <vt:lpstr>weapon.list</vt:lpstr>
      <vt:lpstr>wis.base</vt:lpstr>
      <vt:lpstr>wis.bonus</vt:lpstr>
      <vt:lpstr>wis.pass</vt:lpstr>
      <vt:lpstr>wis.save</vt:lpstr>
      <vt:lpstr>wis.save.prof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scott_000</dc:creator>
  <cp:lastModifiedBy>scott_000</cp:lastModifiedBy>
  <dcterms:created xsi:type="dcterms:W3CDTF">2016-12-19T00:37:01Z</dcterms:created>
  <dcterms:modified xsi:type="dcterms:W3CDTF">2017-01-05T00:04:07Z</dcterms:modified>
</cp:coreProperties>
</file>