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j5\Desktop\Desktop\Shane\Sept Submission\CRISPR J\Revised\"/>
    </mc:Choice>
  </mc:AlternateContent>
  <xr:revisionPtr revIDLastSave="0" documentId="13_ncr:1_{5D0F58B9-9924-4519-B644-AE7670288614}" xr6:coauthVersionLast="36" xr6:coauthVersionMax="36" xr10:uidLastSave="{00000000-0000-0000-0000-000000000000}"/>
  <bookViews>
    <workbookView xWindow="0" yWindow="0" windowWidth="23040" windowHeight="9300" xr2:uid="{00000000-000D-0000-FFFF-FFFF00000000}"/>
  </bookViews>
  <sheets>
    <sheet name="TracrPredictor &amp; CRISPROne" sheetId="2" r:id="rId1"/>
  </sheets>
  <definedNames>
    <definedName name="_xlnm._FilterDatabase" localSheetId="0" hidden="1">'TracrPredictor &amp; CRISPROne'!$A$2:$AV$75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4" i="2" l="1"/>
  <c r="AM4" i="2"/>
  <c r="AL5" i="2"/>
  <c r="AM5" i="2"/>
  <c r="AL6" i="2"/>
  <c r="AM6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4" i="2"/>
  <c r="AM24" i="2"/>
  <c r="AL25" i="2"/>
  <c r="AM25" i="2"/>
  <c r="AL28" i="2"/>
  <c r="AM28" i="2"/>
  <c r="AL29" i="2"/>
  <c r="AM29" i="2"/>
  <c r="AL30" i="2"/>
  <c r="AM30" i="2"/>
  <c r="AL32" i="2"/>
  <c r="AM32" i="2"/>
  <c r="AL33" i="2"/>
  <c r="AM33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6" i="2"/>
  <c r="AM46" i="2"/>
  <c r="AL47" i="2"/>
  <c r="AM47" i="2"/>
  <c r="AL48" i="2"/>
  <c r="AM48" i="2"/>
  <c r="AL49" i="2"/>
  <c r="AM49" i="2"/>
  <c r="AL50" i="2"/>
  <c r="AM50" i="2"/>
  <c r="AL52" i="2"/>
  <c r="AM52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4" i="2"/>
  <c r="AM64" i="2"/>
  <c r="AL65" i="2"/>
  <c r="AM65" i="2"/>
  <c r="AL66" i="2"/>
  <c r="AM66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3" i="2"/>
  <c r="AM3" i="2"/>
  <c r="U4" i="2"/>
  <c r="U5" i="2"/>
  <c r="U7" i="2"/>
  <c r="U9" i="2"/>
  <c r="U14" i="2"/>
  <c r="U17" i="2"/>
  <c r="U18" i="2"/>
  <c r="U19" i="2"/>
  <c r="U20" i="2"/>
  <c r="U24" i="2"/>
  <c r="U34" i="2"/>
  <c r="U35" i="2"/>
  <c r="U36" i="2"/>
  <c r="U37" i="2"/>
  <c r="U40" i="2"/>
  <c r="U41" i="2"/>
  <c r="U42" i="2"/>
  <c r="U43" i="2"/>
  <c r="U44" i="2"/>
  <c r="U45" i="2"/>
  <c r="U46" i="2"/>
  <c r="U47" i="2"/>
  <c r="U48" i="2"/>
  <c r="U49" i="2"/>
  <c r="U50" i="2"/>
  <c r="U52" i="2"/>
  <c r="U53" i="2"/>
  <c r="U55" i="2"/>
  <c r="U56" i="2"/>
  <c r="U57" i="2"/>
  <c r="U58" i="2"/>
  <c r="U59" i="2"/>
  <c r="U62" i="2"/>
  <c r="U64" i="2"/>
  <c r="U65" i="2"/>
  <c r="U66" i="2"/>
  <c r="U67" i="2"/>
  <c r="U68" i="2"/>
  <c r="U70" i="2"/>
  <c r="U71" i="2"/>
  <c r="U72" i="2"/>
  <c r="U73" i="2"/>
  <c r="U3" i="2"/>
  <c r="T4" i="2"/>
  <c r="T5" i="2"/>
  <c r="T7" i="2"/>
  <c r="T9" i="2"/>
  <c r="T14" i="2"/>
  <c r="T17" i="2"/>
  <c r="T18" i="2"/>
  <c r="T19" i="2"/>
  <c r="T20" i="2"/>
  <c r="T24" i="2"/>
  <c r="T34" i="2"/>
  <c r="T35" i="2"/>
  <c r="T36" i="2"/>
  <c r="T37" i="2"/>
  <c r="T40" i="2"/>
  <c r="T41" i="2"/>
  <c r="T42" i="2"/>
  <c r="T43" i="2"/>
  <c r="T44" i="2"/>
  <c r="T45" i="2"/>
  <c r="T46" i="2"/>
  <c r="T47" i="2"/>
  <c r="T48" i="2"/>
  <c r="T49" i="2"/>
  <c r="T50" i="2"/>
  <c r="T52" i="2"/>
  <c r="T53" i="2"/>
  <c r="T55" i="2"/>
  <c r="T56" i="2"/>
  <c r="T57" i="2"/>
  <c r="T58" i="2"/>
  <c r="T59" i="2"/>
  <c r="T62" i="2"/>
  <c r="T64" i="2"/>
  <c r="T65" i="2"/>
  <c r="T66" i="2"/>
  <c r="T67" i="2"/>
  <c r="T68" i="2"/>
  <c r="T70" i="2"/>
  <c r="T71" i="2"/>
  <c r="T72" i="2"/>
  <c r="T73" i="2"/>
  <c r="T3" i="2"/>
  <c r="AN4" i="2"/>
  <c r="AN5" i="2"/>
  <c r="AN6" i="2"/>
  <c r="AN8" i="2"/>
  <c r="AN9" i="2"/>
  <c r="AN10" i="2"/>
  <c r="AN11" i="2"/>
  <c r="AN12" i="2"/>
  <c r="AN13" i="2"/>
  <c r="AN14" i="2"/>
  <c r="AN17" i="2"/>
  <c r="AN18" i="2"/>
  <c r="AN19" i="2"/>
  <c r="AN20" i="2"/>
  <c r="AN21" i="2"/>
  <c r="AN22" i="2"/>
  <c r="AN24" i="2"/>
  <c r="AN25" i="2"/>
  <c r="AN28" i="2"/>
  <c r="AN29" i="2"/>
  <c r="AN30" i="2"/>
  <c r="AN32" i="2"/>
  <c r="AN33" i="2"/>
  <c r="AN35" i="2"/>
  <c r="AN36" i="2"/>
  <c r="AN37" i="2"/>
  <c r="AN38" i="2"/>
  <c r="AN39" i="2"/>
  <c r="AN40" i="2"/>
  <c r="AN41" i="2"/>
  <c r="AN42" i="2"/>
  <c r="AN43" i="2"/>
  <c r="AN44" i="2"/>
  <c r="AN46" i="2"/>
  <c r="AN47" i="2"/>
  <c r="AN48" i="2"/>
  <c r="AN49" i="2"/>
  <c r="AN50" i="2"/>
  <c r="AN52" i="2"/>
  <c r="AN54" i="2"/>
  <c r="AN55" i="2"/>
  <c r="AN56" i="2"/>
  <c r="AN57" i="2"/>
  <c r="AN58" i="2"/>
  <c r="AN59" i="2"/>
  <c r="AN60" i="2"/>
  <c r="AN61" i="2"/>
  <c r="AN62" i="2"/>
  <c r="AN64" i="2"/>
  <c r="AN65" i="2"/>
  <c r="AN66" i="2"/>
  <c r="AN68" i="2"/>
  <c r="AN69" i="2"/>
  <c r="AN70" i="2"/>
  <c r="AN71" i="2"/>
  <c r="AN72" i="2"/>
  <c r="AN73" i="2"/>
  <c r="AN3" i="2"/>
  <c r="AJ49" i="2"/>
  <c r="AK49" i="2"/>
  <c r="AJ50" i="2"/>
  <c r="AK50" i="2"/>
  <c r="AJ52" i="2"/>
  <c r="AK52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4" i="2"/>
  <c r="AK64" i="2"/>
  <c r="AJ65" i="2"/>
  <c r="AK65" i="2"/>
  <c r="AJ66" i="2"/>
  <c r="AK66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4" i="2"/>
  <c r="AK4" i="2"/>
  <c r="AJ5" i="2"/>
  <c r="AK5" i="2"/>
  <c r="AJ6" i="2"/>
  <c r="AK6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4" i="2"/>
  <c r="AK24" i="2"/>
  <c r="AJ25" i="2"/>
  <c r="AK25" i="2"/>
  <c r="AJ28" i="2"/>
  <c r="AK28" i="2"/>
  <c r="AJ29" i="2"/>
  <c r="AK29" i="2"/>
  <c r="AJ30" i="2"/>
  <c r="AK30" i="2"/>
  <c r="AJ32" i="2"/>
  <c r="AK32" i="2"/>
  <c r="AJ33" i="2"/>
  <c r="AK33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6" i="2"/>
  <c r="AK46" i="2"/>
  <c r="AJ47" i="2"/>
  <c r="AK47" i="2"/>
  <c r="AJ48" i="2"/>
  <c r="AK48" i="2"/>
  <c r="AK3" i="2"/>
  <c r="S3" i="2"/>
  <c r="AJ3" i="2"/>
  <c r="AH19" i="2"/>
  <c r="AH20" i="2"/>
  <c r="AH21" i="2"/>
  <c r="AI52" i="2" l="1"/>
  <c r="AI43" i="2"/>
  <c r="AI60" i="2"/>
  <c r="AI72" i="2"/>
  <c r="AI64" i="2"/>
  <c r="AI56" i="2"/>
  <c r="AI68" i="2"/>
  <c r="AI3" i="2"/>
  <c r="AH3" i="2" s="1"/>
  <c r="AI35" i="2"/>
  <c r="AI49" i="2"/>
  <c r="AI47" i="2"/>
  <c r="AI19" i="2"/>
  <c r="AI11" i="2"/>
  <c r="AI39" i="2"/>
  <c r="AI57" i="2"/>
  <c r="AI48" i="2"/>
  <c r="AI46" i="2"/>
  <c r="AI44" i="2"/>
  <c r="AI42" i="2"/>
  <c r="AI41" i="2"/>
  <c r="AI40" i="2"/>
  <c r="AI38" i="2"/>
  <c r="AI37" i="2"/>
  <c r="AI36" i="2"/>
  <c r="AI33" i="2"/>
  <c r="AI32" i="2"/>
  <c r="AI30" i="2"/>
  <c r="AI29" i="2"/>
  <c r="AI28" i="2"/>
  <c r="AI25" i="2"/>
  <c r="AI24" i="2"/>
  <c r="AI22" i="2"/>
  <c r="AI21" i="2"/>
  <c r="AI20" i="2"/>
  <c r="AI18" i="2"/>
  <c r="AI17" i="2"/>
  <c r="AI14" i="2"/>
  <c r="AI13" i="2"/>
  <c r="AI12" i="2"/>
  <c r="AI10" i="2"/>
  <c r="AI9" i="2"/>
  <c r="AI8" i="2"/>
  <c r="AI6" i="2"/>
  <c r="AI5" i="2"/>
  <c r="AI4" i="2"/>
  <c r="AI73" i="2"/>
  <c r="AI71" i="2"/>
  <c r="AI70" i="2"/>
  <c r="AI69" i="2"/>
  <c r="AI66" i="2"/>
  <c r="AI65" i="2"/>
  <c r="AI62" i="2"/>
  <c r="AI61" i="2"/>
  <c r="AI59" i="2"/>
  <c r="AI58" i="2"/>
  <c r="AI55" i="2"/>
  <c r="AI54" i="2"/>
  <c r="AI50" i="2"/>
  <c r="AO8" i="2"/>
  <c r="AO9" i="2"/>
  <c r="AO10" i="2"/>
  <c r="AO11" i="2"/>
  <c r="AO12" i="2"/>
  <c r="AO13" i="2"/>
  <c r="AO14" i="2"/>
  <c r="AO17" i="2"/>
  <c r="AO18" i="2"/>
  <c r="AO22" i="2"/>
  <c r="AO24" i="2"/>
  <c r="AO25" i="2"/>
  <c r="AO28" i="2"/>
  <c r="AO29" i="2"/>
  <c r="AO30" i="2"/>
  <c r="AO32" i="2"/>
  <c r="AO33" i="2"/>
  <c r="AO35" i="2"/>
  <c r="AO36" i="2"/>
  <c r="AO37" i="2"/>
  <c r="AO38" i="2"/>
  <c r="AO39" i="2"/>
  <c r="AO40" i="2"/>
  <c r="AO41" i="2"/>
  <c r="AO42" i="2"/>
  <c r="AO43" i="2"/>
  <c r="AO44" i="2"/>
  <c r="AO46" i="2"/>
  <c r="AO47" i="2"/>
  <c r="AO48" i="2"/>
  <c r="AO49" i="2"/>
  <c r="AO50" i="2"/>
  <c r="AO52" i="2"/>
  <c r="AO54" i="2"/>
  <c r="AO55" i="2"/>
  <c r="AO56" i="2"/>
  <c r="AO57" i="2"/>
  <c r="AO58" i="2"/>
  <c r="AO59" i="2"/>
  <c r="AO60" i="2"/>
  <c r="AO61" i="2"/>
  <c r="AO62" i="2"/>
  <c r="AO64" i="2"/>
  <c r="AO65" i="2"/>
  <c r="AO66" i="2"/>
  <c r="AO68" i="2"/>
  <c r="AO69" i="2"/>
  <c r="AO70" i="2"/>
  <c r="AO71" i="2"/>
  <c r="AO72" i="2"/>
  <c r="AO73" i="2"/>
  <c r="AO4" i="2"/>
  <c r="AO5" i="2"/>
  <c r="AO6" i="2"/>
  <c r="AO3" i="2"/>
  <c r="AP4" i="2"/>
  <c r="AP5" i="2"/>
  <c r="AP6" i="2"/>
  <c r="AP8" i="2"/>
  <c r="AP9" i="2"/>
  <c r="AP10" i="2"/>
  <c r="AP11" i="2"/>
  <c r="AP12" i="2"/>
  <c r="AP13" i="2"/>
  <c r="AP14" i="2"/>
  <c r="AP17" i="2"/>
  <c r="AP18" i="2"/>
  <c r="AP19" i="2"/>
  <c r="AP20" i="2"/>
  <c r="AP21" i="2"/>
  <c r="AP22" i="2"/>
  <c r="AP24" i="2"/>
  <c r="AP25" i="2"/>
  <c r="AP28" i="2"/>
  <c r="AP29" i="2"/>
  <c r="AP30" i="2"/>
  <c r="AP32" i="2"/>
  <c r="AP33" i="2"/>
  <c r="AP35" i="2"/>
  <c r="AP36" i="2"/>
  <c r="AP37" i="2"/>
  <c r="AP38" i="2"/>
  <c r="AP39" i="2"/>
  <c r="AP40" i="2"/>
  <c r="AP41" i="2"/>
  <c r="AP42" i="2"/>
  <c r="AP43" i="2"/>
  <c r="AP44" i="2"/>
  <c r="AP46" i="2"/>
  <c r="AP47" i="2"/>
  <c r="AP48" i="2"/>
  <c r="AP49" i="2"/>
  <c r="AP50" i="2"/>
  <c r="AP52" i="2"/>
  <c r="AP54" i="2"/>
  <c r="AP55" i="2"/>
  <c r="AP56" i="2"/>
  <c r="AP57" i="2"/>
  <c r="AP58" i="2"/>
  <c r="AP59" i="2"/>
  <c r="AP60" i="2"/>
  <c r="AP61" i="2"/>
  <c r="AP62" i="2"/>
  <c r="AP64" i="2"/>
  <c r="AP65" i="2"/>
  <c r="AP66" i="2"/>
  <c r="AP68" i="2"/>
  <c r="AP69" i="2"/>
  <c r="AP70" i="2"/>
  <c r="AP71" i="2"/>
  <c r="AP72" i="2"/>
  <c r="AP73" i="2"/>
  <c r="AP3" i="2"/>
  <c r="R7" i="2"/>
  <c r="R9" i="2"/>
  <c r="R14" i="2"/>
  <c r="R17" i="2"/>
  <c r="R18" i="2"/>
  <c r="R19" i="2"/>
  <c r="R20" i="2"/>
  <c r="R24" i="2"/>
  <c r="R34" i="2"/>
  <c r="R36" i="2"/>
  <c r="R37" i="2"/>
  <c r="R40" i="2"/>
  <c r="R41" i="2"/>
  <c r="R42" i="2"/>
  <c r="R43" i="2"/>
  <c r="R45" i="2"/>
  <c r="R46" i="2"/>
  <c r="R47" i="2"/>
  <c r="R48" i="2"/>
  <c r="R49" i="2"/>
  <c r="R50" i="2"/>
  <c r="R52" i="2"/>
  <c r="R53" i="2"/>
  <c r="R55" i="2"/>
  <c r="R56" i="2"/>
  <c r="R57" i="2"/>
  <c r="R58" i="2"/>
  <c r="R59" i="2"/>
  <c r="R62" i="2"/>
  <c r="R64" i="2"/>
  <c r="R65" i="2"/>
  <c r="R66" i="2"/>
  <c r="R67" i="2"/>
  <c r="R68" i="2"/>
  <c r="R70" i="2"/>
  <c r="R71" i="2"/>
  <c r="R72" i="2"/>
  <c r="R73" i="2"/>
  <c r="R4" i="2"/>
  <c r="R5" i="2"/>
  <c r="R3" i="2"/>
  <c r="S4" i="2"/>
  <c r="S5" i="2"/>
  <c r="S7" i="2"/>
  <c r="S9" i="2"/>
  <c r="S14" i="2"/>
  <c r="S17" i="2"/>
  <c r="S18" i="2"/>
  <c r="S19" i="2"/>
  <c r="S20" i="2"/>
  <c r="S24" i="2"/>
  <c r="S34" i="2"/>
  <c r="S36" i="2"/>
  <c r="S37" i="2"/>
  <c r="S40" i="2"/>
  <c r="S41" i="2"/>
  <c r="S42" i="2"/>
  <c r="S43" i="2"/>
  <c r="S45" i="2"/>
  <c r="S46" i="2"/>
  <c r="S47" i="2"/>
  <c r="S48" i="2"/>
  <c r="S49" i="2"/>
  <c r="S50" i="2"/>
  <c r="S52" i="2"/>
  <c r="S53" i="2"/>
  <c r="S55" i="2"/>
  <c r="S56" i="2"/>
  <c r="S57" i="2"/>
  <c r="S58" i="2"/>
  <c r="S59" i="2"/>
  <c r="S62" i="2"/>
  <c r="S64" i="2"/>
  <c r="S65" i="2"/>
  <c r="S66" i="2"/>
  <c r="S67" i="2"/>
  <c r="S68" i="2"/>
  <c r="S70" i="2"/>
  <c r="S71" i="2"/>
  <c r="S72" i="2"/>
  <c r="S73" i="2"/>
  <c r="P4" i="2"/>
  <c r="P5" i="2"/>
  <c r="P7" i="2"/>
  <c r="P9" i="2"/>
  <c r="P14" i="2"/>
  <c r="P17" i="2"/>
  <c r="P18" i="2"/>
  <c r="P19" i="2"/>
  <c r="P20" i="2"/>
  <c r="P24" i="2"/>
  <c r="P34" i="2"/>
  <c r="P36" i="2"/>
  <c r="P37" i="2"/>
  <c r="P40" i="2"/>
  <c r="V40" i="2" s="1"/>
  <c r="P41" i="2"/>
  <c r="V41" i="2" s="1"/>
  <c r="P42" i="2"/>
  <c r="P43" i="2"/>
  <c r="P45" i="2"/>
  <c r="P46" i="2"/>
  <c r="V46" i="2" s="1"/>
  <c r="P47" i="2"/>
  <c r="P48" i="2"/>
  <c r="P49" i="2"/>
  <c r="P50" i="2"/>
  <c r="P52" i="2"/>
  <c r="P53" i="2"/>
  <c r="V53" i="2" s="1"/>
  <c r="P55" i="2"/>
  <c r="P56" i="2"/>
  <c r="P57" i="2"/>
  <c r="P58" i="2"/>
  <c r="P59" i="2"/>
  <c r="P62" i="2"/>
  <c r="P64" i="2"/>
  <c r="P65" i="2"/>
  <c r="P66" i="2"/>
  <c r="P67" i="2"/>
  <c r="P68" i="2"/>
  <c r="P70" i="2"/>
  <c r="P71" i="2"/>
  <c r="V71" i="2" s="1"/>
  <c r="P72" i="2"/>
  <c r="P73" i="2"/>
  <c r="V73" i="2" s="1"/>
  <c r="P3" i="2"/>
  <c r="Q48" i="2" l="1"/>
  <c r="V48" i="2" s="1"/>
  <c r="Q72" i="2"/>
  <c r="Q67" i="2"/>
  <c r="V67" i="2" s="1"/>
  <c r="Q62" i="2"/>
  <c r="V62" i="2" s="1"/>
  <c r="Q56" i="2"/>
  <c r="V56" i="2" s="1"/>
  <c r="Q50" i="2"/>
  <c r="V50" i="2" s="1"/>
  <c r="Q34" i="2"/>
  <c r="V34" i="2" s="1"/>
  <c r="Q18" i="2"/>
  <c r="V18" i="2" s="1"/>
  <c r="Q7" i="2"/>
  <c r="V7" i="2" s="1"/>
  <c r="V72" i="2"/>
  <c r="Q68" i="2"/>
  <c r="V68" i="2" s="1"/>
  <c r="Q64" i="2"/>
  <c r="V64" i="2" s="1"/>
  <c r="Q47" i="2"/>
  <c r="V47" i="2" s="1"/>
  <c r="Q36" i="2"/>
  <c r="V36" i="2" s="1"/>
  <c r="Q19" i="2"/>
  <c r="V19" i="2" s="1"/>
  <c r="Q5" i="2"/>
  <c r="V5" i="2" s="1"/>
  <c r="Q4" i="2"/>
  <c r="V4" i="2" s="1"/>
  <c r="Q52" i="2"/>
  <c r="V52" i="2" s="1"/>
  <c r="Q42" i="2"/>
  <c r="V42" i="2" s="1"/>
  <c r="Q66" i="2"/>
  <c r="V66" i="2" s="1"/>
  <c r="Q59" i="2"/>
  <c r="V59" i="2" s="1"/>
  <c r="Q55" i="2"/>
  <c r="V55" i="2" s="1"/>
  <c r="Q70" i="2"/>
  <c r="V70" i="2" s="1"/>
  <c r="Q65" i="2"/>
  <c r="V65" i="2" s="1"/>
  <c r="Q58" i="2"/>
  <c r="V58" i="2" s="1"/>
  <c r="Q43" i="2"/>
  <c r="V43" i="2" s="1"/>
  <c r="Q37" i="2"/>
  <c r="V37" i="2" s="1"/>
  <c r="Q20" i="2"/>
  <c r="V20" i="2" s="1"/>
  <c r="Q14" i="2"/>
  <c r="V14" i="2" s="1"/>
  <c r="Q24" i="2"/>
  <c r="V24" i="2" s="1"/>
  <c r="Q57" i="2"/>
  <c r="V57" i="2" s="1"/>
  <c r="Q9" i="2"/>
  <c r="V9" i="2" s="1"/>
  <c r="Q49" i="2"/>
  <c r="V49" i="2" s="1"/>
  <c r="Q45" i="2"/>
  <c r="V45" i="2" s="1"/>
  <c r="Q17" i="2"/>
  <c r="AQ4" i="2"/>
  <c r="AQ5" i="2"/>
  <c r="AQ6" i="2"/>
  <c r="AQ8" i="2"/>
  <c r="AQ9" i="2"/>
  <c r="AQ10" i="2"/>
  <c r="AQ11" i="2"/>
  <c r="AQ12" i="2"/>
  <c r="AQ13" i="2"/>
  <c r="AQ14" i="2"/>
  <c r="AQ17" i="2"/>
  <c r="AQ18" i="2"/>
  <c r="AQ19" i="2"/>
  <c r="AQ20" i="2"/>
  <c r="AQ21" i="2"/>
  <c r="AQ22" i="2"/>
  <c r="AQ24" i="2"/>
  <c r="AQ25" i="2"/>
  <c r="AQ28" i="2"/>
  <c r="AQ29" i="2"/>
  <c r="AQ30" i="2"/>
  <c r="AQ32" i="2"/>
  <c r="AQ33" i="2"/>
  <c r="AQ35" i="2"/>
  <c r="AQ36" i="2"/>
  <c r="AQ37" i="2"/>
  <c r="AQ38" i="2"/>
  <c r="AQ39" i="2"/>
  <c r="AQ40" i="2"/>
  <c r="AQ41" i="2"/>
  <c r="AQ42" i="2"/>
  <c r="AQ43" i="2"/>
  <c r="AQ44" i="2"/>
  <c r="AQ46" i="2"/>
  <c r="AQ47" i="2"/>
  <c r="AQ48" i="2"/>
  <c r="AQ49" i="2"/>
  <c r="AQ50" i="2"/>
  <c r="AQ52" i="2"/>
  <c r="AQ54" i="2"/>
  <c r="AQ55" i="2"/>
  <c r="AQ56" i="2"/>
  <c r="AQ57" i="2"/>
  <c r="AQ58" i="2"/>
  <c r="AQ59" i="2"/>
  <c r="AQ60" i="2"/>
  <c r="AQ61" i="2"/>
  <c r="AQ62" i="2"/>
  <c r="AQ64" i="2"/>
  <c r="AQ65" i="2"/>
  <c r="AQ66" i="2"/>
  <c r="AQ68" i="2"/>
  <c r="AQ69" i="2"/>
  <c r="AQ70" i="2"/>
  <c r="AQ71" i="2"/>
  <c r="AQ72" i="2"/>
  <c r="AQ73" i="2"/>
  <c r="AQ3" i="2"/>
  <c r="AS63" i="2"/>
  <c r="AS67" i="2"/>
  <c r="AS74" i="2"/>
  <c r="AS75" i="2"/>
  <c r="AR4" i="2"/>
  <c r="AS4" i="2" s="1"/>
  <c r="AR5" i="2"/>
  <c r="AS5" i="2" s="1"/>
  <c r="AR6" i="2"/>
  <c r="AS6" i="2" s="1"/>
  <c r="AS7" i="2"/>
  <c r="AR8" i="2"/>
  <c r="AS8" i="2" s="1"/>
  <c r="AR9" i="2"/>
  <c r="AS9" i="2" s="1"/>
  <c r="AR10" i="2"/>
  <c r="AS10" i="2" s="1"/>
  <c r="AR11" i="2"/>
  <c r="AS11" i="2" s="1"/>
  <c r="AR12" i="2"/>
  <c r="AS12" i="2" s="1"/>
  <c r="AR13" i="2"/>
  <c r="AS13" i="2" s="1"/>
  <c r="AR14" i="2"/>
  <c r="AS14" i="2" s="1"/>
  <c r="AS15" i="2"/>
  <c r="AS16" i="2"/>
  <c r="AR17" i="2"/>
  <c r="AS17" i="2" s="1"/>
  <c r="AR18" i="2"/>
  <c r="AS18" i="2" s="1"/>
  <c r="AS19" i="2"/>
  <c r="AS20" i="2"/>
  <c r="AS21" i="2"/>
  <c r="AR22" i="2"/>
  <c r="AS22" i="2" s="1"/>
  <c r="AS23" i="2"/>
  <c r="AR24" i="2"/>
  <c r="AS24" i="2" s="1"/>
  <c r="AR25" i="2"/>
  <c r="AS25" i="2" s="1"/>
  <c r="AS26" i="2"/>
  <c r="AS27" i="2"/>
  <c r="AR28" i="2"/>
  <c r="AS28" i="2" s="1"/>
  <c r="AR29" i="2"/>
  <c r="AS29" i="2" s="1"/>
  <c r="AR30" i="2"/>
  <c r="AS30" i="2" s="1"/>
  <c r="AS31" i="2"/>
  <c r="AR32" i="2"/>
  <c r="AS32" i="2" s="1"/>
  <c r="AR33" i="2"/>
  <c r="AS33" i="2" s="1"/>
  <c r="AS34" i="2"/>
  <c r="AR35" i="2"/>
  <c r="AS35" i="2" s="1"/>
  <c r="AR36" i="2"/>
  <c r="AS36" i="2" s="1"/>
  <c r="AR37" i="2"/>
  <c r="AS37" i="2" s="1"/>
  <c r="AR38" i="2"/>
  <c r="AS38" i="2" s="1"/>
  <c r="AR39" i="2"/>
  <c r="AS39" i="2" s="1"/>
  <c r="AR40" i="2"/>
  <c r="AS40" i="2" s="1"/>
  <c r="AR41" i="2"/>
  <c r="AS41" i="2" s="1"/>
  <c r="AR42" i="2"/>
  <c r="AS42" i="2" s="1"/>
  <c r="AR43" i="2"/>
  <c r="AS43" i="2" s="1"/>
  <c r="AR44" i="2"/>
  <c r="AS44" i="2" s="1"/>
  <c r="AS45" i="2"/>
  <c r="AR46" i="2"/>
  <c r="AS46" i="2" s="1"/>
  <c r="AR47" i="2"/>
  <c r="AS47" i="2" s="1"/>
  <c r="AR48" i="2"/>
  <c r="AS48" i="2" s="1"/>
  <c r="AR49" i="2"/>
  <c r="AS49" i="2" s="1"/>
  <c r="AR50" i="2"/>
  <c r="AS50" i="2" s="1"/>
  <c r="AS51" i="2"/>
  <c r="AR52" i="2"/>
  <c r="AS52" i="2" s="1"/>
  <c r="AS53" i="2"/>
  <c r="AR54" i="2"/>
  <c r="AS54" i="2" s="1"/>
  <c r="AR55" i="2"/>
  <c r="AS55" i="2" s="1"/>
  <c r="AR56" i="2"/>
  <c r="AS56" i="2" s="1"/>
  <c r="AR57" i="2"/>
  <c r="AS57" i="2" s="1"/>
  <c r="AR58" i="2"/>
  <c r="AS58" i="2" s="1"/>
  <c r="AR59" i="2"/>
  <c r="AS59" i="2" s="1"/>
  <c r="AR60" i="2"/>
  <c r="AS60" i="2" s="1"/>
  <c r="AR61" i="2"/>
  <c r="AS61" i="2" s="1"/>
  <c r="AR62" i="2"/>
  <c r="AS62" i="2" s="1"/>
  <c r="AR64" i="2"/>
  <c r="AS64" i="2" s="1"/>
  <c r="AR65" i="2"/>
  <c r="AS65" i="2" s="1"/>
  <c r="AR66" i="2"/>
  <c r="AS66" i="2" s="1"/>
  <c r="AR68" i="2"/>
  <c r="AS68" i="2" s="1"/>
  <c r="AR69" i="2"/>
  <c r="AS69" i="2" s="1"/>
  <c r="AR70" i="2"/>
  <c r="AS70" i="2" s="1"/>
  <c r="AR71" i="2"/>
  <c r="AS71" i="2" s="1"/>
  <c r="AR72" i="2"/>
  <c r="AS72" i="2" s="1"/>
  <c r="AR73" i="2"/>
  <c r="AS73" i="2" s="1"/>
  <c r="AR3" i="2"/>
  <c r="X75" i="2"/>
  <c r="AC75" i="2"/>
  <c r="X74" i="2"/>
  <c r="X73" i="2"/>
  <c r="X72" i="2"/>
  <c r="X71" i="2"/>
  <c r="X70" i="2"/>
  <c r="X69" i="2"/>
  <c r="X68" i="2"/>
  <c r="X67" i="2"/>
  <c r="AC67" i="2"/>
  <c r="X66" i="2"/>
  <c r="X65" i="2"/>
  <c r="X64" i="2"/>
  <c r="X63" i="2"/>
  <c r="AC63" i="2"/>
  <c r="X62" i="2"/>
  <c r="X61" i="2"/>
  <c r="X60" i="2"/>
  <c r="X59" i="2"/>
  <c r="X58" i="2"/>
  <c r="X57" i="2"/>
  <c r="X56" i="2"/>
  <c r="X55" i="2"/>
  <c r="X54" i="2"/>
  <c r="X53" i="2"/>
  <c r="AC53" i="2"/>
  <c r="X52" i="2"/>
  <c r="AC51" i="2"/>
  <c r="X50" i="2"/>
  <c r="X49" i="2"/>
  <c r="X48" i="2"/>
  <c r="X47" i="2"/>
  <c r="X46" i="2"/>
  <c r="AC45" i="2"/>
  <c r="X44" i="2"/>
  <c r="X43" i="2"/>
  <c r="X42" i="2"/>
  <c r="X41" i="2"/>
  <c r="X40" i="2"/>
  <c r="X39" i="2"/>
  <c r="X38" i="2"/>
  <c r="X37" i="2"/>
  <c r="X36" i="2"/>
  <c r="X35" i="2"/>
  <c r="X34" i="2"/>
  <c r="AC34" i="2"/>
  <c r="AH70" i="2" l="1"/>
  <c r="AH10" i="2"/>
  <c r="AH36" i="2"/>
  <c r="AH18" i="2"/>
  <c r="AH22" i="2"/>
  <c r="AH32" i="2"/>
  <c r="AH42" i="2"/>
  <c r="AH62" i="2"/>
  <c r="AH50" i="2"/>
  <c r="AH43" i="2"/>
  <c r="AH55" i="2"/>
  <c r="AH73" i="2"/>
  <c r="AH61" i="2"/>
  <c r="AH29" i="2"/>
  <c r="AH48" i="2"/>
  <c r="AH68" i="2"/>
  <c r="AH14" i="2"/>
  <c r="AH40" i="2"/>
  <c r="AH59" i="2"/>
  <c r="AH11" i="2"/>
  <c r="AH37" i="2"/>
  <c r="AH56" i="2"/>
  <c r="AH4" i="2"/>
  <c r="AH28" i="2"/>
  <c r="AH47" i="2"/>
  <c r="AH66" i="2"/>
  <c r="AH9" i="2"/>
  <c r="AH35" i="2"/>
  <c r="AH54" i="2"/>
  <c r="AH72" i="2"/>
  <c r="AH24" i="2"/>
  <c r="AH44" i="2"/>
  <c r="AH64" i="2"/>
  <c r="AH17" i="2"/>
  <c r="AH41" i="2"/>
  <c r="AH60" i="2"/>
  <c r="AH8" i="2"/>
  <c r="AH33" i="2"/>
  <c r="AH52" i="2"/>
  <c r="AH71" i="2"/>
  <c r="AH13" i="2"/>
  <c r="AH39" i="2"/>
  <c r="AH58" i="2"/>
  <c r="AH6" i="2"/>
  <c r="AH30" i="2"/>
  <c r="AH49" i="2"/>
  <c r="AH69" i="2"/>
  <c r="AH25" i="2"/>
  <c r="AH46" i="2"/>
  <c r="AH65" i="2"/>
  <c r="AH12" i="2"/>
  <c r="AH38" i="2"/>
  <c r="AH57" i="2"/>
  <c r="AH5" i="2"/>
  <c r="V17" i="2"/>
  <c r="AS3" i="2"/>
  <c r="X32" i="2"/>
  <c r="X31" i="2"/>
  <c r="AC31" i="2"/>
  <c r="X30" i="2"/>
  <c r="X29" i="2"/>
  <c r="X28" i="2"/>
  <c r="X33" i="2"/>
  <c r="X27" i="2"/>
  <c r="AC27" i="2"/>
  <c r="X26" i="2"/>
  <c r="AC26" i="2"/>
  <c r="X25" i="2"/>
  <c r="X24" i="2"/>
  <c r="X23" i="2"/>
  <c r="AC23" i="2"/>
  <c r="X22" i="2"/>
  <c r="X21" i="2"/>
  <c r="AC21" i="2"/>
  <c r="X20" i="2"/>
  <c r="AC20" i="2"/>
  <c r="X19" i="2"/>
  <c r="AC19" i="2"/>
  <c r="X18" i="2"/>
  <c r="X17" i="2"/>
  <c r="X16" i="2"/>
  <c r="AC16" i="2"/>
  <c r="X15" i="2"/>
  <c r="X14" i="2"/>
  <c r="X13" i="2"/>
  <c r="X12" i="2"/>
  <c r="X11" i="2"/>
  <c r="X10" i="2"/>
  <c r="X9" i="2"/>
  <c r="X8" i="2"/>
  <c r="X7" i="2"/>
  <c r="X6" i="2"/>
  <c r="X5" i="2"/>
  <c r="X4" i="2"/>
  <c r="AC4" i="2"/>
  <c r="AC5" i="2"/>
  <c r="AC6" i="2"/>
  <c r="AC8" i="2"/>
  <c r="AC9" i="2"/>
  <c r="AC10" i="2"/>
  <c r="AC11" i="2"/>
  <c r="AC12" i="2"/>
  <c r="AC13" i="2"/>
  <c r="AC14" i="2"/>
  <c r="AC15" i="2"/>
  <c r="AC17" i="2"/>
  <c r="AC18" i="2"/>
  <c r="AC22" i="2"/>
  <c r="AC24" i="2"/>
  <c r="AC25" i="2"/>
  <c r="AC28" i="2"/>
  <c r="AC29" i="2"/>
  <c r="AC30" i="2"/>
  <c r="AC32" i="2"/>
  <c r="AC33" i="2"/>
  <c r="AC35" i="2"/>
  <c r="AC36" i="2"/>
  <c r="AC37" i="2"/>
  <c r="AC38" i="2"/>
  <c r="AC39" i="2"/>
  <c r="AC40" i="2"/>
  <c r="AC41" i="2"/>
  <c r="AC42" i="2"/>
  <c r="AC43" i="2"/>
  <c r="AC44" i="2"/>
  <c r="AC46" i="2"/>
  <c r="AC47" i="2"/>
  <c r="AC48" i="2"/>
  <c r="AC49" i="2"/>
  <c r="AC50" i="2"/>
  <c r="AC52" i="2"/>
  <c r="AC54" i="2"/>
  <c r="AC55" i="2"/>
  <c r="AC56" i="2"/>
  <c r="AC57" i="2"/>
  <c r="AC58" i="2"/>
  <c r="AC59" i="2"/>
  <c r="AC60" i="2"/>
  <c r="AC61" i="2"/>
  <c r="AC62" i="2"/>
  <c r="AC64" i="2"/>
  <c r="AC65" i="2"/>
  <c r="AC66" i="2"/>
  <c r="AC68" i="2"/>
  <c r="AC69" i="2"/>
  <c r="AC70" i="2"/>
  <c r="AC71" i="2"/>
  <c r="AC72" i="2"/>
  <c r="AC73" i="2"/>
  <c r="AC3" i="2"/>
  <c r="X3" i="2"/>
  <c r="Q3" i="2"/>
  <c r="V3" i="2" s="1"/>
</calcChain>
</file>

<file path=xl/sharedStrings.xml><?xml version="1.0" encoding="utf-8"?>
<sst xmlns="http://schemas.openxmlformats.org/spreadsheetml/2006/main" count="562" uniqueCount="118">
  <si>
    <t>Source ID</t>
  </si>
  <si>
    <t>Spacers</t>
  </si>
  <si>
    <t>Num Arrays</t>
  </si>
  <si>
    <t>Cas9 Location (S)</t>
  </si>
  <si>
    <t>Cas9 Location (E)</t>
  </si>
  <si>
    <t>Cas9 Strand</t>
  </si>
  <si>
    <t>Cas9 Length</t>
  </si>
  <si>
    <t>Repeat Length</t>
  </si>
  <si>
    <t>TracrRNA Strand</t>
  </si>
  <si>
    <t>Tracr Direction from Cas9</t>
  </si>
  <si>
    <t>tracrRNA (S)</t>
  </si>
  <si>
    <t>tracrRNA (E)</t>
  </si>
  <si>
    <t>REF_Ain</t>
  </si>
  <si>
    <t>REF_Bni</t>
  </si>
  <si>
    <t>REF_Bok</t>
  </si>
  <si>
    <t>REF_Cca1</t>
  </si>
  <si>
    <t>REF_Cco</t>
  </si>
  <si>
    <t>REF_Cga</t>
  </si>
  <si>
    <t>REF_Cgl</t>
  </si>
  <si>
    <t>REF_Cme1</t>
  </si>
  <si>
    <t>REF_Cme2</t>
  </si>
  <si>
    <t>REF_Cme3</t>
  </si>
  <si>
    <t>REF_Cme4</t>
  </si>
  <si>
    <t>REF_Cpe</t>
  </si>
  <si>
    <t>REF_Csa</t>
  </si>
  <si>
    <t>REF_Ece</t>
  </si>
  <si>
    <t>REF_Edo</t>
  </si>
  <si>
    <t>REF_Efa</t>
  </si>
  <si>
    <t>REF_Eit</t>
  </si>
  <si>
    <t>REF_Esp1</t>
  </si>
  <si>
    <t>REF_Esp2</t>
  </si>
  <si>
    <t>REF_Ffr</t>
  </si>
  <si>
    <t>REF_Fho</t>
  </si>
  <si>
    <t>REF_Fma</t>
  </si>
  <si>
    <t>REF_Ghc1</t>
  </si>
  <si>
    <t>REF_Ghc2</t>
  </si>
  <si>
    <t>REF_Ghe</t>
  </si>
  <si>
    <t>REF_Ghh1</t>
  </si>
  <si>
    <t>REF_Ghh2</t>
  </si>
  <si>
    <t>REF_Ghy1</t>
  </si>
  <si>
    <t>REF_Ghy2</t>
  </si>
  <si>
    <t>REF_Ghy3</t>
  </si>
  <si>
    <t>REF_Ghy4</t>
  </si>
  <si>
    <t>REF_Gsp</t>
  </si>
  <si>
    <t>REF_Jpa</t>
  </si>
  <si>
    <t>REF_Khu</t>
  </si>
  <si>
    <t>REF_Kki</t>
  </si>
  <si>
    <t>REF_Lan</t>
  </si>
  <si>
    <t>REF_Lce</t>
  </si>
  <si>
    <t>REF_Lmo</t>
  </si>
  <si>
    <t>REF_Lrh</t>
  </si>
  <si>
    <t>REF_Lsp1</t>
  </si>
  <si>
    <t>REF_Lsp2</t>
  </si>
  <si>
    <t>REF_Msc</t>
  </si>
  <si>
    <t>REF_Mse</t>
  </si>
  <si>
    <t>REF_Nme2</t>
  </si>
  <si>
    <t>REF_Nsa</t>
  </si>
  <si>
    <t>REF_Nsp</t>
  </si>
  <si>
    <t>REF_Orh</t>
  </si>
  <si>
    <t>REF_Pac</t>
  </si>
  <si>
    <t>REF_Phi</t>
  </si>
  <si>
    <t>REF_Psp</t>
  </si>
  <si>
    <t>REF_Rsp</t>
  </si>
  <si>
    <t>REF_Sag1</t>
  </si>
  <si>
    <t>REF_Sag2</t>
  </si>
  <si>
    <t>REF_Sdo</t>
  </si>
  <si>
    <t>REF_Sdy</t>
  </si>
  <si>
    <t>REF_Seq1</t>
  </si>
  <si>
    <t>REF_Seq2</t>
  </si>
  <si>
    <t>REF_Sgo</t>
  </si>
  <si>
    <t>REF_Sma</t>
  </si>
  <si>
    <t>REF_Smu</t>
  </si>
  <si>
    <t>REF_Spa</t>
  </si>
  <si>
    <t>REF_Sra</t>
  </si>
  <si>
    <t>REF_Ssa</t>
  </si>
  <si>
    <t>REF_Ssi</t>
  </si>
  <si>
    <t>REF_Ssu</t>
  </si>
  <si>
    <t>REF_Sth1A</t>
  </si>
  <si>
    <t>REF_Tba</t>
  </si>
  <si>
    <t>REF_Tde</t>
  </si>
  <si>
    <t>REF_Tmo</t>
  </si>
  <si>
    <t>REF_Tpu</t>
  </si>
  <si>
    <t>REF_Tsp</t>
  </si>
  <si>
    <t>REF_Vpa</t>
  </si>
  <si>
    <t>REF_Wvi</t>
  </si>
  <si>
    <t>+</t>
  </si>
  <si>
    <t>-</t>
  </si>
  <si>
    <t>Upstream</t>
  </si>
  <si>
    <t>Downstream</t>
  </si>
  <si>
    <t>Our Pipeline</t>
  </si>
  <si>
    <t>CRISPROne</t>
  </si>
  <si>
    <t>Antirepeat (S)</t>
  </si>
  <si>
    <t>Antirepeat (E)</t>
  </si>
  <si>
    <t>Downstream/Upstream</t>
  </si>
  <si>
    <t>36/30/30</t>
  </si>
  <si>
    <t>Downstream/Downstream</t>
  </si>
  <si>
    <t>Up/Up/Downstream</t>
  </si>
  <si>
    <t>Same Strand</t>
  </si>
  <si>
    <t>Diff Location</t>
  </si>
  <si>
    <t>Matching Strand</t>
  </si>
  <si>
    <t>Overlapping</t>
  </si>
  <si>
    <t>Same Tracr</t>
  </si>
  <si>
    <t>Same Anti?</t>
  </si>
  <si>
    <t>Pipeline</t>
  </si>
  <si>
    <t>Positive</t>
  </si>
  <si>
    <t>Negative</t>
  </si>
  <si>
    <t>66/73 (90.4%)</t>
  </si>
  <si>
    <t>37/73 (50.7%)</t>
  </si>
  <si>
    <t>13/73 (17.8%)</t>
  </si>
  <si>
    <t>5/69 (8.7%)</t>
  </si>
  <si>
    <t>4/73 (5.5%)</t>
  </si>
  <si>
    <t>4/42 (9.5%)</t>
  </si>
  <si>
    <t>31/73 (42.5%)</t>
  </si>
  <si>
    <t>42/55 (76.4%)</t>
  </si>
  <si>
    <t>18/73 (24.7%)</t>
  </si>
  <si>
    <t>Dooley et al. Pipeline</t>
  </si>
  <si>
    <t>TracrPredictor</t>
  </si>
  <si>
    <t>TracrPredictor (Chyou et al.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</si>
</sst>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7030A0"/>
      </left>
      <right style="thin">
        <color auto="1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n">
        <color auto="1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theme="7"/>
      </left>
      <right style="thin">
        <color auto="1"/>
      </right>
      <top style="thick">
        <color theme="7"/>
      </top>
      <bottom style="thick">
        <color theme="7"/>
      </bottom>
      <diagonal/>
    </border>
    <border>
      <left style="thin">
        <color auto="1"/>
      </left>
      <right style="thin">
        <color auto="1"/>
      </right>
      <top style="thick">
        <color theme="7"/>
      </top>
      <bottom style="thick">
        <color theme="7"/>
      </bottom>
      <diagonal/>
    </border>
    <border>
      <left style="thin">
        <color auto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0" fontId="0" fillId="0" borderId="3" xfId="0" applyBorder="1"/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/>
    <xf numFmtId="0" fontId="0" fillId="2" borderId="12" xfId="0" applyFill="1" applyBorder="1"/>
    <xf numFmtId="49" fontId="0" fillId="0" borderId="0" xfId="0" applyNumberForma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3" borderId="13" xfId="0" applyFill="1" applyBorder="1"/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5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0" xfId="0" applyBorder="1"/>
    <xf numFmtId="0" fontId="2" fillId="2" borderId="0" xfId="0" applyFont="1" applyFill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2892-FAAE-AD48-BE19-2EBBCFBD670B}">
  <dimension ref="A1:AX86"/>
  <sheetViews>
    <sheetView tabSelected="1" workbookViewId="0"/>
  </sheetViews>
  <sheetFormatPr defaultColWidth="11.44140625" defaultRowHeight="14.4" x14ac:dyDescent="0.3"/>
  <cols>
    <col min="1" max="1" width="12" customWidth="1"/>
    <col min="2" max="2" width="20.33203125" style="9" customWidth="1"/>
    <col min="3" max="3" width="10" style="9" customWidth="1"/>
    <col min="4" max="11" width="10.77734375" style="9" customWidth="1"/>
    <col min="12" max="12" width="10.33203125" style="9" customWidth="1"/>
    <col min="14" max="14" width="8.44140625" customWidth="1"/>
    <col min="18" max="22" width="10.77734375" customWidth="1"/>
    <col min="24" max="24" width="10.77734375" style="2"/>
    <col min="27" max="27" width="10.77734375" style="2"/>
    <col min="28" max="28" width="21.44140625" bestFit="1" customWidth="1"/>
    <col min="31" max="33" width="10.77734375" style="9"/>
    <col min="34" max="35" width="10.77734375" style="24"/>
    <col min="36" max="39" width="10.77734375" style="24" hidden="1" customWidth="1"/>
    <col min="41" max="41" width="0" style="9" hidden="1" customWidth="1"/>
    <col min="42" max="50" width="0" hidden="1" customWidth="1"/>
  </cols>
  <sheetData>
    <row r="1" spans="1:46" ht="25.8" x14ac:dyDescent="0.5">
      <c r="B1" s="77" t="s">
        <v>115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8" t="s">
        <v>117</v>
      </c>
      <c r="N1" s="78"/>
      <c r="O1" s="78"/>
      <c r="P1" s="79"/>
      <c r="Q1" s="79"/>
      <c r="R1" s="79"/>
      <c r="S1" s="79"/>
      <c r="T1" s="79"/>
      <c r="U1" s="79"/>
      <c r="V1" s="79"/>
      <c r="W1" s="67" t="s">
        <v>90</v>
      </c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25"/>
      <c r="AP1" s="25"/>
      <c r="AQ1" s="25"/>
      <c r="AR1" s="25"/>
      <c r="AS1" s="25"/>
    </row>
    <row r="2" spans="1:46" ht="43.2" x14ac:dyDescent="0.3">
      <c r="A2" s="1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40" t="s">
        <v>10</v>
      </c>
      <c r="N2" s="40" t="s">
        <v>11</v>
      </c>
      <c r="O2" s="40" t="s">
        <v>8</v>
      </c>
      <c r="P2" s="43" t="s">
        <v>99</v>
      </c>
      <c r="Q2" s="43" t="s">
        <v>100</v>
      </c>
      <c r="R2" s="41"/>
      <c r="S2" s="43"/>
      <c r="T2" s="43"/>
      <c r="U2" s="43"/>
      <c r="V2" s="43" t="s">
        <v>101</v>
      </c>
      <c r="W2" s="6" t="s">
        <v>1</v>
      </c>
      <c r="X2" s="3" t="s">
        <v>7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D2" s="3" t="s">
        <v>8</v>
      </c>
      <c r="AE2" s="3" t="s">
        <v>9</v>
      </c>
      <c r="AF2" s="3" t="s">
        <v>91</v>
      </c>
      <c r="AG2" s="58" t="s">
        <v>92</v>
      </c>
      <c r="AH2" s="3" t="s">
        <v>102</v>
      </c>
      <c r="AI2" s="6" t="s">
        <v>100</v>
      </c>
      <c r="AJ2" s="56"/>
      <c r="AK2" s="56"/>
      <c r="AL2" s="56"/>
      <c r="AM2" s="56"/>
      <c r="AN2" s="3" t="s">
        <v>97</v>
      </c>
      <c r="AO2" s="26" t="s">
        <v>98</v>
      </c>
      <c r="AP2" s="26"/>
      <c r="AQ2" s="26"/>
      <c r="AR2" s="26" t="s">
        <v>97</v>
      </c>
      <c r="AS2" s="26"/>
    </row>
    <row r="3" spans="1:46" x14ac:dyDescent="0.3">
      <c r="A3" s="8" t="s">
        <v>12</v>
      </c>
      <c r="B3" s="11">
        <v>34</v>
      </c>
      <c r="C3" s="11">
        <v>1</v>
      </c>
      <c r="D3" s="11">
        <v>311</v>
      </c>
      <c r="E3" s="11">
        <v>4399</v>
      </c>
      <c r="F3" s="12" t="s">
        <v>85</v>
      </c>
      <c r="G3" s="11">
        <v>1362</v>
      </c>
      <c r="H3" s="11">
        <v>36</v>
      </c>
      <c r="I3" s="12" t="s">
        <v>86</v>
      </c>
      <c r="J3" s="11" t="s">
        <v>87</v>
      </c>
      <c r="K3" s="11">
        <v>173</v>
      </c>
      <c r="L3" s="11">
        <v>283</v>
      </c>
      <c r="M3" s="41">
        <v>181</v>
      </c>
      <c r="N3" s="41">
        <v>283</v>
      </c>
      <c r="O3" s="42" t="s">
        <v>86</v>
      </c>
      <c r="P3" s="44" t="b">
        <f>O3=I3</f>
        <v>1</v>
      </c>
      <c r="Q3" s="44" t="b">
        <f>OR(R3,S3,T3,U3)</f>
        <v>1</v>
      </c>
      <c r="R3" s="44" t="b">
        <f>AND(K3&lt;=M3,M3&lt;=L3)</f>
        <v>1</v>
      </c>
      <c r="S3" s="44" t="b">
        <f>AND(K3&lt;=N3,N3&lt;=L3)</f>
        <v>1</v>
      </c>
      <c r="T3" s="44" t="b">
        <f>AND(M3&gt;=K3,M3&lt;=L3)</f>
        <v>1</v>
      </c>
      <c r="U3" s="44" t="b">
        <f>AND(N3&gt;=K3,N3&lt;=L3)</f>
        <v>1</v>
      </c>
      <c r="V3" s="44" t="b">
        <f>AND(P3,Q3)</f>
        <v>1</v>
      </c>
      <c r="W3" s="7">
        <v>36</v>
      </c>
      <c r="X3" s="4">
        <f>LEN("GTTTGAGAGATATGTAAATTCAAAGGATAATCAAAC")</f>
        <v>36</v>
      </c>
      <c r="Y3" s="4">
        <v>1</v>
      </c>
      <c r="Z3" s="4">
        <v>323</v>
      </c>
      <c r="AA3" s="4">
        <v>4399</v>
      </c>
      <c r="AB3" s="5" t="s">
        <v>85</v>
      </c>
      <c r="AC3" s="4">
        <f>AA3-Z3</f>
        <v>4076</v>
      </c>
      <c r="AD3" s="5" t="s">
        <v>85</v>
      </c>
      <c r="AE3" s="4" t="s">
        <v>87</v>
      </c>
      <c r="AF3" s="4">
        <v>255</v>
      </c>
      <c r="AG3" s="59">
        <v>289</v>
      </c>
      <c r="AH3" s="4" t="b">
        <f>AND(AI3,AN3)</f>
        <v>0</v>
      </c>
      <c r="AI3" s="7" t="b">
        <f>OR(AJ3,AK3,AL3,AM3)</f>
        <v>1</v>
      </c>
      <c r="AJ3" s="57" t="b">
        <f>AND(K3&lt;=AF3,AF3&lt;=L3)</f>
        <v>1</v>
      </c>
      <c r="AK3" s="57" t="b">
        <f>AND(K3&lt;=AF3,AF3&lt;=L3)</f>
        <v>1</v>
      </c>
      <c r="AL3" s="57" t="b">
        <f>AND(AG3&gt;=K3,AG3&lt;=L3)</f>
        <v>0</v>
      </c>
      <c r="AM3" s="57" t="b">
        <f>AND(K3&lt;=AG3,AG3&lt;=L3)</f>
        <v>0</v>
      </c>
      <c r="AN3" s="4" t="b">
        <f>AD3=I3</f>
        <v>0</v>
      </c>
      <c r="AO3" s="24">
        <f>IF(OR(AND(K3&lt;=AF3,AF3&lt;=L3),AND(K3&lt;=AG3,AG3&lt;=L3)),1,0)</f>
        <v>1</v>
      </c>
      <c r="AP3" s="24" t="b">
        <f>AND(K3&lt;=AF3,AF3&lt;=L3)</f>
        <v>1</v>
      </c>
      <c r="AQ3" s="24" t="b">
        <f>AND(K3&lt;AG3,AG3&lt;L3)</f>
        <v>0</v>
      </c>
      <c r="AR3" s="24" t="b">
        <f>AD3=I3</f>
        <v>0</v>
      </c>
      <c r="AS3" s="24">
        <f t="shared" ref="AS3:AS66" si="0">IF(AR3,1,0)</f>
        <v>0</v>
      </c>
    </row>
    <row r="4" spans="1:46" x14ac:dyDescent="0.3">
      <c r="A4" s="8" t="s">
        <v>13</v>
      </c>
      <c r="B4" s="11">
        <v>12</v>
      </c>
      <c r="C4" s="11">
        <v>2</v>
      </c>
      <c r="D4" s="11">
        <v>23188</v>
      </c>
      <c r="E4" s="11">
        <v>26388</v>
      </c>
      <c r="F4" s="12" t="s">
        <v>86</v>
      </c>
      <c r="G4" s="11">
        <v>1066</v>
      </c>
      <c r="H4" s="11">
        <v>38</v>
      </c>
      <c r="I4" s="12" t="s">
        <v>86</v>
      </c>
      <c r="J4" s="11" t="s">
        <v>87</v>
      </c>
      <c r="K4" s="11">
        <v>23058</v>
      </c>
      <c r="L4" s="11">
        <v>23146</v>
      </c>
      <c r="M4" s="41">
        <v>23067</v>
      </c>
      <c r="N4" s="41">
        <v>23147</v>
      </c>
      <c r="O4" s="42" t="s">
        <v>86</v>
      </c>
      <c r="P4" s="44" t="b">
        <f t="shared" ref="P4:P67" si="1">O4=I4</f>
        <v>1</v>
      </c>
      <c r="Q4" s="44" t="b">
        <f t="shared" ref="Q4:Q67" si="2">OR(R4,S4)</f>
        <v>1</v>
      </c>
      <c r="R4" s="44" t="b">
        <f t="shared" ref="R4:R67" si="3">AND(K4&lt;=M4,M4&lt;=L4)</f>
        <v>1</v>
      </c>
      <c r="S4" s="44" t="b">
        <f>AND(K4&lt;=N4,N4&lt;=L4)</f>
        <v>0</v>
      </c>
      <c r="T4" s="44" t="b">
        <f t="shared" ref="T4:T67" si="4">AND(M4&gt;=K4,M4&lt;=L4)</f>
        <v>1</v>
      </c>
      <c r="U4" s="44" t="b">
        <f t="shared" ref="U4:U67" si="5">AND(N4&gt;=K4,N4&lt;=L4)</f>
        <v>0</v>
      </c>
      <c r="V4" s="44" t="b">
        <f>AND(P4,Q4)</f>
        <v>1</v>
      </c>
      <c r="W4" s="7">
        <v>19</v>
      </c>
      <c r="X4" s="4">
        <f>LEN("GTTTTCCTATACCAAAAACTGAAAGAGTGCCAAAAC")</f>
        <v>36</v>
      </c>
      <c r="Y4" s="4">
        <v>1</v>
      </c>
      <c r="Z4" s="4">
        <v>23188</v>
      </c>
      <c r="AA4" s="4">
        <v>26373</v>
      </c>
      <c r="AB4" s="5" t="s">
        <v>86</v>
      </c>
      <c r="AC4" s="4">
        <f t="shared" ref="AC4:AC67" si="6">AA4-Z4</f>
        <v>3185</v>
      </c>
      <c r="AD4" s="5" t="s">
        <v>86</v>
      </c>
      <c r="AE4" s="4" t="s">
        <v>87</v>
      </c>
      <c r="AF4" s="4">
        <v>19608</v>
      </c>
      <c r="AG4" s="59">
        <v>20829</v>
      </c>
      <c r="AH4" s="4" t="b">
        <f>AND(AR4,AO4=1)</f>
        <v>0</v>
      </c>
      <c r="AI4" s="7" t="b">
        <f t="shared" ref="AI4:AI48" si="7">OR(AJ4,AK4,AL4,AM4)</f>
        <v>0</v>
      </c>
      <c r="AJ4" s="57" t="b">
        <f t="shared" ref="AJ4:AJ48" si="8">AND(K4&lt;=AF4,AF4&lt;=L4)</f>
        <v>0</v>
      </c>
      <c r="AK4" s="57" t="b">
        <f t="shared" ref="AK4:AK48" si="9">AND(K4&lt;=AF4,AF4&lt;=L4)</f>
        <v>0</v>
      </c>
      <c r="AL4" s="57" t="b">
        <f t="shared" ref="AL4:AL66" si="10">AND(AG4&gt;=K4,AG4&lt;=L4)</f>
        <v>0</v>
      </c>
      <c r="AM4" s="57" t="b">
        <f t="shared" ref="AM4:AM66" si="11">AND(K4&lt;=AG4,AG4&lt;=L4)</f>
        <v>0</v>
      </c>
      <c r="AN4" s="4" t="b">
        <f t="shared" ref="AN4:AN66" si="12">AD4=I4</f>
        <v>1</v>
      </c>
      <c r="AO4" s="24">
        <f t="shared" ref="AO4:AO66" si="13">IF(OR(AND(K4&lt;=AF4,AF4&lt;=L4),AND(K4&lt;=AG4,AG4&lt;=L4)),1,0)</f>
        <v>0</v>
      </c>
      <c r="AP4" s="24" t="b">
        <f t="shared" ref="AP4:AP66" si="14">AND(K4&lt;=AF4,AF4&lt;=L4)</f>
        <v>0</v>
      </c>
      <c r="AQ4" s="24" t="b">
        <f>AND(K4&lt;AG4,AG4&lt;L4)</f>
        <v>0</v>
      </c>
      <c r="AR4" s="24" t="b">
        <f>AD4=I4</f>
        <v>1</v>
      </c>
      <c r="AS4" s="24">
        <f t="shared" si="0"/>
        <v>1</v>
      </c>
    </row>
    <row r="5" spans="1:46" x14ac:dyDescent="0.3">
      <c r="A5" s="8" t="s">
        <v>14</v>
      </c>
      <c r="B5" s="11">
        <v>5</v>
      </c>
      <c r="C5" s="11">
        <v>1</v>
      </c>
      <c r="D5" s="11">
        <v>1929</v>
      </c>
      <c r="E5" s="11">
        <v>5171</v>
      </c>
      <c r="F5" s="12" t="s">
        <v>86</v>
      </c>
      <c r="G5" s="11">
        <v>1080</v>
      </c>
      <c r="H5" s="11">
        <v>36</v>
      </c>
      <c r="I5" s="12" t="s">
        <v>86</v>
      </c>
      <c r="J5" s="11" t="s">
        <v>88</v>
      </c>
      <c r="K5" s="11">
        <v>5236</v>
      </c>
      <c r="L5" s="11">
        <v>5347</v>
      </c>
      <c r="M5" s="41">
        <v>5192</v>
      </c>
      <c r="N5" s="41">
        <v>5347</v>
      </c>
      <c r="O5" s="42" t="s">
        <v>86</v>
      </c>
      <c r="P5" s="44" t="b">
        <f t="shared" si="1"/>
        <v>1</v>
      </c>
      <c r="Q5" s="44" t="b">
        <f t="shared" si="2"/>
        <v>1</v>
      </c>
      <c r="R5" s="44" t="b">
        <f t="shared" si="3"/>
        <v>0</v>
      </c>
      <c r="S5" s="44" t="b">
        <f>AND(K5&lt;=N5,N5&lt;=L5)</f>
        <v>1</v>
      </c>
      <c r="T5" s="44" t="b">
        <f t="shared" si="4"/>
        <v>0</v>
      </c>
      <c r="U5" s="44" t="b">
        <f t="shared" si="5"/>
        <v>1</v>
      </c>
      <c r="V5" s="44" t="b">
        <f>AND(P5,Q5)</f>
        <v>1</v>
      </c>
      <c r="W5" s="7">
        <v>7</v>
      </c>
      <c r="X5" s="4">
        <f>LEN("GTCATATCTCCATCTAATCCGTTGCTGTGATATGAT")</f>
        <v>36</v>
      </c>
      <c r="Y5" s="4">
        <v>1</v>
      </c>
      <c r="Z5" s="4">
        <v>1929</v>
      </c>
      <c r="AA5" s="4">
        <v>5153</v>
      </c>
      <c r="AB5" s="5" t="s">
        <v>86</v>
      </c>
      <c r="AC5" s="4">
        <f t="shared" si="6"/>
        <v>3224</v>
      </c>
      <c r="AD5" s="5" t="s">
        <v>86</v>
      </c>
      <c r="AE5" s="4" t="s">
        <v>88</v>
      </c>
      <c r="AF5" s="4">
        <v>5312</v>
      </c>
      <c r="AG5" s="59">
        <v>5347</v>
      </c>
      <c r="AH5" s="4" t="b">
        <f>AND(AR5,AO5=1)</f>
        <v>1</v>
      </c>
      <c r="AI5" s="7" t="b">
        <f t="shared" si="7"/>
        <v>1</v>
      </c>
      <c r="AJ5" s="57" t="b">
        <f t="shared" si="8"/>
        <v>1</v>
      </c>
      <c r="AK5" s="57" t="b">
        <f t="shared" si="9"/>
        <v>1</v>
      </c>
      <c r="AL5" s="57" t="b">
        <f t="shared" si="10"/>
        <v>1</v>
      </c>
      <c r="AM5" s="57" t="b">
        <f t="shared" si="11"/>
        <v>1</v>
      </c>
      <c r="AN5" s="4" t="b">
        <f t="shared" si="12"/>
        <v>1</v>
      </c>
      <c r="AO5" s="24">
        <f t="shared" si="13"/>
        <v>1</v>
      </c>
      <c r="AP5" s="24" t="b">
        <f t="shared" si="14"/>
        <v>1</v>
      </c>
      <c r="AQ5" s="24" t="b">
        <f>AND(K5&lt;AG5,AG5&lt;L5)</f>
        <v>0</v>
      </c>
      <c r="AR5" s="24" t="b">
        <f>AD5=I5</f>
        <v>1</v>
      </c>
      <c r="AS5" s="24">
        <f t="shared" si="0"/>
        <v>1</v>
      </c>
    </row>
    <row r="6" spans="1:46" ht="15" thickBot="1" x14ac:dyDescent="0.35">
      <c r="A6" s="8" t="s">
        <v>15</v>
      </c>
      <c r="B6" s="30">
        <v>56</v>
      </c>
      <c r="C6" s="30">
        <v>2</v>
      </c>
      <c r="D6" s="30">
        <v>888</v>
      </c>
      <c r="E6" s="30">
        <v>5243</v>
      </c>
      <c r="F6" s="31" t="s">
        <v>85</v>
      </c>
      <c r="G6" s="30">
        <v>1451</v>
      </c>
      <c r="H6" s="30">
        <v>47</v>
      </c>
      <c r="I6" s="31" t="s">
        <v>86</v>
      </c>
      <c r="J6" s="30" t="s">
        <v>87</v>
      </c>
      <c r="K6" s="30">
        <v>789</v>
      </c>
      <c r="L6" s="30">
        <v>860</v>
      </c>
      <c r="M6" s="41"/>
      <c r="N6" s="41"/>
      <c r="O6" s="42"/>
      <c r="P6" s="44"/>
      <c r="Q6" s="44"/>
      <c r="R6" s="44"/>
      <c r="S6" s="44"/>
      <c r="T6" s="44"/>
      <c r="U6" s="44"/>
      <c r="V6" s="44"/>
      <c r="W6" s="14">
        <v>60</v>
      </c>
      <c r="X6" s="15">
        <f>LEN("GTTGTAACTAATCACAAAGTTACGAAAAATTGAAAGCAATTTACAAC")</f>
        <v>47</v>
      </c>
      <c r="Y6" s="15">
        <v>1</v>
      </c>
      <c r="Z6" s="15">
        <v>951</v>
      </c>
      <c r="AA6" s="15">
        <v>5243</v>
      </c>
      <c r="AB6" s="16" t="s">
        <v>85</v>
      </c>
      <c r="AC6" s="15">
        <f t="shared" si="6"/>
        <v>4292</v>
      </c>
      <c r="AD6" s="16" t="s">
        <v>85</v>
      </c>
      <c r="AE6" s="15" t="s">
        <v>87</v>
      </c>
      <c r="AF6" s="15">
        <v>845</v>
      </c>
      <c r="AG6" s="60">
        <v>891</v>
      </c>
      <c r="AH6" s="4" t="b">
        <f>AND(AR6,AO6=1)</f>
        <v>0</v>
      </c>
      <c r="AI6" s="7" t="b">
        <f t="shared" si="7"/>
        <v>1</v>
      </c>
      <c r="AJ6" s="57" t="b">
        <f t="shared" si="8"/>
        <v>1</v>
      </c>
      <c r="AK6" s="57" t="b">
        <f t="shared" si="9"/>
        <v>1</v>
      </c>
      <c r="AL6" s="57" t="b">
        <f t="shared" si="10"/>
        <v>0</v>
      </c>
      <c r="AM6" s="57" t="b">
        <f t="shared" si="11"/>
        <v>0</v>
      </c>
      <c r="AN6" s="4" t="b">
        <f t="shared" si="12"/>
        <v>0</v>
      </c>
      <c r="AO6" s="24">
        <f t="shared" si="13"/>
        <v>1</v>
      </c>
      <c r="AP6" s="24" t="b">
        <f t="shared" si="14"/>
        <v>1</v>
      </c>
      <c r="AQ6" s="24" t="b">
        <f>AND(K6&lt;AG6,AG6&lt;L6)</f>
        <v>0</v>
      </c>
      <c r="AR6" s="24" t="b">
        <f>AD6=I6</f>
        <v>0</v>
      </c>
      <c r="AS6" s="24">
        <f t="shared" si="0"/>
        <v>0</v>
      </c>
    </row>
    <row r="7" spans="1:46" ht="15.6" thickTop="1" thickBot="1" x14ac:dyDescent="0.35">
      <c r="A7" s="29" t="s">
        <v>16</v>
      </c>
      <c r="B7" s="52">
        <v>6</v>
      </c>
      <c r="C7" s="53">
        <v>1</v>
      </c>
      <c r="D7" s="53">
        <v>3192</v>
      </c>
      <c r="E7" s="53">
        <v>6203</v>
      </c>
      <c r="F7" s="54" t="s">
        <v>86</v>
      </c>
      <c r="G7" s="53">
        <v>1003</v>
      </c>
      <c r="H7" s="53">
        <v>36</v>
      </c>
      <c r="I7" s="54" t="s">
        <v>86</v>
      </c>
      <c r="J7" s="53" t="s">
        <v>87</v>
      </c>
      <c r="K7" s="53">
        <v>2776</v>
      </c>
      <c r="L7" s="55">
        <v>3063</v>
      </c>
      <c r="M7" s="45">
        <v>3023</v>
      </c>
      <c r="N7" s="41">
        <v>3145</v>
      </c>
      <c r="O7" s="42" t="s">
        <v>85</v>
      </c>
      <c r="P7" s="44" t="b">
        <f t="shared" si="1"/>
        <v>0</v>
      </c>
      <c r="Q7" s="44" t="b">
        <f t="shared" si="2"/>
        <v>1</v>
      </c>
      <c r="R7" s="44" t="b">
        <f t="shared" si="3"/>
        <v>1</v>
      </c>
      <c r="S7" s="44" t="b">
        <f>AND(K7&lt;=N7,N7&lt;=L7)</f>
        <v>0</v>
      </c>
      <c r="T7" s="44" t="b">
        <f t="shared" si="4"/>
        <v>1</v>
      </c>
      <c r="U7" s="44" t="b">
        <f t="shared" si="5"/>
        <v>0</v>
      </c>
      <c r="V7" s="44" t="b">
        <f>AND(P7,Q7)</f>
        <v>0</v>
      </c>
      <c r="W7" s="20">
        <v>10</v>
      </c>
      <c r="X7" s="21">
        <f>LEN("GTTTTAGTCTCTTTTTAAATTTCTTTATGGTAAAAT")</f>
        <v>36</v>
      </c>
      <c r="Y7" s="21">
        <v>1</v>
      </c>
      <c r="Z7" s="21"/>
      <c r="AA7" s="21"/>
      <c r="AB7" s="22"/>
      <c r="AC7" s="21"/>
      <c r="AD7" s="22"/>
      <c r="AE7" s="21"/>
      <c r="AF7" s="21"/>
      <c r="AG7" s="61"/>
      <c r="AH7" s="4"/>
      <c r="AI7" s="7"/>
      <c r="AJ7" s="57"/>
      <c r="AK7" s="57"/>
      <c r="AL7" s="57"/>
      <c r="AM7" s="57"/>
      <c r="AN7" s="4"/>
      <c r="AO7" s="24"/>
      <c r="AP7" s="24"/>
      <c r="AQ7" s="24"/>
      <c r="AR7" s="24"/>
      <c r="AS7" s="24">
        <f t="shared" si="0"/>
        <v>0</v>
      </c>
      <c r="AT7">
        <v>1</v>
      </c>
    </row>
    <row r="8" spans="1:46" ht="15" thickTop="1" x14ac:dyDescent="0.3">
      <c r="A8" s="8" t="s">
        <v>17</v>
      </c>
      <c r="B8" s="32">
        <v>17</v>
      </c>
      <c r="C8" s="32">
        <v>2</v>
      </c>
      <c r="D8" s="32">
        <v>983</v>
      </c>
      <c r="E8" s="32">
        <v>5203</v>
      </c>
      <c r="F8" s="33" t="s">
        <v>85</v>
      </c>
      <c r="G8" s="32">
        <v>1406</v>
      </c>
      <c r="H8" s="32">
        <v>52</v>
      </c>
      <c r="I8" s="33" t="s">
        <v>86</v>
      </c>
      <c r="J8" s="32" t="s">
        <v>87</v>
      </c>
      <c r="K8" s="32">
        <v>811</v>
      </c>
      <c r="L8" s="32">
        <v>887</v>
      </c>
      <c r="M8" s="41"/>
      <c r="N8" s="41"/>
      <c r="O8" s="42"/>
      <c r="P8" s="44"/>
      <c r="Q8" s="44"/>
      <c r="R8" s="44"/>
      <c r="S8" s="44"/>
      <c r="T8" s="44"/>
      <c r="U8" s="44"/>
      <c r="V8" s="44"/>
      <c r="W8" s="17">
        <v>25</v>
      </c>
      <c r="X8" s="18">
        <f>LEN("GCTGTGACTAATCACGAAGATAATAAATTTTGAAAGCACTTCACAAC")</f>
        <v>47</v>
      </c>
      <c r="Y8" s="18">
        <v>1</v>
      </c>
      <c r="Z8" s="18">
        <v>992</v>
      </c>
      <c r="AA8" s="18">
        <v>5203</v>
      </c>
      <c r="AB8" s="19" t="s">
        <v>85</v>
      </c>
      <c r="AC8" s="18">
        <f t="shared" si="6"/>
        <v>4211</v>
      </c>
      <c r="AD8" s="19" t="s">
        <v>85</v>
      </c>
      <c r="AE8" s="18" t="s">
        <v>87</v>
      </c>
      <c r="AF8" s="18">
        <v>866</v>
      </c>
      <c r="AG8" s="62">
        <v>912</v>
      </c>
      <c r="AH8" s="4" t="b">
        <f t="shared" ref="AH8:AH14" si="15">AND(AR8,AO8=1)</f>
        <v>0</v>
      </c>
      <c r="AI8" s="7" t="b">
        <f t="shared" si="7"/>
        <v>1</v>
      </c>
      <c r="AJ8" s="57" t="b">
        <f t="shared" si="8"/>
        <v>1</v>
      </c>
      <c r="AK8" s="57" t="b">
        <f t="shared" si="9"/>
        <v>1</v>
      </c>
      <c r="AL8" s="57" t="b">
        <f t="shared" si="10"/>
        <v>0</v>
      </c>
      <c r="AM8" s="57" t="b">
        <f t="shared" si="11"/>
        <v>0</v>
      </c>
      <c r="AN8" s="4" t="b">
        <f t="shared" si="12"/>
        <v>0</v>
      </c>
      <c r="AO8" s="24">
        <f t="shared" si="13"/>
        <v>1</v>
      </c>
      <c r="AP8" s="24" t="b">
        <f t="shared" si="14"/>
        <v>1</v>
      </c>
      <c r="AQ8" s="24" t="b">
        <f t="shared" ref="AQ8:AQ14" si="16">AND(K8&lt;AG8,AG8&lt;L8)</f>
        <v>0</v>
      </c>
      <c r="AR8" s="24" t="b">
        <f t="shared" ref="AR8:AR14" si="17">AD8=I8</f>
        <v>0</v>
      </c>
      <c r="AS8" s="24">
        <f t="shared" si="0"/>
        <v>0</v>
      </c>
    </row>
    <row r="9" spans="1:46" x14ac:dyDescent="0.3">
      <c r="A9" s="8" t="s">
        <v>18</v>
      </c>
      <c r="B9" s="11">
        <v>5</v>
      </c>
      <c r="C9" s="11">
        <v>1</v>
      </c>
      <c r="D9" s="11">
        <v>850</v>
      </c>
      <c r="E9" s="11">
        <v>5010</v>
      </c>
      <c r="F9" s="12" t="s">
        <v>85</v>
      </c>
      <c r="G9" s="11">
        <v>1386</v>
      </c>
      <c r="H9" s="11">
        <v>36</v>
      </c>
      <c r="I9" s="12" t="s">
        <v>86</v>
      </c>
      <c r="J9" s="11" t="s">
        <v>87</v>
      </c>
      <c r="K9" s="11">
        <v>697</v>
      </c>
      <c r="L9" s="11">
        <v>812</v>
      </c>
      <c r="M9" s="41">
        <v>704</v>
      </c>
      <c r="N9" s="41">
        <v>816</v>
      </c>
      <c r="O9" s="42" t="s">
        <v>86</v>
      </c>
      <c r="P9" s="44" t="b">
        <f t="shared" si="1"/>
        <v>1</v>
      </c>
      <c r="Q9" s="44" t="b">
        <f t="shared" si="2"/>
        <v>1</v>
      </c>
      <c r="R9" s="44" t="b">
        <f t="shared" si="3"/>
        <v>1</v>
      </c>
      <c r="S9" s="44" t="b">
        <f>AND(K9&lt;=N9,N9&lt;=L9)</f>
        <v>0</v>
      </c>
      <c r="T9" s="44" t="b">
        <f t="shared" si="4"/>
        <v>1</v>
      </c>
      <c r="U9" s="44" t="b">
        <f t="shared" si="5"/>
        <v>0</v>
      </c>
      <c r="V9" s="44" t="b">
        <f>AND(P9,Q9)</f>
        <v>1</v>
      </c>
      <c r="W9" s="7">
        <v>10</v>
      </c>
      <c r="X9" s="4">
        <f>LEN("GTTTTGGAGCAGTGTCGTTCTGACTGGTAATCCAAC")</f>
        <v>36</v>
      </c>
      <c r="Y9" s="4">
        <v>1</v>
      </c>
      <c r="Z9" s="4">
        <v>856</v>
      </c>
      <c r="AA9" s="4">
        <v>5010</v>
      </c>
      <c r="AB9" s="5" t="s">
        <v>85</v>
      </c>
      <c r="AC9" s="4">
        <f t="shared" si="6"/>
        <v>4154</v>
      </c>
      <c r="AD9" s="5" t="s">
        <v>85</v>
      </c>
      <c r="AE9" s="18" t="s">
        <v>87</v>
      </c>
      <c r="AF9" s="4">
        <v>787</v>
      </c>
      <c r="AG9" s="59">
        <v>822</v>
      </c>
      <c r="AH9" s="4" t="b">
        <f t="shared" si="15"/>
        <v>0</v>
      </c>
      <c r="AI9" s="7" t="b">
        <f t="shared" si="7"/>
        <v>1</v>
      </c>
      <c r="AJ9" s="57" t="b">
        <f t="shared" si="8"/>
        <v>1</v>
      </c>
      <c r="AK9" s="57" t="b">
        <f t="shared" si="9"/>
        <v>1</v>
      </c>
      <c r="AL9" s="57" t="b">
        <f t="shared" si="10"/>
        <v>0</v>
      </c>
      <c r="AM9" s="57" t="b">
        <f t="shared" si="11"/>
        <v>0</v>
      </c>
      <c r="AN9" s="4" t="b">
        <f t="shared" si="12"/>
        <v>0</v>
      </c>
      <c r="AO9" s="24">
        <f t="shared" si="13"/>
        <v>1</v>
      </c>
      <c r="AP9" s="24" t="b">
        <f t="shared" si="14"/>
        <v>1</v>
      </c>
      <c r="AQ9" s="24" t="b">
        <f t="shared" si="16"/>
        <v>0</v>
      </c>
      <c r="AR9" s="24" t="b">
        <f t="shared" si="17"/>
        <v>0</v>
      </c>
      <c r="AS9" s="24">
        <f t="shared" si="0"/>
        <v>0</v>
      </c>
    </row>
    <row r="10" spans="1:46" x14ac:dyDescent="0.3">
      <c r="A10" s="8" t="s">
        <v>19</v>
      </c>
      <c r="B10" s="11">
        <v>3</v>
      </c>
      <c r="C10" s="11">
        <v>1</v>
      </c>
      <c r="D10" s="11">
        <v>1566</v>
      </c>
      <c r="E10" s="11">
        <v>5816</v>
      </c>
      <c r="F10" s="12" t="s">
        <v>86</v>
      </c>
      <c r="G10" s="11">
        <v>1416</v>
      </c>
      <c r="H10" s="11">
        <v>46</v>
      </c>
      <c r="I10" s="12" t="s">
        <v>85</v>
      </c>
      <c r="J10" s="11" t="s">
        <v>88</v>
      </c>
      <c r="K10" s="11">
        <v>5807</v>
      </c>
      <c r="L10" s="11">
        <v>5887</v>
      </c>
      <c r="M10" s="41"/>
      <c r="N10" s="41"/>
      <c r="O10" s="42"/>
      <c r="P10" s="44"/>
      <c r="Q10" s="44"/>
      <c r="R10" s="44"/>
      <c r="S10" s="44"/>
      <c r="T10" s="44"/>
      <c r="U10" s="44"/>
      <c r="V10" s="44"/>
      <c r="W10" s="7">
        <v>3</v>
      </c>
      <c r="X10" s="4">
        <f>LEN("GTTGTGAATTGCTTTCATTTCTTTGATATCTTTGATTCAGTACAAC")</f>
        <v>46</v>
      </c>
      <c r="Y10" s="4">
        <v>1</v>
      </c>
      <c r="Z10" s="4">
        <v>1566</v>
      </c>
      <c r="AA10" s="4">
        <v>5765</v>
      </c>
      <c r="AB10" s="5" t="s">
        <v>86</v>
      </c>
      <c r="AC10" s="4">
        <f t="shared" si="6"/>
        <v>4199</v>
      </c>
      <c r="AD10" s="5" t="s">
        <v>86</v>
      </c>
      <c r="AE10" s="4" t="s">
        <v>88</v>
      </c>
      <c r="AF10" s="4">
        <v>5778</v>
      </c>
      <c r="AG10" s="59">
        <v>5823</v>
      </c>
      <c r="AH10" s="4" t="b">
        <f t="shared" si="15"/>
        <v>0</v>
      </c>
      <c r="AI10" s="7" t="b">
        <f t="shared" si="7"/>
        <v>1</v>
      </c>
      <c r="AJ10" s="57" t="b">
        <f t="shared" si="8"/>
        <v>0</v>
      </c>
      <c r="AK10" s="57" t="b">
        <f t="shared" si="9"/>
        <v>0</v>
      </c>
      <c r="AL10" s="57" t="b">
        <f t="shared" si="10"/>
        <v>1</v>
      </c>
      <c r="AM10" s="57" t="b">
        <f t="shared" si="11"/>
        <v>1</v>
      </c>
      <c r="AN10" s="4" t="b">
        <f t="shared" si="12"/>
        <v>0</v>
      </c>
      <c r="AO10" s="24">
        <f t="shared" si="13"/>
        <v>1</v>
      </c>
      <c r="AP10" s="24" t="b">
        <f t="shared" si="14"/>
        <v>0</v>
      </c>
      <c r="AQ10" s="24" t="b">
        <f t="shared" si="16"/>
        <v>1</v>
      </c>
      <c r="AR10" s="24" t="b">
        <f t="shared" si="17"/>
        <v>0</v>
      </c>
      <c r="AS10" s="24">
        <f t="shared" si="0"/>
        <v>0</v>
      </c>
    </row>
    <row r="11" spans="1:46" x14ac:dyDescent="0.3">
      <c r="A11" s="8" t="s">
        <v>20</v>
      </c>
      <c r="B11" s="11">
        <v>3</v>
      </c>
      <c r="C11" s="11">
        <v>1</v>
      </c>
      <c r="D11" s="11">
        <v>1421</v>
      </c>
      <c r="E11" s="11">
        <v>4498</v>
      </c>
      <c r="F11" s="12" t="s">
        <v>86</v>
      </c>
      <c r="G11" s="11">
        <v>1025</v>
      </c>
      <c r="H11" s="11">
        <v>40</v>
      </c>
      <c r="I11" s="12" t="s">
        <v>85</v>
      </c>
      <c r="J11" s="11" t="s">
        <v>88</v>
      </c>
      <c r="K11" s="11">
        <v>4518</v>
      </c>
      <c r="L11" s="11">
        <v>4640</v>
      </c>
      <c r="M11" s="41"/>
      <c r="N11" s="41"/>
      <c r="O11" s="42"/>
      <c r="P11" s="44"/>
      <c r="Q11" s="44"/>
      <c r="R11" s="44"/>
      <c r="S11" s="44"/>
      <c r="T11" s="44"/>
      <c r="U11" s="44"/>
      <c r="V11" s="44"/>
      <c r="W11" s="7">
        <v>3</v>
      </c>
      <c r="X11" s="4">
        <f>LEN("GTTGTGGATTCCGGGCAGGCATCGATCAACTACACT")</f>
        <v>36</v>
      </c>
      <c r="Y11" s="4">
        <v>1</v>
      </c>
      <c r="Z11" s="4">
        <v>1421</v>
      </c>
      <c r="AA11" s="4">
        <v>4477</v>
      </c>
      <c r="AB11" s="5" t="s">
        <v>86</v>
      </c>
      <c r="AC11" s="4">
        <f t="shared" si="6"/>
        <v>3056</v>
      </c>
      <c r="AD11" s="5" t="s">
        <v>86</v>
      </c>
      <c r="AE11" s="4" t="s">
        <v>88</v>
      </c>
      <c r="AF11" s="4">
        <v>4517</v>
      </c>
      <c r="AG11" s="59">
        <v>4552</v>
      </c>
      <c r="AH11" s="4" t="b">
        <f t="shared" si="15"/>
        <v>0</v>
      </c>
      <c r="AI11" s="7" t="b">
        <f t="shared" si="7"/>
        <v>1</v>
      </c>
      <c r="AJ11" s="57" t="b">
        <f t="shared" si="8"/>
        <v>0</v>
      </c>
      <c r="AK11" s="57" t="b">
        <f t="shared" si="9"/>
        <v>0</v>
      </c>
      <c r="AL11" s="57" t="b">
        <f t="shared" si="10"/>
        <v>1</v>
      </c>
      <c r="AM11" s="57" t="b">
        <f t="shared" si="11"/>
        <v>1</v>
      </c>
      <c r="AN11" s="4" t="b">
        <f t="shared" si="12"/>
        <v>0</v>
      </c>
      <c r="AO11" s="24">
        <f t="shared" si="13"/>
        <v>1</v>
      </c>
      <c r="AP11" s="24" t="b">
        <f t="shared" si="14"/>
        <v>0</v>
      </c>
      <c r="AQ11" s="24" t="b">
        <f t="shared" si="16"/>
        <v>1</v>
      </c>
      <c r="AR11" s="24" t="b">
        <f t="shared" si="17"/>
        <v>0</v>
      </c>
      <c r="AS11" s="24">
        <f t="shared" si="0"/>
        <v>0</v>
      </c>
    </row>
    <row r="12" spans="1:46" ht="15" thickBot="1" x14ac:dyDescent="0.35">
      <c r="A12" s="8" t="s">
        <v>21</v>
      </c>
      <c r="B12" s="30">
        <v>4</v>
      </c>
      <c r="C12" s="30">
        <v>1</v>
      </c>
      <c r="D12" s="30">
        <v>1578</v>
      </c>
      <c r="E12" s="30">
        <v>4964</v>
      </c>
      <c r="F12" s="31" t="s">
        <v>86</v>
      </c>
      <c r="G12" s="30">
        <v>1128</v>
      </c>
      <c r="H12" s="30">
        <v>36</v>
      </c>
      <c r="I12" s="31" t="s">
        <v>85</v>
      </c>
      <c r="J12" s="30" t="s">
        <v>88</v>
      </c>
      <c r="K12" s="30">
        <v>5014</v>
      </c>
      <c r="L12" s="30">
        <v>5100</v>
      </c>
      <c r="M12" s="41"/>
      <c r="N12" s="41"/>
      <c r="O12" s="42"/>
      <c r="P12" s="44"/>
      <c r="Q12" s="44"/>
      <c r="R12" s="44"/>
      <c r="S12" s="44"/>
      <c r="T12" s="44"/>
      <c r="U12" s="44"/>
      <c r="V12" s="44"/>
      <c r="W12" s="7">
        <v>4</v>
      </c>
      <c r="X12" s="4">
        <f>LEN("GTTGTGGATTGATTAGAAAAAGGAATAAGTTAGCTT")</f>
        <v>36</v>
      </c>
      <c r="Y12" s="4">
        <v>1</v>
      </c>
      <c r="Z12" s="4">
        <v>1578</v>
      </c>
      <c r="AA12" s="4">
        <v>4952</v>
      </c>
      <c r="AB12" s="5" t="s">
        <v>86</v>
      </c>
      <c r="AC12" s="4">
        <f t="shared" si="6"/>
        <v>3374</v>
      </c>
      <c r="AD12" s="5" t="s">
        <v>86</v>
      </c>
      <c r="AE12" s="4" t="s">
        <v>88</v>
      </c>
      <c r="AF12" s="4">
        <v>5000</v>
      </c>
      <c r="AG12" s="59">
        <v>5035</v>
      </c>
      <c r="AH12" s="4" t="b">
        <f t="shared" si="15"/>
        <v>0</v>
      </c>
      <c r="AI12" s="7" t="b">
        <f t="shared" si="7"/>
        <v>1</v>
      </c>
      <c r="AJ12" s="57" t="b">
        <f t="shared" si="8"/>
        <v>0</v>
      </c>
      <c r="AK12" s="57" t="b">
        <f t="shared" si="9"/>
        <v>0</v>
      </c>
      <c r="AL12" s="57" t="b">
        <f t="shared" si="10"/>
        <v>1</v>
      </c>
      <c r="AM12" s="57" t="b">
        <f t="shared" si="11"/>
        <v>1</v>
      </c>
      <c r="AN12" s="4" t="b">
        <f t="shared" si="12"/>
        <v>0</v>
      </c>
      <c r="AO12" s="24">
        <f t="shared" si="13"/>
        <v>1</v>
      </c>
      <c r="AP12" s="24" t="b">
        <f t="shared" si="14"/>
        <v>0</v>
      </c>
      <c r="AQ12" s="24" t="b">
        <f t="shared" si="16"/>
        <v>1</v>
      </c>
      <c r="AR12" s="24" t="b">
        <f t="shared" si="17"/>
        <v>0</v>
      </c>
      <c r="AS12" s="24">
        <f t="shared" si="0"/>
        <v>0</v>
      </c>
    </row>
    <row r="13" spans="1:46" ht="15.6" thickTop="1" thickBot="1" x14ac:dyDescent="0.35">
      <c r="A13" s="29" t="s">
        <v>22</v>
      </c>
      <c r="B13" s="34">
        <v>36</v>
      </c>
      <c r="C13" s="35">
        <v>3</v>
      </c>
      <c r="D13" s="35">
        <v>5952</v>
      </c>
      <c r="E13" s="35">
        <v>9065</v>
      </c>
      <c r="F13" s="36" t="s">
        <v>86</v>
      </c>
      <c r="G13" s="35">
        <v>1037</v>
      </c>
      <c r="H13" s="35">
        <v>37</v>
      </c>
      <c r="I13" s="36"/>
      <c r="J13" s="35"/>
      <c r="K13" s="35"/>
      <c r="L13" s="37"/>
      <c r="M13" s="41"/>
      <c r="N13" s="41"/>
      <c r="O13" s="42"/>
      <c r="P13" s="44"/>
      <c r="Q13" s="44"/>
      <c r="R13" s="44"/>
      <c r="S13" s="44"/>
      <c r="T13" s="44"/>
      <c r="U13" s="44"/>
      <c r="V13" s="44"/>
      <c r="W13" s="7">
        <v>46</v>
      </c>
      <c r="X13" s="4">
        <f>LEN("GCTGCGGTTTGCGGCCAATTCCTCGTTTGCTAGACTT")</f>
        <v>37</v>
      </c>
      <c r="Y13" s="4">
        <v>1</v>
      </c>
      <c r="Z13" s="4">
        <v>5952</v>
      </c>
      <c r="AA13" s="4">
        <v>9038</v>
      </c>
      <c r="AB13" s="5" t="s">
        <v>86</v>
      </c>
      <c r="AC13" s="4">
        <f t="shared" si="6"/>
        <v>3086</v>
      </c>
      <c r="AD13" s="5" t="s">
        <v>86</v>
      </c>
      <c r="AE13" s="4" t="s">
        <v>88</v>
      </c>
      <c r="AF13" s="4">
        <v>9104</v>
      </c>
      <c r="AG13" s="59">
        <v>9141</v>
      </c>
      <c r="AH13" s="4" t="b">
        <f t="shared" si="15"/>
        <v>0</v>
      </c>
      <c r="AI13" s="7" t="b">
        <f t="shared" si="7"/>
        <v>0</v>
      </c>
      <c r="AJ13" s="57" t="b">
        <f t="shared" si="8"/>
        <v>0</v>
      </c>
      <c r="AK13" s="57" t="b">
        <f t="shared" si="9"/>
        <v>0</v>
      </c>
      <c r="AL13" s="57" t="b">
        <f t="shared" si="10"/>
        <v>0</v>
      </c>
      <c r="AM13" s="57" t="b">
        <f t="shared" si="11"/>
        <v>0</v>
      </c>
      <c r="AN13" s="4" t="b">
        <f t="shared" si="12"/>
        <v>0</v>
      </c>
      <c r="AO13" s="24">
        <f t="shared" si="13"/>
        <v>0</v>
      </c>
      <c r="AP13" s="24" t="b">
        <f t="shared" si="14"/>
        <v>0</v>
      </c>
      <c r="AQ13" s="24" t="b">
        <f t="shared" si="16"/>
        <v>0</v>
      </c>
      <c r="AR13" s="24" t="b">
        <f t="shared" si="17"/>
        <v>0</v>
      </c>
      <c r="AS13" s="24">
        <f t="shared" si="0"/>
        <v>0</v>
      </c>
    </row>
    <row r="14" spans="1:46" ht="15.6" thickTop="1" thickBot="1" x14ac:dyDescent="0.35">
      <c r="A14" s="8" t="s">
        <v>23</v>
      </c>
      <c r="B14" s="32">
        <v>14</v>
      </c>
      <c r="C14" s="32">
        <v>2</v>
      </c>
      <c r="D14" s="32">
        <v>22759</v>
      </c>
      <c r="E14" s="32">
        <v>25971</v>
      </c>
      <c r="F14" s="33" t="s">
        <v>86</v>
      </c>
      <c r="G14" s="32">
        <v>1070</v>
      </c>
      <c r="H14" s="32">
        <v>40</v>
      </c>
      <c r="I14" s="33" t="s">
        <v>86</v>
      </c>
      <c r="J14" s="32" t="s">
        <v>88</v>
      </c>
      <c r="K14" s="32">
        <v>26003</v>
      </c>
      <c r="L14" s="32">
        <v>26099</v>
      </c>
      <c r="M14" s="41">
        <v>26008</v>
      </c>
      <c r="N14" s="41">
        <v>26100</v>
      </c>
      <c r="O14" s="42" t="s">
        <v>86</v>
      </c>
      <c r="P14" s="44" t="b">
        <f t="shared" si="1"/>
        <v>1</v>
      </c>
      <c r="Q14" s="44" t="b">
        <f t="shared" si="2"/>
        <v>1</v>
      </c>
      <c r="R14" s="44" t="b">
        <f t="shared" si="3"/>
        <v>1</v>
      </c>
      <c r="S14" s="44" t="b">
        <f>AND(K14&lt;=N14,N14&lt;=L14)</f>
        <v>0</v>
      </c>
      <c r="T14" s="44" t="b">
        <f t="shared" si="4"/>
        <v>1</v>
      </c>
      <c r="U14" s="44" t="b">
        <f t="shared" si="5"/>
        <v>0</v>
      </c>
      <c r="V14" s="44" t="b">
        <f>AND(P14,Q14)</f>
        <v>1</v>
      </c>
      <c r="W14" s="14">
        <v>27</v>
      </c>
      <c r="X14" s="15">
        <f>LEN("GTTATAGTTCCTAGTAAATTCTCGATATGCTATAAT")</f>
        <v>36</v>
      </c>
      <c r="Y14" s="15">
        <v>1</v>
      </c>
      <c r="Z14" s="15">
        <v>22759</v>
      </c>
      <c r="AA14" s="15">
        <v>25956</v>
      </c>
      <c r="AB14" s="16" t="s">
        <v>86</v>
      </c>
      <c r="AC14" s="15">
        <f t="shared" si="6"/>
        <v>3197</v>
      </c>
      <c r="AD14" s="16" t="s">
        <v>86</v>
      </c>
      <c r="AE14" s="15" t="s">
        <v>88</v>
      </c>
      <c r="AF14" s="15">
        <v>26062</v>
      </c>
      <c r="AG14" s="60">
        <v>26098</v>
      </c>
      <c r="AH14" s="4" t="b">
        <f t="shared" si="15"/>
        <v>1</v>
      </c>
      <c r="AI14" s="7" t="b">
        <f t="shared" si="7"/>
        <v>1</v>
      </c>
      <c r="AJ14" s="57" t="b">
        <f t="shared" si="8"/>
        <v>1</v>
      </c>
      <c r="AK14" s="57" t="b">
        <f t="shared" si="9"/>
        <v>1</v>
      </c>
      <c r="AL14" s="57" t="b">
        <f t="shared" si="10"/>
        <v>1</v>
      </c>
      <c r="AM14" s="57" t="b">
        <f t="shared" si="11"/>
        <v>1</v>
      </c>
      <c r="AN14" s="4" t="b">
        <f t="shared" si="12"/>
        <v>1</v>
      </c>
      <c r="AO14" s="24">
        <f t="shared" si="13"/>
        <v>1</v>
      </c>
      <c r="AP14" s="24" t="b">
        <f t="shared" si="14"/>
        <v>1</v>
      </c>
      <c r="AQ14" s="24" t="b">
        <f t="shared" si="16"/>
        <v>1</v>
      </c>
      <c r="AR14" s="24" t="b">
        <f t="shared" si="17"/>
        <v>1</v>
      </c>
      <c r="AS14" s="24">
        <f t="shared" si="0"/>
        <v>1</v>
      </c>
    </row>
    <row r="15" spans="1:46" ht="15.6" thickTop="1" thickBot="1" x14ac:dyDescent="0.35">
      <c r="A15" s="8" t="s">
        <v>24</v>
      </c>
      <c r="B15" s="11">
        <v>5</v>
      </c>
      <c r="C15" s="11">
        <v>1</v>
      </c>
      <c r="D15" s="11">
        <v>5821</v>
      </c>
      <c r="E15" s="11">
        <v>10239</v>
      </c>
      <c r="F15" s="12" t="s">
        <v>86</v>
      </c>
      <c r="G15" s="11">
        <v>1472</v>
      </c>
      <c r="H15" s="11">
        <v>36</v>
      </c>
      <c r="I15" s="12" t="s">
        <v>86</v>
      </c>
      <c r="J15" s="11" t="s">
        <v>87</v>
      </c>
      <c r="K15" s="11">
        <v>2188</v>
      </c>
      <c r="L15" s="13">
        <v>2291</v>
      </c>
      <c r="M15" s="41"/>
      <c r="N15" s="41"/>
      <c r="O15" s="42"/>
      <c r="P15" s="44"/>
      <c r="Q15" s="44"/>
      <c r="R15" s="44"/>
      <c r="S15" s="44"/>
      <c r="T15" s="44"/>
      <c r="U15" s="44"/>
      <c r="V15" s="44"/>
      <c r="W15" s="20">
        <v>11</v>
      </c>
      <c r="X15" s="21">
        <f>LEN("GAAGCTAGCACGGTGGAACGGACCGGGCTACAGGAC")</f>
        <v>36</v>
      </c>
      <c r="Y15" s="21">
        <v>1</v>
      </c>
      <c r="Z15" s="21">
        <v>5821</v>
      </c>
      <c r="AA15" s="21">
        <v>10149</v>
      </c>
      <c r="AB15" s="22" t="s">
        <v>86</v>
      </c>
      <c r="AC15" s="21">
        <f t="shared" si="6"/>
        <v>4328</v>
      </c>
      <c r="AD15" s="22"/>
      <c r="AE15" s="21"/>
      <c r="AF15" s="21"/>
      <c r="AG15" s="61"/>
      <c r="AH15" s="4"/>
      <c r="AI15" s="7"/>
      <c r="AJ15" s="57"/>
      <c r="AK15" s="57"/>
      <c r="AL15" s="57"/>
      <c r="AM15" s="57"/>
      <c r="AN15" s="4"/>
      <c r="AO15" s="24"/>
      <c r="AP15" s="24"/>
      <c r="AQ15" s="24"/>
      <c r="AR15" s="24"/>
      <c r="AS15" s="24">
        <f t="shared" si="0"/>
        <v>0</v>
      </c>
      <c r="AT15">
        <v>2</v>
      </c>
    </row>
    <row r="16" spans="1:46" ht="15.6" thickTop="1" thickBot="1" x14ac:dyDescent="0.35">
      <c r="A16" s="8" t="s">
        <v>25</v>
      </c>
      <c r="B16" s="11">
        <v>49</v>
      </c>
      <c r="C16" s="11">
        <v>1</v>
      </c>
      <c r="D16" s="11">
        <v>13839</v>
      </c>
      <c r="E16" s="11">
        <v>17312</v>
      </c>
      <c r="F16" s="12" t="s">
        <v>85</v>
      </c>
      <c r="G16" s="11">
        <v>1157</v>
      </c>
      <c r="H16" s="11">
        <v>36</v>
      </c>
      <c r="I16" s="12" t="s">
        <v>85</v>
      </c>
      <c r="J16" s="11" t="s">
        <v>88</v>
      </c>
      <c r="K16" s="11">
        <v>17339</v>
      </c>
      <c r="L16" s="11">
        <v>17424</v>
      </c>
      <c r="M16" s="41"/>
      <c r="N16" s="41"/>
      <c r="O16" s="42"/>
      <c r="P16" s="44"/>
      <c r="Q16" s="44"/>
      <c r="R16" s="44"/>
      <c r="S16" s="44"/>
      <c r="T16" s="44"/>
      <c r="U16" s="44"/>
      <c r="V16" s="44"/>
      <c r="W16" s="20">
        <v>51</v>
      </c>
      <c r="X16" s="21">
        <f>LEN("GTTTTTGTACTCTTAATGATGTGGTATCAGTAAAAC")</f>
        <v>36</v>
      </c>
      <c r="Y16" s="21">
        <v>1</v>
      </c>
      <c r="Z16" s="21">
        <v>13908</v>
      </c>
      <c r="AA16" s="21">
        <v>17312</v>
      </c>
      <c r="AB16" s="22" t="s">
        <v>85</v>
      </c>
      <c r="AC16" s="21">
        <f t="shared" ref="AC16" si="18">AA16-Z16</f>
        <v>3404</v>
      </c>
      <c r="AD16" s="22"/>
      <c r="AE16" s="21"/>
      <c r="AF16" s="21"/>
      <c r="AG16" s="61"/>
      <c r="AH16" s="4"/>
      <c r="AI16" s="7"/>
      <c r="AJ16" s="57"/>
      <c r="AK16" s="57"/>
      <c r="AL16" s="57"/>
      <c r="AM16" s="57"/>
      <c r="AN16" s="4"/>
      <c r="AO16" s="24"/>
      <c r="AP16" s="24"/>
      <c r="AQ16" s="24"/>
      <c r="AR16" s="24"/>
      <c r="AS16" s="24">
        <f t="shared" si="0"/>
        <v>0</v>
      </c>
      <c r="AT16">
        <v>3</v>
      </c>
    </row>
    <row r="17" spans="1:50" ht="15" thickTop="1" x14ac:dyDescent="0.3">
      <c r="A17" s="8" t="s">
        <v>26</v>
      </c>
      <c r="B17" s="11">
        <v>15</v>
      </c>
      <c r="C17" s="11">
        <v>1</v>
      </c>
      <c r="D17" s="11">
        <v>1046</v>
      </c>
      <c r="E17" s="11">
        <v>4357</v>
      </c>
      <c r="F17" s="12" t="s">
        <v>85</v>
      </c>
      <c r="G17" s="11">
        <v>1103</v>
      </c>
      <c r="H17" s="11">
        <v>36</v>
      </c>
      <c r="I17" s="12" t="s">
        <v>85</v>
      </c>
      <c r="J17" s="11" t="s">
        <v>88</v>
      </c>
      <c r="K17" s="11">
        <v>4378</v>
      </c>
      <c r="L17" s="11">
        <v>4463</v>
      </c>
      <c r="M17" s="41">
        <v>4373</v>
      </c>
      <c r="N17" s="41">
        <v>4458</v>
      </c>
      <c r="O17" s="42" t="s">
        <v>85</v>
      </c>
      <c r="P17" s="44" t="b">
        <f t="shared" si="1"/>
        <v>1</v>
      </c>
      <c r="Q17" s="44" t="b">
        <f t="shared" si="2"/>
        <v>1</v>
      </c>
      <c r="R17" s="44" t="b">
        <f t="shared" si="3"/>
        <v>0</v>
      </c>
      <c r="S17" s="44" t="b">
        <f>AND(K17&lt;=N17,N17&lt;=L17)</f>
        <v>1</v>
      </c>
      <c r="T17" s="44" t="b">
        <f t="shared" si="4"/>
        <v>0</v>
      </c>
      <c r="U17" s="44" t="b">
        <f t="shared" si="5"/>
        <v>1</v>
      </c>
      <c r="V17" s="44" t="b">
        <f>AND(P17,Q17)</f>
        <v>1</v>
      </c>
      <c r="W17" s="7">
        <v>16</v>
      </c>
      <c r="X17" s="4">
        <f>LEN("GTTTTGTTACCATATGGATTTTTGCTAGATTAAGAC")</f>
        <v>36</v>
      </c>
      <c r="Y17" s="4">
        <v>1</v>
      </c>
      <c r="Z17" s="4">
        <v>1070</v>
      </c>
      <c r="AA17" s="4">
        <v>4357</v>
      </c>
      <c r="AB17" s="5" t="s">
        <v>85</v>
      </c>
      <c r="AC17" s="4">
        <f t="shared" si="6"/>
        <v>3287</v>
      </c>
      <c r="AD17" s="5" t="s">
        <v>85</v>
      </c>
      <c r="AE17" s="4" t="s">
        <v>88</v>
      </c>
      <c r="AF17" s="4">
        <v>4373</v>
      </c>
      <c r="AG17" s="59">
        <v>4410</v>
      </c>
      <c r="AH17" s="4" t="b">
        <f t="shared" ref="AH17:AH22" si="19">AND(AR17,AO17=1)</f>
        <v>1</v>
      </c>
      <c r="AI17" s="7" t="b">
        <f t="shared" si="7"/>
        <v>1</v>
      </c>
      <c r="AJ17" s="57" t="b">
        <f t="shared" si="8"/>
        <v>0</v>
      </c>
      <c r="AK17" s="57" t="b">
        <f t="shared" si="9"/>
        <v>0</v>
      </c>
      <c r="AL17" s="57" t="b">
        <f t="shared" si="10"/>
        <v>1</v>
      </c>
      <c r="AM17" s="57" t="b">
        <f t="shared" si="11"/>
        <v>1</v>
      </c>
      <c r="AN17" s="4" t="b">
        <f t="shared" si="12"/>
        <v>1</v>
      </c>
      <c r="AO17" s="24">
        <f t="shared" si="13"/>
        <v>1</v>
      </c>
      <c r="AP17" s="24" t="b">
        <f t="shared" si="14"/>
        <v>0</v>
      </c>
      <c r="AQ17" s="24" t="b">
        <f t="shared" ref="AQ17:AQ22" si="20">AND(K17&lt;AG17,AG17&lt;L17)</f>
        <v>1</v>
      </c>
      <c r="AR17" s="24" t="b">
        <f>AD17=I17</f>
        <v>1</v>
      </c>
      <c r="AS17" s="24">
        <f t="shared" si="0"/>
        <v>1</v>
      </c>
    </row>
    <row r="18" spans="1:50" ht="15" thickBot="1" x14ac:dyDescent="0.35">
      <c r="A18" s="8" t="s">
        <v>27</v>
      </c>
      <c r="B18" s="11">
        <v>9</v>
      </c>
      <c r="C18" s="11">
        <v>1</v>
      </c>
      <c r="D18" s="11">
        <v>5772</v>
      </c>
      <c r="E18" s="11">
        <v>9797</v>
      </c>
      <c r="F18" s="12" t="s">
        <v>86</v>
      </c>
      <c r="G18" s="11">
        <v>1341</v>
      </c>
      <c r="H18" s="11">
        <v>36</v>
      </c>
      <c r="I18" s="12" t="s">
        <v>85</v>
      </c>
      <c r="J18" s="11" t="s">
        <v>88</v>
      </c>
      <c r="K18" s="11">
        <v>9887</v>
      </c>
      <c r="L18" s="11">
        <v>9971</v>
      </c>
      <c r="M18" s="41">
        <v>9887</v>
      </c>
      <c r="N18" s="41">
        <v>9976</v>
      </c>
      <c r="O18" s="42" t="s">
        <v>85</v>
      </c>
      <c r="P18" s="44" t="b">
        <f t="shared" si="1"/>
        <v>1</v>
      </c>
      <c r="Q18" s="44" t="b">
        <f t="shared" si="2"/>
        <v>1</v>
      </c>
      <c r="R18" s="44" t="b">
        <f t="shared" si="3"/>
        <v>1</v>
      </c>
      <c r="S18" s="44" t="b">
        <f>AND(K18&lt;=N18,N18&lt;=L18)</f>
        <v>0</v>
      </c>
      <c r="T18" s="44" t="b">
        <f t="shared" si="4"/>
        <v>1</v>
      </c>
      <c r="U18" s="44" t="b">
        <f t="shared" si="5"/>
        <v>0</v>
      </c>
      <c r="V18" s="44" t="b">
        <f>AND(P18,Q18)</f>
        <v>1</v>
      </c>
      <c r="W18" s="7">
        <v>10</v>
      </c>
      <c r="X18" s="4">
        <f>LEN("GTTTTGGAAGCATTCAAATCAGCATAGCTCTAAAAC")</f>
        <v>36</v>
      </c>
      <c r="Y18" s="4">
        <v>1</v>
      </c>
      <c r="Z18" s="4">
        <v>5772</v>
      </c>
      <c r="AA18" s="4">
        <v>9794</v>
      </c>
      <c r="AB18" s="5" t="s">
        <v>86</v>
      </c>
      <c r="AC18" s="4">
        <f t="shared" si="6"/>
        <v>4022</v>
      </c>
      <c r="AD18" s="5" t="s">
        <v>86</v>
      </c>
      <c r="AE18" s="4" t="s">
        <v>88</v>
      </c>
      <c r="AF18" s="4">
        <v>9880</v>
      </c>
      <c r="AG18" s="59">
        <v>9915</v>
      </c>
      <c r="AH18" s="4" t="b">
        <f t="shared" si="19"/>
        <v>0</v>
      </c>
      <c r="AI18" s="7" t="b">
        <f t="shared" si="7"/>
        <v>1</v>
      </c>
      <c r="AJ18" s="57" t="b">
        <f t="shared" si="8"/>
        <v>0</v>
      </c>
      <c r="AK18" s="57" t="b">
        <f t="shared" si="9"/>
        <v>0</v>
      </c>
      <c r="AL18" s="57" t="b">
        <f t="shared" si="10"/>
        <v>1</v>
      </c>
      <c r="AM18" s="57" t="b">
        <f t="shared" si="11"/>
        <v>1</v>
      </c>
      <c r="AN18" s="4" t="b">
        <f t="shared" si="12"/>
        <v>0</v>
      </c>
      <c r="AO18" s="24">
        <f t="shared" si="13"/>
        <v>1</v>
      </c>
      <c r="AP18" s="24" t="b">
        <f t="shared" si="14"/>
        <v>0</v>
      </c>
      <c r="AQ18" s="24" t="b">
        <f t="shared" si="20"/>
        <v>1</v>
      </c>
      <c r="AR18" s="24" t="b">
        <f>AD18=I18</f>
        <v>0</v>
      </c>
      <c r="AS18" s="24">
        <f t="shared" si="0"/>
        <v>0</v>
      </c>
    </row>
    <row r="19" spans="1:50" ht="15.6" thickTop="1" thickBot="1" x14ac:dyDescent="0.35">
      <c r="A19" s="8" t="s">
        <v>28</v>
      </c>
      <c r="B19" s="11">
        <v>23</v>
      </c>
      <c r="C19" s="11">
        <v>1</v>
      </c>
      <c r="D19" s="11">
        <v>4742</v>
      </c>
      <c r="E19" s="11">
        <v>8752</v>
      </c>
      <c r="F19" s="12" t="s">
        <v>86</v>
      </c>
      <c r="G19" s="11">
        <v>1336</v>
      </c>
      <c r="H19" s="11">
        <v>36</v>
      </c>
      <c r="I19" s="12" t="s">
        <v>85</v>
      </c>
      <c r="J19" s="11" t="s">
        <v>88</v>
      </c>
      <c r="K19" s="11">
        <v>8813</v>
      </c>
      <c r="L19" s="11">
        <v>8899</v>
      </c>
      <c r="M19" s="41">
        <v>8808</v>
      </c>
      <c r="N19" s="41">
        <v>8894</v>
      </c>
      <c r="O19" s="42" t="s">
        <v>85</v>
      </c>
      <c r="P19" s="44" t="b">
        <f t="shared" si="1"/>
        <v>1</v>
      </c>
      <c r="Q19" s="44" t="b">
        <f t="shared" si="2"/>
        <v>1</v>
      </c>
      <c r="R19" s="44" t="b">
        <f t="shared" si="3"/>
        <v>0</v>
      </c>
      <c r="S19" s="44" t="b">
        <f>AND(K19&lt;=N19,N19&lt;=L19)</f>
        <v>1</v>
      </c>
      <c r="T19" s="44" t="b">
        <f t="shared" si="4"/>
        <v>0</v>
      </c>
      <c r="U19" s="44" t="b">
        <f t="shared" si="5"/>
        <v>1</v>
      </c>
      <c r="V19" s="44" t="b">
        <f>AND(P19,Q19)</f>
        <v>1</v>
      </c>
      <c r="W19" s="20">
        <v>24</v>
      </c>
      <c r="X19" s="21">
        <f>LEN("GTTTTGGAAGCATTCGATTCAACATAGCTCTAAAAC")</f>
        <v>36</v>
      </c>
      <c r="Y19" s="21">
        <v>1</v>
      </c>
      <c r="Z19" s="21">
        <v>4742</v>
      </c>
      <c r="AA19" s="21">
        <v>8734</v>
      </c>
      <c r="AB19" s="22" t="s">
        <v>86</v>
      </c>
      <c r="AC19" s="21">
        <f t="shared" si="6"/>
        <v>3992</v>
      </c>
      <c r="AD19" s="22"/>
      <c r="AE19" s="21"/>
      <c r="AF19" s="21"/>
      <c r="AG19" s="61"/>
      <c r="AH19" s="4" t="b">
        <f t="shared" si="19"/>
        <v>0</v>
      </c>
      <c r="AI19" s="7" t="b">
        <f t="shared" si="7"/>
        <v>0</v>
      </c>
      <c r="AJ19" s="57" t="b">
        <f t="shared" si="8"/>
        <v>0</v>
      </c>
      <c r="AK19" s="57" t="b">
        <f t="shared" si="9"/>
        <v>0</v>
      </c>
      <c r="AL19" s="57" t="b">
        <f t="shared" si="10"/>
        <v>0</v>
      </c>
      <c r="AM19" s="57" t="b">
        <f t="shared" si="11"/>
        <v>0</v>
      </c>
      <c r="AN19" s="4" t="b">
        <f t="shared" si="12"/>
        <v>0</v>
      </c>
      <c r="AO19" s="24"/>
      <c r="AP19" s="24" t="b">
        <f t="shared" si="14"/>
        <v>0</v>
      </c>
      <c r="AQ19" s="24" t="b">
        <f t="shared" si="20"/>
        <v>0</v>
      </c>
      <c r="AR19" s="24"/>
      <c r="AS19" s="24">
        <f t="shared" si="0"/>
        <v>0</v>
      </c>
      <c r="AT19">
        <v>4</v>
      </c>
    </row>
    <row r="20" spans="1:50" ht="15.6" thickTop="1" thickBot="1" x14ac:dyDescent="0.35">
      <c r="A20" s="8" t="s">
        <v>29</v>
      </c>
      <c r="B20" s="11">
        <v>40</v>
      </c>
      <c r="C20" s="11">
        <v>1</v>
      </c>
      <c r="D20" s="11">
        <v>10193</v>
      </c>
      <c r="E20" s="11">
        <v>14341</v>
      </c>
      <c r="F20" s="12" t="s">
        <v>86</v>
      </c>
      <c r="G20" s="11">
        <v>1382</v>
      </c>
      <c r="H20" s="11">
        <v>36</v>
      </c>
      <c r="I20" s="12" t="s">
        <v>85</v>
      </c>
      <c r="J20" s="11" t="s">
        <v>88</v>
      </c>
      <c r="K20" s="11">
        <v>14378</v>
      </c>
      <c r="L20" s="11">
        <v>14504</v>
      </c>
      <c r="M20" s="41">
        <v>14377</v>
      </c>
      <c r="N20" s="41">
        <v>14497</v>
      </c>
      <c r="O20" s="42" t="s">
        <v>85</v>
      </c>
      <c r="P20" s="44" t="b">
        <f t="shared" si="1"/>
        <v>1</v>
      </c>
      <c r="Q20" s="44" t="b">
        <f t="shared" si="2"/>
        <v>1</v>
      </c>
      <c r="R20" s="44" t="b">
        <f t="shared" si="3"/>
        <v>0</v>
      </c>
      <c r="S20" s="44" t="b">
        <f>AND(K20&lt;=N20,N20&lt;=L20)</f>
        <v>1</v>
      </c>
      <c r="T20" s="44" t="b">
        <f t="shared" si="4"/>
        <v>0</v>
      </c>
      <c r="U20" s="44" t="b">
        <f t="shared" si="5"/>
        <v>1</v>
      </c>
      <c r="V20" s="44" t="b">
        <f>AND(P20,Q20)</f>
        <v>1</v>
      </c>
      <c r="W20" s="20">
        <v>57</v>
      </c>
      <c r="X20" s="21">
        <f>LEN("GTTTGACTACCAGTCAGAATTCCACTGCTCCAAAAC")</f>
        <v>36</v>
      </c>
      <c r="Y20" s="21">
        <v>2</v>
      </c>
      <c r="Z20" s="21">
        <v>10193</v>
      </c>
      <c r="AA20" s="21">
        <v>14335</v>
      </c>
      <c r="AB20" s="22" t="s">
        <v>86</v>
      </c>
      <c r="AC20" s="21">
        <f t="shared" ref="AC20:AC21" si="21">AA20-Z20</f>
        <v>4142</v>
      </c>
      <c r="AD20" s="22"/>
      <c r="AE20" s="21"/>
      <c r="AF20" s="21"/>
      <c r="AG20" s="61"/>
      <c r="AH20" s="4" t="b">
        <f t="shared" si="19"/>
        <v>0</v>
      </c>
      <c r="AI20" s="7" t="b">
        <f t="shared" si="7"/>
        <v>0</v>
      </c>
      <c r="AJ20" s="57" t="b">
        <f t="shared" si="8"/>
        <v>0</v>
      </c>
      <c r="AK20" s="57" t="b">
        <f t="shared" si="9"/>
        <v>0</v>
      </c>
      <c r="AL20" s="57" t="b">
        <f t="shared" si="10"/>
        <v>0</v>
      </c>
      <c r="AM20" s="57" t="b">
        <f t="shared" si="11"/>
        <v>0</v>
      </c>
      <c r="AN20" s="4" t="b">
        <f t="shared" si="12"/>
        <v>0</v>
      </c>
      <c r="AO20" s="24"/>
      <c r="AP20" s="24" t="b">
        <f t="shared" si="14"/>
        <v>0</v>
      </c>
      <c r="AQ20" s="24" t="b">
        <f t="shared" si="20"/>
        <v>0</v>
      </c>
      <c r="AR20" s="24"/>
      <c r="AS20" s="24">
        <f t="shared" si="0"/>
        <v>0</v>
      </c>
      <c r="AT20">
        <v>5</v>
      </c>
    </row>
    <row r="21" spans="1:50" ht="15.6" thickTop="1" thickBot="1" x14ac:dyDescent="0.35">
      <c r="A21" s="8" t="s">
        <v>30</v>
      </c>
      <c r="B21" s="11">
        <v>5</v>
      </c>
      <c r="C21" s="11">
        <v>1</v>
      </c>
      <c r="D21" s="11">
        <v>22241</v>
      </c>
      <c r="E21" s="11">
        <v>26290</v>
      </c>
      <c r="F21" s="12" t="s">
        <v>86</v>
      </c>
      <c r="G21" s="11">
        <v>1349</v>
      </c>
      <c r="H21" s="11">
        <v>36</v>
      </c>
      <c r="I21" s="12" t="s">
        <v>85</v>
      </c>
      <c r="J21" s="11" t="s">
        <v>88</v>
      </c>
      <c r="K21" s="11">
        <v>26354</v>
      </c>
      <c r="L21" s="11">
        <v>26453</v>
      </c>
      <c r="M21" s="41"/>
      <c r="N21" s="41"/>
      <c r="O21" s="42"/>
      <c r="P21" s="44"/>
      <c r="Q21" s="44"/>
      <c r="R21" s="44"/>
      <c r="S21" s="44"/>
      <c r="T21" s="44"/>
      <c r="U21" s="44"/>
      <c r="V21" s="44"/>
      <c r="W21" s="20">
        <v>6</v>
      </c>
      <c r="X21" s="21">
        <f>LEN("GTTTTGGAAGCATTCGATTCAACATAGCTCTAAAAC")</f>
        <v>36</v>
      </c>
      <c r="Y21" s="21">
        <v>1</v>
      </c>
      <c r="Z21" s="21">
        <v>22241</v>
      </c>
      <c r="AA21" s="21">
        <v>26278</v>
      </c>
      <c r="AB21" s="22" t="s">
        <v>86</v>
      </c>
      <c r="AC21" s="21">
        <f t="shared" si="21"/>
        <v>4037</v>
      </c>
      <c r="AD21" s="22"/>
      <c r="AE21" s="21"/>
      <c r="AF21" s="21"/>
      <c r="AG21" s="61"/>
      <c r="AH21" s="4" t="b">
        <f t="shared" si="19"/>
        <v>0</v>
      </c>
      <c r="AI21" s="7" t="b">
        <f t="shared" si="7"/>
        <v>0</v>
      </c>
      <c r="AJ21" s="57" t="b">
        <f t="shared" si="8"/>
        <v>0</v>
      </c>
      <c r="AK21" s="57" t="b">
        <f t="shared" si="9"/>
        <v>0</v>
      </c>
      <c r="AL21" s="57" t="b">
        <f t="shared" si="10"/>
        <v>0</v>
      </c>
      <c r="AM21" s="57" t="b">
        <f t="shared" si="11"/>
        <v>0</v>
      </c>
      <c r="AN21" s="4" t="b">
        <f t="shared" si="12"/>
        <v>0</v>
      </c>
      <c r="AO21" s="24"/>
      <c r="AP21" s="24" t="b">
        <f t="shared" si="14"/>
        <v>0</v>
      </c>
      <c r="AQ21" s="24" t="b">
        <f t="shared" si="20"/>
        <v>0</v>
      </c>
      <c r="AR21" s="24"/>
      <c r="AS21" s="24">
        <f t="shared" si="0"/>
        <v>0</v>
      </c>
      <c r="AT21">
        <v>6</v>
      </c>
    </row>
    <row r="22" spans="1:50" ht="15.6" thickTop="1" thickBot="1" x14ac:dyDescent="0.35">
      <c r="A22" s="8" t="s">
        <v>31</v>
      </c>
      <c r="B22" s="11">
        <v>8</v>
      </c>
      <c r="C22" s="11">
        <v>1</v>
      </c>
      <c r="D22" s="11">
        <v>1254</v>
      </c>
      <c r="E22" s="11">
        <v>5306</v>
      </c>
      <c r="F22" s="12" t="s">
        <v>85</v>
      </c>
      <c r="G22" s="11">
        <v>1350</v>
      </c>
      <c r="H22" s="11">
        <v>46</v>
      </c>
      <c r="I22" s="12" t="s">
        <v>86</v>
      </c>
      <c r="J22" s="11" t="s">
        <v>87</v>
      </c>
      <c r="K22" s="11">
        <v>1075</v>
      </c>
      <c r="L22" s="11">
        <v>1156</v>
      </c>
      <c r="M22" s="41"/>
      <c r="N22" s="41"/>
      <c r="O22" s="42"/>
      <c r="P22" s="44"/>
      <c r="Q22" s="44"/>
      <c r="R22" s="44"/>
      <c r="S22" s="44"/>
      <c r="T22" s="44"/>
      <c r="U22" s="44"/>
      <c r="V22" s="44"/>
      <c r="W22" s="7">
        <v>9</v>
      </c>
      <c r="X22" s="4">
        <f>LEN("GTTGGGAATTATAAGTAAAAATACAATTTTGAAAGCAATTCACAAC")</f>
        <v>46</v>
      </c>
      <c r="Y22" s="4">
        <v>1</v>
      </c>
      <c r="Z22" s="4">
        <v>1269</v>
      </c>
      <c r="AA22" s="4">
        <v>5306</v>
      </c>
      <c r="AB22" s="5" t="s">
        <v>85</v>
      </c>
      <c r="AC22" s="4">
        <f t="shared" si="6"/>
        <v>4037</v>
      </c>
      <c r="AD22" s="5" t="s">
        <v>85</v>
      </c>
      <c r="AE22" s="4" t="s">
        <v>87</v>
      </c>
      <c r="AF22" s="4">
        <v>1133</v>
      </c>
      <c r="AG22" s="59">
        <v>1177</v>
      </c>
      <c r="AH22" s="4" t="b">
        <f t="shared" si="19"/>
        <v>0</v>
      </c>
      <c r="AI22" s="7" t="b">
        <f t="shared" si="7"/>
        <v>1</v>
      </c>
      <c r="AJ22" s="57" t="b">
        <f t="shared" si="8"/>
        <v>1</v>
      </c>
      <c r="AK22" s="57" t="b">
        <f t="shared" si="9"/>
        <v>1</v>
      </c>
      <c r="AL22" s="57" t="b">
        <f t="shared" si="10"/>
        <v>0</v>
      </c>
      <c r="AM22" s="57" t="b">
        <f t="shared" si="11"/>
        <v>0</v>
      </c>
      <c r="AN22" s="4" t="b">
        <f t="shared" si="12"/>
        <v>0</v>
      </c>
      <c r="AO22" s="24">
        <f t="shared" si="13"/>
        <v>1</v>
      </c>
      <c r="AP22" s="24" t="b">
        <f t="shared" si="14"/>
        <v>1</v>
      </c>
      <c r="AQ22" s="24" t="b">
        <f t="shared" si="20"/>
        <v>0</v>
      </c>
      <c r="AR22" s="24" t="b">
        <f>AD22=I22</f>
        <v>0</v>
      </c>
      <c r="AS22" s="24">
        <f t="shared" si="0"/>
        <v>0</v>
      </c>
    </row>
    <row r="23" spans="1:50" ht="15.6" thickTop="1" thickBot="1" x14ac:dyDescent="0.35">
      <c r="A23" s="8" t="s">
        <v>32</v>
      </c>
      <c r="B23" s="11">
        <v>6</v>
      </c>
      <c r="C23" s="11">
        <v>1</v>
      </c>
      <c r="D23" s="11">
        <v>6727</v>
      </c>
      <c r="E23" s="11">
        <v>10167</v>
      </c>
      <c r="F23" s="12" t="s">
        <v>86</v>
      </c>
      <c r="G23" s="11">
        <v>1146</v>
      </c>
      <c r="H23" s="11">
        <v>36</v>
      </c>
      <c r="I23" s="12" t="s">
        <v>86</v>
      </c>
      <c r="J23" s="11" t="s">
        <v>87</v>
      </c>
      <c r="K23" s="11">
        <v>6560</v>
      </c>
      <c r="L23" s="11">
        <v>6649</v>
      </c>
      <c r="M23" s="41"/>
      <c r="N23" s="41"/>
      <c r="O23" s="42"/>
      <c r="P23" s="44"/>
      <c r="Q23" s="44"/>
      <c r="R23" s="44"/>
      <c r="S23" s="44"/>
      <c r="T23" s="44"/>
      <c r="U23" s="44"/>
      <c r="V23" s="44"/>
      <c r="W23" s="20">
        <v>6</v>
      </c>
      <c r="X23" s="21">
        <f>LEN("TTGTTTTACTGATAGAAAATTATCGAGAGTACAAAAAC")</f>
        <v>38</v>
      </c>
      <c r="Y23" s="21">
        <v>1</v>
      </c>
      <c r="Z23" s="21">
        <v>6727</v>
      </c>
      <c r="AA23" s="21">
        <v>10155</v>
      </c>
      <c r="AB23" s="22" t="s">
        <v>86</v>
      </c>
      <c r="AC23" s="21">
        <f t="shared" si="6"/>
        <v>3428</v>
      </c>
      <c r="AD23" s="22"/>
      <c r="AE23" s="21"/>
      <c r="AF23" s="21"/>
      <c r="AG23" s="61"/>
      <c r="AH23" s="4"/>
      <c r="AI23" s="7"/>
      <c r="AJ23" s="57"/>
      <c r="AK23" s="57"/>
      <c r="AL23" s="57"/>
      <c r="AM23" s="57"/>
      <c r="AN23" s="4"/>
      <c r="AO23" s="24"/>
      <c r="AP23" s="24"/>
      <c r="AQ23" s="24"/>
      <c r="AR23" s="24"/>
      <c r="AS23" s="24">
        <f t="shared" si="0"/>
        <v>0</v>
      </c>
      <c r="AT23">
        <v>7</v>
      </c>
    </row>
    <row r="24" spans="1:50" ht="15" thickTop="1" x14ac:dyDescent="0.3">
      <c r="A24" s="8" t="s">
        <v>33</v>
      </c>
      <c r="B24" s="11">
        <v>9</v>
      </c>
      <c r="C24" s="11">
        <v>1</v>
      </c>
      <c r="D24" s="11">
        <v>920</v>
      </c>
      <c r="E24" s="11">
        <v>5017</v>
      </c>
      <c r="F24" s="12" t="s">
        <v>85</v>
      </c>
      <c r="G24" s="11">
        <v>1365</v>
      </c>
      <c r="H24" s="11">
        <v>36</v>
      </c>
      <c r="I24" s="12" t="s">
        <v>86</v>
      </c>
      <c r="J24" s="11" t="s">
        <v>87</v>
      </c>
      <c r="K24" s="11">
        <v>795</v>
      </c>
      <c r="L24" s="11">
        <v>907</v>
      </c>
      <c r="M24" s="41">
        <v>806</v>
      </c>
      <c r="N24" s="41">
        <v>911</v>
      </c>
      <c r="O24" s="42" t="s">
        <v>86</v>
      </c>
      <c r="P24" s="44" t="b">
        <f t="shared" si="1"/>
        <v>1</v>
      </c>
      <c r="Q24" s="44" t="b">
        <f t="shared" si="2"/>
        <v>1</v>
      </c>
      <c r="R24" s="44" t="b">
        <f t="shared" si="3"/>
        <v>1</v>
      </c>
      <c r="S24" s="44" t="b">
        <f>AND(K24&lt;=N24,N24&lt;=L24)</f>
        <v>0</v>
      </c>
      <c r="T24" s="44" t="b">
        <f t="shared" si="4"/>
        <v>1</v>
      </c>
      <c r="U24" s="44" t="b">
        <f t="shared" si="5"/>
        <v>0</v>
      </c>
      <c r="V24" s="44" t="b">
        <f>AND(P24,Q24)</f>
        <v>1</v>
      </c>
      <c r="W24" s="7">
        <v>15</v>
      </c>
      <c r="X24" s="4">
        <f>LEN("GTTTGAGAATGATGTAATTTCATATAGGTATTAAAC")</f>
        <v>36</v>
      </c>
      <c r="Y24" s="4">
        <v>1</v>
      </c>
      <c r="Z24" s="4">
        <v>971</v>
      </c>
      <c r="AA24" s="4">
        <v>5017</v>
      </c>
      <c r="AB24" s="5" t="s">
        <v>85</v>
      </c>
      <c r="AC24" s="4">
        <f t="shared" si="6"/>
        <v>4046</v>
      </c>
      <c r="AD24" s="5" t="s">
        <v>85</v>
      </c>
      <c r="AE24" s="4" t="s">
        <v>87</v>
      </c>
      <c r="AF24" s="4">
        <v>883</v>
      </c>
      <c r="AG24" s="59">
        <v>918</v>
      </c>
      <c r="AH24" s="4" t="b">
        <f>AND(AR24,AO24=1)</f>
        <v>0</v>
      </c>
      <c r="AI24" s="7" t="b">
        <f t="shared" si="7"/>
        <v>1</v>
      </c>
      <c r="AJ24" s="57" t="b">
        <f t="shared" si="8"/>
        <v>1</v>
      </c>
      <c r="AK24" s="57" t="b">
        <f t="shared" si="9"/>
        <v>1</v>
      </c>
      <c r="AL24" s="57" t="b">
        <f t="shared" si="10"/>
        <v>0</v>
      </c>
      <c r="AM24" s="57" t="b">
        <f t="shared" si="11"/>
        <v>0</v>
      </c>
      <c r="AN24" s="4" t="b">
        <f t="shared" si="12"/>
        <v>0</v>
      </c>
      <c r="AO24" s="24">
        <f t="shared" si="13"/>
        <v>1</v>
      </c>
      <c r="AP24" s="24" t="b">
        <f t="shared" si="14"/>
        <v>1</v>
      </c>
      <c r="AQ24" s="24" t="b">
        <f>AND(K24&lt;AG24,AG24&lt;L24)</f>
        <v>0</v>
      </c>
      <c r="AR24" s="24" t="b">
        <f>AD24=I24</f>
        <v>0</v>
      </c>
      <c r="AS24" s="24">
        <f t="shared" si="0"/>
        <v>0</v>
      </c>
    </row>
    <row r="25" spans="1:50" ht="15" thickBot="1" x14ac:dyDescent="0.35">
      <c r="A25" s="8" t="s">
        <v>34</v>
      </c>
      <c r="B25" s="11">
        <v>6</v>
      </c>
      <c r="C25" s="11">
        <v>1</v>
      </c>
      <c r="D25" s="11">
        <v>1703</v>
      </c>
      <c r="E25" s="11">
        <v>4909</v>
      </c>
      <c r="F25" s="12" t="s">
        <v>86</v>
      </c>
      <c r="G25" s="11">
        <v>1068</v>
      </c>
      <c r="H25" s="11">
        <v>36</v>
      </c>
      <c r="I25" s="12" t="s">
        <v>85</v>
      </c>
      <c r="J25" s="11" t="s">
        <v>88</v>
      </c>
      <c r="K25" s="11">
        <v>4887</v>
      </c>
      <c r="L25" s="11">
        <v>4969</v>
      </c>
      <c r="M25" s="41"/>
      <c r="N25" s="41"/>
      <c r="O25" s="42"/>
      <c r="P25" s="44"/>
      <c r="Q25" s="44"/>
      <c r="R25" s="44"/>
      <c r="S25" s="44"/>
      <c r="T25" s="44"/>
      <c r="U25" s="44"/>
      <c r="V25" s="44"/>
      <c r="W25" s="7">
        <v>6</v>
      </c>
      <c r="X25" s="4">
        <f>LEN("GTTCCGGTCAGAGCACAAATCCCAATCTGCTAGACT")</f>
        <v>36</v>
      </c>
      <c r="Y25" s="4">
        <v>1</v>
      </c>
      <c r="Z25" s="4">
        <v>1703</v>
      </c>
      <c r="AA25" s="4">
        <v>4816</v>
      </c>
      <c r="AB25" s="5" t="s">
        <v>86</v>
      </c>
      <c r="AC25" s="4">
        <f t="shared" si="6"/>
        <v>3113</v>
      </c>
      <c r="AD25" s="5" t="s">
        <v>86</v>
      </c>
      <c r="AE25" s="4" t="s">
        <v>88</v>
      </c>
      <c r="AF25" s="4">
        <v>4878</v>
      </c>
      <c r="AG25" s="59">
        <v>4913</v>
      </c>
      <c r="AH25" s="4" t="b">
        <f>AND(AR25,AO25=1)</f>
        <v>0</v>
      </c>
      <c r="AI25" s="7" t="b">
        <f t="shared" si="7"/>
        <v>1</v>
      </c>
      <c r="AJ25" s="57" t="b">
        <f t="shared" si="8"/>
        <v>0</v>
      </c>
      <c r="AK25" s="57" t="b">
        <f t="shared" si="9"/>
        <v>0</v>
      </c>
      <c r="AL25" s="57" t="b">
        <f t="shared" si="10"/>
        <v>1</v>
      </c>
      <c r="AM25" s="57" t="b">
        <f t="shared" si="11"/>
        <v>1</v>
      </c>
      <c r="AN25" s="4" t="b">
        <f t="shared" si="12"/>
        <v>0</v>
      </c>
      <c r="AO25" s="24">
        <f t="shared" si="13"/>
        <v>1</v>
      </c>
      <c r="AP25" s="24" t="b">
        <f t="shared" si="14"/>
        <v>0</v>
      </c>
      <c r="AQ25" s="24" t="b">
        <f>AND(K25&lt;AG25,AG25&lt;L25)</f>
        <v>1</v>
      </c>
      <c r="AR25" s="24" t="b">
        <f>AD25=I25</f>
        <v>0</v>
      </c>
      <c r="AS25" s="24">
        <f t="shared" si="0"/>
        <v>0</v>
      </c>
    </row>
    <row r="26" spans="1:50" ht="15.6" thickTop="1" thickBot="1" x14ac:dyDescent="0.35">
      <c r="A26" s="8" t="s">
        <v>35</v>
      </c>
      <c r="B26" s="11">
        <v>3</v>
      </c>
      <c r="C26" s="11">
        <v>1</v>
      </c>
      <c r="D26" s="11">
        <v>4136</v>
      </c>
      <c r="E26" s="11">
        <v>7576</v>
      </c>
      <c r="F26" s="12" t="s">
        <v>85</v>
      </c>
      <c r="G26" s="11">
        <v>1146</v>
      </c>
      <c r="H26" s="11">
        <v>41</v>
      </c>
      <c r="I26" s="12" t="s">
        <v>86</v>
      </c>
      <c r="J26" s="11" t="s">
        <v>88</v>
      </c>
      <c r="K26" s="11">
        <v>8817</v>
      </c>
      <c r="L26" s="11">
        <v>8908</v>
      </c>
      <c r="M26" s="41"/>
      <c r="N26" s="41"/>
      <c r="O26" s="42"/>
      <c r="P26" s="44"/>
      <c r="Q26" s="44"/>
      <c r="R26" s="44"/>
      <c r="S26" s="44"/>
      <c r="T26" s="44"/>
      <c r="U26" s="44"/>
      <c r="V26" s="44"/>
      <c r="W26" s="20">
        <v>14</v>
      </c>
      <c r="X26" s="21">
        <f>LEN("TTGTTTTACTGATAGAAAATTATCGAGAGTACAAAAAC")</f>
        <v>38</v>
      </c>
      <c r="Y26" s="21">
        <v>1</v>
      </c>
      <c r="Z26" s="21">
        <v>4148</v>
      </c>
      <c r="AA26" s="21">
        <v>7576</v>
      </c>
      <c r="AB26" s="22" t="s">
        <v>85</v>
      </c>
      <c r="AC26" s="21">
        <f t="shared" ref="AC26" si="22">AA26-Z26</f>
        <v>3428</v>
      </c>
      <c r="AD26" s="22"/>
      <c r="AE26" s="21"/>
      <c r="AF26" s="21"/>
      <c r="AG26" s="61"/>
      <c r="AH26" s="4"/>
      <c r="AI26" s="7"/>
      <c r="AJ26" s="57"/>
      <c r="AK26" s="57"/>
      <c r="AL26" s="57"/>
      <c r="AM26" s="57"/>
      <c r="AN26" s="4"/>
      <c r="AO26" s="24"/>
      <c r="AP26" s="24"/>
      <c r="AQ26" s="24"/>
      <c r="AR26" s="24"/>
      <c r="AS26" s="24">
        <f t="shared" si="0"/>
        <v>0</v>
      </c>
      <c r="AT26">
        <v>8</v>
      </c>
    </row>
    <row r="27" spans="1:50" ht="15.6" thickTop="1" thickBot="1" x14ac:dyDescent="0.35">
      <c r="A27" s="8" t="s">
        <v>36</v>
      </c>
      <c r="B27" s="11">
        <v>19</v>
      </c>
      <c r="C27" s="11">
        <v>1</v>
      </c>
      <c r="D27" s="11">
        <v>3434</v>
      </c>
      <c r="E27" s="11">
        <v>8038</v>
      </c>
      <c r="F27" s="12" t="s">
        <v>86</v>
      </c>
      <c r="G27" s="11">
        <v>1534</v>
      </c>
      <c r="H27" s="11">
        <v>36</v>
      </c>
      <c r="I27" s="12" t="s">
        <v>85</v>
      </c>
      <c r="J27" s="11" t="s">
        <v>88</v>
      </c>
      <c r="K27" s="11">
        <v>8106</v>
      </c>
      <c r="L27" s="11">
        <v>8197</v>
      </c>
      <c r="M27" s="41"/>
      <c r="N27" s="41"/>
      <c r="O27" s="42"/>
      <c r="P27" s="44"/>
      <c r="Q27" s="44"/>
      <c r="R27" s="44"/>
      <c r="S27" s="44"/>
      <c r="T27" s="44"/>
      <c r="U27" s="44"/>
      <c r="V27" s="44"/>
      <c r="W27" s="20">
        <v>26</v>
      </c>
      <c r="X27" s="21">
        <f>LEN("GTTTCTTATCCTTTTGAATTTACATCAAACCACAAC")</f>
        <v>36</v>
      </c>
      <c r="Y27" s="21">
        <v>1</v>
      </c>
      <c r="Z27" s="21">
        <v>3434</v>
      </c>
      <c r="AA27" s="21">
        <v>8011</v>
      </c>
      <c r="AB27" s="22" t="s">
        <v>86</v>
      </c>
      <c r="AC27" s="21">
        <f t="shared" ref="AC27" si="23">AA27-Z27</f>
        <v>4577</v>
      </c>
      <c r="AD27" s="22"/>
      <c r="AE27" s="21"/>
      <c r="AF27" s="21"/>
      <c r="AG27" s="61"/>
      <c r="AH27" s="4"/>
      <c r="AI27" s="7"/>
      <c r="AJ27" s="57"/>
      <c r="AK27" s="57"/>
      <c r="AL27" s="57"/>
      <c r="AM27" s="57"/>
      <c r="AN27" s="4"/>
      <c r="AO27" s="24"/>
      <c r="AP27" s="24"/>
      <c r="AQ27" s="24"/>
      <c r="AR27" s="24"/>
      <c r="AS27" s="24">
        <f t="shared" si="0"/>
        <v>0</v>
      </c>
      <c r="AT27">
        <v>9</v>
      </c>
    </row>
    <row r="28" spans="1:50" ht="15" thickTop="1" x14ac:dyDescent="0.3">
      <c r="A28" s="8" t="s">
        <v>37</v>
      </c>
      <c r="B28" s="11">
        <v>13</v>
      </c>
      <c r="C28" s="11">
        <v>1</v>
      </c>
      <c r="D28" s="11">
        <v>495</v>
      </c>
      <c r="E28" s="11">
        <v>3797</v>
      </c>
      <c r="F28" s="12" t="s">
        <v>85</v>
      </c>
      <c r="G28" s="11">
        <v>1100</v>
      </c>
      <c r="H28" s="11">
        <v>36</v>
      </c>
      <c r="I28" s="12" t="s">
        <v>86</v>
      </c>
      <c r="J28" s="11" t="s">
        <v>88</v>
      </c>
      <c r="K28" s="11">
        <v>5068</v>
      </c>
      <c r="L28" s="11">
        <v>5150</v>
      </c>
      <c r="M28" s="41"/>
      <c r="N28" s="41"/>
      <c r="O28" s="42"/>
      <c r="P28" s="44"/>
      <c r="Q28" s="44"/>
      <c r="R28" s="44"/>
      <c r="S28" s="44"/>
      <c r="T28" s="44"/>
      <c r="U28" s="44"/>
      <c r="V28" s="44"/>
      <c r="W28" s="7">
        <v>14</v>
      </c>
      <c r="X28" s="4">
        <f>LEN("ACCATAGCCGCTTGGAGATCAGGGGCCAACCGCAAC")</f>
        <v>36</v>
      </c>
      <c r="Y28" s="4">
        <v>1</v>
      </c>
      <c r="Z28" s="4">
        <v>513</v>
      </c>
      <c r="AA28" s="4">
        <v>3797</v>
      </c>
      <c r="AB28" s="5" t="s">
        <v>85</v>
      </c>
      <c r="AC28" s="4">
        <f t="shared" si="6"/>
        <v>3284</v>
      </c>
      <c r="AD28" s="5" t="s">
        <v>85</v>
      </c>
      <c r="AE28" s="4" t="s">
        <v>87</v>
      </c>
      <c r="AF28" s="4">
        <v>374</v>
      </c>
      <c r="AG28" s="59">
        <v>409</v>
      </c>
      <c r="AH28" s="4" t="b">
        <f>AND(AR28,AO28=1)</f>
        <v>0</v>
      </c>
      <c r="AI28" s="7" t="b">
        <f t="shared" si="7"/>
        <v>0</v>
      </c>
      <c r="AJ28" s="57" t="b">
        <f t="shared" si="8"/>
        <v>0</v>
      </c>
      <c r="AK28" s="57" t="b">
        <f t="shared" si="9"/>
        <v>0</v>
      </c>
      <c r="AL28" s="57" t="b">
        <f t="shared" si="10"/>
        <v>0</v>
      </c>
      <c r="AM28" s="57" t="b">
        <f t="shared" si="11"/>
        <v>0</v>
      </c>
      <c r="AN28" s="4" t="b">
        <f t="shared" si="12"/>
        <v>0</v>
      </c>
      <c r="AO28" s="24">
        <f t="shared" si="13"/>
        <v>0</v>
      </c>
      <c r="AP28" s="24" t="b">
        <f t="shared" si="14"/>
        <v>0</v>
      </c>
      <c r="AQ28" s="24" t="b">
        <f>AND(K28&lt;AG28,AG28&lt;L28)</f>
        <v>0</v>
      </c>
      <c r="AR28" s="24" t="b">
        <f>AD28=I28</f>
        <v>0</v>
      </c>
      <c r="AS28" s="24">
        <f t="shared" si="0"/>
        <v>0</v>
      </c>
    </row>
    <row r="29" spans="1:50" ht="15" thickBot="1" x14ac:dyDescent="0.35">
      <c r="A29" s="8" t="s">
        <v>38</v>
      </c>
      <c r="B29" s="30">
        <v>19</v>
      </c>
      <c r="C29" s="30">
        <v>1</v>
      </c>
      <c r="D29" s="30">
        <v>2887</v>
      </c>
      <c r="E29" s="30">
        <v>6051</v>
      </c>
      <c r="F29" s="31" t="s">
        <v>86</v>
      </c>
      <c r="G29" s="30">
        <v>1054</v>
      </c>
      <c r="H29" s="30">
        <v>36</v>
      </c>
      <c r="I29" s="31" t="s">
        <v>85</v>
      </c>
      <c r="J29" s="30" t="s">
        <v>88</v>
      </c>
      <c r="K29" s="30">
        <v>6066</v>
      </c>
      <c r="L29" s="30">
        <v>6191</v>
      </c>
      <c r="M29" s="41"/>
      <c r="N29" s="41"/>
      <c r="O29" s="42"/>
      <c r="P29" s="44"/>
      <c r="Q29" s="44"/>
      <c r="R29" s="44"/>
      <c r="S29" s="44"/>
      <c r="T29" s="44"/>
      <c r="U29" s="44"/>
      <c r="V29" s="44"/>
      <c r="W29" s="7">
        <v>22</v>
      </c>
      <c r="X29" s="4">
        <f>LEN("GCTGCGGACTGAGGCCGTTTCTCGATTTGCTACCAT")</f>
        <v>36</v>
      </c>
      <c r="Y29" s="4">
        <v>1</v>
      </c>
      <c r="Z29" s="4">
        <v>2887</v>
      </c>
      <c r="AA29" s="4">
        <v>6000</v>
      </c>
      <c r="AB29" s="5" t="s">
        <v>86</v>
      </c>
      <c r="AC29" s="4">
        <f t="shared" si="6"/>
        <v>3113</v>
      </c>
      <c r="AD29" s="5" t="s">
        <v>86</v>
      </c>
      <c r="AE29" s="4" t="s">
        <v>87</v>
      </c>
      <c r="AF29" s="4">
        <v>6063</v>
      </c>
      <c r="AG29" s="59">
        <v>6098</v>
      </c>
      <c r="AH29" s="4" t="b">
        <f>AND(AR29,AO29=1)</f>
        <v>0</v>
      </c>
      <c r="AI29" s="7" t="b">
        <f t="shared" si="7"/>
        <v>1</v>
      </c>
      <c r="AJ29" s="57" t="b">
        <f t="shared" si="8"/>
        <v>0</v>
      </c>
      <c r="AK29" s="57" t="b">
        <f t="shared" si="9"/>
        <v>0</v>
      </c>
      <c r="AL29" s="57" t="b">
        <f t="shared" si="10"/>
        <v>1</v>
      </c>
      <c r="AM29" s="57" t="b">
        <f t="shared" si="11"/>
        <v>1</v>
      </c>
      <c r="AN29" s="4" t="b">
        <f t="shared" si="12"/>
        <v>0</v>
      </c>
      <c r="AO29" s="24">
        <f t="shared" si="13"/>
        <v>1</v>
      </c>
      <c r="AP29" s="24" t="b">
        <f t="shared" si="14"/>
        <v>0</v>
      </c>
      <c r="AQ29" s="24" t="b">
        <f>AND(K29&lt;AG29,AG29&lt;L29)</f>
        <v>1</v>
      </c>
      <c r="AR29" s="24" t="b">
        <f>AD29=I29</f>
        <v>0</v>
      </c>
      <c r="AS29" s="24">
        <f t="shared" si="0"/>
        <v>0</v>
      </c>
    </row>
    <row r="30" spans="1:50" ht="15.6" thickTop="1" thickBot="1" x14ac:dyDescent="0.35">
      <c r="A30" s="29" t="s">
        <v>39</v>
      </c>
      <c r="B30" s="34">
        <v>13</v>
      </c>
      <c r="C30" s="35">
        <v>1</v>
      </c>
      <c r="D30" s="35">
        <v>3280</v>
      </c>
      <c r="E30" s="35">
        <v>6420</v>
      </c>
      <c r="F30" s="36" t="s">
        <v>86</v>
      </c>
      <c r="G30" s="35">
        <v>1046</v>
      </c>
      <c r="H30" s="35">
        <v>37</v>
      </c>
      <c r="I30" s="36"/>
      <c r="J30" s="35"/>
      <c r="K30" s="35"/>
      <c r="L30" s="37"/>
      <c r="M30" s="41"/>
      <c r="N30" s="41"/>
      <c r="O30" s="42"/>
      <c r="P30" s="44"/>
      <c r="Q30" s="44"/>
      <c r="R30" s="44"/>
      <c r="S30" s="44"/>
      <c r="T30" s="44"/>
      <c r="U30" s="44"/>
      <c r="V30" s="44"/>
      <c r="W30" s="7">
        <v>13</v>
      </c>
      <c r="X30" s="4">
        <f>LEN("GCTCTGGTTGGCCGGGAGCGGCCTCTTTGATATACTC")</f>
        <v>37</v>
      </c>
      <c r="Y30" s="4">
        <v>1</v>
      </c>
      <c r="Z30" s="4">
        <v>3280</v>
      </c>
      <c r="AA30" s="4">
        <v>6378</v>
      </c>
      <c r="AB30" s="5" t="s">
        <v>86</v>
      </c>
      <c r="AC30" s="4">
        <f t="shared" si="6"/>
        <v>3098</v>
      </c>
      <c r="AD30" s="5" t="s">
        <v>86</v>
      </c>
      <c r="AE30" s="4" t="s">
        <v>88</v>
      </c>
      <c r="AF30" s="4">
        <v>6389</v>
      </c>
      <c r="AG30" s="59">
        <v>6425</v>
      </c>
      <c r="AH30" s="4" t="b">
        <f>AND(AR30,AO30=1)</f>
        <v>0</v>
      </c>
      <c r="AI30" s="7" t="b">
        <f t="shared" si="7"/>
        <v>0</v>
      </c>
      <c r="AJ30" s="57" t="b">
        <f t="shared" si="8"/>
        <v>0</v>
      </c>
      <c r="AK30" s="57" t="b">
        <f t="shared" si="9"/>
        <v>0</v>
      </c>
      <c r="AL30" s="57" t="b">
        <f t="shared" si="10"/>
        <v>0</v>
      </c>
      <c r="AM30" s="57" t="b">
        <f t="shared" si="11"/>
        <v>0</v>
      </c>
      <c r="AN30" s="4" t="b">
        <f t="shared" si="12"/>
        <v>0</v>
      </c>
      <c r="AO30" s="24">
        <f t="shared" si="13"/>
        <v>0</v>
      </c>
      <c r="AP30" s="24" t="b">
        <f t="shared" si="14"/>
        <v>0</v>
      </c>
      <c r="AQ30" s="24" t="b">
        <f>AND(K30&lt;AG30,AG30&lt;L30)</f>
        <v>0</v>
      </c>
      <c r="AR30" s="24" t="b">
        <f>AD30=I30</f>
        <v>0</v>
      </c>
      <c r="AS30" s="24">
        <f t="shared" si="0"/>
        <v>0</v>
      </c>
    </row>
    <row r="31" spans="1:50" ht="15.6" thickTop="1" thickBot="1" x14ac:dyDescent="0.35">
      <c r="A31" s="8" t="s">
        <v>40</v>
      </c>
      <c r="B31" s="46">
        <v>29</v>
      </c>
      <c r="C31" s="46">
        <v>1</v>
      </c>
      <c r="D31" s="46">
        <v>3553</v>
      </c>
      <c r="E31" s="46">
        <v>7629</v>
      </c>
      <c r="F31" s="47" t="s">
        <v>86</v>
      </c>
      <c r="G31" s="46">
        <v>1358</v>
      </c>
      <c r="H31" s="46">
        <v>46</v>
      </c>
      <c r="I31" s="47" t="s">
        <v>85</v>
      </c>
      <c r="J31" s="46" t="s">
        <v>88</v>
      </c>
      <c r="K31" s="46">
        <v>7654</v>
      </c>
      <c r="L31" s="46">
        <v>7735</v>
      </c>
      <c r="M31" s="41"/>
      <c r="N31" s="41"/>
      <c r="O31" s="42"/>
      <c r="P31" s="44"/>
      <c r="Q31" s="44"/>
      <c r="R31" s="44"/>
      <c r="S31" s="44"/>
      <c r="T31" s="44"/>
      <c r="U31" s="44"/>
      <c r="V31" s="44"/>
      <c r="W31" s="20">
        <v>29</v>
      </c>
      <c r="X31" s="21">
        <f>LEN("GTTGTGATTTGCTTTCAGGTTGTATCTTTGACATAGGATCCACAGG")</f>
        <v>46</v>
      </c>
      <c r="Y31" s="21">
        <v>1</v>
      </c>
      <c r="Z31" s="21">
        <v>3553</v>
      </c>
      <c r="AA31" s="21">
        <v>7617</v>
      </c>
      <c r="AB31" s="22" t="s">
        <v>86</v>
      </c>
      <c r="AC31" s="21">
        <f t="shared" si="6"/>
        <v>4064</v>
      </c>
      <c r="AD31" s="22"/>
      <c r="AE31" s="21"/>
      <c r="AF31" s="21"/>
      <c r="AG31" s="61"/>
      <c r="AH31" s="4"/>
      <c r="AI31" s="7"/>
      <c r="AJ31" s="57"/>
      <c r="AK31" s="57"/>
      <c r="AL31" s="57"/>
      <c r="AM31" s="57"/>
      <c r="AN31" s="4"/>
      <c r="AO31" s="24"/>
      <c r="AP31" s="24"/>
      <c r="AQ31" s="24"/>
      <c r="AR31" s="24"/>
      <c r="AS31" s="24">
        <f t="shared" si="0"/>
        <v>0</v>
      </c>
      <c r="AT31">
        <v>10</v>
      </c>
    </row>
    <row r="32" spans="1:50" ht="15.6" thickTop="1" thickBot="1" x14ac:dyDescent="0.35">
      <c r="A32" s="29" t="s">
        <v>41</v>
      </c>
      <c r="B32" s="48">
        <v>57</v>
      </c>
      <c r="C32" s="49">
        <v>1</v>
      </c>
      <c r="D32" s="49">
        <v>5261</v>
      </c>
      <c r="E32" s="49">
        <v>8179</v>
      </c>
      <c r="F32" s="50" t="s">
        <v>86</v>
      </c>
      <c r="G32" s="49">
        <v>972</v>
      </c>
      <c r="H32" s="49">
        <v>36</v>
      </c>
      <c r="I32" s="50" t="s">
        <v>86</v>
      </c>
      <c r="J32" s="49" t="s">
        <v>87</v>
      </c>
      <c r="K32" s="49">
        <v>71</v>
      </c>
      <c r="L32" s="51">
        <v>177</v>
      </c>
      <c r="M32" s="45"/>
      <c r="N32" s="41"/>
      <c r="O32" s="42"/>
      <c r="P32" s="44"/>
      <c r="Q32" s="44"/>
      <c r="R32" s="44"/>
      <c r="S32" s="44"/>
      <c r="T32" s="44"/>
      <c r="U32" s="44"/>
      <c r="V32" s="44"/>
      <c r="W32" s="7">
        <v>58</v>
      </c>
      <c r="X32" s="4">
        <f>LEN("GTTTTCGGCATCTCTCGTTTAAAGATGTGATATAAT")</f>
        <v>36</v>
      </c>
      <c r="Y32" s="4">
        <v>1</v>
      </c>
      <c r="Z32" s="4">
        <v>5261</v>
      </c>
      <c r="AA32" s="4">
        <v>8179</v>
      </c>
      <c r="AB32" s="5" t="s">
        <v>86</v>
      </c>
      <c r="AC32" s="4">
        <f t="shared" si="6"/>
        <v>2918</v>
      </c>
      <c r="AD32" s="5" t="s">
        <v>86</v>
      </c>
      <c r="AE32" s="4" t="s">
        <v>93</v>
      </c>
      <c r="AF32" s="4">
        <v>3971</v>
      </c>
      <c r="AG32" s="59">
        <v>4006</v>
      </c>
      <c r="AH32" s="4" t="b">
        <f>AND(AR32,AO32=1)</f>
        <v>0</v>
      </c>
      <c r="AI32" s="7" t="b">
        <f t="shared" si="7"/>
        <v>0</v>
      </c>
      <c r="AJ32" s="57" t="b">
        <f t="shared" si="8"/>
        <v>0</v>
      </c>
      <c r="AK32" s="57" t="b">
        <f t="shared" si="9"/>
        <v>0</v>
      </c>
      <c r="AL32" s="57" t="b">
        <f t="shared" si="10"/>
        <v>0</v>
      </c>
      <c r="AM32" s="57" t="b">
        <f t="shared" si="11"/>
        <v>0</v>
      </c>
      <c r="AN32" s="4" t="b">
        <f t="shared" si="12"/>
        <v>1</v>
      </c>
      <c r="AO32" s="24">
        <f t="shared" si="13"/>
        <v>0</v>
      </c>
      <c r="AP32" s="24" t="b">
        <f t="shared" si="14"/>
        <v>0</v>
      </c>
      <c r="AQ32" s="24" t="b">
        <f>AND(K32&lt;AG32,AG32&lt;L32)</f>
        <v>0</v>
      </c>
      <c r="AR32" s="24" t="b">
        <f>AD32=I32</f>
        <v>1</v>
      </c>
      <c r="AS32" s="24">
        <f t="shared" si="0"/>
        <v>1</v>
      </c>
      <c r="AU32">
        <v>8223</v>
      </c>
      <c r="AV32" s="24">
        <v>8258</v>
      </c>
      <c r="AW32" s="9"/>
      <c r="AX32" s="9"/>
    </row>
    <row r="33" spans="1:50" ht="15.6" thickTop="1" thickBot="1" x14ac:dyDescent="0.35">
      <c r="A33" s="8" t="s">
        <v>42</v>
      </c>
      <c r="B33" s="32">
        <v>21</v>
      </c>
      <c r="C33" s="32">
        <v>3</v>
      </c>
      <c r="D33" s="32">
        <v>1606</v>
      </c>
      <c r="E33" s="32">
        <v>4776</v>
      </c>
      <c r="F33" s="33" t="s">
        <v>85</v>
      </c>
      <c r="G33" s="32">
        <v>1056</v>
      </c>
      <c r="H33" s="32">
        <v>45</v>
      </c>
      <c r="I33" s="33" t="s">
        <v>85</v>
      </c>
      <c r="J33" s="32" t="s">
        <v>87</v>
      </c>
      <c r="K33" s="32">
        <v>1526</v>
      </c>
      <c r="L33" s="32">
        <v>1624</v>
      </c>
      <c r="M33" s="41"/>
      <c r="N33" s="41"/>
      <c r="O33" s="42"/>
      <c r="P33" s="44"/>
      <c r="Q33" s="44"/>
      <c r="R33" s="44"/>
      <c r="S33" s="44"/>
      <c r="T33" s="44"/>
      <c r="U33" s="44"/>
      <c r="V33" s="44"/>
      <c r="W33" s="7">
        <v>0</v>
      </c>
      <c r="X33" s="4">
        <f t="shared" ref="X33" si="24">LEN("")</f>
        <v>0</v>
      </c>
      <c r="Y33" s="4">
        <v>0</v>
      </c>
      <c r="Z33" s="4">
        <v>1636</v>
      </c>
      <c r="AA33" s="4">
        <v>4776</v>
      </c>
      <c r="AB33" s="5" t="s">
        <v>85</v>
      </c>
      <c r="AC33" s="4">
        <f t="shared" si="6"/>
        <v>3140</v>
      </c>
      <c r="AD33" s="5" t="s">
        <v>85</v>
      </c>
      <c r="AE33" s="4" t="s">
        <v>87</v>
      </c>
      <c r="AF33" s="4">
        <v>1525</v>
      </c>
      <c r="AG33" s="59">
        <v>1560</v>
      </c>
      <c r="AH33" s="4" t="b">
        <f>AND(AR33,AO33=1)</f>
        <v>1</v>
      </c>
      <c r="AI33" s="7" t="b">
        <f t="shared" si="7"/>
        <v>1</v>
      </c>
      <c r="AJ33" s="57" t="b">
        <f t="shared" si="8"/>
        <v>0</v>
      </c>
      <c r="AK33" s="57" t="b">
        <f t="shared" si="9"/>
        <v>0</v>
      </c>
      <c r="AL33" s="57" t="b">
        <f t="shared" si="10"/>
        <v>1</v>
      </c>
      <c r="AM33" s="57" t="b">
        <f t="shared" si="11"/>
        <v>1</v>
      </c>
      <c r="AN33" s="4" t="b">
        <f t="shared" si="12"/>
        <v>1</v>
      </c>
      <c r="AO33" s="24">
        <f t="shared" si="13"/>
        <v>1</v>
      </c>
      <c r="AP33" s="24" t="b">
        <f t="shared" si="14"/>
        <v>0</v>
      </c>
      <c r="AQ33" s="24" t="b">
        <f>AND(K33&lt;AG33,AG33&lt;L33)</f>
        <v>1</v>
      </c>
      <c r="AR33" s="24" t="b">
        <f>AD33=I33</f>
        <v>1</v>
      </c>
      <c r="AS33" s="24">
        <f t="shared" si="0"/>
        <v>1</v>
      </c>
      <c r="AV33" s="9"/>
      <c r="AW33" s="9"/>
      <c r="AX33" s="9"/>
    </row>
    <row r="34" spans="1:50" ht="15.6" thickTop="1" thickBot="1" x14ac:dyDescent="0.35">
      <c r="A34" s="8" t="s">
        <v>43</v>
      </c>
      <c r="B34" s="11">
        <v>11</v>
      </c>
      <c r="C34" s="11">
        <v>2</v>
      </c>
      <c r="D34" s="11">
        <v>325</v>
      </c>
      <c r="E34" s="11">
        <v>3603</v>
      </c>
      <c r="F34" s="12" t="s">
        <v>85</v>
      </c>
      <c r="G34" s="11">
        <v>1092</v>
      </c>
      <c r="H34" s="11">
        <v>41</v>
      </c>
      <c r="I34" s="12" t="s">
        <v>85</v>
      </c>
      <c r="J34" s="11" t="s">
        <v>87</v>
      </c>
      <c r="K34" s="11">
        <v>146</v>
      </c>
      <c r="L34" s="11">
        <v>265</v>
      </c>
      <c r="M34" s="41">
        <v>149</v>
      </c>
      <c r="N34" s="41">
        <v>245</v>
      </c>
      <c r="O34" s="42" t="s">
        <v>85</v>
      </c>
      <c r="P34" s="44" t="b">
        <f t="shared" si="1"/>
        <v>1</v>
      </c>
      <c r="Q34" s="44" t="b">
        <f t="shared" si="2"/>
        <v>1</v>
      </c>
      <c r="R34" s="44" t="b">
        <f t="shared" si="3"/>
        <v>1</v>
      </c>
      <c r="S34" s="44" t="b">
        <f>AND(K34&lt;=N34,N34&lt;=L34)</f>
        <v>1</v>
      </c>
      <c r="T34" s="44" t="b">
        <f t="shared" si="4"/>
        <v>1</v>
      </c>
      <c r="U34" s="44" t="b">
        <f t="shared" si="5"/>
        <v>1</v>
      </c>
      <c r="V34" s="44" t="b">
        <f>AND(P34,Q34)</f>
        <v>1</v>
      </c>
      <c r="W34" s="20">
        <v>4</v>
      </c>
      <c r="X34" s="21">
        <f>LEN("TATTATACCACAGCGATAATCTCAGGGGAACTATGAC")</f>
        <v>37</v>
      </c>
      <c r="Y34" s="21">
        <v>1</v>
      </c>
      <c r="Z34" s="21">
        <v>340</v>
      </c>
      <c r="AA34" s="21">
        <v>3603</v>
      </c>
      <c r="AB34" s="22" t="s">
        <v>85</v>
      </c>
      <c r="AC34" s="21">
        <f t="shared" ref="AC34" si="25">AA34-Z34</f>
        <v>3263</v>
      </c>
      <c r="AD34" s="22"/>
      <c r="AE34" s="21"/>
      <c r="AF34" s="21"/>
      <c r="AG34" s="61"/>
      <c r="AH34" s="4"/>
      <c r="AI34" s="7"/>
      <c r="AJ34" s="57"/>
      <c r="AK34" s="57"/>
      <c r="AL34" s="57"/>
      <c r="AM34" s="57"/>
      <c r="AN34" s="4"/>
      <c r="AO34" s="24"/>
      <c r="AP34" s="24"/>
      <c r="AQ34" s="24"/>
      <c r="AR34" s="24"/>
      <c r="AS34" s="24">
        <f t="shared" si="0"/>
        <v>0</v>
      </c>
      <c r="AT34">
        <v>11</v>
      </c>
      <c r="AV34" s="9"/>
      <c r="AW34" s="9"/>
      <c r="AX34" s="9"/>
    </row>
    <row r="35" spans="1:50" ht="15" thickTop="1" x14ac:dyDescent="0.3">
      <c r="A35" s="8" t="s">
        <v>44</v>
      </c>
      <c r="B35" s="11">
        <v>22</v>
      </c>
      <c r="C35" s="11">
        <v>1</v>
      </c>
      <c r="D35" s="11">
        <v>14079</v>
      </c>
      <c r="E35" s="11">
        <v>18458</v>
      </c>
      <c r="F35" s="12" t="s">
        <v>86</v>
      </c>
      <c r="G35" s="11">
        <v>1459</v>
      </c>
      <c r="H35" s="11">
        <v>46</v>
      </c>
      <c r="I35" s="12" t="s">
        <v>85</v>
      </c>
      <c r="J35" s="11" t="s">
        <v>87</v>
      </c>
      <c r="K35" s="11">
        <v>12538</v>
      </c>
      <c r="L35" s="11">
        <v>12618</v>
      </c>
      <c r="M35" s="41"/>
      <c r="N35" s="41"/>
      <c r="O35" s="42"/>
      <c r="P35" s="44"/>
      <c r="Q35" s="44"/>
      <c r="R35" s="44"/>
      <c r="S35" s="44"/>
      <c r="T35" s="44" t="b">
        <f t="shared" si="4"/>
        <v>0</v>
      </c>
      <c r="U35" s="44" t="b">
        <f t="shared" si="5"/>
        <v>0</v>
      </c>
      <c r="V35" s="44"/>
      <c r="W35" s="7">
        <v>34</v>
      </c>
      <c r="X35" s="4">
        <f>LEN("GTTGTGAATTGCTTTCAGTTCTTTAAATTTATGGAGAATTCACAGG")</f>
        <v>46</v>
      </c>
      <c r="Y35" s="4">
        <v>1</v>
      </c>
      <c r="Z35" s="4">
        <v>14079</v>
      </c>
      <c r="AA35" s="4">
        <v>18458</v>
      </c>
      <c r="AB35" s="5" t="s">
        <v>85</v>
      </c>
      <c r="AC35" s="4">
        <f t="shared" si="6"/>
        <v>4379</v>
      </c>
      <c r="AD35" s="5" t="s">
        <v>86</v>
      </c>
      <c r="AE35" s="4" t="s">
        <v>88</v>
      </c>
      <c r="AF35" s="4">
        <v>18461</v>
      </c>
      <c r="AG35" s="59">
        <v>18506</v>
      </c>
      <c r="AH35" s="4" t="b">
        <f t="shared" ref="AH35:AH44" si="26">AND(AR35,AO35=1)</f>
        <v>0</v>
      </c>
      <c r="AI35" s="7" t="b">
        <f t="shared" si="7"/>
        <v>0</v>
      </c>
      <c r="AJ35" s="57" t="b">
        <f t="shared" si="8"/>
        <v>0</v>
      </c>
      <c r="AK35" s="57" t="b">
        <f t="shared" si="9"/>
        <v>0</v>
      </c>
      <c r="AL35" s="57" t="b">
        <f t="shared" si="10"/>
        <v>0</v>
      </c>
      <c r="AM35" s="57" t="b">
        <f t="shared" si="11"/>
        <v>0</v>
      </c>
      <c r="AN35" s="4" t="b">
        <f t="shared" si="12"/>
        <v>0</v>
      </c>
      <c r="AO35" s="24">
        <f t="shared" si="13"/>
        <v>0</v>
      </c>
      <c r="AP35" s="24" t="b">
        <f t="shared" si="14"/>
        <v>0</v>
      </c>
      <c r="AQ35" s="24" t="b">
        <f t="shared" ref="AQ35:AQ44" si="27">AND(K35&lt;AG35,AG35&lt;L35)</f>
        <v>0</v>
      </c>
      <c r="AR35" s="24" t="b">
        <f t="shared" ref="AR35:AR44" si="28">AD35=I35</f>
        <v>0</v>
      </c>
      <c r="AS35" s="24">
        <f t="shared" si="0"/>
        <v>0</v>
      </c>
      <c r="AV35" s="9"/>
      <c r="AW35" s="9"/>
      <c r="AX35" s="9"/>
    </row>
    <row r="36" spans="1:50" ht="15" thickBot="1" x14ac:dyDescent="0.35">
      <c r="A36" s="8" t="s">
        <v>45</v>
      </c>
      <c r="B36" s="30">
        <v>12</v>
      </c>
      <c r="C36" s="30">
        <v>1</v>
      </c>
      <c r="D36" s="30">
        <v>2879</v>
      </c>
      <c r="E36" s="30">
        <v>6823</v>
      </c>
      <c r="F36" s="31" t="s">
        <v>85</v>
      </c>
      <c r="G36" s="30">
        <v>1314</v>
      </c>
      <c r="H36" s="30">
        <v>36</v>
      </c>
      <c r="I36" s="31" t="s">
        <v>86</v>
      </c>
      <c r="J36" s="30" t="s">
        <v>87</v>
      </c>
      <c r="K36" s="30">
        <v>2727</v>
      </c>
      <c r="L36" s="30">
        <v>2837</v>
      </c>
      <c r="M36" s="41">
        <v>2735</v>
      </c>
      <c r="N36" s="41">
        <v>2838</v>
      </c>
      <c r="O36" s="42" t="s">
        <v>86</v>
      </c>
      <c r="P36" s="44" t="b">
        <f t="shared" si="1"/>
        <v>1</v>
      </c>
      <c r="Q36" s="44" t="b">
        <f t="shared" si="2"/>
        <v>1</v>
      </c>
      <c r="R36" s="44" t="b">
        <f t="shared" si="3"/>
        <v>1</v>
      </c>
      <c r="S36" s="44" t="b">
        <f>AND(K36&lt;=N36,N36&lt;=L36)</f>
        <v>0</v>
      </c>
      <c r="T36" s="44" t="b">
        <f t="shared" si="4"/>
        <v>1</v>
      </c>
      <c r="U36" s="44" t="b">
        <f t="shared" si="5"/>
        <v>0</v>
      </c>
      <c r="V36" s="44" t="b">
        <f>AND(P36,Q36)</f>
        <v>1</v>
      </c>
      <c r="W36" s="7">
        <v>21</v>
      </c>
      <c r="X36" s="4">
        <f>LEN("GTTTTAGACCAATGTAATTTTAGATAGTAGTAAAAC")</f>
        <v>36</v>
      </c>
      <c r="Y36" s="4">
        <v>1</v>
      </c>
      <c r="Z36" s="4">
        <v>2894</v>
      </c>
      <c r="AA36" s="4">
        <v>6823</v>
      </c>
      <c r="AB36" s="5" t="s">
        <v>85</v>
      </c>
      <c r="AC36" s="4">
        <f t="shared" si="6"/>
        <v>3929</v>
      </c>
      <c r="AD36" s="5" t="s">
        <v>85</v>
      </c>
      <c r="AE36" s="4" t="s">
        <v>87</v>
      </c>
      <c r="AF36" s="4">
        <v>2808</v>
      </c>
      <c r="AG36" s="59">
        <v>2843</v>
      </c>
      <c r="AH36" s="4" t="b">
        <f t="shared" si="26"/>
        <v>0</v>
      </c>
      <c r="AI36" s="7" t="b">
        <f t="shared" si="7"/>
        <v>1</v>
      </c>
      <c r="AJ36" s="57" t="b">
        <f t="shared" si="8"/>
        <v>1</v>
      </c>
      <c r="AK36" s="57" t="b">
        <f t="shared" si="9"/>
        <v>1</v>
      </c>
      <c r="AL36" s="57" t="b">
        <f t="shared" si="10"/>
        <v>0</v>
      </c>
      <c r="AM36" s="57" t="b">
        <f t="shared" si="11"/>
        <v>0</v>
      </c>
      <c r="AN36" s="4" t="b">
        <f t="shared" si="12"/>
        <v>0</v>
      </c>
      <c r="AO36" s="24">
        <f t="shared" si="13"/>
        <v>1</v>
      </c>
      <c r="AP36" s="24" t="b">
        <f t="shared" si="14"/>
        <v>1</v>
      </c>
      <c r="AQ36" s="24" t="b">
        <f t="shared" si="27"/>
        <v>0</v>
      </c>
      <c r="AR36" s="24" t="b">
        <f t="shared" si="28"/>
        <v>0</v>
      </c>
      <c r="AS36" s="24">
        <f t="shared" si="0"/>
        <v>0</v>
      </c>
      <c r="AV36" s="9"/>
      <c r="AW36" s="9"/>
      <c r="AX36" s="9"/>
    </row>
    <row r="37" spans="1:50" ht="15.6" thickTop="1" thickBot="1" x14ac:dyDescent="0.35">
      <c r="A37" s="29" t="s">
        <v>46</v>
      </c>
      <c r="B37" s="52">
        <v>6</v>
      </c>
      <c r="C37" s="53">
        <v>1</v>
      </c>
      <c r="D37" s="53">
        <v>15442</v>
      </c>
      <c r="E37" s="53">
        <v>18630</v>
      </c>
      <c r="F37" s="54" t="s">
        <v>85</v>
      </c>
      <c r="G37" s="53">
        <v>1062</v>
      </c>
      <c r="H37" s="53">
        <v>36</v>
      </c>
      <c r="I37" s="54" t="s">
        <v>85</v>
      </c>
      <c r="J37" s="53" t="s">
        <v>87</v>
      </c>
      <c r="K37" s="53">
        <v>15173</v>
      </c>
      <c r="L37" s="55">
        <v>15278</v>
      </c>
      <c r="M37" s="45">
        <v>15107</v>
      </c>
      <c r="N37" s="41">
        <v>15197</v>
      </c>
      <c r="O37" s="42" t="s">
        <v>86</v>
      </c>
      <c r="P37" s="44" t="b">
        <f t="shared" si="1"/>
        <v>0</v>
      </c>
      <c r="Q37" s="44" t="b">
        <f t="shared" si="2"/>
        <v>1</v>
      </c>
      <c r="R37" s="44" t="b">
        <f t="shared" si="3"/>
        <v>0</v>
      </c>
      <c r="S37" s="44" t="b">
        <f>AND(K37&lt;=N37,N37&lt;=L37)</f>
        <v>1</v>
      </c>
      <c r="T37" s="44" t="b">
        <f t="shared" si="4"/>
        <v>0</v>
      </c>
      <c r="U37" s="44" t="b">
        <f t="shared" si="5"/>
        <v>1</v>
      </c>
      <c r="V37" s="44" t="b">
        <f>AND(P37,Q37)</f>
        <v>0</v>
      </c>
      <c r="W37" s="7">
        <v>7</v>
      </c>
      <c r="X37" s="4">
        <f>LEN("ATTGTAGCATTGCGAAATGAGAAAGGGAACTACAAC")</f>
        <v>36</v>
      </c>
      <c r="Y37" s="4">
        <v>1</v>
      </c>
      <c r="Z37" s="4">
        <v>15448</v>
      </c>
      <c r="AA37" s="4">
        <v>18630</v>
      </c>
      <c r="AB37" s="5" t="s">
        <v>85</v>
      </c>
      <c r="AC37" s="4">
        <f t="shared" si="6"/>
        <v>3182</v>
      </c>
      <c r="AD37" s="5" t="s">
        <v>85</v>
      </c>
      <c r="AE37" s="4" t="s">
        <v>87</v>
      </c>
      <c r="AF37" s="4">
        <v>15161</v>
      </c>
      <c r="AG37" s="59">
        <v>15196</v>
      </c>
      <c r="AH37" s="4" t="b">
        <f t="shared" si="26"/>
        <v>1</v>
      </c>
      <c r="AI37" s="7" t="b">
        <f t="shared" si="7"/>
        <v>1</v>
      </c>
      <c r="AJ37" s="57" t="b">
        <f t="shared" si="8"/>
        <v>0</v>
      </c>
      <c r="AK37" s="57" t="b">
        <f t="shared" si="9"/>
        <v>0</v>
      </c>
      <c r="AL37" s="57" t="b">
        <f t="shared" si="10"/>
        <v>1</v>
      </c>
      <c r="AM37" s="57" t="b">
        <f t="shared" si="11"/>
        <v>1</v>
      </c>
      <c r="AN37" s="4" t="b">
        <f t="shared" si="12"/>
        <v>1</v>
      </c>
      <c r="AO37" s="24">
        <f t="shared" si="13"/>
        <v>1</v>
      </c>
      <c r="AP37" s="24" t="b">
        <f t="shared" si="14"/>
        <v>0</v>
      </c>
      <c r="AQ37" s="24" t="b">
        <f t="shared" si="27"/>
        <v>1</v>
      </c>
      <c r="AR37" s="24" t="b">
        <f t="shared" si="28"/>
        <v>1</v>
      </c>
      <c r="AS37" s="24">
        <f t="shared" si="0"/>
        <v>1</v>
      </c>
      <c r="AV37" s="9"/>
      <c r="AW37" s="9"/>
      <c r="AX37" s="9"/>
    </row>
    <row r="38" spans="1:50" ht="15" thickTop="1" x14ac:dyDescent="0.3">
      <c r="A38" s="8" t="s">
        <v>47</v>
      </c>
      <c r="B38" s="32">
        <v>14</v>
      </c>
      <c r="C38" s="32">
        <v>1</v>
      </c>
      <c r="D38" s="32">
        <v>1140</v>
      </c>
      <c r="E38" s="32">
        <v>5111</v>
      </c>
      <c r="F38" s="33" t="s">
        <v>85</v>
      </c>
      <c r="G38" s="32">
        <v>1323</v>
      </c>
      <c r="H38" s="32">
        <v>36</v>
      </c>
      <c r="I38" s="33" t="s">
        <v>86</v>
      </c>
      <c r="J38" s="32" t="s">
        <v>87</v>
      </c>
      <c r="K38" s="32">
        <v>1025</v>
      </c>
      <c r="L38" s="32">
        <v>1122</v>
      </c>
      <c r="M38" s="41"/>
      <c r="N38" s="41"/>
      <c r="O38" s="42"/>
      <c r="P38" s="44"/>
      <c r="Q38" s="44"/>
      <c r="R38" s="44"/>
      <c r="S38" s="44"/>
      <c r="T38" s="44"/>
      <c r="U38" s="44"/>
      <c r="V38" s="44"/>
      <c r="W38" s="7">
        <v>15</v>
      </c>
      <c r="X38" s="4">
        <f>LEN("GTTTTAGAGCTATGTTGTTTTGTATGACTCCAAAAC")</f>
        <v>36</v>
      </c>
      <c r="Y38" s="4">
        <v>1</v>
      </c>
      <c r="Z38" s="4">
        <v>1155</v>
      </c>
      <c r="AA38" s="4">
        <v>5111</v>
      </c>
      <c r="AB38" s="5" t="s">
        <v>85</v>
      </c>
      <c r="AC38" s="4">
        <f t="shared" si="6"/>
        <v>3956</v>
      </c>
      <c r="AD38" s="5" t="s">
        <v>85</v>
      </c>
      <c r="AE38" s="4" t="s">
        <v>87</v>
      </c>
      <c r="AF38" s="4">
        <v>1098</v>
      </c>
      <c r="AG38" s="59">
        <v>1134</v>
      </c>
      <c r="AH38" s="4" t="b">
        <f t="shared" si="26"/>
        <v>0</v>
      </c>
      <c r="AI38" s="7" t="b">
        <f t="shared" si="7"/>
        <v>1</v>
      </c>
      <c r="AJ38" s="57" t="b">
        <f t="shared" si="8"/>
        <v>1</v>
      </c>
      <c r="AK38" s="57" t="b">
        <f t="shared" si="9"/>
        <v>1</v>
      </c>
      <c r="AL38" s="57" t="b">
        <f t="shared" si="10"/>
        <v>0</v>
      </c>
      <c r="AM38" s="57" t="b">
        <f t="shared" si="11"/>
        <v>0</v>
      </c>
      <c r="AN38" s="4" t="b">
        <f t="shared" si="12"/>
        <v>0</v>
      </c>
      <c r="AO38" s="24">
        <f t="shared" si="13"/>
        <v>1</v>
      </c>
      <c r="AP38" s="24" t="b">
        <f t="shared" si="14"/>
        <v>1</v>
      </c>
      <c r="AQ38" s="24" t="b">
        <f t="shared" si="27"/>
        <v>0</v>
      </c>
      <c r="AR38" s="24" t="b">
        <f t="shared" si="28"/>
        <v>0</v>
      </c>
      <c r="AS38" s="24">
        <f t="shared" si="0"/>
        <v>0</v>
      </c>
      <c r="AV38" s="9"/>
      <c r="AW38" s="9"/>
      <c r="AX38" s="9"/>
    </row>
    <row r="39" spans="1:50" x14ac:dyDescent="0.3">
      <c r="A39" s="8" t="s">
        <v>48</v>
      </c>
      <c r="B39" s="11">
        <v>12</v>
      </c>
      <c r="C39" s="11">
        <v>2</v>
      </c>
      <c r="D39" s="11">
        <v>644</v>
      </c>
      <c r="E39" s="11">
        <v>4843</v>
      </c>
      <c r="F39" s="12" t="s">
        <v>85</v>
      </c>
      <c r="G39" s="11">
        <v>1399</v>
      </c>
      <c r="H39" s="11">
        <v>41</v>
      </c>
      <c r="I39" s="12" t="s">
        <v>86</v>
      </c>
      <c r="J39" s="11" t="s">
        <v>87</v>
      </c>
      <c r="K39" s="11">
        <v>436</v>
      </c>
      <c r="L39" s="11">
        <v>557</v>
      </c>
      <c r="M39" s="41"/>
      <c r="N39" s="41"/>
      <c r="O39" s="42"/>
      <c r="P39" s="44"/>
      <c r="Q39" s="44"/>
      <c r="R39" s="44"/>
      <c r="S39" s="44"/>
      <c r="T39" s="44"/>
      <c r="U39" s="44"/>
      <c r="V39" s="44"/>
      <c r="W39" s="7">
        <v>17</v>
      </c>
      <c r="X39" s="4">
        <f>LEN("GTTTGAGAAGTGTGTTGTTCTCGATAGGTCTTAAAC")</f>
        <v>36</v>
      </c>
      <c r="Y39" s="4">
        <v>1</v>
      </c>
      <c r="Z39" s="4">
        <v>656</v>
      </c>
      <c r="AA39" s="4">
        <v>4843</v>
      </c>
      <c r="AB39" s="5" t="s">
        <v>85</v>
      </c>
      <c r="AC39" s="4">
        <f t="shared" si="6"/>
        <v>4187</v>
      </c>
      <c r="AD39" s="5" t="s">
        <v>85</v>
      </c>
      <c r="AE39" s="4" t="s">
        <v>87</v>
      </c>
      <c r="AF39" s="4">
        <v>529</v>
      </c>
      <c r="AG39" s="59">
        <v>564</v>
      </c>
      <c r="AH39" s="4" t="b">
        <f t="shared" si="26"/>
        <v>0</v>
      </c>
      <c r="AI39" s="7" t="b">
        <f t="shared" si="7"/>
        <v>1</v>
      </c>
      <c r="AJ39" s="57" t="b">
        <f t="shared" si="8"/>
        <v>1</v>
      </c>
      <c r="AK39" s="57" t="b">
        <f t="shared" si="9"/>
        <v>1</v>
      </c>
      <c r="AL39" s="57" t="b">
        <f t="shared" si="10"/>
        <v>0</v>
      </c>
      <c r="AM39" s="57" t="b">
        <f t="shared" si="11"/>
        <v>0</v>
      </c>
      <c r="AN39" s="4" t="b">
        <f t="shared" si="12"/>
        <v>0</v>
      </c>
      <c r="AO39" s="24">
        <f t="shared" si="13"/>
        <v>1</v>
      </c>
      <c r="AP39" s="24" t="b">
        <f t="shared" si="14"/>
        <v>1</v>
      </c>
      <c r="AQ39" s="24" t="b">
        <f t="shared" si="27"/>
        <v>0</v>
      </c>
      <c r="AR39" s="24" t="b">
        <f t="shared" si="28"/>
        <v>0</v>
      </c>
      <c r="AS39" s="24">
        <f t="shared" si="0"/>
        <v>0</v>
      </c>
      <c r="AV39" s="9"/>
      <c r="AW39" s="9"/>
      <c r="AX39" s="9"/>
    </row>
    <row r="40" spans="1:50" x14ac:dyDescent="0.3">
      <c r="A40" s="8" t="s">
        <v>49</v>
      </c>
      <c r="B40" s="11">
        <v>13</v>
      </c>
      <c r="C40" s="11">
        <v>1</v>
      </c>
      <c r="D40" s="11">
        <v>1161</v>
      </c>
      <c r="E40" s="11">
        <v>5237</v>
      </c>
      <c r="F40" s="12" t="s">
        <v>85</v>
      </c>
      <c r="G40" s="11">
        <v>1358</v>
      </c>
      <c r="H40" s="11">
        <v>36</v>
      </c>
      <c r="I40" s="12" t="s">
        <v>86</v>
      </c>
      <c r="J40" s="11" t="s">
        <v>87</v>
      </c>
      <c r="K40" s="11">
        <v>1098</v>
      </c>
      <c r="L40" s="11">
        <v>1168</v>
      </c>
      <c r="M40" s="41">
        <v>1083</v>
      </c>
      <c r="N40" s="41">
        <v>1172</v>
      </c>
      <c r="O40" s="42" t="s">
        <v>86</v>
      </c>
      <c r="P40" s="44" t="b">
        <f t="shared" si="1"/>
        <v>1</v>
      </c>
      <c r="Q40" s="44" t="b">
        <v>1</v>
      </c>
      <c r="R40" s="44" t="b">
        <f t="shared" si="3"/>
        <v>0</v>
      </c>
      <c r="S40" s="44" t="b">
        <f>AND(K40&lt;=N40,N40&lt;=L40)</f>
        <v>0</v>
      </c>
      <c r="T40" s="44" t="b">
        <f t="shared" si="4"/>
        <v>0</v>
      </c>
      <c r="U40" s="44" t="b">
        <f t="shared" si="5"/>
        <v>0</v>
      </c>
      <c r="V40" s="44" t="b">
        <f>AND(P40,Q40)</f>
        <v>1</v>
      </c>
      <c r="W40" s="7">
        <v>14</v>
      </c>
      <c r="X40" s="4">
        <f>LEN("GTTTTAGAGCTATGTTATTTTGAATGCTAACAAAAC")</f>
        <v>36</v>
      </c>
      <c r="Y40" s="4">
        <v>1</v>
      </c>
      <c r="Z40" s="4">
        <v>1200</v>
      </c>
      <c r="AA40" s="4">
        <v>5237</v>
      </c>
      <c r="AB40" s="5" t="s">
        <v>85</v>
      </c>
      <c r="AC40" s="4">
        <f t="shared" si="6"/>
        <v>4037</v>
      </c>
      <c r="AD40" s="5" t="s">
        <v>85</v>
      </c>
      <c r="AE40" s="4" t="s">
        <v>87</v>
      </c>
      <c r="AF40" s="4">
        <v>1143</v>
      </c>
      <c r="AG40" s="59">
        <v>1178</v>
      </c>
      <c r="AH40" s="4" t="b">
        <f t="shared" si="26"/>
        <v>0</v>
      </c>
      <c r="AI40" s="7" t="b">
        <f t="shared" si="7"/>
        <v>1</v>
      </c>
      <c r="AJ40" s="57" t="b">
        <f t="shared" si="8"/>
        <v>1</v>
      </c>
      <c r="AK40" s="57" t="b">
        <f t="shared" si="9"/>
        <v>1</v>
      </c>
      <c r="AL40" s="57" t="b">
        <f t="shared" si="10"/>
        <v>0</v>
      </c>
      <c r="AM40" s="57" t="b">
        <f t="shared" si="11"/>
        <v>0</v>
      </c>
      <c r="AN40" s="4" t="b">
        <f t="shared" si="12"/>
        <v>0</v>
      </c>
      <c r="AO40" s="24">
        <f t="shared" si="13"/>
        <v>1</v>
      </c>
      <c r="AP40" s="24" t="b">
        <f t="shared" si="14"/>
        <v>1</v>
      </c>
      <c r="AQ40" s="24" t="b">
        <f t="shared" si="27"/>
        <v>0</v>
      </c>
      <c r="AR40" s="24" t="b">
        <f t="shared" si="28"/>
        <v>0</v>
      </c>
      <c r="AS40" s="24">
        <f t="shared" si="0"/>
        <v>0</v>
      </c>
      <c r="AV40" s="9"/>
      <c r="AW40" s="9"/>
      <c r="AX40" s="9"/>
    </row>
    <row r="41" spans="1:50" ht="15" thickBot="1" x14ac:dyDescent="0.35">
      <c r="A41" s="8" t="s">
        <v>50</v>
      </c>
      <c r="B41" s="30">
        <v>23</v>
      </c>
      <c r="C41" s="30">
        <v>1</v>
      </c>
      <c r="D41" s="30">
        <v>6004</v>
      </c>
      <c r="E41" s="30">
        <v>10104</v>
      </c>
      <c r="F41" s="31" t="s">
        <v>86</v>
      </c>
      <c r="G41" s="30">
        <v>1366</v>
      </c>
      <c r="H41" s="30">
        <v>36</v>
      </c>
      <c r="I41" s="31" t="s">
        <v>85</v>
      </c>
      <c r="J41" s="30" t="s">
        <v>87</v>
      </c>
      <c r="K41" s="30">
        <v>5881</v>
      </c>
      <c r="L41" s="30">
        <v>6001</v>
      </c>
      <c r="M41" s="41">
        <v>4990</v>
      </c>
      <c r="N41" s="41">
        <v>5092</v>
      </c>
      <c r="O41" s="42" t="s">
        <v>86</v>
      </c>
      <c r="P41" s="44" t="b">
        <f t="shared" si="1"/>
        <v>0</v>
      </c>
      <c r="Q41" s="44" t="b">
        <v>1</v>
      </c>
      <c r="R41" s="44" t="b">
        <f t="shared" si="3"/>
        <v>0</v>
      </c>
      <c r="S41" s="44" t="b">
        <f>AND(K41&lt;=N41,N41&lt;=L41)</f>
        <v>0</v>
      </c>
      <c r="T41" s="44" t="b">
        <f t="shared" si="4"/>
        <v>0</v>
      </c>
      <c r="U41" s="44" t="b">
        <f t="shared" si="5"/>
        <v>0</v>
      </c>
      <c r="V41" s="44" t="b">
        <f>AND(P41,Q41)</f>
        <v>0</v>
      </c>
      <c r="W41" s="7">
        <v>29</v>
      </c>
      <c r="X41" s="4">
        <f>LEN("GTTCTTGAACTGATTGATCTGACATCTACCTGAGAC")</f>
        <v>36</v>
      </c>
      <c r="Y41" s="4">
        <v>1</v>
      </c>
      <c r="Z41" s="4">
        <v>6004</v>
      </c>
      <c r="AA41" s="4">
        <v>10089</v>
      </c>
      <c r="AB41" s="5" t="s">
        <v>86</v>
      </c>
      <c r="AC41" s="4">
        <f t="shared" si="6"/>
        <v>4085</v>
      </c>
      <c r="AD41" s="5" t="s">
        <v>86</v>
      </c>
      <c r="AE41" s="4" t="s">
        <v>87</v>
      </c>
      <c r="AF41" s="4">
        <v>5874</v>
      </c>
      <c r="AG41" s="59">
        <v>5909</v>
      </c>
      <c r="AH41" s="4" t="b">
        <f t="shared" si="26"/>
        <v>0</v>
      </c>
      <c r="AI41" s="7" t="b">
        <f t="shared" si="7"/>
        <v>1</v>
      </c>
      <c r="AJ41" s="57" t="b">
        <f t="shared" si="8"/>
        <v>0</v>
      </c>
      <c r="AK41" s="57" t="b">
        <f t="shared" si="9"/>
        <v>0</v>
      </c>
      <c r="AL41" s="57" t="b">
        <f t="shared" si="10"/>
        <v>1</v>
      </c>
      <c r="AM41" s="57" t="b">
        <f t="shared" si="11"/>
        <v>1</v>
      </c>
      <c r="AN41" s="4" t="b">
        <f t="shared" si="12"/>
        <v>0</v>
      </c>
      <c r="AO41" s="24">
        <f t="shared" si="13"/>
        <v>1</v>
      </c>
      <c r="AP41" s="24" t="b">
        <f t="shared" si="14"/>
        <v>0</v>
      </c>
      <c r="AQ41" s="24" t="b">
        <f t="shared" si="27"/>
        <v>1</v>
      </c>
      <c r="AR41" s="24" t="b">
        <f t="shared" si="28"/>
        <v>0</v>
      </c>
      <c r="AS41" s="24">
        <f t="shared" si="0"/>
        <v>0</v>
      </c>
      <c r="AV41" s="9"/>
      <c r="AW41" s="9"/>
      <c r="AX41" s="9"/>
    </row>
    <row r="42" spans="1:50" ht="15.6" thickTop="1" thickBot="1" x14ac:dyDescent="0.35">
      <c r="A42" s="29" t="s">
        <v>51</v>
      </c>
      <c r="B42" s="52">
        <v>3</v>
      </c>
      <c r="C42" s="53">
        <v>1</v>
      </c>
      <c r="D42" s="53">
        <v>2287</v>
      </c>
      <c r="E42" s="53">
        <v>6453</v>
      </c>
      <c r="F42" s="54" t="s">
        <v>86</v>
      </c>
      <c r="G42" s="53">
        <v>1388</v>
      </c>
      <c r="H42" s="53">
        <v>36</v>
      </c>
      <c r="I42" s="54" t="s">
        <v>85</v>
      </c>
      <c r="J42" s="53" t="s">
        <v>87</v>
      </c>
      <c r="K42" s="53">
        <v>2157</v>
      </c>
      <c r="L42" s="55">
        <v>2277</v>
      </c>
      <c r="M42" s="45">
        <v>1265</v>
      </c>
      <c r="N42" s="41">
        <v>1367</v>
      </c>
      <c r="O42" s="42" t="s">
        <v>86</v>
      </c>
      <c r="P42" s="44" t="b">
        <f t="shared" si="1"/>
        <v>0</v>
      </c>
      <c r="Q42" s="44" t="b">
        <f t="shared" si="2"/>
        <v>0</v>
      </c>
      <c r="R42" s="44" t="b">
        <f t="shared" si="3"/>
        <v>0</v>
      </c>
      <c r="S42" s="44" t="b">
        <f>AND(K42&lt;=N42,N42&lt;=L42)</f>
        <v>0</v>
      </c>
      <c r="T42" s="44" t="b">
        <f t="shared" si="4"/>
        <v>0</v>
      </c>
      <c r="U42" s="44" t="b">
        <f t="shared" si="5"/>
        <v>0</v>
      </c>
      <c r="V42" s="44" t="b">
        <f>AND(P42,Q42)</f>
        <v>0</v>
      </c>
      <c r="W42" s="7">
        <v>3</v>
      </c>
      <c r="X42" s="4">
        <f>LEN("GTTCTTGAACTGATTGATCTGACATCTACCTGAGAC")</f>
        <v>36</v>
      </c>
      <c r="Y42" s="4">
        <v>1</v>
      </c>
      <c r="Z42" s="4">
        <v>2287</v>
      </c>
      <c r="AA42" s="4">
        <v>6384</v>
      </c>
      <c r="AB42" s="5" t="s">
        <v>86</v>
      </c>
      <c r="AC42" s="4">
        <f t="shared" si="6"/>
        <v>4097</v>
      </c>
      <c r="AD42" s="5" t="s">
        <v>86</v>
      </c>
      <c r="AE42" s="4" t="s">
        <v>87</v>
      </c>
      <c r="AF42" s="4">
        <v>34</v>
      </c>
      <c r="AG42" s="59">
        <v>201</v>
      </c>
      <c r="AH42" s="4" t="b">
        <f t="shared" si="26"/>
        <v>0</v>
      </c>
      <c r="AI42" s="7" t="b">
        <f t="shared" si="7"/>
        <v>0</v>
      </c>
      <c r="AJ42" s="57" t="b">
        <f t="shared" si="8"/>
        <v>0</v>
      </c>
      <c r="AK42" s="57" t="b">
        <f t="shared" si="9"/>
        <v>0</v>
      </c>
      <c r="AL42" s="57" t="b">
        <f t="shared" si="10"/>
        <v>0</v>
      </c>
      <c r="AM42" s="57" t="b">
        <f t="shared" si="11"/>
        <v>0</v>
      </c>
      <c r="AN42" s="4" t="b">
        <f t="shared" si="12"/>
        <v>0</v>
      </c>
      <c r="AO42" s="24">
        <f t="shared" si="13"/>
        <v>0</v>
      </c>
      <c r="AP42" s="24" t="b">
        <f t="shared" si="14"/>
        <v>0</v>
      </c>
      <c r="AQ42" s="24" t="b">
        <f t="shared" si="27"/>
        <v>0</v>
      </c>
      <c r="AR42" s="24" t="b">
        <f t="shared" si="28"/>
        <v>0</v>
      </c>
      <c r="AS42" s="24">
        <f t="shared" si="0"/>
        <v>0</v>
      </c>
      <c r="AV42" s="9"/>
      <c r="AW42" s="9"/>
      <c r="AX42" s="9"/>
    </row>
    <row r="43" spans="1:50" ht="15.6" thickTop="1" thickBot="1" x14ac:dyDescent="0.35">
      <c r="A43" s="8" t="s">
        <v>52</v>
      </c>
      <c r="B43" s="46">
        <v>9</v>
      </c>
      <c r="C43" s="46">
        <v>1</v>
      </c>
      <c r="D43" s="46">
        <v>23474</v>
      </c>
      <c r="E43" s="46">
        <v>27679</v>
      </c>
      <c r="F43" s="47" t="s">
        <v>86</v>
      </c>
      <c r="G43" s="46">
        <v>1401</v>
      </c>
      <c r="H43" s="46">
        <v>36</v>
      </c>
      <c r="I43" s="47" t="s">
        <v>86</v>
      </c>
      <c r="J43" s="46" t="s">
        <v>87</v>
      </c>
      <c r="K43" s="46">
        <v>23173</v>
      </c>
      <c r="L43" s="46">
        <v>23338</v>
      </c>
      <c r="M43" s="41">
        <v>23106</v>
      </c>
      <c r="N43" s="41">
        <v>23235</v>
      </c>
      <c r="O43" s="42" t="s">
        <v>86</v>
      </c>
      <c r="P43" s="44" t="b">
        <f t="shared" si="1"/>
        <v>1</v>
      </c>
      <c r="Q43" s="44" t="b">
        <f t="shared" si="2"/>
        <v>1</v>
      </c>
      <c r="R43" s="44" t="b">
        <f t="shared" si="3"/>
        <v>0</v>
      </c>
      <c r="S43" s="44" t="b">
        <f>AND(K43&lt;=N43,N43&lt;=L43)</f>
        <v>1</v>
      </c>
      <c r="T43" s="44" t="b">
        <f t="shared" si="4"/>
        <v>0</v>
      </c>
      <c r="U43" s="44" t="b">
        <f t="shared" si="5"/>
        <v>1</v>
      </c>
      <c r="V43" s="44" t="b">
        <f>AND(P43,Q43)</f>
        <v>1</v>
      </c>
      <c r="W43" s="7">
        <v>23</v>
      </c>
      <c r="X43" s="4">
        <f>LEN("GTTCTAATCATCATTGATCTAACAACCACCTAAAAC")</f>
        <v>36</v>
      </c>
      <c r="Y43" s="4">
        <v>1</v>
      </c>
      <c r="Z43" s="4">
        <v>23474</v>
      </c>
      <c r="AA43" s="4">
        <v>27664</v>
      </c>
      <c r="AB43" s="5" t="s">
        <v>86</v>
      </c>
      <c r="AC43" s="4">
        <f t="shared" si="6"/>
        <v>4190</v>
      </c>
      <c r="AD43" s="5" t="s">
        <v>86</v>
      </c>
      <c r="AE43" s="4" t="s">
        <v>87</v>
      </c>
      <c r="AF43" s="4">
        <v>23304</v>
      </c>
      <c r="AG43" s="59">
        <v>23339</v>
      </c>
      <c r="AH43" s="4" t="b">
        <f t="shared" si="26"/>
        <v>1</v>
      </c>
      <c r="AI43" s="7" t="b">
        <f t="shared" si="7"/>
        <v>1</v>
      </c>
      <c r="AJ43" s="57" t="b">
        <f t="shared" si="8"/>
        <v>1</v>
      </c>
      <c r="AK43" s="57" t="b">
        <f t="shared" si="9"/>
        <v>1</v>
      </c>
      <c r="AL43" s="57" t="b">
        <f t="shared" si="10"/>
        <v>0</v>
      </c>
      <c r="AM43" s="57" t="b">
        <f t="shared" si="11"/>
        <v>0</v>
      </c>
      <c r="AN43" s="4" t="b">
        <f t="shared" si="12"/>
        <v>1</v>
      </c>
      <c r="AO43" s="24">
        <f t="shared" si="13"/>
        <v>1</v>
      </c>
      <c r="AP43" s="24" t="b">
        <f t="shared" si="14"/>
        <v>1</v>
      </c>
      <c r="AQ43" s="24" t="b">
        <f t="shared" si="27"/>
        <v>0</v>
      </c>
      <c r="AR43" s="24" t="b">
        <f t="shared" si="28"/>
        <v>1</v>
      </c>
      <c r="AS43" s="24">
        <f t="shared" si="0"/>
        <v>1</v>
      </c>
      <c r="AV43" s="9"/>
      <c r="AW43" s="9"/>
      <c r="AX43" s="9"/>
    </row>
    <row r="44" spans="1:50" ht="15.6" thickTop="1" thickBot="1" x14ac:dyDescent="0.35">
      <c r="A44" s="29" t="s">
        <v>53</v>
      </c>
      <c r="B44" s="34">
        <v>5</v>
      </c>
      <c r="C44" s="35">
        <v>1</v>
      </c>
      <c r="D44" s="35">
        <v>15461</v>
      </c>
      <c r="E44" s="35">
        <v>18640</v>
      </c>
      <c r="F44" s="36" t="s">
        <v>85</v>
      </c>
      <c r="G44" s="35">
        <v>1059</v>
      </c>
      <c r="H44" s="35">
        <v>36</v>
      </c>
      <c r="I44" s="36"/>
      <c r="J44" s="35"/>
      <c r="K44" s="35"/>
      <c r="L44" s="37"/>
      <c r="M44" s="41"/>
      <c r="N44" s="41"/>
      <c r="O44" s="42"/>
      <c r="P44" s="44"/>
      <c r="Q44" s="44"/>
      <c r="R44" s="44"/>
      <c r="S44" s="44"/>
      <c r="T44" s="44" t="b">
        <f t="shared" si="4"/>
        <v>1</v>
      </c>
      <c r="U44" s="44" t="b">
        <f t="shared" si="5"/>
        <v>1</v>
      </c>
      <c r="V44" s="44"/>
      <c r="W44" s="7">
        <v>11</v>
      </c>
      <c r="X44" s="4">
        <f>LEN("ATTATAACATATTAAATATTGTGGTCAATACAGAAC")</f>
        <v>36</v>
      </c>
      <c r="Y44" s="4">
        <v>1</v>
      </c>
      <c r="Z44" s="4">
        <v>15494</v>
      </c>
      <c r="AA44" s="4">
        <v>18640</v>
      </c>
      <c r="AB44" s="5" t="s">
        <v>85</v>
      </c>
      <c r="AC44" s="4">
        <f t="shared" si="6"/>
        <v>3146</v>
      </c>
      <c r="AD44" s="5" t="s">
        <v>85</v>
      </c>
      <c r="AE44" s="4" t="s">
        <v>88</v>
      </c>
      <c r="AF44" s="4">
        <v>15370</v>
      </c>
      <c r="AG44" s="59">
        <v>15405</v>
      </c>
      <c r="AH44" s="4" t="b">
        <f t="shared" si="26"/>
        <v>0</v>
      </c>
      <c r="AI44" s="7" t="b">
        <f t="shared" si="7"/>
        <v>0</v>
      </c>
      <c r="AJ44" s="57" t="b">
        <f t="shared" si="8"/>
        <v>0</v>
      </c>
      <c r="AK44" s="57" t="b">
        <f t="shared" si="9"/>
        <v>0</v>
      </c>
      <c r="AL44" s="57" t="b">
        <f t="shared" si="10"/>
        <v>0</v>
      </c>
      <c r="AM44" s="57" t="b">
        <f t="shared" si="11"/>
        <v>0</v>
      </c>
      <c r="AN44" s="4" t="b">
        <f t="shared" si="12"/>
        <v>0</v>
      </c>
      <c r="AO44" s="24">
        <f t="shared" si="13"/>
        <v>0</v>
      </c>
      <c r="AP44" s="24" t="b">
        <f t="shared" si="14"/>
        <v>0</v>
      </c>
      <c r="AQ44" s="24" t="b">
        <f t="shared" si="27"/>
        <v>0</v>
      </c>
      <c r="AR44" s="24" t="b">
        <f t="shared" si="28"/>
        <v>0</v>
      </c>
      <c r="AS44" s="24">
        <f t="shared" si="0"/>
        <v>0</v>
      </c>
      <c r="AV44" s="9"/>
      <c r="AW44" s="9"/>
      <c r="AX44" s="9"/>
    </row>
    <row r="45" spans="1:50" ht="15.6" thickTop="1" thickBot="1" x14ac:dyDescent="0.35">
      <c r="A45" s="8" t="s">
        <v>54</v>
      </c>
      <c r="B45" s="32">
        <v>56</v>
      </c>
      <c r="C45" s="32">
        <v>5</v>
      </c>
      <c r="D45" s="32">
        <v>24088</v>
      </c>
      <c r="E45" s="32">
        <v>27282</v>
      </c>
      <c r="F45" s="33" t="s">
        <v>86</v>
      </c>
      <c r="G45" s="32">
        <v>1064</v>
      </c>
      <c r="H45" s="32">
        <v>38</v>
      </c>
      <c r="I45" s="33" t="s">
        <v>86</v>
      </c>
      <c r="J45" s="32" t="s">
        <v>88</v>
      </c>
      <c r="K45" s="32">
        <v>27380</v>
      </c>
      <c r="L45" s="32">
        <v>27478</v>
      </c>
      <c r="M45" s="41">
        <v>27389</v>
      </c>
      <c r="N45" s="41">
        <v>27481</v>
      </c>
      <c r="O45" s="42" t="s">
        <v>86</v>
      </c>
      <c r="P45" s="44" t="b">
        <f t="shared" si="1"/>
        <v>1</v>
      </c>
      <c r="Q45" s="44" t="b">
        <f t="shared" si="2"/>
        <v>1</v>
      </c>
      <c r="R45" s="44" t="b">
        <f t="shared" si="3"/>
        <v>1</v>
      </c>
      <c r="S45" s="44" t="b">
        <f t="shared" ref="S45:S50" si="29">AND(K45&lt;=N45,N45&lt;=L45)</f>
        <v>0</v>
      </c>
      <c r="T45" s="44" t="b">
        <f t="shared" si="4"/>
        <v>1</v>
      </c>
      <c r="U45" s="44" t="b">
        <f t="shared" si="5"/>
        <v>0</v>
      </c>
      <c r="V45" s="44" t="b">
        <f t="shared" ref="V45:V50" si="30">AND(P45,Q45)</f>
        <v>1</v>
      </c>
      <c r="W45" s="20">
        <v>79</v>
      </c>
      <c r="X45" s="23" t="s">
        <v>94</v>
      </c>
      <c r="Y45" s="21">
        <v>3</v>
      </c>
      <c r="Z45" s="21">
        <v>24088</v>
      </c>
      <c r="AA45" s="21">
        <v>27279</v>
      </c>
      <c r="AB45" s="22" t="s">
        <v>85</v>
      </c>
      <c r="AC45" s="21">
        <f t="shared" si="6"/>
        <v>3191</v>
      </c>
      <c r="AD45" s="22"/>
      <c r="AE45" s="21"/>
      <c r="AF45" s="21"/>
      <c r="AG45" s="61"/>
      <c r="AH45" s="4"/>
      <c r="AI45" s="7"/>
      <c r="AJ45" s="57"/>
      <c r="AK45" s="57"/>
      <c r="AL45" s="57"/>
      <c r="AM45" s="57"/>
      <c r="AN45" s="4"/>
      <c r="AO45" s="24"/>
      <c r="AP45" s="24"/>
      <c r="AQ45" s="24"/>
      <c r="AR45" s="24"/>
      <c r="AS45" s="24">
        <f t="shared" si="0"/>
        <v>0</v>
      </c>
      <c r="AT45">
        <v>12</v>
      </c>
      <c r="AV45" s="9"/>
      <c r="AW45" s="9"/>
      <c r="AX45" s="9"/>
    </row>
    <row r="46" spans="1:50" ht="15.6" thickTop="1" thickBot="1" x14ac:dyDescent="0.35">
      <c r="A46" s="8" t="s">
        <v>55</v>
      </c>
      <c r="B46" s="30">
        <v>17</v>
      </c>
      <c r="C46" s="30">
        <v>1</v>
      </c>
      <c r="D46" s="30">
        <v>15325</v>
      </c>
      <c r="E46" s="30">
        <v>18573</v>
      </c>
      <c r="F46" s="31" t="s">
        <v>85</v>
      </c>
      <c r="G46" s="30">
        <v>1082</v>
      </c>
      <c r="H46" s="30">
        <v>36</v>
      </c>
      <c r="I46" s="31" t="s">
        <v>86</v>
      </c>
      <c r="J46" s="30" t="s">
        <v>87</v>
      </c>
      <c r="K46" s="30">
        <v>15106</v>
      </c>
      <c r="L46" s="30">
        <v>15208</v>
      </c>
      <c r="M46" s="41">
        <v>15076</v>
      </c>
      <c r="N46" s="41">
        <v>15215</v>
      </c>
      <c r="O46" s="42" t="s">
        <v>86</v>
      </c>
      <c r="P46" s="44" t="b">
        <f t="shared" si="1"/>
        <v>1</v>
      </c>
      <c r="Q46" s="44" t="b">
        <v>1</v>
      </c>
      <c r="R46" s="44" t="b">
        <f t="shared" si="3"/>
        <v>0</v>
      </c>
      <c r="S46" s="44" t="b">
        <f t="shared" si="29"/>
        <v>0</v>
      </c>
      <c r="T46" s="44" t="b">
        <f t="shared" si="4"/>
        <v>0</v>
      </c>
      <c r="U46" s="44" t="b">
        <f t="shared" si="5"/>
        <v>0</v>
      </c>
      <c r="V46" s="44" t="b">
        <f t="shared" si="30"/>
        <v>1</v>
      </c>
      <c r="W46" s="7">
        <v>18</v>
      </c>
      <c r="X46" s="4">
        <f>LEN("ATTGTAGCACTGCGAAATGAGAATGGGAGCTACAAC")</f>
        <v>36</v>
      </c>
      <c r="Y46" s="4">
        <v>1</v>
      </c>
      <c r="Z46" s="4">
        <v>15325</v>
      </c>
      <c r="AA46" s="4">
        <v>18573</v>
      </c>
      <c r="AB46" s="5" t="s">
        <v>85</v>
      </c>
      <c r="AC46" s="4">
        <f t="shared" si="6"/>
        <v>3248</v>
      </c>
      <c r="AD46" s="5" t="s">
        <v>85</v>
      </c>
      <c r="AE46" s="4" t="s">
        <v>87</v>
      </c>
      <c r="AF46" s="4">
        <v>15179</v>
      </c>
      <c r="AG46" s="59">
        <v>15214</v>
      </c>
      <c r="AH46" s="4" t="b">
        <f>AND(AR46,AO46=1)</f>
        <v>0</v>
      </c>
      <c r="AI46" s="7" t="b">
        <f t="shared" si="7"/>
        <v>1</v>
      </c>
      <c r="AJ46" s="57" t="b">
        <f t="shared" si="8"/>
        <v>1</v>
      </c>
      <c r="AK46" s="57" t="b">
        <f t="shared" si="9"/>
        <v>1</v>
      </c>
      <c r="AL46" s="57" t="b">
        <f t="shared" si="10"/>
        <v>0</v>
      </c>
      <c r="AM46" s="57" t="b">
        <f t="shared" si="11"/>
        <v>0</v>
      </c>
      <c r="AN46" s="4" t="b">
        <f t="shared" si="12"/>
        <v>0</v>
      </c>
      <c r="AO46" s="24">
        <f t="shared" si="13"/>
        <v>1</v>
      </c>
      <c r="AP46" s="24" t="b">
        <f t="shared" si="14"/>
        <v>1</v>
      </c>
      <c r="AQ46" s="24" t="b">
        <f>AND(K46&lt;AG46,AG46&lt;L46)</f>
        <v>0</v>
      </c>
      <c r="AR46" s="24" t="b">
        <f>AD46=I46</f>
        <v>0</v>
      </c>
      <c r="AS46" s="24">
        <f t="shared" si="0"/>
        <v>0</v>
      </c>
      <c r="AV46" s="9"/>
      <c r="AW46" s="9"/>
      <c r="AX46" s="9"/>
    </row>
    <row r="47" spans="1:50" ht="15.6" thickTop="1" thickBot="1" x14ac:dyDescent="0.35">
      <c r="A47" s="29" t="s">
        <v>56</v>
      </c>
      <c r="B47" s="52">
        <v>11</v>
      </c>
      <c r="C47" s="53">
        <v>1</v>
      </c>
      <c r="D47" s="53">
        <v>15149</v>
      </c>
      <c r="E47" s="53">
        <v>18577</v>
      </c>
      <c r="F47" s="54" t="s">
        <v>85</v>
      </c>
      <c r="G47" s="53">
        <v>1142</v>
      </c>
      <c r="H47" s="53">
        <v>36</v>
      </c>
      <c r="I47" s="54" t="s">
        <v>85</v>
      </c>
      <c r="J47" s="53" t="s">
        <v>88</v>
      </c>
      <c r="K47" s="53">
        <v>19876</v>
      </c>
      <c r="L47" s="55">
        <v>20007</v>
      </c>
      <c r="M47" s="45">
        <v>19786</v>
      </c>
      <c r="N47" s="41">
        <v>19914</v>
      </c>
      <c r="O47" s="42" t="s">
        <v>86</v>
      </c>
      <c r="P47" s="44" t="b">
        <f t="shared" si="1"/>
        <v>0</v>
      </c>
      <c r="Q47" s="44" t="b">
        <f>OR(R47,S47)</f>
        <v>1</v>
      </c>
      <c r="R47" s="44" t="b">
        <f t="shared" si="3"/>
        <v>0</v>
      </c>
      <c r="S47" s="44" t="b">
        <f t="shared" si="29"/>
        <v>1</v>
      </c>
      <c r="T47" s="44" t="b">
        <f t="shared" si="4"/>
        <v>0</v>
      </c>
      <c r="U47" s="44" t="b">
        <f t="shared" si="5"/>
        <v>1</v>
      </c>
      <c r="V47" s="44" t="b">
        <f t="shared" si="30"/>
        <v>0</v>
      </c>
      <c r="W47" s="7">
        <v>11</v>
      </c>
      <c r="X47" s="4">
        <f>LEN("GTTTTAAGACCCCTCAAAACCCCACCCTGTTACAAT")</f>
        <v>36</v>
      </c>
      <c r="Y47" s="4">
        <v>1</v>
      </c>
      <c r="Z47" s="4">
        <v>15164</v>
      </c>
      <c r="AA47" s="4">
        <v>18577</v>
      </c>
      <c r="AB47" s="5" t="s">
        <v>85</v>
      </c>
      <c r="AC47" s="4">
        <f t="shared" si="6"/>
        <v>3413</v>
      </c>
      <c r="AD47" s="5" t="s">
        <v>85</v>
      </c>
      <c r="AE47" s="4" t="s">
        <v>88</v>
      </c>
      <c r="AF47" s="4">
        <v>19876</v>
      </c>
      <c r="AG47" s="59">
        <v>19913</v>
      </c>
      <c r="AH47" s="4" t="b">
        <f>AND(AR47,AO47=1)</f>
        <v>1</v>
      </c>
      <c r="AI47" s="7" t="b">
        <f t="shared" si="7"/>
        <v>1</v>
      </c>
      <c r="AJ47" s="57" t="b">
        <f t="shared" si="8"/>
        <v>1</v>
      </c>
      <c r="AK47" s="57" t="b">
        <f t="shared" si="9"/>
        <v>1</v>
      </c>
      <c r="AL47" s="57" t="b">
        <f t="shared" si="10"/>
        <v>1</v>
      </c>
      <c r="AM47" s="57" t="b">
        <f t="shared" si="11"/>
        <v>1</v>
      </c>
      <c r="AN47" s="4" t="b">
        <f t="shared" si="12"/>
        <v>1</v>
      </c>
      <c r="AO47" s="24">
        <f t="shared" si="13"/>
        <v>1</v>
      </c>
      <c r="AP47" s="24" t="b">
        <f t="shared" si="14"/>
        <v>1</v>
      </c>
      <c r="AQ47" s="24" t="b">
        <f>AND(K47&lt;AG47,AG47&lt;L47)</f>
        <v>1</v>
      </c>
      <c r="AR47" s="24" t="b">
        <f>AD47=I47</f>
        <v>1</v>
      </c>
      <c r="AS47" s="24">
        <f t="shared" si="0"/>
        <v>1</v>
      </c>
      <c r="AV47" s="9"/>
      <c r="AW47" s="9"/>
      <c r="AX47" s="9"/>
    </row>
    <row r="48" spans="1:50" ht="15" thickTop="1" x14ac:dyDescent="0.3">
      <c r="A48" s="8" t="s">
        <v>57</v>
      </c>
      <c r="B48" s="32">
        <v>44</v>
      </c>
      <c r="C48" s="32">
        <v>1</v>
      </c>
      <c r="D48" s="32">
        <v>6526</v>
      </c>
      <c r="E48" s="32">
        <v>9747</v>
      </c>
      <c r="F48" s="33" t="s">
        <v>86</v>
      </c>
      <c r="G48" s="32">
        <v>1073</v>
      </c>
      <c r="H48" s="32">
        <v>36</v>
      </c>
      <c r="I48" s="33" t="s">
        <v>85</v>
      </c>
      <c r="J48" s="32" t="s">
        <v>88</v>
      </c>
      <c r="K48" s="32">
        <v>9839</v>
      </c>
      <c r="L48" s="32">
        <v>9942</v>
      </c>
      <c r="M48" s="41">
        <v>9839</v>
      </c>
      <c r="N48" s="41">
        <v>9996</v>
      </c>
      <c r="O48" s="42" t="s">
        <v>85</v>
      </c>
      <c r="P48" s="44" t="b">
        <f t="shared" si="1"/>
        <v>1</v>
      </c>
      <c r="Q48" s="44" t="b">
        <f t="shared" si="2"/>
        <v>1</v>
      </c>
      <c r="R48" s="44" t="b">
        <f t="shared" si="3"/>
        <v>1</v>
      </c>
      <c r="S48" s="44" t="b">
        <f t="shared" si="29"/>
        <v>0</v>
      </c>
      <c r="T48" s="44" t="b">
        <f t="shared" si="4"/>
        <v>1</v>
      </c>
      <c r="U48" s="44" t="b">
        <f t="shared" si="5"/>
        <v>0</v>
      </c>
      <c r="V48" s="44" t="b">
        <f t="shared" si="30"/>
        <v>1</v>
      </c>
      <c r="W48" s="7">
        <v>46</v>
      </c>
      <c r="X48" s="4">
        <f>LEN("repeat:GTTGTAGCTTCCTCTCTCATCTCGTAGTGCTACAAT")-7</f>
        <v>36</v>
      </c>
      <c r="Y48" s="4">
        <v>1</v>
      </c>
      <c r="Z48" s="4">
        <v>6526</v>
      </c>
      <c r="AA48" s="4">
        <v>9735</v>
      </c>
      <c r="AB48" s="5" t="s">
        <v>86</v>
      </c>
      <c r="AC48" s="4">
        <f t="shared" si="6"/>
        <v>3209</v>
      </c>
      <c r="AD48" s="5" t="s">
        <v>86</v>
      </c>
      <c r="AE48" s="4" t="s">
        <v>88</v>
      </c>
      <c r="AF48" s="4">
        <v>9839</v>
      </c>
      <c r="AG48" s="59">
        <v>9874</v>
      </c>
      <c r="AH48" s="4" t="b">
        <f>AND(AR48,AO48=1)</f>
        <v>0</v>
      </c>
      <c r="AI48" s="7" t="b">
        <f t="shared" si="7"/>
        <v>1</v>
      </c>
      <c r="AJ48" s="57" t="b">
        <f t="shared" si="8"/>
        <v>1</v>
      </c>
      <c r="AK48" s="57" t="b">
        <f t="shared" si="9"/>
        <v>1</v>
      </c>
      <c r="AL48" s="57" t="b">
        <f t="shared" si="10"/>
        <v>1</v>
      </c>
      <c r="AM48" s="57" t="b">
        <f t="shared" si="11"/>
        <v>1</v>
      </c>
      <c r="AN48" s="4" t="b">
        <f t="shared" si="12"/>
        <v>0</v>
      </c>
      <c r="AO48" s="24">
        <f t="shared" si="13"/>
        <v>1</v>
      </c>
      <c r="AP48" s="24" t="b">
        <f t="shared" si="14"/>
        <v>1</v>
      </c>
      <c r="AQ48" s="24" t="b">
        <f>AND(K48&lt;AG48,AG48&lt;L48)</f>
        <v>1</v>
      </c>
      <c r="AR48" s="24" t="b">
        <f>AD48=I48</f>
        <v>0</v>
      </c>
      <c r="AS48" s="24">
        <f t="shared" si="0"/>
        <v>0</v>
      </c>
      <c r="AV48" s="9"/>
      <c r="AW48" s="9"/>
      <c r="AX48" s="9"/>
    </row>
    <row r="49" spans="1:50" x14ac:dyDescent="0.3">
      <c r="A49" s="8" t="s">
        <v>58</v>
      </c>
      <c r="B49" s="11">
        <v>17</v>
      </c>
      <c r="C49" s="11">
        <v>1</v>
      </c>
      <c r="D49" s="11">
        <v>3478</v>
      </c>
      <c r="E49" s="11">
        <v>8097</v>
      </c>
      <c r="F49" s="12" t="s">
        <v>86</v>
      </c>
      <c r="G49" s="11">
        <v>1539</v>
      </c>
      <c r="H49" s="11">
        <v>47</v>
      </c>
      <c r="I49" s="12" t="s">
        <v>85</v>
      </c>
      <c r="J49" s="11" t="s">
        <v>88</v>
      </c>
      <c r="K49" s="11">
        <v>8200</v>
      </c>
      <c r="L49" s="11">
        <v>8278</v>
      </c>
      <c r="M49" s="41">
        <v>8175</v>
      </c>
      <c r="N49" s="41">
        <v>8273</v>
      </c>
      <c r="O49" s="42" t="s">
        <v>85</v>
      </c>
      <c r="P49" s="44" t="b">
        <f t="shared" si="1"/>
        <v>1</v>
      </c>
      <c r="Q49" s="44" t="b">
        <f t="shared" si="2"/>
        <v>1</v>
      </c>
      <c r="R49" s="44" t="b">
        <f t="shared" si="3"/>
        <v>0</v>
      </c>
      <c r="S49" s="44" t="b">
        <f t="shared" si="29"/>
        <v>1</v>
      </c>
      <c r="T49" s="44" t="b">
        <f t="shared" si="4"/>
        <v>0</v>
      </c>
      <c r="U49" s="44" t="b">
        <f t="shared" si="5"/>
        <v>1</v>
      </c>
      <c r="V49" s="44" t="b">
        <f t="shared" si="30"/>
        <v>1</v>
      </c>
      <c r="W49" s="7">
        <v>18</v>
      </c>
      <c r="X49" s="4">
        <f>LEN("repeat:GTTGTGATTTGCTTTCAAGTTCTTATTTTTGTGTGAGTAATCACAAG")-7</f>
        <v>47</v>
      </c>
      <c r="Y49" s="4">
        <v>1</v>
      </c>
      <c r="Z49" s="4">
        <v>3478</v>
      </c>
      <c r="AA49" s="4">
        <v>8085</v>
      </c>
      <c r="AB49" s="5" t="s">
        <v>86</v>
      </c>
      <c r="AC49" s="4">
        <f t="shared" si="6"/>
        <v>4607</v>
      </c>
      <c r="AD49" s="5" t="s">
        <v>86</v>
      </c>
      <c r="AE49" s="4" t="s">
        <v>88</v>
      </c>
      <c r="AF49" s="4">
        <v>8170</v>
      </c>
      <c r="AG49" s="59">
        <v>8216</v>
      </c>
      <c r="AH49" s="4" t="b">
        <f>AND(AR49,AO49=1)</f>
        <v>0</v>
      </c>
      <c r="AI49" s="7" t="b">
        <f>OR(AJ49,AK49,AL49,AM49)</f>
        <v>1</v>
      </c>
      <c r="AJ49" s="57" t="b">
        <f>AND(K49&lt;=AF49,AF49&lt;=L49)</f>
        <v>0</v>
      </c>
      <c r="AK49" s="57" t="b">
        <f>AND(K49&lt;=AF49,AF49&lt;=L49)</f>
        <v>0</v>
      </c>
      <c r="AL49" s="57" t="b">
        <f t="shared" si="10"/>
        <v>1</v>
      </c>
      <c r="AM49" s="57" t="b">
        <f t="shared" si="11"/>
        <v>1</v>
      </c>
      <c r="AN49" s="4" t="b">
        <f t="shared" si="12"/>
        <v>0</v>
      </c>
      <c r="AO49" s="24">
        <f t="shared" si="13"/>
        <v>1</v>
      </c>
      <c r="AP49" s="24" t="b">
        <f t="shared" si="14"/>
        <v>0</v>
      </c>
      <c r="AQ49" s="24" t="b">
        <f>AND(K49&lt;AG49,AG49&lt;L49)</f>
        <v>1</v>
      </c>
      <c r="AR49" s="24" t="b">
        <f>AD49=I49</f>
        <v>0</v>
      </c>
      <c r="AS49" s="24">
        <f t="shared" si="0"/>
        <v>0</v>
      </c>
      <c r="AV49" s="9"/>
      <c r="AW49" s="9"/>
      <c r="AX49" s="9"/>
    </row>
    <row r="50" spans="1:50" ht="15" thickBot="1" x14ac:dyDescent="0.35">
      <c r="A50" s="8" t="s">
        <v>59</v>
      </c>
      <c r="B50" s="11">
        <v>14</v>
      </c>
      <c r="C50" s="11">
        <v>1</v>
      </c>
      <c r="D50" s="11">
        <v>1730</v>
      </c>
      <c r="E50" s="11">
        <v>5881</v>
      </c>
      <c r="F50" s="12" t="s">
        <v>85</v>
      </c>
      <c r="G50" s="11">
        <v>1383</v>
      </c>
      <c r="H50" s="11">
        <v>36</v>
      </c>
      <c r="I50" s="12" t="s">
        <v>86</v>
      </c>
      <c r="J50" s="11" t="s">
        <v>88</v>
      </c>
      <c r="K50" s="11">
        <v>5930</v>
      </c>
      <c r="L50" s="11">
        <v>6029</v>
      </c>
      <c r="M50" s="41">
        <v>5615</v>
      </c>
      <c r="N50" s="41">
        <v>5701</v>
      </c>
      <c r="O50" s="42" t="s">
        <v>85</v>
      </c>
      <c r="P50" s="44" t="b">
        <f t="shared" si="1"/>
        <v>0</v>
      </c>
      <c r="Q50" s="44" t="b">
        <f t="shared" si="2"/>
        <v>0</v>
      </c>
      <c r="R50" s="44" t="b">
        <f t="shared" si="3"/>
        <v>0</v>
      </c>
      <c r="S50" s="44" t="b">
        <f t="shared" si="29"/>
        <v>0</v>
      </c>
      <c r="T50" s="44" t="b">
        <f t="shared" si="4"/>
        <v>0</v>
      </c>
      <c r="U50" s="44" t="b">
        <f t="shared" si="5"/>
        <v>0</v>
      </c>
      <c r="V50" s="44" t="b">
        <f t="shared" si="30"/>
        <v>0</v>
      </c>
      <c r="W50" s="7">
        <v>15</v>
      </c>
      <c r="X50" s="4">
        <f>LEN("repeat:GTTTCAGAAGGATGTTAAATCAATAAGGTTAAGATC")-7</f>
        <v>36</v>
      </c>
      <c r="Y50" s="4">
        <v>1</v>
      </c>
      <c r="Z50" s="4">
        <v>1781</v>
      </c>
      <c r="AA50" s="4">
        <v>5881</v>
      </c>
      <c r="AB50" s="5" t="s">
        <v>85</v>
      </c>
      <c r="AC50" s="4">
        <f t="shared" si="6"/>
        <v>4100</v>
      </c>
      <c r="AD50" s="5" t="s">
        <v>85</v>
      </c>
      <c r="AE50" s="4" t="s">
        <v>95</v>
      </c>
      <c r="AF50" s="4">
        <v>9760</v>
      </c>
      <c r="AG50" s="59">
        <v>9795</v>
      </c>
      <c r="AH50" s="4" t="b">
        <f>AND(AR50,AO50=1)</f>
        <v>0</v>
      </c>
      <c r="AI50" s="7" t="b">
        <f t="shared" ref="AI50:AI73" si="31">OR(AJ50,AK50,AL50,AM50)</f>
        <v>0</v>
      </c>
      <c r="AJ50" s="57" t="b">
        <f t="shared" ref="AJ50:AJ73" si="32">AND(K50&lt;=AF50,AF50&lt;=L50)</f>
        <v>0</v>
      </c>
      <c r="AK50" s="57" t="b">
        <f t="shared" ref="AK50:AK73" si="33">AND(K50&lt;=AF50,AF50&lt;=L50)</f>
        <v>0</v>
      </c>
      <c r="AL50" s="57" t="b">
        <f t="shared" si="10"/>
        <v>0</v>
      </c>
      <c r="AM50" s="57" t="b">
        <f t="shared" si="11"/>
        <v>0</v>
      </c>
      <c r="AN50" s="4" t="b">
        <f t="shared" si="12"/>
        <v>0</v>
      </c>
      <c r="AO50" s="24">
        <f t="shared" si="13"/>
        <v>0</v>
      </c>
      <c r="AP50" s="24" t="b">
        <f t="shared" si="14"/>
        <v>0</v>
      </c>
      <c r="AQ50" s="24" t="b">
        <f>AND(K50&lt;AG50,AG50&lt;L50)</f>
        <v>0</v>
      </c>
      <c r="AR50" s="24" t="b">
        <f>AD50=I50</f>
        <v>0</v>
      </c>
      <c r="AS50" s="24">
        <f t="shared" si="0"/>
        <v>0</v>
      </c>
      <c r="AV50" s="9"/>
      <c r="AW50" s="9"/>
      <c r="AX50" s="9"/>
    </row>
    <row r="51" spans="1:50" ht="15.6" thickTop="1" thickBot="1" x14ac:dyDescent="0.35">
      <c r="A51" s="8" t="s">
        <v>60</v>
      </c>
      <c r="B51" s="11">
        <v>5</v>
      </c>
      <c r="C51" s="11">
        <v>1</v>
      </c>
      <c r="D51" s="11">
        <v>1730</v>
      </c>
      <c r="E51" s="11">
        <v>5926</v>
      </c>
      <c r="F51" s="12" t="s">
        <v>85</v>
      </c>
      <c r="G51" s="11">
        <v>1398</v>
      </c>
      <c r="H51" s="11">
        <v>47</v>
      </c>
      <c r="I51" s="12" t="s">
        <v>86</v>
      </c>
      <c r="J51" s="11" t="s">
        <v>87</v>
      </c>
      <c r="K51" s="11">
        <v>1614</v>
      </c>
      <c r="L51" s="11">
        <v>1670</v>
      </c>
      <c r="M51" s="41"/>
      <c r="N51" s="41"/>
      <c r="O51" s="42"/>
      <c r="P51" s="44"/>
      <c r="Q51" s="44"/>
      <c r="R51" s="44"/>
      <c r="S51" s="44"/>
      <c r="T51" s="44"/>
      <c r="U51" s="44"/>
      <c r="V51" s="44"/>
      <c r="W51" s="20">
        <v>0</v>
      </c>
      <c r="X51" s="21">
        <v>0</v>
      </c>
      <c r="Y51" s="21">
        <v>0</v>
      </c>
      <c r="Z51" s="21">
        <v>1784</v>
      </c>
      <c r="AA51" s="21">
        <v>5926</v>
      </c>
      <c r="AB51" s="22" t="s">
        <v>85</v>
      </c>
      <c r="AC51" s="21">
        <f t="shared" si="6"/>
        <v>4142</v>
      </c>
      <c r="AD51" s="22"/>
      <c r="AE51" s="21"/>
      <c r="AF51" s="21"/>
      <c r="AG51" s="61"/>
      <c r="AH51" s="4"/>
      <c r="AI51" s="7"/>
      <c r="AJ51" s="57"/>
      <c r="AK51" s="57"/>
      <c r="AL51" s="57"/>
      <c r="AM51" s="57"/>
      <c r="AN51" s="4"/>
      <c r="AO51" s="24"/>
      <c r="AP51" s="24"/>
      <c r="AQ51" s="24"/>
      <c r="AR51" s="24"/>
      <c r="AS51" s="24">
        <f t="shared" si="0"/>
        <v>0</v>
      </c>
      <c r="AT51">
        <v>13</v>
      </c>
      <c r="AV51" s="9"/>
      <c r="AW51" s="9"/>
      <c r="AX51" s="9"/>
    </row>
    <row r="52" spans="1:50" ht="15.6" thickTop="1" thickBot="1" x14ac:dyDescent="0.35">
      <c r="A52" s="8" t="s">
        <v>61</v>
      </c>
      <c r="B52" s="11">
        <v>15</v>
      </c>
      <c r="C52" s="11">
        <v>1</v>
      </c>
      <c r="D52" s="11">
        <v>790</v>
      </c>
      <c r="E52" s="11">
        <v>5070</v>
      </c>
      <c r="F52" s="12" t="s">
        <v>85</v>
      </c>
      <c r="G52" s="11">
        <v>1426</v>
      </c>
      <c r="H52" s="11">
        <v>47</v>
      </c>
      <c r="I52" s="12" t="s">
        <v>86</v>
      </c>
      <c r="J52" s="11" t="s">
        <v>87</v>
      </c>
      <c r="K52" s="11">
        <v>651</v>
      </c>
      <c r="L52" s="11">
        <v>707</v>
      </c>
      <c r="M52" s="41">
        <v>3971</v>
      </c>
      <c r="N52" s="41">
        <v>4060</v>
      </c>
      <c r="O52" s="42" t="s">
        <v>85</v>
      </c>
      <c r="P52" s="44" t="b">
        <f t="shared" si="1"/>
        <v>0</v>
      </c>
      <c r="Q52" s="44" t="b">
        <f t="shared" si="2"/>
        <v>0</v>
      </c>
      <c r="R52" s="44" t="b">
        <f t="shared" si="3"/>
        <v>0</v>
      </c>
      <c r="S52" s="44" t="b">
        <f>AND(K52&lt;=N52,N52&lt;=L52)</f>
        <v>0</v>
      </c>
      <c r="T52" s="44" t="b">
        <f t="shared" si="4"/>
        <v>0</v>
      </c>
      <c r="U52" s="44" t="b">
        <f t="shared" si="5"/>
        <v>0</v>
      </c>
      <c r="V52" s="44" t="b">
        <f>AND(P52,Q52)</f>
        <v>0</v>
      </c>
      <c r="W52" s="7">
        <v>15</v>
      </c>
      <c r="X52" s="4">
        <f>LEN("repeat:GCTGTTTCCAATGGCTCAAAGTTACTAAAATGAAAGCAAATCACAAC")-7</f>
        <v>47</v>
      </c>
      <c r="Y52" s="4">
        <v>1</v>
      </c>
      <c r="Z52" s="4">
        <v>796</v>
      </c>
      <c r="AA52" s="4">
        <v>5070</v>
      </c>
      <c r="AB52" s="5" t="s">
        <v>85</v>
      </c>
      <c r="AC52" s="4">
        <f t="shared" si="6"/>
        <v>4274</v>
      </c>
      <c r="AD52" s="5" t="s">
        <v>85</v>
      </c>
      <c r="AE52" s="4" t="s">
        <v>87</v>
      </c>
      <c r="AF52" s="4">
        <v>686</v>
      </c>
      <c r="AG52" s="59">
        <v>731</v>
      </c>
      <c r="AH52" s="4" t="b">
        <f>AND(AR52,AO52=1)</f>
        <v>0</v>
      </c>
      <c r="AI52" s="7" t="b">
        <f t="shared" si="31"/>
        <v>1</v>
      </c>
      <c r="AJ52" s="57" t="b">
        <f t="shared" si="32"/>
        <v>1</v>
      </c>
      <c r="AK52" s="57" t="b">
        <f t="shared" si="33"/>
        <v>1</v>
      </c>
      <c r="AL52" s="57" t="b">
        <f t="shared" si="10"/>
        <v>0</v>
      </c>
      <c r="AM52" s="57" t="b">
        <f t="shared" si="11"/>
        <v>0</v>
      </c>
      <c r="AN52" s="4" t="b">
        <f t="shared" si="12"/>
        <v>0</v>
      </c>
      <c r="AO52" s="24">
        <f t="shared" si="13"/>
        <v>1</v>
      </c>
      <c r="AP52" s="24" t="b">
        <f t="shared" si="14"/>
        <v>1</v>
      </c>
      <c r="AQ52" s="24" t="b">
        <f>AND(K52&lt;AG52,AG52&lt;L52)</f>
        <v>0</v>
      </c>
      <c r="AR52" s="24" t="b">
        <f>AD52=I52</f>
        <v>0</v>
      </c>
      <c r="AS52" s="24">
        <f t="shared" si="0"/>
        <v>0</v>
      </c>
      <c r="AV52" s="9"/>
      <c r="AW52" s="9"/>
      <c r="AX52" s="9"/>
    </row>
    <row r="53" spans="1:50" ht="15.6" thickTop="1" thickBot="1" x14ac:dyDescent="0.35">
      <c r="A53" s="8" t="s">
        <v>62</v>
      </c>
      <c r="B53" s="11">
        <v>7</v>
      </c>
      <c r="C53" s="11">
        <v>1</v>
      </c>
      <c r="D53" s="11">
        <v>14921</v>
      </c>
      <c r="E53" s="11">
        <v>18643</v>
      </c>
      <c r="F53" s="12" t="s">
        <v>85</v>
      </c>
      <c r="G53" s="11">
        <v>1240</v>
      </c>
      <c r="H53" s="11">
        <v>36</v>
      </c>
      <c r="I53" s="12" t="s">
        <v>85</v>
      </c>
      <c r="J53" s="11" t="s">
        <v>87</v>
      </c>
      <c r="K53" s="11">
        <v>14756</v>
      </c>
      <c r="L53" s="11">
        <v>14917</v>
      </c>
      <c r="M53" s="41">
        <v>18567</v>
      </c>
      <c r="N53" s="41">
        <v>18676</v>
      </c>
      <c r="O53" s="42" t="s">
        <v>85</v>
      </c>
      <c r="P53" s="44" t="b">
        <f t="shared" si="1"/>
        <v>1</v>
      </c>
      <c r="Q53" s="44" t="b">
        <v>1</v>
      </c>
      <c r="R53" s="44" t="b">
        <f t="shared" si="3"/>
        <v>0</v>
      </c>
      <c r="S53" s="44" t="b">
        <f>AND(K53&lt;=N53,N53&lt;=L53)</f>
        <v>0</v>
      </c>
      <c r="T53" s="44" t="b">
        <f t="shared" si="4"/>
        <v>0</v>
      </c>
      <c r="U53" s="44" t="b">
        <f t="shared" si="5"/>
        <v>0</v>
      </c>
      <c r="V53" s="44" t="b">
        <f>AND(P53,Q53)</f>
        <v>1</v>
      </c>
      <c r="W53" s="20">
        <v>7</v>
      </c>
      <c r="X53" s="21">
        <f>LEN("repeat:GTTGTGGTTTGATGTAGAATTGGAATGAGAAACAAC")-7</f>
        <v>36</v>
      </c>
      <c r="Y53" s="21">
        <v>1</v>
      </c>
      <c r="Z53" s="21">
        <v>15002</v>
      </c>
      <c r="AA53" s="21">
        <v>18643</v>
      </c>
      <c r="AB53" s="22" t="s">
        <v>85</v>
      </c>
      <c r="AC53" s="21">
        <f t="shared" si="6"/>
        <v>3641</v>
      </c>
      <c r="AD53" s="22"/>
      <c r="AE53" s="21"/>
      <c r="AF53" s="21"/>
      <c r="AG53" s="61"/>
      <c r="AH53" s="4"/>
      <c r="AI53" s="7"/>
      <c r="AJ53" s="57"/>
      <c r="AK53" s="57"/>
      <c r="AL53" s="57"/>
      <c r="AM53" s="57"/>
      <c r="AN53" s="4"/>
      <c r="AO53" s="24"/>
      <c r="AP53" s="24"/>
      <c r="AQ53" s="24"/>
      <c r="AR53" s="24"/>
      <c r="AS53" s="24">
        <f t="shared" si="0"/>
        <v>0</v>
      </c>
      <c r="AT53">
        <v>14</v>
      </c>
      <c r="AV53" s="9"/>
      <c r="AW53" s="9"/>
      <c r="AX53" s="9"/>
    </row>
    <row r="54" spans="1:50" ht="15" thickTop="1" x14ac:dyDescent="0.3">
      <c r="A54" s="8" t="s">
        <v>63</v>
      </c>
      <c r="B54" s="11">
        <v>9</v>
      </c>
      <c r="C54" s="11">
        <v>1</v>
      </c>
      <c r="D54" s="11">
        <v>13856</v>
      </c>
      <c r="E54" s="11">
        <v>18040</v>
      </c>
      <c r="F54" s="12" t="s">
        <v>85</v>
      </c>
      <c r="G54" s="11">
        <v>1394</v>
      </c>
      <c r="H54" s="11">
        <v>36</v>
      </c>
      <c r="I54" s="12" t="s">
        <v>86</v>
      </c>
      <c r="J54" s="11" t="s">
        <v>87</v>
      </c>
      <c r="K54" s="11">
        <v>13563</v>
      </c>
      <c r="L54" s="11">
        <v>13665</v>
      </c>
      <c r="M54" s="41"/>
      <c r="N54" s="41"/>
      <c r="O54" s="42"/>
      <c r="P54" s="44"/>
      <c r="Q54" s="44"/>
      <c r="R54" s="44"/>
      <c r="S54" s="44"/>
      <c r="T54" s="44"/>
      <c r="U54" s="44"/>
      <c r="V54" s="44"/>
      <c r="W54" s="7">
        <v>10</v>
      </c>
      <c r="X54" s="4">
        <f>LEN("repeat:GTTTTAGAGCTGTGCTGTTTCGAATGGTTCCAAAAC")-7</f>
        <v>36</v>
      </c>
      <c r="Y54" s="4">
        <v>1</v>
      </c>
      <c r="Z54" s="4">
        <v>13886</v>
      </c>
      <c r="AA54" s="4">
        <v>18040</v>
      </c>
      <c r="AB54" s="5" t="s">
        <v>85</v>
      </c>
      <c r="AC54" s="4">
        <f t="shared" si="6"/>
        <v>4154</v>
      </c>
      <c r="AD54" s="5" t="s">
        <v>85</v>
      </c>
      <c r="AE54" s="4" t="s">
        <v>87</v>
      </c>
      <c r="AF54" s="4">
        <v>13645</v>
      </c>
      <c r="AG54" s="59">
        <v>13680</v>
      </c>
      <c r="AH54" s="4" t="b">
        <f t="shared" ref="AH54:AH62" si="34">AND(AR54,AO54=1)</f>
        <v>0</v>
      </c>
      <c r="AI54" s="7" t="b">
        <f t="shared" si="31"/>
        <v>1</v>
      </c>
      <c r="AJ54" s="57" t="b">
        <f t="shared" si="32"/>
        <v>1</v>
      </c>
      <c r="AK54" s="57" t="b">
        <f t="shared" si="33"/>
        <v>1</v>
      </c>
      <c r="AL54" s="57" t="b">
        <f t="shared" si="10"/>
        <v>0</v>
      </c>
      <c r="AM54" s="57" t="b">
        <f t="shared" si="11"/>
        <v>0</v>
      </c>
      <c r="AN54" s="4" t="b">
        <f t="shared" si="12"/>
        <v>0</v>
      </c>
      <c r="AO54" s="24">
        <f t="shared" si="13"/>
        <v>1</v>
      </c>
      <c r="AP54" s="24" t="b">
        <f t="shared" si="14"/>
        <v>1</v>
      </c>
      <c r="AQ54" s="24" t="b">
        <f t="shared" ref="AQ54:AQ62" si="35">AND(K54&lt;AG54,AG54&lt;L54)</f>
        <v>0</v>
      </c>
      <c r="AR54" s="24" t="b">
        <f t="shared" ref="AR54:AR62" si="36">AD54=I54</f>
        <v>0</v>
      </c>
      <c r="AS54" s="24">
        <f t="shared" si="0"/>
        <v>0</v>
      </c>
      <c r="AV54" s="9"/>
      <c r="AW54" s="9"/>
      <c r="AX54" s="9"/>
    </row>
    <row r="55" spans="1:50" x14ac:dyDescent="0.3">
      <c r="A55" s="8" t="s">
        <v>64</v>
      </c>
      <c r="B55" s="11">
        <v>12</v>
      </c>
      <c r="C55" s="11">
        <v>1</v>
      </c>
      <c r="D55" s="11">
        <v>1496</v>
      </c>
      <c r="E55" s="11">
        <v>5659</v>
      </c>
      <c r="F55" s="12" t="s">
        <v>85</v>
      </c>
      <c r="G55" s="11">
        <v>1387</v>
      </c>
      <c r="H55" s="11">
        <v>36</v>
      </c>
      <c r="I55" s="12" t="s">
        <v>86</v>
      </c>
      <c r="J55" s="11" t="s">
        <v>87</v>
      </c>
      <c r="K55" s="11">
        <v>1202</v>
      </c>
      <c r="L55" s="11">
        <v>1305</v>
      </c>
      <c r="M55" s="41">
        <v>1213</v>
      </c>
      <c r="N55" s="41">
        <v>1319</v>
      </c>
      <c r="O55" s="42" t="s">
        <v>86</v>
      </c>
      <c r="P55" s="44" t="b">
        <f t="shared" si="1"/>
        <v>1</v>
      </c>
      <c r="Q55" s="44" t="b">
        <f t="shared" si="2"/>
        <v>1</v>
      </c>
      <c r="R55" s="44" t="b">
        <f t="shared" si="3"/>
        <v>1</v>
      </c>
      <c r="S55" s="44" t="b">
        <f>AND(K55&lt;=N55,N55&lt;=L55)</f>
        <v>0</v>
      </c>
      <c r="T55" s="44" t="b">
        <f t="shared" si="4"/>
        <v>1</v>
      </c>
      <c r="U55" s="44" t="b">
        <f t="shared" si="5"/>
        <v>0</v>
      </c>
      <c r="V55" s="44" t="b">
        <f>AND(P55,Q55)</f>
        <v>1</v>
      </c>
      <c r="W55" s="7">
        <v>14</v>
      </c>
      <c r="X55" s="4">
        <f>LEN("repeat:GTTTTAGAGCTGTGCTGTTTCGAATGGTTCCAAAAC")-7</f>
        <v>36</v>
      </c>
      <c r="Y55" s="4">
        <v>1</v>
      </c>
      <c r="Z55" s="4">
        <v>1526</v>
      </c>
      <c r="AA55" s="4">
        <v>5659</v>
      </c>
      <c r="AB55" s="5" t="s">
        <v>85</v>
      </c>
      <c r="AC55" s="4">
        <f t="shared" si="6"/>
        <v>4133</v>
      </c>
      <c r="AD55" s="5" t="s">
        <v>85</v>
      </c>
      <c r="AE55" s="4" t="s">
        <v>87</v>
      </c>
      <c r="AF55" s="4">
        <v>1282</v>
      </c>
      <c r="AG55" s="59">
        <v>1317</v>
      </c>
      <c r="AH55" s="4" t="b">
        <f t="shared" si="34"/>
        <v>0</v>
      </c>
      <c r="AI55" s="7" t="b">
        <f t="shared" si="31"/>
        <v>1</v>
      </c>
      <c r="AJ55" s="57" t="b">
        <f t="shared" si="32"/>
        <v>1</v>
      </c>
      <c r="AK55" s="57" t="b">
        <f t="shared" si="33"/>
        <v>1</v>
      </c>
      <c r="AL55" s="57" t="b">
        <f t="shared" si="10"/>
        <v>0</v>
      </c>
      <c r="AM55" s="57" t="b">
        <f t="shared" si="11"/>
        <v>0</v>
      </c>
      <c r="AN55" s="4" t="b">
        <f t="shared" si="12"/>
        <v>0</v>
      </c>
      <c r="AO55" s="24">
        <f t="shared" si="13"/>
        <v>1</v>
      </c>
      <c r="AP55" s="24" t="b">
        <f t="shared" si="14"/>
        <v>1</v>
      </c>
      <c r="AQ55" s="24" t="b">
        <f t="shared" si="35"/>
        <v>0</v>
      </c>
      <c r="AR55" s="24" t="b">
        <f t="shared" si="36"/>
        <v>0</v>
      </c>
      <c r="AS55" s="24">
        <f t="shared" si="0"/>
        <v>0</v>
      </c>
      <c r="AV55" s="9"/>
      <c r="AW55" s="9"/>
      <c r="AX55" s="9"/>
    </row>
    <row r="56" spans="1:50" x14ac:dyDescent="0.3">
      <c r="A56" s="8" t="s">
        <v>65</v>
      </c>
      <c r="B56" s="11">
        <v>10</v>
      </c>
      <c r="C56" s="11">
        <v>1</v>
      </c>
      <c r="D56" s="11">
        <v>15323</v>
      </c>
      <c r="E56" s="11">
        <v>18610</v>
      </c>
      <c r="F56" s="12" t="s">
        <v>85</v>
      </c>
      <c r="G56" s="11">
        <v>1095</v>
      </c>
      <c r="H56" s="11">
        <v>36</v>
      </c>
      <c r="I56" s="12" t="s">
        <v>86</v>
      </c>
      <c r="J56" s="11" t="s">
        <v>87</v>
      </c>
      <c r="K56" s="11">
        <v>15215</v>
      </c>
      <c r="L56" s="11">
        <v>15299</v>
      </c>
      <c r="M56" s="41">
        <v>15225</v>
      </c>
      <c r="N56" s="41">
        <v>15308</v>
      </c>
      <c r="O56" s="42" t="s">
        <v>86</v>
      </c>
      <c r="P56" s="44" t="b">
        <f t="shared" si="1"/>
        <v>1</v>
      </c>
      <c r="Q56" s="44" t="b">
        <f t="shared" si="2"/>
        <v>1</v>
      </c>
      <c r="R56" s="44" t="b">
        <f t="shared" si="3"/>
        <v>1</v>
      </c>
      <c r="S56" s="44" t="b">
        <f>AND(K56&lt;=N56,N56&lt;=L56)</f>
        <v>0</v>
      </c>
      <c r="T56" s="44" t="b">
        <f t="shared" si="4"/>
        <v>1</v>
      </c>
      <c r="U56" s="44" t="b">
        <f t="shared" si="5"/>
        <v>0</v>
      </c>
      <c r="V56" s="44" t="b">
        <f>AND(P56,Q56)</f>
        <v>1</v>
      </c>
      <c r="W56" s="7">
        <v>12</v>
      </c>
      <c r="X56" s="4">
        <f>LEN("repeat:AGAATAGCTGTTCAAAATCCGAGGTCCAGCCGCAAC")-7</f>
        <v>36</v>
      </c>
      <c r="Y56" s="4">
        <v>1</v>
      </c>
      <c r="Z56" s="4">
        <v>15398</v>
      </c>
      <c r="AA56" s="4">
        <v>18610</v>
      </c>
      <c r="AB56" s="5" t="s">
        <v>85</v>
      </c>
      <c r="AC56" s="4">
        <f t="shared" si="6"/>
        <v>3212</v>
      </c>
      <c r="AD56" s="5" t="s">
        <v>85</v>
      </c>
      <c r="AE56" s="4" t="s">
        <v>96</v>
      </c>
      <c r="AF56" s="4">
        <v>15274</v>
      </c>
      <c r="AG56" s="59">
        <v>15308</v>
      </c>
      <c r="AH56" s="4" t="b">
        <f t="shared" si="34"/>
        <v>0</v>
      </c>
      <c r="AI56" s="7" t="b">
        <f t="shared" si="31"/>
        <v>1</v>
      </c>
      <c r="AJ56" s="57" t="b">
        <f t="shared" si="32"/>
        <v>1</v>
      </c>
      <c r="AK56" s="57" t="b">
        <f t="shared" si="33"/>
        <v>1</v>
      </c>
      <c r="AL56" s="57" t="b">
        <f t="shared" si="10"/>
        <v>0</v>
      </c>
      <c r="AM56" s="57" t="b">
        <f t="shared" si="11"/>
        <v>0</v>
      </c>
      <c r="AN56" s="4" t="b">
        <f t="shared" si="12"/>
        <v>0</v>
      </c>
      <c r="AO56" s="24">
        <f t="shared" si="13"/>
        <v>1</v>
      </c>
      <c r="AP56" s="24" t="b">
        <f t="shared" si="14"/>
        <v>1</v>
      </c>
      <c r="AQ56" s="24" t="b">
        <f t="shared" si="35"/>
        <v>0</v>
      </c>
      <c r="AR56" s="24" t="b">
        <f t="shared" si="36"/>
        <v>0</v>
      </c>
      <c r="AS56" s="24">
        <f t="shared" si="0"/>
        <v>0</v>
      </c>
      <c r="AU56">
        <v>15046</v>
      </c>
      <c r="AV56" s="24">
        <v>15081</v>
      </c>
      <c r="AW56" s="24">
        <v>20851</v>
      </c>
      <c r="AX56" s="24">
        <v>20886</v>
      </c>
    </row>
    <row r="57" spans="1:50" x14ac:dyDescent="0.3">
      <c r="A57" s="8" t="s">
        <v>66</v>
      </c>
      <c r="B57" s="11">
        <v>19</v>
      </c>
      <c r="C57" s="11">
        <v>1</v>
      </c>
      <c r="D57" s="11">
        <v>5042</v>
      </c>
      <c r="E57" s="11">
        <v>9166</v>
      </c>
      <c r="F57" s="12" t="s">
        <v>86</v>
      </c>
      <c r="G57" s="11">
        <v>1374</v>
      </c>
      <c r="H57" s="11">
        <v>36</v>
      </c>
      <c r="I57" s="12" t="s">
        <v>85</v>
      </c>
      <c r="J57" s="11" t="s">
        <v>88</v>
      </c>
      <c r="K57" s="11">
        <v>9457</v>
      </c>
      <c r="L57" s="11">
        <v>9541</v>
      </c>
      <c r="M57" s="41">
        <v>9448</v>
      </c>
      <c r="N57" s="41">
        <v>9534</v>
      </c>
      <c r="O57" s="42" t="s">
        <v>85</v>
      </c>
      <c r="P57" s="44" t="b">
        <f t="shared" si="1"/>
        <v>1</v>
      </c>
      <c r="Q57" s="44" t="b">
        <f t="shared" si="2"/>
        <v>1</v>
      </c>
      <c r="R57" s="44" t="b">
        <f t="shared" si="3"/>
        <v>0</v>
      </c>
      <c r="S57" s="44" t="b">
        <f>AND(K57&lt;=N57,N57&lt;=L57)</f>
        <v>1</v>
      </c>
      <c r="T57" s="44" t="b">
        <f t="shared" si="4"/>
        <v>0</v>
      </c>
      <c r="U57" s="44" t="b">
        <f t="shared" si="5"/>
        <v>1</v>
      </c>
      <c r="V57" s="44" t="b">
        <f>AND(P57,Q57)</f>
        <v>1</v>
      </c>
      <c r="W57" s="7">
        <v>20</v>
      </c>
      <c r="X57" s="4">
        <f>LEN("repeat:GTTTTGGGACCATTCAAAACAACATAGCTCTAAAAC")-7</f>
        <v>36</v>
      </c>
      <c r="Y57" s="4">
        <v>1</v>
      </c>
      <c r="Z57" s="4">
        <v>5042</v>
      </c>
      <c r="AA57" s="4">
        <v>9157</v>
      </c>
      <c r="AB57" s="5" t="s">
        <v>86</v>
      </c>
      <c r="AC57" s="4">
        <f t="shared" si="6"/>
        <v>4115</v>
      </c>
      <c r="AD57" s="5" t="s">
        <v>86</v>
      </c>
      <c r="AE57" s="4" t="s">
        <v>87</v>
      </c>
      <c r="AF57" s="4">
        <v>9441</v>
      </c>
      <c r="AG57" s="59">
        <v>9476</v>
      </c>
      <c r="AH57" s="4" t="b">
        <f t="shared" si="34"/>
        <v>0</v>
      </c>
      <c r="AI57" s="7" t="b">
        <f t="shared" si="31"/>
        <v>1</v>
      </c>
      <c r="AJ57" s="57" t="b">
        <f t="shared" si="32"/>
        <v>0</v>
      </c>
      <c r="AK57" s="57" t="b">
        <f t="shared" si="33"/>
        <v>0</v>
      </c>
      <c r="AL57" s="57" t="b">
        <f t="shared" si="10"/>
        <v>1</v>
      </c>
      <c r="AM57" s="57" t="b">
        <f t="shared" si="11"/>
        <v>1</v>
      </c>
      <c r="AN57" s="4" t="b">
        <f t="shared" si="12"/>
        <v>0</v>
      </c>
      <c r="AO57" s="24">
        <f t="shared" si="13"/>
        <v>1</v>
      </c>
      <c r="AP57" s="24" t="b">
        <f t="shared" si="14"/>
        <v>0</v>
      </c>
      <c r="AQ57" s="24" t="b">
        <f t="shared" si="35"/>
        <v>1</v>
      </c>
      <c r="AR57" s="24" t="b">
        <f t="shared" si="36"/>
        <v>0</v>
      </c>
      <c r="AS57" s="24">
        <f t="shared" si="0"/>
        <v>0</v>
      </c>
      <c r="AV57" s="9"/>
      <c r="AW57" s="9"/>
      <c r="AX57" s="9"/>
    </row>
    <row r="58" spans="1:50" x14ac:dyDescent="0.3">
      <c r="A58" s="8" t="s">
        <v>67</v>
      </c>
      <c r="B58" s="11">
        <v>7</v>
      </c>
      <c r="C58" s="11">
        <v>1</v>
      </c>
      <c r="D58" s="11">
        <v>1064</v>
      </c>
      <c r="E58" s="11">
        <v>5260</v>
      </c>
      <c r="F58" s="12" t="s">
        <v>85</v>
      </c>
      <c r="G58" s="11">
        <v>1398</v>
      </c>
      <c r="H58" s="11">
        <v>36</v>
      </c>
      <c r="I58" s="12" t="s">
        <v>86</v>
      </c>
      <c r="J58" s="11" t="s">
        <v>87</v>
      </c>
      <c r="K58" s="11">
        <v>973</v>
      </c>
      <c r="L58" s="11">
        <v>1062</v>
      </c>
      <c r="M58" s="41">
        <v>981</v>
      </c>
      <c r="N58" s="41">
        <v>1071</v>
      </c>
      <c r="O58" s="42" t="s">
        <v>86</v>
      </c>
      <c r="P58" s="44" t="b">
        <f t="shared" si="1"/>
        <v>1</v>
      </c>
      <c r="Q58" s="44" t="b">
        <f t="shared" si="2"/>
        <v>1</v>
      </c>
      <c r="R58" s="44" t="b">
        <f t="shared" si="3"/>
        <v>1</v>
      </c>
      <c r="S58" s="44" t="b">
        <f>AND(K58&lt;=N58,N58&lt;=L58)</f>
        <v>0</v>
      </c>
      <c r="T58" s="44" t="b">
        <f t="shared" si="4"/>
        <v>1</v>
      </c>
      <c r="U58" s="44" t="b">
        <f t="shared" si="5"/>
        <v>0</v>
      </c>
      <c r="V58" s="44" t="b">
        <f>AND(P58,Q58)</f>
        <v>1</v>
      </c>
      <c r="W58" s="7">
        <v>10</v>
      </c>
      <c r="X58" s="4">
        <f>LEN("repeat:GTTTTAGAGCTGTGTTGTTTCGAATGGTTCCAAAAC")-7</f>
        <v>36</v>
      </c>
      <c r="Y58" s="4">
        <v>1</v>
      </c>
      <c r="Z58" s="4">
        <v>1100</v>
      </c>
      <c r="AA58" s="4">
        <v>5260</v>
      </c>
      <c r="AB58" s="5" t="s">
        <v>85</v>
      </c>
      <c r="AC58" s="4">
        <f t="shared" si="6"/>
        <v>4160</v>
      </c>
      <c r="AD58" s="5" t="s">
        <v>85</v>
      </c>
      <c r="AE58" s="4" t="s">
        <v>87</v>
      </c>
      <c r="AF58" s="4">
        <v>1042</v>
      </c>
      <c r="AG58" s="59">
        <v>1077</v>
      </c>
      <c r="AH58" s="4" t="b">
        <f t="shared" si="34"/>
        <v>0</v>
      </c>
      <c r="AI58" s="7" t="b">
        <f t="shared" si="31"/>
        <v>1</v>
      </c>
      <c r="AJ58" s="57" t="b">
        <f t="shared" si="32"/>
        <v>1</v>
      </c>
      <c r="AK58" s="57" t="b">
        <f t="shared" si="33"/>
        <v>1</v>
      </c>
      <c r="AL58" s="57" t="b">
        <f t="shared" si="10"/>
        <v>0</v>
      </c>
      <c r="AM58" s="57" t="b">
        <f t="shared" si="11"/>
        <v>0</v>
      </c>
      <c r="AN58" s="4" t="b">
        <f t="shared" si="12"/>
        <v>0</v>
      </c>
      <c r="AO58" s="24">
        <f t="shared" si="13"/>
        <v>1</v>
      </c>
      <c r="AP58" s="24" t="b">
        <f t="shared" si="14"/>
        <v>1</v>
      </c>
      <c r="AQ58" s="24" t="b">
        <f t="shared" si="35"/>
        <v>0</v>
      </c>
      <c r="AR58" s="24" t="b">
        <f t="shared" si="36"/>
        <v>0</v>
      </c>
      <c r="AS58" s="24">
        <f t="shared" si="0"/>
        <v>0</v>
      </c>
      <c r="AV58" s="9"/>
      <c r="AW58" s="9"/>
      <c r="AX58" s="9"/>
    </row>
    <row r="59" spans="1:50" x14ac:dyDescent="0.3">
      <c r="A59" s="8" t="s">
        <v>68</v>
      </c>
      <c r="B59" s="11">
        <v>14</v>
      </c>
      <c r="C59" s="11">
        <v>1</v>
      </c>
      <c r="D59" s="11">
        <v>1008</v>
      </c>
      <c r="E59" s="11">
        <v>5078</v>
      </c>
      <c r="F59" s="12" t="s">
        <v>85</v>
      </c>
      <c r="G59" s="11">
        <v>1356</v>
      </c>
      <c r="H59" s="11">
        <v>36</v>
      </c>
      <c r="I59" s="12" t="s">
        <v>86</v>
      </c>
      <c r="J59" s="11" t="s">
        <v>87</v>
      </c>
      <c r="K59" s="11">
        <v>691</v>
      </c>
      <c r="L59" s="11">
        <v>777</v>
      </c>
      <c r="M59" s="41">
        <v>698</v>
      </c>
      <c r="N59" s="41">
        <v>786</v>
      </c>
      <c r="O59" s="42" t="s">
        <v>86</v>
      </c>
      <c r="P59" s="44" t="b">
        <f t="shared" si="1"/>
        <v>1</v>
      </c>
      <c r="Q59" s="44" t="b">
        <f t="shared" si="2"/>
        <v>1</v>
      </c>
      <c r="R59" s="44" t="b">
        <f t="shared" si="3"/>
        <v>1</v>
      </c>
      <c r="S59" s="44" t="b">
        <f>AND(K59&lt;=N59,N59&lt;=L59)</f>
        <v>0</v>
      </c>
      <c r="T59" s="44" t="b">
        <f t="shared" si="4"/>
        <v>1</v>
      </c>
      <c r="U59" s="44" t="b">
        <f t="shared" si="5"/>
        <v>0</v>
      </c>
      <c r="V59" s="44" t="b">
        <f>AND(P59,Q59)</f>
        <v>1</v>
      </c>
      <c r="W59" s="7">
        <v>15</v>
      </c>
      <c r="X59" s="4">
        <f>LEN("repeat:GTTTTAGAGTTATGCTGTATTGAATGGTTCCAAAAC")-7</f>
        <v>36</v>
      </c>
      <c r="Y59" s="4">
        <v>1</v>
      </c>
      <c r="Z59" s="4">
        <v>1032</v>
      </c>
      <c r="AA59" s="4">
        <v>5078</v>
      </c>
      <c r="AB59" s="5" t="s">
        <v>85</v>
      </c>
      <c r="AC59" s="4">
        <f t="shared" si="6"/>
        <v>4046</v>
      </c>
      <c r="AD59" s="5" t="s">
        <v>85</v>
      </c>
      <c r="AE59" s="4" t="s">
        <v>87</v>
      </c>
      <c r="AF59" s="4">
        <v>759</v>
      </c>
      <c r="AG59" s="59">
        <v>794</v>
      </c>
      <c r="AH59" s="4" t="b">
        <f t="shared" si="34"/>
        <v>0</v>
      </c>
      <c r="AI59" s="7" t="b">
        <f t="shared" si="31"/>
        <v>1</v>
      </c>
      <c r="AJ59" s="57" t="b">
        <f t="shared" si="32"/>
        <v>1</v>
      </c>
      <c r="AK59" s="57" t="b">
        <f t="shared" si="33"/>
        <v>1</v>
      </c>
      <c r="AL59" s="57" t="b">
        <f t="shared" si="10"/>
        <v>0</v>
      </c>
      <c r="AM59" s="57" t="b">
        <f t="shared" si="11"/>
        <v>0</v>
      </c>
      <c r="AN59" s="4" t="b">
        <f t="shared" si="12"/>
        <v>0</v>
      </c>
      <c r="AO59" s="24">
        <f t="shared" si="13"/>
        <v>1</v>
      </c>
      <c r="AP59" s="24" t="b">
        <f t="shared" si="14"/>
        <v>1</v>
      </c>
      <c r="AQ59" s="24" t="b">
        <f t="shared" si="35"/>
        <v>0</v>
      </c>
      <c r="AR59" s="24" t="b">
        <f t="shared" si="36"/>
        <v>0</v>
      </c>
      <c r="AS59" s="24">
        <f t="shared" si="0"/>
        <v>0</v>
      </c>
      <c r="AV59" s="9"/>
      <c r="AW59" s="9"/>
      <c r="AX59" s="9"/>
    </row>
    <row r="60" spans="1:50" x14ac:dyDescent="0.3">
      <c r="A60" s="8" t="s">
        <v>69</v>
      </c>
      <c r="B60" s="11">
        <v>16</v>
      </c>
      <c r="C60" s="11">
        <v>1</v>
      </c>
      <c r="D60" s="11">
        <v>7524</v>
      </c>
      <c r="E60" s="11">
        <v>10949</v>
      </c>
      <c r="F60" s="12" t="s">
        <v>86</v>
      </c>
      <c r="G60" s="11">
        <v>1141</v>
      </c>
      <c r="H60" s="11">
        <v>36</v>
      </c>
      <c r="I60" s="12" t="s">
        <v>86</v>
      </c>
      <c r="J60" s="11" t="s">
        <v>87</v>
      </c>
      <c r="K60" s="11">
        <v>7367</v>
      </c>
      <c r="L60" s="11">
        <v>7458</v>
      </c>
      <c r="M60" s="41"/>
      <c r="N60" s="41"/>
      <c r="O60" s="42"/>
      <c r="P60" s="44"/>
      <c r="Q60" s="44"/>
      <c r="R60" s="44"/>
      <c r="S60" s="44"/>
      <c r="T60" s="44"/>
      <c r="U60" s="44"/>
      <c r="V60" s="44"/>
      <c r="W60" s="7">
        <v>27</v>
      </c>
      <c r="X60" s="4">
        <f>LEN("repeat:GTTGTACAGTTACTTAAATCTTGAGAGTACAAAAAC")-7</f>
        <v>36</v>
      </c>
      <c r="Y60" s="4">
        <v>1</v>
      </c>
      <c r="Z60" s="4">
        <v>7524</v>
      </c>
      <c r="AA60" s="4">
        <v>10934</v>
      </c>
      <c r="AB60" s="5" t="s">
        <v>86</v>
      </c>
      <c r="AC60" s="4">
        <f t="shared" si="6"/>
        <v>3410</v>
      </c>
      <c r="AD60" s="5" t="s">
        <v>86</v>
      </c>
      <c r="AE60" s="4" t="s">
        <v>87</v>
      </c>
      <c r="AF60" s="4">
        <v>7425</v>
      </c>
      <c r="AG60" s="59">
        <v>7463</v>
      </c>
      <c r="AH60" s="4" t="b">
        <f t="shared" si="34"/>
        <v>1</v>
      </c>
      <c r="AI60" s="7" t="b">
        <f t="shared" si="31"/>
        <v>1</v>
      </c>
      <c r="AJ60" s="57" t="b">
        <f t="shared" si="32"/>
        <v>1</v>
      </c>
      <c r="AK60" s="57" t="b">
        <f t="shared" si="33"/>
        <v>1</v>
      </c>
      <c r="AL60" s="57" t="b">
        <f t="shared" si="10"/>
        <v>0</v>
      </c>
      <c r="AM60" s="57" t="b">
        <f t="shared" si="11"/>
        <v>0</v>
      </c>
      <c r="AN60" s="4" t="b">
        <f t="shared" si="12"/>
        <v>1</v>
      </c>
      <c r="AO60" s="24">
        <f t="shared" si="13"/>
        <v>1</v>
      </c>
      <c r="AP60" s="24" t="b">
        <f t="shared" si="14"/>
        <v>1</v>
      </c>
      <c r="AQ60" s="24" t="b">
        <f t="shared" si="35"/>
        <v>0</v>
      </c>
      <c r="AR60" s="24" t="b">
        <f t="shared" si="36"/>
        <v>1</v>
      </c>
      <c r="AS60" s="24">
        <f t="shared" si="0"/>
        <v>1</v>
      </c>
      <c r="AV60" s="9"/>
      <c r="AW60" s="9"/>
      <c r="AX60" s="9"/>
    </row>
    <row r="61" spans="1:50" x14ac:dyDescent="0.3">
      <c r="A61" s="8" t="s">
        <v>70</v>
      </c>
      <c r="B61" s="11">
        <v>37</v>
      </c>
      <c r="C61" s="11">
        <v>1</v>
      </c>
      <c r="D61" s="11">
        <v>5856</v>
      </c>
      <c r="E61" s="11">
        <v>9290</v>
      </c>
      <c r="F61" s="12" t="s">
        <v>86</v>
      </c>
      <c r="G61" s="11">
        <v>1144</v>
      </c>
      <c r="H61" s="11">
        <v>36</v>
      </c>
      <c r="I61" s="12" t="s">
        <v>86</v>
      </c>
      <c r="J61" s="11" t="s">
        <v>87</v>
      </c>
      <c r="K61" s="11">
        <v>5699</v>
      </c>
      <c r="L61" s="11">
        <v>5790</v>
      </c>
      <c r="M61" s="41"/>
      <c r="N61" s="41"/>
      <c r="O61" s="42"/>
      <c r="P61" s="44"/>
      <c r="Q61" s="44"/>
      <c r="R61" s="44"/>
      <c r="S61" s="44"/>
      <c r="T61" s="44"/>
      <c r="U61" s="44"/>
      <c r="V61" s="44"/>
      <c r="W61" s="7">
        <v>38</v>
      </c>
      <c r="X61" s="4">
        <f>LEN("repeat:GTTTTACGGTTACTTAAATCTTGAGAGTACAAAAAC")-7</f>
        <v>36</v>
      </c>
      <c r="Y61" s="4">
        <v>1</v>
      </c>
      <c r="Z61" s="4">
        <v>5856</v>
      </c>
      <c r="AA61" s="4">
        <v>9248</v>
      </c>
      <c r="AB61" s="5" t="s">
        <v>86</v>
      </c>
      <c r="AC61" s="4">
        <f t="shared" si="6"/>
        <v>3392</v>
      </c>
      <c r="AD61" s="5" t="s">
        <v>86</v>
      </c>
      <c r="AE61" s="4" t="s">
        <v>87</v>
      </c>
      <c r="AF61" s="4">
        <v>5760</v>
      </c>
      <c r="AG61" s="59">
        <v>5795</v>
      </c>
      <c r="AH61" s="4" t="b">
        <f t="shared" si="34"/>
        <v>1</v>
      </c>
      <c r="AI61" s="7" t="b">
        <f t="shared" si="31"/>
        <v>1</v>
      </c>
      <c r="AJ61" s="57" t="b">
        <f t="shared" si="32"/>
        <v>1</v>
      </c>
      <c r="AK61" s="57" t="b">
        <f t="shared" si="33"/>
        <v>1</v>
      </c>
      <c r="AL61" s="57" t="b">
        <f t="shared" si="10"/>
        <v>0</v>
      </c>
      <c r="AM61" s="57" t="b">
        <f t="shared" si="11"/>
        <v>0</v>
      </c>
      <c r="AN61" s="4" t="b">
        <f t="shared" si="12"/>
        <v>1</v>
      </c>
      <c r="AO61" s="24">
        <f t="shared" si="13"/>
        <v>1</v>
      </c>
      <c r="AP61" s="24" t="b">
        <f t="shared" si="14"/>
        <v>1</v>
      </c>
      <c r="AQ61" s="24" t="b">
        <f t="shared" si="35"/>
        <v>0</v>
      </c>
      <c r="AR61" s="24" t="b">
        <f t="shared" si="36"/>
        <v>1</v>
      </c>
      <c r="AS61" s="24">
        <f t="shared" si="0"/>
        <v>1</v>
      </c>
      <c r="AV61" s="9"/>
      <c r="AW61" s="9"/>
      <c r="AX61" s="9"/>
    </row>
    <row r="62" spans="1:50" ht="15" thickBot="1" x14ac:dyDescent="0.35">
      <c r="A62" s="8" t="s">
        <v>71</v>
      </c>
      <c r="B62" s="30">
        <v>22</v>
      </c>
      <c r="C62" s="30">
        <v>1</v>
      </c>
      <c r="D62" s="30">
        <v>5641</v>
      </c>
      <c r="E62" s="30">
        <v>9723</v>
      </c>
      <c r="F62" s="31" t="s">
        <v>86</v>
      </c>
      <c r="G62" s="30">
        <v>1360</v>
      </c>
      <c r="H62" s="30">
        <v>36</v>
      </c>
      <c r="I62" s="31" t="s">
        <v>85</v>
      </c>
      <c r="J62" s="30" t="s">
        <v>88</v>
      </c>
      <c r="K62" s="30">
        <v>9748</v>
      </c>
      <c r="L62" s="30">
        <v>9834</v>
      </c>
      <c r="M62" s="41">
        <v>9739</v>
      </c>
      <c r="N62" s="41">
        <v>9826</v>
      </c>
      <c r="O62" s="42" t="s">
        <v>85</v>
      </c>
      <c r="P62" s="44" t="b">
        <f t="shared" si="1"/>
        <v>1</v>
      </c>
      <c r="Q62" s="44" t="b">
        <f t="shared" si="2"/>
        <v>1</v>
      </c>
      <c r="R62" s="44" t="b">
        <f t="shared" si="3"/>
        <v>0</v>
      </c>
      <c r="S62" s="44" t="b">
        <f>AND(K62&lt;=N62,N62&lt;=L62)</f>
        <v>1</v>
      </c>
      <c r="T62" s="44" t="b">
        <f t="shared" si="4"/>
        <v>0</v>
      </c>
      <c r="U62" s="44" t="b">
        <f t="shared" si="5"/>
        <v>1</v>
      </c>
      <c r="V62" s="44" t="b">
        <f>AND(P62,Q62)</f>
        <v>1</v>
      </c>
      <c r="W62" s="7">
        <v>22</v>
      </c>
      <c r="X62" s="4">
        <f>LEN("repeat:GTTTTGGAACCATTCGAAACAACACAGCTCTAAAAC")-7</f>
        <v>36</v>
      </c>
      <c r="Y62" s="4">
        <v>1</v>
      </c>
      <c r="Z62" s="4">
        <v>5641</v>
      </c>
      <c r="AA62" s="4">
        <v>9678</v>
      </c>
      <c r="AB62" s="5" t="s">
        <v>86</v>
      </c>
      <c r="AC62" s="4">
        <f t="shared" si="6"/>
        <v>4037</v>
      </c>
      <c r="AD62" s="5" t="s">
        <v>86</v>
      </c>
      <c r="AE62" s="4" t="s">
        <v>88</v>
      </c>
      <c r="AF62" s="4">
        <v>9732</v>
      </c>
      <c r="AG62" s="59">
        <v>9767</v>
      </c>
      <c r="AH62" s="4" t="b">
        <f t="shared" si="34"/>
        <v>0</v>
      </c>
      <c r="AI62" s="7" t="b">
        <f t="shared" si="31"/>
        <v>1</v>
      </c>
      <c r="AJ62" s="57" t="b">
        <f t="shared" si="32"/>
        <v>0</v>
      </c>
      <c r="AK62" s="57" t="b">
        <f t="shared" si="33"/>
        <v>0</v>
      </c>
      <c r="AL62" s="57" t="b">
        <f t="shared" si="10"/>
        <v>1</v>
      </c>
      <c r="AM62" s="57" t="b">
        <f t="shared" si="11"/>
        <v>1</v>
      </c>
      <c r="AN62" s="4" t="b">
        <f t="shared" si="12"/>
        <v>0</v>
      </c>
      <c r="AO62" s="24">
        <f t="shared" si="13"/>
        <v>1</v>
      </c>
      <c r="AP62" s="24" t="b">
        <f t="shared" si="14"/>
        <v>0</v>
      </c>
      <c r="AQ62" s="24" t="b">
        <f t="shared" si="35"/>
        <v>1</v>
      </c>
      <c r="AR62" s="24" t="b">
        <f t="shared" si="36"/>
        <v>0</v>
      </c>
      <c r="AS62" s="24">
        <f t="shared" si="0"/>
        <v>0</v>
      </c>
      <c r="AV62" s="9"/>
      <c r="AW62" s="9"/>
      <c r="AX62" s="9"/>
    </row>
    <row r="63" spans="1:50" ht="15.6" thickTop="1" thickBot="1" x14ac:dyDescent="0.35">
      <c r="A63" s="29" t="s">
        <v>72</v>
      </c>
      <c r="B63" s="34">
        <v>38</v>
      </c>
      <c r="C63" s="35">
        <v>1</v>
      </c>
      <c r="D63" s="35">
        <v>26251</v>
      </c>
      <c r="E63" s="35">
        <v>30630</v>
      </c>
      <c r="F63" s="36" t="s">
        <v>86</v>
      </c>
      <c r="G63" s="35">
        <v>1459</v>
      </c>
      <c r="H63" s="35">
        <v>36</v>
      </c>
      <c r="I63" s="36"/>
      <c r="J63" s="35"/>
      <c r="K63" s="35"/>
      <c r="L63" s="37"/>
      <c r="M63" s="41">
        <v>19765</v>
      </c>
      <c r="N63" s="41">
        <v>19905</v>
      </c>
      <c r="O63" s="42"/>
      <c r="P63" s="44"/>
      <c r="Q63" s="44"/>
      <c r="R63" s="44"/>
      <c r="S63" s="44"/>
      <c r="T63" s="44"/>
      <c r="U63" s="44"/>
      <c r="V63" s="44"/>
      <c r="W63" s="38">
        <v>41</v>
      </c>
      <c r="X63" s="21">
        <f>LEN("repeat:GTTGTGGCTTGAATCAGATCTTTGAAATGGTAGAAT")-7</f>
        <v>36</v>
      </c>
      <c r="Y63" s="21">
        <v>0</v>
      </c>
      <c r="Z63" s="21">
        <v>26251</v>
      </c>
      <c r="AA63" s="21">
        <v>30627</v>
      </c>
      <c r="AB63" s="22" t="s">
        <v>86</v>
      </c>
      <c r="AC63" s="21">
        <f t="shared" ref="AC63" si="37">AA63-Z63</f>
        <v>4376</v>
      </c>
      <c r="AD63" s="22"/>
      <c r="AE63" s="21"/>
      <c r="AF63" s="21"/>
      <c r="AG63" s="61"/>
      <c r="AH63" s="4"/>
      <c r="AI63" s="7"/>
      <c r="AJ63" s="57"/>
      <c r="AK63" s="57"/>
      <c r="AL63" s="57"/>
      <c r="AM63" s="57"/>
      <c r="AN63" s="4"/>
      <c r="AO63" s="24"/>
      <c r="AP63" s="24"/>
      <c r="AQ63" s="24"/>
      <c r="AR63" s="24"/>
      <c r="AS63" s="24">
        <f t="shared" si="0"/>
        <v>0</v>
      </c>
      <c r="AT63">
        <v>15</v>
      </c>
      <c r="AV63" s="9"/>
      <c r="AW63" s="9"/>
      <c r="AX63" s="9"/>
    </row>
    <row r="64" spans="1:50" ht="15" thickTop="1" x14ac:dyDescent="0.3">
      <c r="A64" s="8" t="s">
        <v>73</v>
      </c>
      <c r="B64" s="32">
        <v>9</v>
      </c>
      <c r="C64" s="32">
        <v>1</v>
      </c>
      <c r="D64" s="32">
        <v>23135</v>
      </c>
      <c r="E64" s="32">
        <v>27355</v>
      </c>
      <c r="F64" s="33" t="s">
        <v>86</v>
      </c>
      <c r="G64" s="32">
        <v>1406</v>
      </c>
      <c r="H64" s="32">
        <v>36</v>
      </c>
      <c r="I64" s="33" t="s">
        <v>85</v>
      </c>
      <c r="J64" s="32" t="s">
        <v>88</v>
      </c>
      <c r="K64" s="32">
        <v>27305</v>
      </c>
      <c r="L64" s="32">
        <v>27374</v>
      </c>
      <c r="M64" s="41">
        <v>27305</v>
      </c>
      <c r="N64" s="41">
        <v>27392</v>
      </c>
      <c r="O64" s="42" t="s">
        <v>85</v>
      </c>
      <c r="P64" s="44" t="b">
        <f t="shared" si="1"/>
        <v>1</v>
      </c>
      <c r="Q64" s="44" t="b">
        <f t="shared" si="2"/>
        <v>1</v>
      </c>
      <c r="R64" s="44" t="b">
        <f t="shared" si="3"/>
        <v>1</v>
      </c>
      <c r="S64" s="44" t="b">
        <f>AND(K64&lt;=N64,N64&lt;=L64)</f>
        <v>0</v>
      </c>
      <c r="T64" s="44" t="b">
        <f t="shared" si="4"/>
        <v>1</v>
      </c>
      <c r="U64" s="44" t="b">
        <f t="shared" si="5"/>
        <v>0</v>
      </c>
      <c r="V64" s="44" t="b">
        <f>AND(P64,Q64)</f>
        <v>1</v>
      </c>
      <c r="W64" s="7">
        <v>12</v>
      </c>
      <c r="X64" s="4">
        <f>LEN("repeat:GTTTTGGAACCATTCGAAACAACACAGCTCTAAAAC")-7</f>
        <v>36</v>
      </c>
      <c r="Y64" s="4">
        <v>1</v>
      </c>
      <c r="Z64" s="4">
        <v>23135</v>
      </c>
      <c r="AA64" s="4">
        <v>27247</v>
      </c>
      <c r="AB64" s="5" t="s">
        <v>86</v>
      </c>
      <c r="AC64" s="4">
        <f t="shared" si="6"/>
        <v>4112</v>
      </c>
      <c r="AD64" s="5" t="s">
        <v>86</v>
      </c>
      <c r="AE64" s="4" t="s">
        <v>88</v>
      </c>
      <c r="AF64" s="4">
        <v>27298</v>
      </c>
      <c r="AG64" s="59">
        <v>27333</v>
      </c>
      <c r="AH64" s="4" t="b">
        <f>AND(AR64,AO64=1)</f>
        <v>0</v>
      </c>
      <c r="AI64" s="7" t="b">
        <f t="shared" si="31"/>
        <v>1</v>
      </c>
      <c r="AJ64" s="57" t="b">
        <f t="shared" si="32"/>
        <v>0</v>
      </c>
      <c r="AK64" s="57" t="b">
        <f t="shared" si="33"/>
        <v>0</v>
      </c>
      <c r="AL64" s="57" t="b">
        <f t="shared" si="10"/>
        <v>1</v>
      </c>
      <c r="AM64" s="57" t="b">
        <f t="shared" si="11"/>
        <v>1</v>
      </c>
      <c r="AN64" s="4" t="b">
        <f t="shared" si="12"/>
        <v>0</v>
      </c>
      <c r="AO64" s="24">
        <f t="shared" si="13"/>
        <v>1</v>
      </c>
      <c r="AP64" s="24" t="b">
        <f t="shared" si="14"/>
        <v>0</v>
      </c>
      <c r="AQ64" s="24" t="b">
        <f>AND(K64&lt;AG64,AG64&lt;L64)</f>
        <v>1</v>
      </c>
      <c r="AR64" s="24" t="b">
        <f>AD64=I64</f>
        <v>0</v>
      </c>
      <c r="AS64" s="24">
        <f t="shared" si="0"/>
        <v>0</v>
      </c>
      <c r="AV64" s="9"/>
      <c r="AW64" s="9"/>
      <c r="AX64" s="9"/>
    </row>
    <row r="65" spans="1:50" x14ac:dyDescent="0.3">
      <c r="A65" s="8" t="s">
        <v>74</v>
      </c>
      <c r="B65" s="11">
        <v>25</v>
      </c>
      <c r="C65" s="11">
        <v>1</v>
      </c>
      <c r="D65" s="11">
        <v>733</v>
      </c>
      <c r="E65" s="11">
        <v>4116</v>
      </c>
      <c r="F65" s="12" t="s">
        <v>85</v>
      </c>
      <c r="G65" s="11">
        <v>1127</v>
      </c>
      <c r="H65" s="11">
        <v>36</v>
      </c>
      <c r="I65" s="12" t="s">
        <v>85</v>
      </c>
      <c r="J65" s="11" t="s">
        <v>88</v>
      </c>
      <c r="K65" s="11">
        <v>4187</v>
      </c>
      <c r="L65" s="11">
        <v>4280</v>
      </c>
      <c r="M65" s="41">
        <v>4186</v>
      </c>
      <c r="N65" s="41">
        <v>4271</v>
      </c>
      <c r="O65" s="42" t="s">
        <v>85</v>
      </c>
      <c r="P65" s="44" t="b">
        <f t="shared" si="1"/>
        <v>1</v>
      </c>
      <c r="Q65" s="44" t="b">
        <f t="shared" si="2"/>
        <v>1</v>
      </c>
      <c r="R65" s="44" t="b">
        <f t="shared" si="3"/>
        <v>0</v>
      </c>
      <c r="S65" s="44" t="b">
        <f>AND(K65&lt;=N65,N65&lt;=L65)</f>
        <v>1</v>
      </c>
      <c r="T65" s="44" t="b">
        <f t="shared" si="4"/>
        <v>0</v>
      </c>
      <c r="U65" s="44" t="b">
        <f t="shared" si="5"/>
        <v>1</v>
      </c>
      <c r="V65" s="44" t="b">
        <f>AND(P65,Q65)</f>
        <v>1</v>
      </c>
      <c r="W65" s="7">
        <v>27</v>
      </c>
      <c r="X65" s="4">
        <f>LEN("repeat:GTTTTTGTACTCTCAAGATTTAAGTAACTGTACAAC")-7</f>
        <v>36</v>
      </c>
      <c r="Y65" s="4">
        <v>1</v>
      </c>
      <c r="Z65" s="4">
        <v>733</v>
      </c>
      <c r="AA65" s="4">
        <v>4116</v>
      </c>
      <c r="AB65" s="5" t="s">
        <v>85</v>
      </c>
      <c r="AC65" s="4">
        <f t="shared" si="6"/>
        <v>3383</v>
      </c>
      <c r="AD65" s="5" t="s">
        <v>85</v>
      </c>
      <c r="AE65" s="4" t="s">
        <v>88</v>
      </c>
      <c r="AF65" s="4">
        <v>4182</v>
      </c>
      <c r="AG65" s="59">
        <v>4220</v>
      </c>
      <c r="AH65" s="4" t="b">
        <f>AND(AR65,AO65=1)</f>
        <v>1</v>
      </c>
      <c r="AI65" s="7" t="b">
        <f t="shared" si="31"/>
        <v>1</v>
      </c>
      <c r="AJ65" s="57" t="b">
        <f t="shared" si="32"/>
        <v>0</v>
      </c>
      <c r="AK65" s="57" t="b">
        <f t="shared" si="33"/>
        <v>0</v>
      </c>
      <c r="AL65" s="57" t="b">
        <f t="shared" si="10"/>
        <v>1</v>
      </c>
      <c r="AM65" s="57" t="b">
        <f t="shared" si="11"/>
        <v>1</v>
      </c>
      <c r="AN65" s="4" t="b">
        <f t="shared" si="12"/>
        <v>1</v>
      </c>
      <c r="AO65" s="24">
        <f t="shared" si="13"/>
        <v>1</v>
      </c>
      <c r="AP65" s="24" t="b">
        <f t="shared" si="14"/>
        <v>0</v>
      </c>
      <c r="AQ65" s="24" t="b">
        <f>AND(K65&lt;AG65,AG65&lt;L65)</f>
        <v>1</v>
      </c>
      <c r="AR65" s="24" t="b">
        <f>AD65=I65</f>
        <v>1</v>
      </c>
      <c r="AS65" s="24">
        <f t="shared" si="0"/>
        <v>1</v>
      </c>
      <c r="AV65" s="9"/>
      <c r="AW65" s="9"/>
      <c r="AX65" s="9"/>
    </row>
    <row r="66" spans="1:50" ht="15" thickBot="1" x14ac:dyDescent="0.35">
      <c r="A66" s="8" t="s">
        <v>75</v>
      </c>
      <c r="B66" s="11">
        <v>22</v>
      </c>
      <c r="C66" s="11">
        <v>1</v>
      </c>
      <c r="D66" s="11">
        <v>342</v>
      </c>
      <c r="E66" s="11">
        <v>3719</v>
      </c>
      <c r="F66" s="12" t="s">
        <v>85</v>
      </c>
      <c r="G66" s="11">
        <v>1125</v>
      </c>
      <c r="H66" s="11">
        <v>36</v>
      </c>
      <c r="I66" s="12" t="s">
        <v>85</v>
      </c>
      <c r="J66" s="11" t="s">
        <v>88</v>
      </c>
      <c r="K66" s="11">
        <v>3790</v>
      </c>
      <c r="L66" s="11">
        <v>3879</v>
      </c>
      <c r="M66" s="41">
        <v>3789</v>
      </c>
      <c r="N66" s="41">
        <v>3871</v>
      </c>
      <c r="O66" s="42" t="s">
        <v>85</v>
      </c>
      <c r="P66" s="44" t="b">
        <f t="shared" si="1"/>
        <v>1</v>
      </c>
      <c r="Q66" s="44" t="b">
        <f t="shared" si="2"/>
        <v>1</v>
      </c>
      <c r="R66" s="44" t="b">
        <f t="shared" si="3"/>
        <v>0</v>
      </c>
      <c r="S66" s="44" t="b">
        <f>AND(K66&lt;=N66,N66&lt;=L66)</f>
        <v>1</v>
      </c>
      <c r="T66" s="44" t="b">
        <f t="shared" si="4"/>
        <v>0</v>
      </c>
      <c r="U66" s="44" t="b">
        <f t="shared" si="5"/>
        <v>1</v>
      </c>
      <c r="V66" s="44" t="b">
        <f>AND(P66,Q66)</f>
        <v>1</v>
      </c>
      <c r="W66" s="7">
        <v>23</v>
      </c>
      <c r="X66" s="4">
        <f>LEN("repeat:GTTTTTGTACTCTCAAGATTTAAGTAACTGTACAAC")-7</f>
        <v>36</v>
      </c>
      <c r="Y66" s="4">
        <v>1</v>
      </c>
      <c r="Z66" s="4">
        <v>351</v>
      </c>
      <c r="AA66" s="4">
        <v>3719</v>
      </c>
      <c r="AB66" s="5" t="s">
        <v>85</v>
      </c>
      <c r="AC66" s="4">
        <f t="shared" si="6"/>
        <v>3368</v>
      </c>
      <c r="AD66" s="5" t="s">
        <v>85</v>
      </c>
      <c r="AE66" s="4" t="s">
        <v>88</v>
      </c>
      <c r="AF66" s="4">
        <v>3785</v>
      </c>
      <c r="AG66" s="59">
        <v>3823</v>
      </c>
      <c r="AH66" s="4" t="b">
        <f>AND(AR66,AO66=1)</f>
        <v>1</v>
      </c>
      <c r="AI66" s="7" t="b">
        <f t="shared" si="31"/>
        <v>1</v>
      </c>
      <c r="AJ66" s="57" t="b">
        <f t="shared" si="32"/>
        <v>0</v>
      </c>
      <c r="AK66" s="57" t="b">
        <f t="shared" si="33"/>
        <v>0</v>
      </c>
      <c r="AL66" s="57" t="b">
        <f t="shared" si="10"/>
        <v>1</v>
      </c>
      <c r="AM66" s="57" t="b">
        <f t="shared" si="11"/>
        <v>1</v>
      </c>
      <c r="AN66" s="4" t="b">
        <f t="shared" si="12"/>
        <v>1</v>
      </c>
      <c r="AO66" s="24">
        <f t="shared" si="13"/>
        <v>1</v>
      </c>
      <c r="AP66" s="24" t="b">
        <f t="shared" si="14"/>
        <v>0</v>
      </c>
      <c r="AQ66" s="24" t="b">
        <f>AND(K66&lt;AG66,AG66&lt;L66)</f>
        <v>1</v>
      </c>
      <c r="AR66" s="24" t="b">
        <f>AD66=I66</f>
        <v>1</v>
      </c>
      <c r="AS66" s="24">
        <f t="shared" si="0"/>
        <v>1</v>
      </c>
      <c r="AV66" s="9"/>
      <c r="AW66" s="9"/>
      <c r="AX66" s="9"/>
    </row>
    <row r="67" spans="1:50" ht="15.6" thickTop="1" thickBot="1" x14ac:dyDescent="0.35">
      <c r="A67" s="8" t="s">
        <v>76</v>
      </c>
      <c r="B67" s="11">
        <v>3</v>
      </c>
      <c r="C67" s="11">
        <v>1</v>
      </c>
      <c r="D67" s="11">
        <v>6729</v>
      </c>
      <c r="E67" s="11">
        <v>10115</v>
      </c>
      <c r="F67" s="12" t="s">
        <v>86</v>
      </c>
      <c r="G67" s="11">
        <v>1128</v>
      </c>
      <c r="H67" s="11">
        <v>36</v>
      </c>
      <c r="I67" s="12" t="s">
        <v>85</v>
      </c>
      <c r="J67" s="11" t="s">
        <v>87</v>
      </c>
      <c r="K67" s="11">
        <v>6648</v>
      </c>
      <c r="L67" s="11">
        <v>6710</v>
      </c>
      <c r="M67" s="41">
        <v>6584</v>
      </c>
      <c r="N67" s="41">
        <v>6667</v>
      </c>
      <c r="O67" s="42" t="s">
        <v>85</v>
      </c>
      <c r="P67" s="44" t="b">
        <f t="shared" si="1"/>
        <v>1</v>
      </c>
      <c r="Q67" s="44" t="b">
        <f t="shared" si="2"/>
        <v>1</v>
      </c>
      <c r="R67" s="44" t="b">
        <f t="shared" si="3"/>
        <v>0</v>
      </c>
      <c r="S67" s="44" t="b">
        <f>AND(K67&lt;=N67,N67&lt;=L67)</f>
        <v>1</v>
      </c>
      <c r="T67" s="44" t="b">
        <f t="shared" si="4"/>
        <v>0</v>
      </c>
      <c r="U67" s="44" t="b">
        <f t="shared" si="5"/>
        <v>1</v>
      </c>
      <c r="V67" s="44" t="b">
        <f>AND(P67,Q67)</f>
        <v>1</v>
      </c>
      <c r="W67" s="20">
        <v>4</v>
      </c>
      <c r="X67" s="21">
        <f>LEN("repeat:GTTTTACTGTTACTTAAATCTTGAGAGTACAAAAACTG")-7</f>
        <v>38</v>
      </c>
      <c r="Y67" s="21">
        <v>1</v>
      </c>
      <c r="Z67" s="21">
        <v>6729</v>
      </c>
      <c r="AA67" s="21">
        <v>10097</v>
      </c>
      <c r="AB67" s="22" t="s">
        <v>86</v>
      </c>
      <c r="AC67" s="21">
        <f t="shared" si="6"/>
        <v>3368</v>
      </c>
      <c r="AD67" s="22"/>
      <c r="AE67" s="21"/>
      <c r="AF67" s="21"/>
      <c r="AG67" s="61"/>
      <c r="AH67" s="4"/>
      <c r="AI67" s="7"/>
      <c r="AJ67" s="57"/>
      <c r="AK67" s="57"/>
      <c r="AL67" s="57"/>
      <c r="AM67" s="57"/>
      <c r="AN67" s="4"/>
      <c r="AO67" s="24"/>
      <c r="AP67" s="24"/>
      <c r="AQ67" s="24"/>
      <c r="AR67" s="24"/>
      <c r="AS67" s="24">
        <f t="shared" ref="AS67:AS73" si="38">IF(AR67,1,0)</f>
        <v>0</v>
      </c>
      <c r="AT67">
        <v>16</v>
      </c>
      <c r="AV67" s="9"/>
      <c r="AW67" s="9"/>
      <c r="AX67" s="9"/>
    </row>
    <row r="68" spans="1:50" ht="15" thickTop="1" x14ac:dyDescent="0.3">
      <c r="A68" s="8" t="s">
        <v>77</v>
      </c>
      <c r="B68" s="11">
        <v>32</v>
      </c>
      <c r="C68" s="11">
        <v>2</v>
      </c>
      <c r="D68" s="11">
        <v>3450</v>
      </c>
      <c r="E68" s="11">
        <v>6818</v>
      </c>
      <c r="F68" s="12" t="s">
        <v>85</v>
      </c>
      <c r="G68" s="11">
        <v>1122</v>
      </c>
      <c r="H68" s="11">
        <v>36</v>
      </c>
      <c r="I68" s="12" t="s">
        <v>85</v>
      </c>
      <c r="J68" s="11" t="s">
        <v>88</v>
      </c>
      <c r="K68" s="11">
        <v>6890</v>
      </c>
      <c r="L68" s="11">
        <v>6982</v>
      </c>
      <c r="M68" s="41">
        <v>6889</v>
      </c>
      <c r="N68" s="41">
        <v>6974</v>
      </c>
      <c r="O68" s="42" t="s">
        <v>85</v>
      </c>
      <c r="P68" s="44" t="b">
        <f t="shared" ref="P68:P73" si="39">O68=I68</f>
        <v>1</v>
      </c>
      <c r="Q68" s="44" t="b">
        <f t="shared" ref="Q68:Q72" si="40">OR(R68,S68)</f>
        <v>1</v>
      </c>
      <c r="R68" s="44" t="b">
        <f t="shared" ref="R68:R73" si="41">AND(K68&lt;=M68,M68&lt;=L68)</f>
        <v>0</v>
      </c>
      <c r="S68" s="44" t="b">
        <f>AND(K68&lt;=N68,N68&lt;=L68)</f>
        <v>1</v>
      </c>
      <c r="T68" s="44" t="b">
        <f t="shared" ref="T68:T73" si="42">AND(M68&gt;=K68,M68&lt;=L68)</f>
        <v>0</v>
      </c>
      <c r="U68" s="44" t="b">
        <f t="shared" ref="U68:U73" si="43">AND(N68&gt;=K68,N68&lt;=L68)</f>
        <v>1</v>
      </c>
      <c r="V68" s="44" t="b">
        <f>AND(P68,Q68)</f>
        <v>1</v>
      </c>
      <c r="W68" s="7">
        <v>34</v>
      </c>
      <c r="X68" s="4">
        <f>LEN("repeat:GTTTTTGTACTCTCAAGATTTAAGTAACTGTACAAC")-7</f>
        <v>36</v>
      </c>
      <c r="Y68" s="4">
        <v>1</v>
      </c>
      <c r="Z68" s="4">
        <v>3450</v>
      </c>
      <c r="AA68" s="4">
        <v>6818</v>
      </c>
      <c r="AB68" s="5" t="s">
        <v>85</v>
      </c>
      <c r="AC68" s="4">
        <f t="shared" ref="AC68:AC73" si="44">AA68-Z68</f>
        <v>3368</v>
      </c>
      <c r="AD68" s="5" t="s">
        <v>85</v>
      </c>
      <c r="AE68" s="4" t="s">
        <v>88</v>
      </c>
      <c r="AF68" s="4">
        <v>6885</v>
      </c>
      <c r="AG68" s="59">
        <v>6923</v>
      </c>
      <c r="AH68" s="4" t="b">
        <f t="shared" ref="AH68:AH73" si="45">AND(AR68,AO68=1)</f>
        <v>1</v>
      </c>
      <c r="AI68" s="7" t="b">
        <f t="shared" si="31"/>
        <v>1</v>
      </c>
      <c r="AJ68" s="57" t="b">
        <f t="shared" si="32"/>
        <v>0</v>
      </c>
      <c r="AK68" s="57" t="b">
        <f t="shared" si="33"/>
        <v>0</v>
      </c>
      <c r="AL68" s="57" t="b">
        <f t="shared" ref="AL68:AL73" si="46">AND(AG68&gt;=K68,AG68&lt;=L68)</f>
        <v>1</v>
      </c>
      <c r="AM68" s="57" t="b">
        <f t="shared" ref="AM68:AM73" si="47">AND(K68&lt;=AG68,AG68&lt;=L68)</f>
        <v>1</v>
      </c>
      <c r="AN68" s="4" t="b">
        <f t="shared" ref="AN68:AN73" si="48">AD68=I68</f>
        <v>1</v>
      </c>
      <c r="AO68" s="24">
        <f t="shared" ref="AO68:AO73" si="49">IF(OR(AND(K68&lt;=AF68,AF68&lt;=L68),AND(K68&lt;=AG68,AG68&lt;=L68)),1,0)</f>
        <v>1</v>
      </c>
      <c r="AP68" s="24" t="b">
        <f t="shared" ref="AP68:AP73" si="50">AND(K68&lt;=AF68,AF68&lt;=L68)</f>
        <v>0</v>
      </c>
      <c r="AQ68" s="24" t="b">
        <f t="shared" ref="AQ68:AQ73" si="51">AND(K68&lt;AG68,AG68&lt;L68)</f>
        <v>1</v>
      </c>
      <c r="AR68" s="24" t="b">
        <f t="shared" ref="AR68:AR73" si="52">AD68=I68</f>
        <v>1</v>
      </c>
      <c r="AS68" s="24">
        <f t="shared" si="38"/>
        <v>1</v>
      </c>
      <c r="AV68" s="9"/>
      <c r="AW68" s="9"/>
      <c r="AX68" s="9"/>
    </row>
    <row r="69" spans="1:50" x14ac:dyDescent="0.3">
      <c r="A69" s="8" t="s">
        <v>78</v>
      </c>
      <c r="B69" s="11">
        <v>4</v>
      </c>
      <c r="C69" s="11">
        <v>1</v>
      </c>
      <c r="D69" s="11">
        <v>999</v>
      </c>
      <c r="E69" s="11">
        <v>5219</v>
      </c>
      <c r="F69" s="12" t="s">
        <v>85</v>
      </c>
      <c r="G69" s="11">
        <v>1406</v>
      </c>
      <c r="H69" s="11">
        <v>37</v>
      </c>
      <c r="I69" s="12" t="s">
        <v>86</v>
      </c>
      <c r="J69" s="11" t="s">
        <v>87</v>
      </c>
      <c r="K69" s="11">
        <v>833</v>
      </c>
      <c r="L69" s="11">
        <v>944</v>
      </c>
      <c r="M69" s="41"/>
      <c r="N69" s="41"/>
      <c r="O69" s="42"/>
      <c r="P69" s="44"/>
      <c r="Q69" s="44"/>
      <c r="R69" s="44"/>
      <c r="S69" s="44"/>
      <c r="T69" s="44"/>
      <c r="U69" s="44"/>
      <c r="V69" s="44"/>
      <c r="W69" s="4">
        <v>5</v>
      </c>
      <c r="X69" s="4">
        <f>LEN("repeat:GTTTGAGAGTAATGTAATCTACATAGGTACTAAGACTTA")-7</f>
        <v>39</v>
      </c>
      <c r="Y69" s="4">
        <v>1</v>
      </c>
      <c r="Z69" s="4">
        <v>1017</v>
      </c>
      <c r="AA69" s="4">
        <v>5219</v>
      </c>
      <c r="AB69" s="5" t="s">
        <v>85</v>
      </c>
      <c r="AC69" s="4">
        <f t="shared" si="44"/>
        <v>4202</v>
      </c>
      <c r="AD69" s="5" t="s">
        <v>85</v>
      </c>
      <c r="AE69" s="4" t="s">
        <v>87</v>
      </c>
      <c r="AF69" s="4">
        <v>918</v>
      </c>
      <c r="AG69" s="59">
        <v>956</v>
      </c>
      <c r="AH69" s="4" t="b">
        <f t="shared" si="45"/>
        <v>0</v>
      </c>
      <c r="AI69" s="7" t="b">
        <f t="shared" si="31"/>
        <v>1</v>
      </c>
      <c r="AJ69" s="57" t="b">
        <f t="shared" si="32"/>
        <v>1</v>
      </c>
      <c r="AK69" s="57" t="b">
        <f t="shared" si="33"/>
        <v>1</v>
      </c>
      <c r="AL69" s="57" t="b">
        <f t="shared" si="46"/>
        <v>0</v>
      </c>
      <c r="AM69" s="57" t="b">
        <f t="shared" si="47"/>
        <v>0</v>
      </c>
      <c r="AN69" s="4" t="b">
        <f t="shared" si="48"/>
        <v>0</v>
      </c>
      <c r="AO69" s="24">
        <f t="shared" si="49"/>
        <v>1</v>
      </c>
      <c r="AP69" s="24" t="b">
        <f t="shared" si="50"/>
        <v>1</v>
      </c>
      <c r="AQ69" s="24" t="b">
        <f t="shared" si="51"/>
        <v>0</v>
      </c>
      <c r="AR69" s="24" t="b">
        <f t="shared" si="52"/>
        <v>0</v>
      </c>
      <c r="AS69" s="24">
        <f t="shared" si="38"/>
        <v>0</v>
      </c>
      <c r="AV69" s="9"/>
      <c r="AW69" s="9"/>
      <c r="AX69" s="9"/>
    </row>
    <row r="70" spans="1:50" x14ac:dyDescent="0.3">
      <c r="A70" s="8" t="s">
        <v>79</v>
      </c>
      <c r="B70" s="11">
        <v>51</v>
      </c>
      <c r="C70" s="11">
        <v>1</v>
      </c>
      <c r="D70" s="11">
        <v>1967</v>
      </c>
      <c r="E70" s="11">
        <v>6169</v>
      </c>
      <c r="F70" s="12" t="s">
        <v>85</v>
      </c>
      <c r="G70" s="11">
        <v>1400</v>
      </c>
      <c r="H70" s="11">
        <v>36</v>
      </c>
      <c r="I70" s="12" t="s">
        <v>86</v>
      </c>
      <c r="J70" s="11" t="s">
        <v>87</v>
      </c>
      <c r="K70" s="11">
        <v>1816</v>
      </c>
      <c r="L70" s="11">
        <v>1932</v>
      </c>
      <c r="M70" s="41">
        <v>1825</v>
      </c>
      <c r="N70" s="41">
        <v>1933</v>
      </c>
      <c r="O70" s="42" t="s">
        <v>86</v>
      </c>
      <c r="P70" s="44" t="b">
        <f t="shared" si="39"/>
        <v>1</v>
      </c>
      <c r="Q70" s="44" t="b">
        <f t="shared" si="40"/>
        <v>1</v>
      </c>
      <c r="R70" s="44" t="b">
        <f t="shared" si="41"/>
        <v>1</v>
      </c>
      <c r="S70" s="44" t="b">
        <f>AND(K70&lt;=N70,N70&lt;=L70)</f>
        <v>0</v>
      </c>
      <c r="T70" s="44" t="b">
        <f t="shared" si="42"/>
        <v>1</v>
      </c>
      <c r="U70" s="44" t="b">
        <f t="shared" si="43"/>
        <v>0</v>
      </c>
      <c r="V70" s="44" t="b">
        <f>AND(P70,Q70)</f>
        <v>1</v>
      </c>
      <c r="W70" s="4">
        <v>58</v>
      </c>
      <c r="X70" s="4">
        <f>LEN("repeat:TTTGAGAGTTGTGTAATTTAAGATGGATCTCAAAC")-7</f>
        <v>35</v>
      </c>
      <c r="Y70" s="4">
        <v>1</v>
      </c>
      <c r="Z70" s="4">
        <v>1982</v>
      </c>
      <c r="AA70" s="4">
        <v>6169</v>
      </c>
      <c r="AB70" s="5" t="s">
        <v>85</v>
      </c>
      <c r="AC70" s="4">
        <f t="shared" si="44"/>
        <v>4187</v>
      </c>
      <c r="AD70" s="5" t="s">
        <v>85</v>
      </c>
      <c r="AE70" s="4" t="s">
        <v>87</v>
      </c>
      <c r="AF70" s="4">
        <v>1908</v>
      </c>
      <c r="AG70" s="59">
        <v>1942</v>
      </c>
      <c r="AH70" s="4" t="b">
        <f t="shared" si="45"/>
        <v>0</v>
      </c>
      <c r="AI70" s="7" t="b">
        <f t="shared" si="31"/>
        <v>1</v>
      </c>
      <c r="AJ70" s="57" t="b">
        <f t="shared" si="32"/>
        <v>1</v>
      </c>
      <c r="AK70" s="57" t="b">
        <f t="shared" si="33"/>
        <v>1</v>
      </c>
      <c r="AL70" s="57" t="b">
        <f t="shared" si="46"/>
        <v>0</v>
      </c>
      <c r="AM70" s="57" t="b">
        <f t="shared" si="47"/>
        <v>0</v>
      </c>
      <c r="AN70" s="4" t="b">
        <f t="shared" si="48"/>
        <v>0</v>
      </c>
      <c r="AO70" s="24">
        <f t="shared" si="49"/>
        <v>1</v>
      </c>
      <c r="AP70" s="24" t="b">
        <f t="shared" si="50"/>
        <v>1</v>
      </c>
      <c r="AQ70" s="24" t="b">
        <f t="shared" si="51"/>
        <v>0</v>
      </c>
      <c r="AR70" s="24" t="b">
        <f t="shared" si="52"/>
        <v>0</v>
      </c>
      <c r="AS70" s="24">
        <f t="shared" si="38"/>
        <v>0</v>
      </c>
      <c r="AV70" s="9"/>
      <c r="AW70" s="9"/>
      <c r="AX70" s="9"/>
    </row>
    <row r="71" spans="1:50" x14ac:dyDescent="0.3">
      <c r="A71" s="8" t="s">
        <v>80</v>
      </c>
      <c r="B71" s="11">
        <v>5</v>
      </c>
      <c r="C71" s="11">
        <v>1</v>
      </c>
      <c r="D71" s="11">
        <v>4036</v>
      </c>
      <c r="E71" s="11">
        <v>7332</v>
      </c>
      <c r="F71" s="12" t="s">
        <v>86</v>
      </c>
      <c r="G71" s="11">
        <v>1098</v>
      </c>
      <c r="H71" s="11">
        <v>36</v>
      </c>
      <c r="I71" s="12" t="s">
        <v>85</v>
      </c>
      <c r="J71" s="11" t="s">
        <v>88</v>
      </c>
      <c r="K71" s="11">
        <v>7238</v>
      </c>
      <c r="L71" s="11">
        <v>7339</v>
      </c>
      <c r="M71" s="41">
        <v>7226</v>
      </c>
      <c r="N71" s="41">
        <v>7385</v>
      </c>
      <c r="O71" s="42" t="s">
        <v>85</v>
      </c>
      <c r="P71" s="44" t="b">
        <f t="shared" si="39"/>
        <v>1</v>
      </c>
      <c r="Q71" s="44" t="b">
        <v>1</v>
      </c>
      <c r="R71" s="44" t="b">
        <f t="shared" si="41"/>
        <v>0</v>
      </c>
      <c r="S71" s="44" t="b">
        <f>AND(K71&lt;=N71,N71&lt;=L71)</f>
        <v>0</v>
      </c>
      <c r="T71" s="44" t="b">
        <f t="shared" si="42"/>
        <v>0</v>
      </c>
      <c r="U71" s="44" t="b">
        <f t="shared" si="43"/>
        <v>0</v>
      </c>
      <c r="V71" s="44" t="b">
        <f>AND(P71,Q71)</f>
        <v>1</v>
      </c>
      <c r="W71" s="4">
        <v>7</v>
      </c>
      <c r="X71" s="4">
        <f>LEN("repeat:GCCGTGGTTTCCCTACCGATTTGCCAGTGGTAGGTT")-7</f>
        <v>36</v>
      </c>
      <c r="Y71" s="4">
        <v>1</v>
      </c>
      <c r="Z71" s="4">
        <v>4036</v>
      </c>
      <c r="AA71" s="4">
        <v>7185</v>
      </c>
      <c r="AB71" s="5" t="s">
        <v>86</v>
      </c>
      <c r="AC71" s="4">
        <f t="shared" si="44"/>
        <v>3149</v>
      </c>
      <c r="AD71" s="5" t="s">
        <v>86</v>
      </c>
      <c r="AE71" s="4" t="s">
        <v>88</v>
      </c>
      <c r="AF71" s="4">
        <v>7229</v>
      </c>
      <c r="AG71" s="59">
        <v>7264</v>
      </c>
      <c r="AH71" s="4" t="b">
        <f t="shared" si="45"/>
        <v>0</v>
      </c>
      <c r="AI71" s="7" t="b">
        <f t="shared" si="31"/>
        <v>1</v>
      </c>
      <c r="AJ71" s="57" t="b">
        <f t="shared" si="32"/>
        <v>0</v>
      </c>
      <c r="AK71" s="57" t="b">
        <f t="shared" si="33"/>
        <v>0</v>
      </c>
      <c r="AL71" s="57" t="b">
        <f t="shared" si="46"/>
        <v>1</v>
      </c>
      <c r="AM71" s="57" t="b">
        <f t="shared" si="47"/>
        <v>1</v>
      </c>
      <c r="AN71" s="4" t="b">
        <f t="shared" si="48"/>
        <v>0</v>
      </c>
      <c r="AO71" s="24">
        <f t="shared" si="49"/>
        <v>1</v>
      </c>
      <c r="AP71" s="24" t="b">
        <f t="shared" si="50"/>
        <v>0</v>
      </c>
      <c r="AQ71" s="24" t="b">
        <f t="shared" si="51"/>
        <v>1</v>
      </c>
      <c r="AR71" s="24" t="b">
        <f t="shared" si="52"/>
        <v>0</v>
      </c>
      <c r="AS71" s="24">
        <f t="shared" si="38"/>
        <v>0</v>
      </c>
      <c r="AV71" s="9"/>
      <c r="AW71" s="9"/>
      <c r="AX71" s="9"/>
    </row>
    <row r="72" spans="1:50" x14ac:dyDescent="0.3">
      <c r="A72" s="8" t="s">
        <v>81</v>
      </c>
      <c r="B72" s="11">
        <v>3</v>
      </c>
      <c r="C72" s="11">
        <v>1</v>
      </c>
      <c r="D72" s="11">
        <v>13856</v>
      </c>
      <c r="E72" s="11">
        <v>18058</v>
      </c>
      <c r="F72" s="12" t="s">
        <v>85</v>
      </c>
      <c r="G72" s="11">
        <v>1400</v>
      </c>
      <c r="H72" s="11">
        <v>34</v>
      </c>
      <c r="I72" s="12" t="s">
        <v>86</v>
      </c>
      <c r="J72" s="11" t="s">
        <v>87</v>
      </c>
      <c r="K72" s="11">
        <v>13705</v>
      </c>
      <c r="L72" s="11">
        <v>13808</v>
      </c>
      <c r="M72" s="41">
        <v>13714</v>
      </c>
      <c r="N72" s="41">
        <v>13822</v>
      </c>
      <c r="O72" s="42" t="s">
        <v>86</v>
      </c>
      <c r="P72" s="44" t="b">
        <f t="shared" si="39"/>
        <v>1</v>
      </c>
      <c r="Q72" s="44" t="b">
        <f t="shared" si="40"/>
        <v>1</v>
      </c>
      <c r="R72" s="44" t="b">
        <f t="shared" si="41"/>
        <v>1</v>
      </c>
      <c r="S72" s="44" t="b">
        <f>AND(K72&lt;=N72,N72&lt;=L72)</f>
        <v>0</v>
      </c>
      <c r="T72" s="44" t="b">
        <f t="shared" si="42"/>
        <v>1</v>
      </c>
      <c r="U72" s="44" t="b">
        <f t="shared" si="43"/>
        <v>0</v>
      </c>
      <c r="V72" s="44" t="b">
        <f>AND(P72,Q72)</f>
        <v>1</v>
      </c>
      <c r="W72" s="4">
        <v>4</v>
      </c>
      <c r="X72" s="4">
        <f>LEN("repeat:GTTTGAGAGTAGTGTAATTTAAGATGGATCTCAAGC")-7</f>
        <v>36</v>
      </c>
      <c r="Y72" s="4">
        <v>1</v>
      </c>
      <c r="Z72" s="4">
        <v>13871</v>
      </c>
      <c r="AA72" s="4">
        <v>18058</v>
      </c>
      <c r="AB72" s="5" t="s">
        <v>85</v>
      </c>
      <c r="AC72" s="4">
        <f t="shared" si="44"/>
        <v>4187</v>
      </c>
      <c r="AD72" s="5" t="s">
        <v>85</v>
      </c>
      <c r="AE72" s="4" t="s">
        <v>87</v>
      </c>
      <c r="AF72" s="4">
        <v>13798</v>
      </c>
      <c r="AG72" s="59">
        <v>13833</v>
      </c>
      <c r="AH72" s="4" t="b">
        <f t="shared" si="45"/>
        <v>0</v>
      </c>
      <c r="AI72" s="7" t="b">
        <f t="shared" si="31"/>
        <v>1</v>
      </c>
      <c r="AJ72" s="57" t="b">
        <f t="shared" si="32"/>
        <v>1</v>
      </c>
      <c r="AK72" s="57" t="b">
        <f t="shared" si="33"/>
        <v>1</v>
      </c>
      <c r="AL72" s="57" t="b">
        <f t="shared" si="46"/>
        <v>0</v>
      </c>
      <c r="AM72" s="57" t="b">
        <f t="shared" si="47"/>
        <v>0</v>
      </c>
      <c r="AN72" s="4" t="b">
        <f t="shared" si="48"/>
        <v>0</v>
      </c>
      <c r="AO72" s="24">
        <f t="shared" si="49"/>
        <v>1</v>
      </c>
      <c r="AP72" s="24" t="b">
        <f t="shared" si="50"/>
        <v>1</v>
      </c>
      <c r="AQ72" s="24" t="b">
        <f t="shared" si="51"/>
        <v>0</v>
      </c>
      <c r="AR72" s="24" t="b">
        <f t="shared" si="52"/>
        <v>0</v>
      </c>
      <c r="AS72" s="24">
        <f t="shared" si="38"/>
        <v>0</v>
      </c>
      <c r="AV72" s="9"/>
      <c r="AW72" s="9"/>
      <c r="AX72" s="9"/>
    </row>
    <row r="73" spans="1:50" ht="15" thickBot="1" x14ac:dyDescent="0.35">
      <c r="A73" s="8" t="s">
        <v>82</v>
      </c>
      <c r="B73" s="11">
        <v>19</v>
      </c>
      <c r="C73" s="11">
        <v>1</v>
      </c>
      <c r="D73" s="11">
        <v>569</v>
      </c>
      <c r="E73" s="11">
        <v>3913</v>
      </c>
      <c r="F73" s="12" t="s">
        <v>85</v>
      </c>
      <c r="G73" s="11">
        <v>1114</v>
      </c>
      <c r="H73" s="11">
        <v>36</v>
      </c>
      <c r="I73" s="12" t="s">
        <v>85</v>
      </c>
      <c r="J73" s="11" t="s">
        <v>88</v>
      </c>
      <c r="K73" s="11">
        <v>3965</v>
      </c>
      <c r="L73" s="11">
        <v>4046</v>
      </c>
      <c r="M73" s="41">
        <v>3964</v>
      </c>
      <c r="N73" s="41">
        <v>4088</v>
      </c>
      <c r="O73" s="42" t="s">
        <v>85</v>
      </c>
      <c r="P73" s="44" t="b">
        <f t="shared" si="39"/>
        <v>1</v>
      </c>
      <c r="Q73" s="44" t="b">
        <v>1</v>
      </c>
      <c r="R73" s="44" t="b">
        <f t="shared" si="41"/>
        <v>0</v>
      </c>
      <c r="S73" s="44" t="b">
        <f>AND(K73&lt;=N73,N73&lt;=L73)</f>
        <v>0</v>
      </c>
      <c r="T73" s="44" t="b">
        <f t="shared" si="42"/>
        <v>0</v>
      </c>
      <c r="U73" s="44" t="b">
        <f t="shared" si="43"/>
        <v>0</v>
      </c>
      <c r="V73" s="44" t="b">
        <f>AND(P73,Q73)</f>
        <v>1</v>
      </c>
      <c r="W73" s="4">
        <v>20</v>
      </c>
      <c r="X73" s="4">
        <f>LEN("repeat:GTTTTAGTACCCTTAAGATTTTAGCTACTGTAAAAC")-7</f>
        <v>36</v>
      </c>
      <c r="Y73" s="4">
        <v>1</v>
      </c>
      <c r="Z73" s="4">
        <v>590</v>
      </c>
      <c r="AA73" s="4">
        <v>3913</v>
      </c>
      <c r="AB73" s="5" t="s">
        <v>85</v>
      </c>
      <c r="AC73" s="4">
        <f t="shared" si="44"/>
        <v>3323</v>
      </c>
      <c r="AD73" s="5" t="s">
        <v>85</v>
      </c>
      <c r="AE73" s="4" t="s">
        <v>88</v>
      </c>
      <c r="AF73" s="4">
        <v>3960</v>
      </c>
      <c r="AG73" s="59">
        <v>3997</v>
      </c>
      <c r="AH73" s="4" t="b">
        <f t="shared" si="45"/>
        <v>1</v>
      </c>
      <c r="AI73" s="7" t="b">
        <f t="shared" si="31"/>
        <v>1</v>
      </c>
      <c r="AJ73" s="57" t="b">
        <f t="shared" si="32"/>
        <v>0</v>
      </c>
      <c r="AK73" s="57" t="b">
        <f t="shared" si="33"/>
        <v>0</v>
      </c>
      <c r="AL73" s="57" t="b">
        <f t="shared" si="46"/>
        <v>1</v>
      </c>
      <c r="AM73" s="57" t="b">
        <f t="shared" si="47"/>
        <v>1</v>
      </c>
      <c r="AN73" s="4" t="b">
        <f t="shared" si="48"/>
        <v>1</v>
      </c>
      <c r="AO73" s="24">
        <f t="shared" si="49"/>
        <v>1</v>
      </c>
      <c r="AP73" s="24" t="b">
        <f t="shared" si="50"/>
        <v>0</v>
      </c>
      <c r="AQ73" s="24" t="b">
        <f t="shared" si="51"/>
        <v>1</v>
      </c>
      <c r="AR73" s="24" t="b">
        <f t="shared" si="52"/>
        <v>1</v>
      </c>
      <c r="AS73" s="24">
        <f t="shared" si="38"/>
        <v>1</v>
      </c>
      <c r="AV73" s="9"/>
      <c r="AW73" s="9"/>
      <c r="AX73" s="9"/>
    </row>
    <row r="74" spans="1:50" ht="15.6" thickTop="1" thickBot="1" x14ac:dyDescent="0.35">
      <c r="A74" s="8" t="s">
        <v>83</v>
      </c>
      <c r="B74" s="11">
        <v>19</v>
      </c>
      <c r="C74" s="11">
        <v>1</v>
      </c>
      <c r="D74" s="11">
        <v>1145</v>
      </c>
      <c r="E74" s="11">
        <v>5374</v>
      </c>
      <c r="F74" s="12" t="s">
        <v>85</v>
      </c>
      <c r="G74" s="11">
        <v>1409</v>
      </c>
      <c r="H74" s="11">
        <v>36</v>
      </c>
      <c r="I74" s="12" t="s">
        <v>86</v>
      </c>
      <c r="J74" s="11" t="s">
        <v>87</v>
      </c>
      <c r="K74" s="11">
        <v>988</v>
      </c>
      <c r="L74" s="11">
        <v>1105</v>
      </c>
      <c r="M74" s="41"/>
      <c r="N74" s="41"/>
      <c r="O74" s="42"/>
      <c r="P74" s="44"/>
      <c r="Q74" s="44"/>
      <c r="R74" s="44"/>
      <c r="S74" s="44"/>
      <c r="T74" s="44"/>
      <c r="U74" s="44"/>
      <c r="V74" s="42"/>
      <c r="W74" s="38">
        <v>20</v>
      </c>
      <c r="X74" s="21">
        <f>LEN("repeat:GTTTGAGAGTAGTGTAATTCTGTAAACCTCTAAAAC")-7</f>
        <v>36</v>
      </c>
      <c r="Y74" s="21">
        <v>1</v>
      </c>
      <c r="Z74" s="21"/>
      <c r="AA74" s="21"/>
      <c r="AB74" s="22"/>
      <c r="AC74" s="21"/>
      <c r="AD74" s="22"/>
      <c r="AE74" s="21"/>
      <c r="AF74" s="21"/>
      <c r="AG74" s="61"/>
      <c r="AH74" s="4"/>
      <c r="AI74" s="7"/>
      <c r="AJ74" s="57"/>
      <c r="AK74" s="57"/>
      <c r="AL74" s="57"/>
      <c r="AM74" s="57"/>
      <c r="AN74" s="4"/>
      <c r="AO74" s="24"/>
      <c r="AP74" s="24"/>
      <c r="AQ74" s="24"/>
      <c r="AR74" s="24"/>
      <c r="AS74" s="24">
        <f>IF(AR74,1,0)</f>
        <v>0</v>
      </c>
      <c r="AT74">
        <v>17</v>
      </c>
      <c r="AV74" s="9"/>
      <c r="AW74" s="9"/>
      <c r="AX74" s="9"/>
    </row>
    <row r="75" spans="1:50" ht="15.6" thickTop="1" thickBot="1" x14ac:dyDescent="0.35">
      <c r="A75" s="8" t="s">
        <v>84</v>
      </c>
      <c r="B75" s="11">
        <v>18</v>
      </c>
      <c r="C75" s="11">
        <v>1</v>
      </c>
      <c r="D75" s="11">
        <v>9538</v>
      </c>
      <c r="E75" s="11">
        <v>13863</v>
      </c>
      <c r="F75" s="12" t="s">
        <v>86</v>
      </c>
      <c r="G75" s="11">
        <v>1441</v>
      </c>
      <c r="H75" s="11">
        <v>50</v>
      </c>
      <c r="I75" s="12" t="s">
        <v>85</v>
      </c>
      <c r="J75" s="11" t="s">
        <v>88</v>
      </c>
      <c r="K75" s="11">
        <v>13940</v>
      </c>
      <c r="L75" s="11">
        <v>13998</v>
      </c>
      <c r="M75" s="41"/>
      <c r="N75" s="41"/>
      <c r="O75" s="42"/>
      <c r="P75" s="44"/>
      <c r="Q75" s="44"/>
      <c r="R75" s="44"/>
      <c r="S75" s="44"/>
      <c r="T75" s="44"/>
      <c r="U75" s="44"/>
      <c r="V75" s="42"/>
      <c r="W75" s="38">
        <v>21</v>
      </c>
      <c r="X75" s="21">
        <f>LEN("repeat:GTTGTGAATTCCTTTCAAATTTTTGTAGATTTACTCAGTAGAATTACAAC")-7</f>
        <v>50</v>
      </c>
      <c r="Y75" s="21">
        <v>1</v>
      </c>
      <c r="Z75" s="21">
        <v>9538</v>
      </c>
      <c r="AA75" s="21">
        <v>13860</v>
      </c>
      <c r="AB75" s="22" t="s">
        <v>86</v>
      </c>
      <c r="AC75" s="21">
        <f t="shared" ref="AC75" si="53">AA75-Z75</f>
        <v>4322</v>
      </c>
      <c r="AD75" s="22"/>
      <c r="AE75" s="21"/>
      <c r="AF75" s="21"/>
      <c r="AG75" s="61"/>
      <c r="AH75" s="4"/>
      <c r="AI75" s="7"/>
      <c r="AJ75" s="57"/>
      <c r="AK75" s="57"/>
      <c r="AL75" s="57"/>
      <c r="AM75" s="57"/>
      <c r="AN75" s="4"/>
      <c r="AO75" s="24"/>
      <c r="AP75" s="24"/>
      <c r="AQ75" s="24"/>
      <c r="AR75" s="24"/>
      <c r="AS75" s="24">
        <f>IF(AR75,1,0)</f>
        <v>0</v>
      </c>
      <c r="AT75">
        <v>18</v>
      </c>
      <c r="AV75" s="9"/>
      <c r="AW75" s="9"/>
      <c r="AX75" s="9"/>
    </row>
    <row r="76" spans="1:50" ht="15" thickTop="1" x14ac:dyDescent="0.3">
      <c r="C76" s="28"/>
    </row>
    <row r="77" spans="1:50" x14ac:dyDescent="0.3">
      <c r="C77" s="28"/>
      <c r="N77" s="2"/>
      <c r="Q77" s="2"/>
      <c r="X77"/>
      <c r="AA77"/>
      <c r="AE77"/>
      <c r="AF77"/>
      <c r="AG77"/>
      <c r="AH77" s="66"/>
      <c r="AI77"/>
      <c r="AJ77"/>
      <c r="AK77"/>
      <c r="AL77"/>
      <c r="AM77"/>
      <c r="AO77"/>
    </row>
    <row r="78" spans="1:50" x14ac:dyDescent="0.3">
      <c r="C78" s="28"/>
      <c r="D78" s="39"/>
      <c r="N78" s="2"/>
      <c r="Q78" s="2"/>
      <c r="X78"/>
      <c r="AA78"/>
      <c r="AE78"/>
      <c r="AF78"/>
      <c r="AG78"/>
      <c r="AH78" s="66"/>
      <c r="AI78"/>
      <c r="AJ78"/>
      <c r="AK78"/>
      <c r="AL78"/>
      <c r="AM78"/>
      <c r="AO78"/>
    </row>
    <row r="79" spans="1:50" x14ac:dyDescent="0.3">
      <c r="C79" s="27"/>
    </row>
    <row r="80" spans="1:50" ht="15" thickBot="1" x14ac:dyDescent="0.35">
      <c r="A80" s="63"/>
      <c r="B80" s="64" t="s">
        <v>103</v>
      </c>
      <c r="C80" s="64" t="s">
        <v>104</v>
      </c>
      <c r="D80" s="64" t="s">
        <v>105</v>
      </c>
    </row>
    <row r="81" spans="1:4" ht="28.2" thickBot="1" x14ac:dyDescent="0.35">
      <c r="A81" s="68" t="b">
        <v>1</v>
      </c>
      <c r="B81" s="65" t="s">
        <v>89</v>
      </c>
      <c r="C81" s="65" t="s">
        <v>106</v>
      </c>
      <c r="D81" s="71">
        <v>0</v>
      </c>
    </row>
    <row r="82" spans="1:4" ht="28.2" thickBot="1" x14ac:dyDescent="0.35">
      <c r="A82" s="69"/>
      <c r="B82" s="64" t="s">
        <v>116</v>
      </c>
      <c r="C82" s="64" t="s">
        <v>107</v>
      </c>
      <c r="D82" s="72"/>
    </row>
    <row r="83" spans="1:4" ht="28.2" thickBot="1" x14ac:dyDescent="0.35">
      <c r="A83" s="70"/>
      <c r="B83" s="65" t="s">
        <v>90</v>
      </c>
      <c r="C83" s="65" t="s">
        <v>108</v>
      </c>
      <c r="D83" s="73"/>
    </row>
    <row r="84" spans="1:4" ht="28.2" thickBot="1" x14ac:dyDescent="0.35">
      <c r="A84" s="74" t="b">
        <v>0</v>
      </c>
      <c r="B84" s="64" t="s">
        <v>89</v>
      </c>
      <c r="C84" s="64" t="s">
        <v>109</v>
      </c>
      <c r="D84" s="64" t="s">
        <v>110</v>
      </c>
    </row>
    <row r="85" spans="1:4" ht="28.2" thickBot="1" x14ac:dyDescent="0.35">
      <c r="A85" s="75"/>
      <c r="B85" s="65" t="s">
        <v>116</v>
      </c>
      <c r="C85" s="65" t="s">
        <v>111</v>
      </c>
      <c r="D85" s="65" t="s">
        <v>112</v>
      </c>
    </row>
    <row r="86" spans="1:4" ht="28.2" thickBot="1" x14ac:dyDescent="0.35">
      <c r="A86" s="76"/>
      <c r="B86" s="64" t="s">
        <v>90</v>
      </c>
      <c r="C86" s="64" t="s">
        <v>113</v>
      </c>
      <c r="D86" s="64" t="s">
        <v>114</v>
      </c>
    </row>
  </sheetData>
  <sortState ref="A3:AG75">
    <sortCondition ref="A3:A75"/>
  </sortState>
  <mergeCells count="6">
    <mergeCell ref="W1:AN1"/>
    <mergeCell ref="A81:A83"/>
    <mergeCell ref="D81:D83"/>
    <mergeCell ref="A84:A86"/>
    <mergeCell ref="B1:L1"/>
    <mergeCell ref="M1:V1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TracrPredictor &amp; CRISPROne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Joshua</dc:creator>
  <cp:lastModifiedBy>Young, Joshua</cp:lastModifiedBy>
  <dcterms:created xsi:type="dcterms:W3CDTF">2020-11-30T17:00:42Z</dcterms:created>
  <dcterms:modified xsi:type="dcterms:W3CDTF">2020-12-19T15:14:49Z</dcterms:modified>
</cp:coreProperties>
</file>