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Resumo" sheetId="1" r:id="rId1"/>
    <sheet name="Lançamentos" sheetId="2" r:id="rId2"/>
    <sheet name="Dividendos" sheetId="3" r:id="rId3"/>
    <sheet name="Cadastro" sheetId="4" r:id="rId4"/>
    <sheet name="Planilha1" sheetId="5" r:id="rId5"/>
  </sheets>
  <definedNames>
    <definedName name="_xlnm._FilterDatabase" localSheetId="3" hidden="1">Cadastro!$A$6:$C$25</definedName>
    <definedName name="_xlnm._FilterDatabase" localSheetId="2" hidden="1">Dividendos!$A$6:$K$90</definedName>
    <definedName name="_xlnm._FilterDatabase" localSheetId="1" hidden="1">Lançamentos!$A$6:$P$36</definedName>
    <definedName name="_xlnm._FilterDatabase" localSheetId="0" hidden="1">Resumo!$A$6:$S$31</definedName>
    <definedName name="Excel_BuiltIn__FilterDatabase" localSheetId="2">Dividendos!$B$6:$H$19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" i="3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8"/>
  <c r="D7"/>
  <c r="B7"/>
  <c r="B8"/>
  <c r="A8"/>
  <c r="A7"/>
  <c r="D9" i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3"/>
  <c r="D34"/>
  <c r="D35"/>
  <c r="D36"/>
  <c r="D37"/>
  <c r="D38"/>
  <c r="D39"/>
  <c r="D40"/>
  <c r="D41"/>
  <c r="D42"/>
  <c r="D43"/>
  <c r="D44"/>
  <c r="D45"/>
  <c r="D46"/>
  <c r="D47"/>
  <c r="D8"/>
  <c r="D7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B8"/>
  <c r="A8"/>
  <c r="A7"/>
  <c r="B7"/>
  <c r="M50"/>
  <c r="R50" s="1"/>
  <c r="E18" i="4"/>
  <c r="I7" i="3"/>
  <c r="J7" s="1"/>
  <c r="K7" s="1"/>
  <c r="I32"/>
  <c r="J32" s="1"/>
  <c r="K32" s="1"/>
  <c r="I33"/>
  <c r="J33" s="1"/>
  <c r="K33" s="1"/>
  <c r="I11"/>
  <c r="J11" s="1"/>
  <c r="K11" s="1"/>
  <c r="I12"/>
  <c r="J12" s="1"/>
  <c r="K12" s="1"/>
  <c r="I13"/>
  <c r="J13" s="1"/>
  <c r="K13" s="1"/>
  <c r="I58"/>
  <c r="J58" s="1"/>
  <c r="K58" s="1"/>
  <c r="I59"/>
  <c r="J59" s="1"/>
  <c r="K59" s="1"/>
  <c r="I14"/>
  <c r="J14" s="1"/>
  <c r="K14" s="1"/>
  <c r="I10"/>
  <c r="J10" s="1"/>
  <c r="K10" s="1"/>
  <c r="I75"/>
  <c r="J75" s="1"/>
  <c r="K75" s="1"/>
  <c r="I28"/>
  <c r="J28" s="1"/>
  <c r="K28" s="1"/>
  <c r="I29"/>
  <c r="J29" s="1"/>
  <c r="K29" s="1"/>
  <c r="I31"/>
  <c r="J31" s="1"/>
  <c r="K31" s="1"/>
  <c r="I57"/>
  <c r="J57" s="1"/>
  <c r="K57" s="1"/>
  <c r="I30"/>
  <c r="J30" s="1"/>
  <c r="K30" s="1"/>
  <c r="I9"/>
  <c r="J9" s="1"/>
  <c r="K9" s="1"/>
  <c r="I34"/>
  <c r="J34" s="1"/>
  <c r="K34" s="1"/>
  <c r="I8"/>
  <c r="J8" s="1"/>
  <c r="K8" s="1"/>
  <c r="H22" i="1"/>
  <c r="F22"/>
  <c r="H23"/>
  <c r="F23"/>
  <c r="H31"/>
  <c r="F31"/>
  <c r="F28"/>
  <c r="L28" s="1"/>
  <c r="H28"/>
  <c r="F20"/>
  <c r="Q20" s="1"/>
  <c r="H20"/>
  <c r="M68" i="5"/>
  <c r="N68" s="1"/>
  <c r="O68" s="1"/>
  <c r="P68" s="1"/>
  <c r="M67"/>
  <c r="N67" s="1"/>
  <c r="M69"/>
  <c r="M70"/>
  <c r="N70" s="1"/>
  <c r="O70" s="1"/>
  <c r="P70" s="1"/>
  <c r="H9" i="1"/>
  <c r="L9"/>
  <c r="O9"/>
  <c r="Q9"/>
  <c r="L47"/>
  <c r="H47"/>
  <c r="O13"/>
  <c r="O22"/>
  <c r="O31"/>
  <c r="O28"/>
  <c r="O10"/>
  <c r="O18"/>
  <c r="O7"/>
  <c r="O29"/>
  <c r="O20"/>
  <c r="O14"/>
  <c r="O25"/>
  <c r="O19"/>
  <c r="O26"/>
  <c r="O21"/>
  <c r="O11"/>
  <c r="O27"/>
  <c r="O12"/>
  <c r="O24"/>
  <c r="O15"/>
  <c r="O16"/>
  <c r="O30"/>
  <c r="O8"/>
  <c r="O17"/>
  <c r="O23"/>
  <c r="F60"/>
  <c r="C60"/>
  <c r="Q17"/>
  <c r="Q8"/>
  <c r="L17"/>
  <c r="L8"/>
  <c r="H17"/>
  <c r="H8"/>
  <c r="F100" i="5"/>
  <c r="D95"/>
  <c r="D89"/>
  <c r="G88"/>
  <c r="G87"/>
  <c r="G86"/>
  <c r="G85"/>
  <c r="G89" s="1"/>
  <c r="F89" s="1"/>
  <c r="D79"/>
  <c r="D78"/>
  <c r="D77"/>
  <c r="N74"/>
  <c r="O74" s="1"/>
  <c r="P74" s="1"/>
  <c r="J74"/>
  <c r="O73"/>
  <c r="P73" s="1"/>
  <c r="N73"/>
  <c r="J73"/>
  <c r="P72"/>
  <c r="N72"/>
  <c r="J72"/>
  <c r="D72"/>
  <c r="N71"/>
  <c r="O71" s="1"/>
  <c r="P71" s="1"/>
  <c r="J71"/>
  <c r="J70"/>
  <c r="N69"/>
  <c r="O69" s="1"/>
  <c r="P69" s="1"/>
  <c r="J69"/>
  <c r="G69"/>
  <c r="F69"/>
  <c r="L68"/>
  <c r="L69" s="1"/>
  <c r="L70" s="1"/>
  <c r="J68"/>
  <c r="G68"/>
  <c r="F68"/>
  <c r="J67"/>
  <c r="F67"/>
  <c r="J66"/>
  <c r="M57"/>
  <c r="M56"/>
  <c r="M55"/>
  <c r="M54"/>
  <c r="M53"/>
  <c r="M52"/>
  <c r="M51"/>
  <c r="M50"/>
  <c r="M49"/>
  <c r="M48"/>
  <c r="M47"/>
  <c r="M39"/>
  <c r="N39" s="1"/>
  <c r="O39" s="1"/>
  <c r="I39"/>
  <c r="F39"/>
  <c r="J39" s="1"/>
  <c r="K39" s="1"/>
  <c r="N38"/>
  <c r="O38" s="1"/>
  <c r="M38"/>
  <c r="I38"/>
  <c r="F38"/>
  <c r="J38" s="1"/>
  <c r="K38" s="1"/>
  <c r="M37"/>
  <c r="N37" s="1"/>
  <c r="O37" s="1"/>
  <c r="I37"/>
  <c r="F37"/>
  <c r="J37" s="1"/>
  <c r="K37" s="1"/>
  <c r="M36"/>
  <c r="N36" s="1"/>
  <c r="O36" s="1"/>
  <c r="I36"/>
  <c r="F36"/>
  <c r="J36" s="1"/>
  <c r="K36" s="1"/>
  <c r="M35"/>
  <c r="N35" s="1"/>
  <c r="O35" s="1"/>
  <c r="I35"/>
  <c r="F35"/>
  <c r="J35" s="1"/>
  <c r="K35" s="1"/>
  <c r="N34"/>
  <c r="O34" s="1"/>
  <c r="M34"/>
  <c r="K34"/>
  <c r="J34"/>
  <c r="I34"/>
  <c r="F34"/>
  <c r="X33"/>
  <c r="V33"/>
  <c r="M33"/>
  <c r="N33" s="1"/>
  <c r="O33" s="1"/>
  <c r="J33"/>
  <c r="K33" s="1"/>
  <c r="I33"/>
  <c r="F33"/>
  <c r="X32"/>
  <c r="V32"/>
  <c r="V34" s="1"/>
  <c r="U35" s="1"/>
  <c r="N32"/>
  <c r="O32" s="1"/>
  <c r="M32"/>
  <c r="M42" s="1"/>
  <c r="I32"/>
  <c r="D76" s="1"/>
  <c r="F32"/>
  <c r="F42" s="1"/>
  <c r="X31"/>
  <c r="X34" s="1"/>
  <c r="V31"/>
  <c r="F22"/>
  <c r="I22" s="1"/>
  <c r="J22" s="1"/>
  <c r="F21"/>
  <c r="L20"/>
  <c r="M20" s="1"/>
  <c r="N20" s="1"/>
  <c r="I20"/>
  <c r="J20" s="1"/>
  <c r="F20"/>
  <c r="M19"/>
  <c r="N19" s="1"/>
  <c r="L19"/>
  <c r="J19"/>
  <c r="I19"/>
  <c r="F19"/>
  <c r="L18"/>
  <c r="M18" s="1"/>
  <c r="N18" s="1"/>
  <c r="F18"/>
  <c r="I18" s="1"/>
  <c r="J18" s="1"/>
  <c r="M17"/>
  <c r="N17" s="1"/>
  <c r="L17"/>
  <c r="F17"/>
  <c r="I17" s="1"/>
  <c r="J17" s="1"/>
  <c r="L16"/>
  <c r="M16" s="1"/>
  <c r="N16" s="1"/>
  <c r="I16"/>
  <c r="J16" s="1"/>
  <c r="F16"/>
  <c r="M15"/>
  <c r="N15" s="1"/>
  <c r="L15"/>
  <c r="J15"/>
  <c r="I15"/>
  <c r="F15"/>
  <c r="T14"/>
  <c r="E14"/>
  <c r="D14"/>
  <c r="L14" s="1"/>
  <c r="T13"/>
  <c r="D13"/>
  <c r="M12"/>
  <c r="N12" s="1"/>
  <c r="L12"/>
  <c r="F12"/>
  <c r="I12" s="1"/>
  <c r="I2"/>
  <c r="G2"/>
  <c r="G20" s="1"/>
  <c r="E44" i="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7"/>
  <c r="E16"/>
  <c r="E15"/>
  <c r="E14"/>
  <c r="E13"/>
  <c r="E12"/>
  <c r="E11"/>
  <c r="E10"/>
  <c r="E9"/>
  <c r="E8"/>
  <c r="E7"/>
  <c r="P28" i="3"/>
  <c r="P26"/>
  <c r="O36" i="2"/>
  <c r="K36"/>
  <c r="N36" s="1"/>
  <c r="E36"/>
  <c r="A36"/>
  <c r="P35"/>
  <c r="K35"/>
  <c r="O35" s="1"/>
  <c r="E35"/>
  <c r="A35"/>
  <c r="O34"/>
  <c r="K34"/>
  <c r="N34" s="1"/>
  <c r="E34"/>
  <c r="A34"/>
  <c r="O33"/>
  <c r="K33"/>
  <c r="P33" s="1"/>
  <c r="E33"/>
  <c r="A33"/>
  <c r="O32"/>
  <c r="K32"/>
  <c r="N32" s="1"/>
  <c r="E32"/>
  <c r="A32"/>
  <c r="O31"/>
  <c r="K31"/>
  <c r="P31" s="1"/>
  <c r="E31"/>
  <c r="A31"/>
  <c r="O30"/>
  <c r="K30"/>
  <c r="N30" s="1"/>
  <c r="E30"/>
  <c r="A30"/>
  <c r="O29"/>
  <c r="K29"/>
  <c r="P29" s="1"/>
  <c r="E29"/>
  <c r="A29"/>
  <c r="P28"/>
  <c r="O28"/>
  <c r="K28"/>
  <c r="N28" s="1"/>
  <c r="E28"/>
  <c r="A28"/>
  <c r="O27"/>
  <c r="K27"/>
  <c r="P27" s="1"/>
  <c r="E27"/>
  <c r="A27"/>
  <c r="P26"/>
  <c r="O26"/>
  <c r="K26"/>
  <c r="N26" s="1"/>
  <c r="E26"/>
  <c r="A26"/>
  <c r="O25"/>
  <c r="K25"/>
  <c r="P25" s="1"/>
  <c r="E25"/>
  <c r="A25"/>
  <c r="O24"/>
  <c r="K24"/>
  <c r="N24" s="1"/>
  <c r="E24"/>
  <c r="A24"/>
  <c r="O23"/>
  <c r="K23"/>
  <c r="P23" s="1"/>
  <c r="E23"/>
  <c r="A23"/>
  <c r="O22"/>
  <c r="K22"/>
  <c r="N22" s="1"/>
  <c r="E22"/>
  <c r="A22"/>
  <c r="O21"/>
  <c r="K21"/>
  <c r="P21" s="1"/>
  <c r="E21"/>
  <c r="A21"/>
  <c r="O20"/>
  <c r="K20"/>
  <c r="N20" s="1"/>
  <c r="E20"/>
  <c r="A20"/>
  <c r="P19"/>
  <c r="K19"/>
  <c r="O19" s="1"/>
  <c r="E19"/>
  <c r="A19"/>
  <c r="O18"/>
  <c r="K18"/>
  <c r="N18" s="1"/>
  <c r="E18"/>
  <c r="A18"/>
  <c r="O17"/>
  <c r="K17"/>
  <c r="P17" s="1"/>
  <c r="E17"/>
  <c r="A17"/>
  <c r="O16"/>
  <c r="K16"/>
  <c r="N16" s="1"/>
  <c r="E16"/>
  <c r="A16"/>
  <c r="O15"/>
  <c r="K15"/>
  <c r="P15" s="1"/>
  <c r="E15"/>
  <c r="A15"/>
  <c r="O14"/>
  <c r="K14"/>
  <c r="N14" s="1"/>
  <c r="E14"/>
  <c r="A14"/>
  <c r="O13"/>
  <c r="K13"/>
  <c r="P13" s="1"/>
  <c r="E13"/>
  <c r="A13"/>
  <c r="O12"/>
  <c r="K12"/>
  <c r="N12" s="1"/>
  <c r="E12"/>
  <c r="A12"/>
  <c r="P11"/>
  <c r="K11"/>
  <c r="O11" s="1"/>
  <c r="E11"/>
  <c r="A11"/>
  <c r="O10"/>
  <c r="K10"/>
  <c r="N10" s="1"/>
  <c r="E10"/>
  <c r="A10"/>
  <c r="P9"/>
  <c r="K9"/>
  <c r="O9" s="1"/>
  <c r="E9"/>
  <c r="A9"/>
  <c r="P8"/>
  <c r="O8"/>
  <c r="K8"/>
  <c r="N8" s="1"/>
  <c r="E8"/>
  <c r="A8"/>
  <c r="P7"/>
  <c r="K7"/>
  <c r="O7" s="1"/>
  <c r="E7"/>
  <c r="A7"/>
  <c r="G83" i="1"/>
  <c r="I81"/>
  <c r="I80"/>
  <c r="F59"/>
  <c r="K57"/>
  <c r="F58"/>
  <c r="D58"/>
  <c r="K56"/>
  <c r="F57"/>
  <c r="C57"/>
  <c r="D57" s="1"/>
  <c r="L46"/>
  <c r="H46"/>
  <c r="L45"/>
  <c r="H45"/>
  <c r="L44"/>
  <c r="H44"/>
  <c r="L43"/>
  <c r="G43"/>
  <c r="L42"/>
  <c r="M42" s="1"/>
  <c r="N42" s="1"/>
  <c r="G42"/>
  <c r="L41"/>
  <c r="M41" s="1"/>
  <c r="N41" s="1"/>
  <c r="G41"/>
  <c r="M40"/>
  <c r="N40" s="1"/>
  <c r="K40"/>
  <c r="G40"/>
  <c r="K39"/>
  <c r="H39"/>
  <c r="M39" s="1"/>
  <c r="N39" s="1"/>
  <c r="K38"/>
  <c r="H38"/>
  <c r="M38" s="1"/>
  <c r="N38" s="1"/>
  <c r="K37"/>
  <c r="H37"/>
  <c r="M37" s="1"/>
  <c r="N37" s="1"/>
  <c r="K36"/>
  <c r="H36"/>
  <c r="M36" s="1"/>
  <c r="N36" s="1"/>
  <c r="K35"/>
  <c r="H35"/>
  <c r="M35" s="1"/>
  <c r="N35" s="1"/>
  <c r="K34"/>
  <c r="H34"/>
  <c r="M33"/>
  <c r="K33"/>
  <c r="G33"/>
  <c r="Q30"/>
  <c r="L30"/>
  <c r="H30"/>
  <c r="Q16"/>
  <c r="L16"/>
  <c r="H16"/>
  <c r="Q15"/>
  <c r="L15"/>
  <c r="H15"/>
  <c r="Q24"/>
  <c r="L24"/>
  <c r="H24"/>
  <c r="Q12"/>
  <c r="L12"/>
  <c r="H12"/>
  <c r="H57" s="1"/>
  <c r="Q27"/>
  <c r="L27"/>
  <c r="H27"/>
  <c r="Q11"/>
  <c r="L11"/>
  <c r="H11"/>
  <c r="Q21"/>
  <c r="L21"/>
  <c r="H21"/>
  <c r="Q26"/>
  <c r="L26"/>
  <c r="H26"/>
  <c r="Q19"/>
  <c r="L19"/>
  <c r="H19"/>
  <c r="Q25"/>
  <c r="L25"/>
  <c r="H25"/>
  <c r="Q14"/>
  <c r="L14"/>
  <c r="H14"/>
  <c r="Q29"/>
  <c r="L29"/>
  <c r="H29"/>
  <c r="Q7"/>
  <c r="L7"/>
  <c r="H7"/>
  <c r="Q18"/>
  <c r="R18" s="1"/>
  <c r="S18" s="1"/>
  <c r="L18"/>
  <c r="G18"/>
  <c r="Q10"/>
  <c r="L10"/>
  <c r="H10"/>
  <c r="Q22"/>
  <c r="L22"/>
  <c r="Q13"/>
  <c r="R13" s="1"/>
  <c r="S13" s="1"/>
  <c r="L13"/>
  <c r="G13"/>
  <c r="I24" i="3" s="1"/>
  <c r="J24" s="1"/>
  <c r="K24" s="1"/>
  <c r="Q23" i="1"/>
  <c r="R23" s="1"/>
  <c r="L23"/>
  <c r="I21" i="3" l="1"/>
  <c r="J21" s="1"/>
  <c r="K21" s="1"/>
  <c r="I15"/>
  <c r="J15" s="1"/>
  <c r="K15" s="1"/>
  <c r="I25"/>
  <c r="J25" s="1"/>
  <c r="K25" s="1"/>
  <c r="I26"/>
  <c r="J26" s="1"/>
  <c r="K26" s="1"/>
  <c r="I22"/>
  <c r="J22" s="1"/>
  <c r="K22" s="1"/>
  <c r="I17"/>
  <c r="J17" s="1"/>
  <c r="K17" s="1"/>
  <c r="I16"/>
  <c r="J16" s="1"/>
  <c r="K16" s="1"/>
  <c r="I27"/>
  <c r="J27" s="1"/>
  <c r="K27" s="1"/>
  <c r="I23"/>
  <c r="J23" s="1"/>
  <c r="K23" s="1"/>
  <c r="I19"/>
  <c r="J19" s="1"/>
  <c r="K19" s="1"/>
  <c r="I20"/>
  <c r="J20" s="1"/>
  <c r="K20" s="1"/>
  <c r="I18"/>
  <c r="J18" s="1"/>
  <c r="K18" s="1"/>
  <c r="M22" i="1"/>
  <c r="N22" s="1"/>
  <c r="G22"/>
  <c r="I82"/>
  <c r="G23"/>
  <c r="Q28"/>
  <c r="R22"/>
  <c r="S22" s="1"/>
  <c r="M44"/>
  <c r="N44" s="1"/>
  <c r="M46"/>
  <c r="N46" s="1"/>
  <c r="G31"/>
  <c r="G20"/>
  <c r="B57"/>
  <c r="Q31"/>
  <c r="R31" s="1"/>
  <c r="S31" s="1"/>
  <c r="M34"/>
  <c r="N34" s="1"/>
  <c r="L31"/>
  <c r="M31" s="1"/>
  <c r="N31" s="1"/>
  <c r="G28"/>
  <c r="L52"/>
  <c r="L20"/>
  <c r="R20"/>
  <c r="S20" s="1"/>
  <c r="B58"/>
  <c r="M9"/>
  <c r="N9" s="1"/>
  <c r="R9"/>
  <c r="S9" s="1"/>
  <c r="M24"/>
  <c r="N24" s="1"/>
  <c r="G57"/>
  <c r="R7"/>
  <c r="S7" s="1"/>
  <c r="L57"/>
  <c r="M19"/>
  <c r="N19" s="1"/>
  <c r="M16"/>
  <c r="N16" s="1"/>
  <c r="R12"/>
  <c r="S12" s="1"/>
  <c r="R25"/>
  <c r="S25" s="1"/>
  <c r="R26"/>
  <c r="S26" s="1"/>
  <c r="H60"/>
  <c r="G60" s="1"/>
  <c r="R19"/>
  <c r="S19" s="1"/>
  <c r="R15"/>
  <c r="S15" s="1"/>
  <c r="M45"/>
  <c r="N45" s="1"/>
  <c r="R10"/>
  <c r="S10" s="1"/>
  <c r="M7"/>
  <c r="N7" s="1"/>
  <c r="R29"/>
  <c r="S29" s="1"/>
  <c r="M21"/>
  <c r="N21" s="1"/>
  <c r="R24"/>
  <c r="S24" s="1"/>
  <c r="M47"/>
  <c r="N47" s="1"/>
  <c r="M10"/>
  <c r="N10" s="1"/>
  <c r="R14"/>
  <c r="S14" s="1"/>
  <c r="R11"/>
  <c r="S11" s="1"/>
  <c r="M27"/>
  <c r="N27" s="1"/>
  <c r="R30"/>
  <c r="S30" s="1"/>
  <c r="H52"/>
  <c r="M43"/>
  <c r="N43" s="1"/>
  <c r="M17"/>
  <c r="N17" s="1"/>
  <c r="M8"/>
  <c r="N8" s="1"/>
  <c r="R17"/>
  <c r="S17" s="1"/>
  <c r="H59"/>
  <c r="G59" s="1"/>
  <c r="M14"/>
  <c r="N14" s="1"/>
  <c r="R21"/>
  <c r="S21" s="1"/>
  <c r="H85"/>
  <c r="R8"/>
  <c r="S8" s="1"/>
  <c r="L59"/>
  <c r="R16"/>
  <c r="S16" s="1"/>
  <c r="R27"/>
  <c r="S27" s="1"/>
  <c r="L56"/>
  <c r="M56" s="1"/>
  <c r="N56" s="1"/>
  <c r="G6" i="5"/>
  <c r="G19"/>
  <c r="G12"/>
  <c r="G13"/>
  <c r="G14"/>
  <c r="G17"/>
  <c r="G15"/>
  <c r="L71"/>
  <c r="L73"/>
  <c r="L74" s="1"/>
  <c r="B3" i="2"/>
  <c r="U36" i="5"/>
  <c r="U37" s="1"/>
  <c r="W37"/>
  <c r="O67"/>
  <c r="J12"/>
  <c r="I13"/>
  <c r="J13" s="1"/>
  <c r="M13" i="1"/>
  <c r="N13" s="1"/>
  <c r="M18"/>
  <c r="N18" s="1"/>
  <c r="M29"/>
  <c r="N29" s="1"/>
  <c r="M25"/>
  <c r="N25" s="1"/>
  <c r="M26"/>
  <c r="N26" s="1"/>
  <c r="M11"/>
  <c r="N11" s="1"/>
  <c r="M12"/>
  <c r="N12" s="1"/>
  <c r="M15"/>
  <c r="N15" s="1"/>
  <c r="M30"/>
  <c r="N30" s="1"/>
  <c r="N7" i="2"/>
  <c r="N9"/>
  <c r="P10"/>
  <c r="N11"/>
  <c r="P12"/>
  <c r="N13"/>
  <c r="P14"/>
  <c r="N15"/>
  <c r="P16"/>
  <c r="N17"/>
  <c r="P18"/>
  <c r="N19"/>
  <c r="P20"/>
  <c r="N21"/>
  <c r="P22"/>
  <c r="N23"/>
  <c r="P24"/>
  <c r="N25"/>
  <c r="N27"/>
  <c r="N29"/>
  <c r="P30"/>
  <c r="N31"/>
  <c r="P32"/>
  <c r="N33"/>
  <c r="P34"/>
  <c r="N35"/>
  <c r="P36"/>
  <c r="F13" i="5"/>
  <c r="L13"/>
  <c r="G18"/>
  <c r="I42"/>
  <c r="N42"/>
  <c r="O42" s="1"/>
  <c r="L58" i="1"/>
  <c r="M23"/>
  <c r="S23"/>
  <c r="N33"/>
  <c r="H58"/>
  <c r="G58" s="1"/>
  <c r="H4" i="5"/>
  <c r="F14"/>
  <c r="M14" s="1"/>
  <c r="N14" s="1"/>
  <c r="G16"/>
  <c r="J32"/>
  <c r="Q49" i="1" l="1"/>
  <c r="Q51" s="1"/>
  <c r="I88" i="3"/>
  <c r="J88" s="1"/>
  <c r="K88" s="1"/>
  <c r="I78"/>
  <c r="J78" s="1"/>
  <c r="K78" s="1"/>
  <c r="I83"/>
  <c r="J83" s="1"/>
  <c r="K83" s="1"/>
  <c r="I85"/>
  <c r="J85" s="1"/>
  <c r="K85" s="1"/>
  <c r="I86"/>
  <c r="J86" s="1"/>
  <c r="K86" s="1"/>
  <c r="I87"/>
  <c r="J87" s="1"/>
  <c r="K87" s="1"/>
  <c r="I79"/>
  <c r="J79" s="1"/>
  <c r="K79" s="1"/>
  <c r="I77"/>
  <c r="J77" s="1"/>
  <c r="K77" s="1"/>
  <c r="I81"/>
  <c r="J81" s="1"/>
  <c r="K81" s="1"/>
  <c r="I84"/>
  <c r="J84" s="1"/>
  <c r="K84" s="1"/>
  <c r="I89"/>
  <c r="J89" s="1"/>
  <c r="K89" s="1"/>
  <c r="I76"/>
  <c r="J76" s="1"/>
  <c r="K76" s="1"/>
  <c r="I80"/>
  <c r="J80" s="1"/>
  <c r="K80" s="1"/>
  <c r="I82"/>
  <c r="J82" s="1"/>
  <c r="K82" s="1"/>
  <c r="I73"/>
  <c r="J73" s="1"/>
  <c r="K73" s="1"/>
  <c r="I60"/>
  <c r="J60" s="1"/>
  <c r="K60" s="1"/>
  <c r="I64"/>
  <c r="J64" s="1"/>
  <c r="K64" s="1"/>
  <c r="I66"/>
  <c r="J66" s="1"/>
  <c r="K66" s="1"/>
  <c r="I72"/>
  <c r="J72" s="1"/>
  <c r="K72" s="1"/>
  <c r="I62"/>
  <c r="J62" s="1"/>
  <c r="K62" s="1"/>
  <c r="I65"/>
  <c r="J65" s="1"/>
  <c r="K65" s="1"/>
  <c r="I67"/>
  <c r="J67" s="1"/>
  <c r="K67" s="1"/>
  <c r="I69"/>
  <c r="J69" s="1"/>
  <c r="K69" s="1"/>
  <c r="I74"/>
  <c r="J74" s="1"/>
  <c r="K74" s="1"/>
  <c r="I70"/>
  <c r="J70" s="1"/>
  <c r="K70" s="1"/>
  <c r="I71"/>
  <c r="J71" s="1"/>
  <c r="K71" s="1"/>
  <c r="I63"/>
  <c r="J63" s="1"/>
  <c r="K63" s="1"/>
  <c r="I61"/>
  <c r="J61" s="1"/>
  <c r="K61" s="1"/>
  <c r="I68"/>
  <c r="J68" s="1"/>
  <c r="K68" s="1"/>
  <c r="I41"/>
  <c r="J41" s="1"/>
  <c r="K41" s="1"/>
  <c r="I42"/>
  <c r="J42" s="1"/>
  <c r="K42" s="1"/>
  <c r="I40"/>
  <c r="J40" s="1"/>
  <c r="K40" s="1"/>
  <c r="I44"/>
  <c r="J44" s="1"/>
  <c r="K44" s="1"/>
  <c r="I36"/>
  <c r="J36" s="1"/>
  <c r="K36" s="1"/>
  <c r="I35"/>
  <c r="J35" s="1"/>
  <c r="K35" s="1"/>
  <c r="I39"/>
  <c r="J39" s="1"/>
  <c r="K39" s="1"/>
  <c r="I37"/>
  <c r="J37" s="1"/>
  <c r="K37" s="1"/>
  <c r="I38"/>
  <c r="J38" s="1"/>
  <c r="K38" s="1"/>
  <c r="I43"/>
  <c r="J43" s="1"/>
  <c r="K43" s="1"/>
  <c r="I55"/>
  <c r="J55" s="1"/>
  <c r="K55" s="1"/>
  <c r="I46"/>
  <c r="J46" s="1"/>
  <c r="K46" s="1"/>
  <c r="I47"/>
  <c r="J47" s="1"/>
  <c r="K47" s="1"/>
  <c r="I52"/>
  <c r="J52" s="1"/>
  <c r="K52" s="1"/>
  <c r="I54"/>
  <c r="J54" s="1"/>
  <c r="K54" s="1"/>
  <c r="I50"/>
  <c r="J50" s="1"/>
  <c r="K50" s="1"/>
  <c r="I53"/>
  <c r="J53" s="1"/>
  <c r="K53" s="1"/>
  <c r="I49"/>
  <c r="J49" s="1"/>
  <c r="K49" s="1"/>
  <c r="I45"/>
  <c r="J45" s="1"/>
  <c r="K45" s="1"/>
  <c r="I56"/>
  <c r="J56" s="1"/>
  <c r="K56" s="1"/>
  <c r="I48"/>
  <c r="J48" s="1"/>
  <c r="K48" s="1"/>
  <c r="I51"/>
  <c r="J51" s="1"/>
  <c r="K51" s="1"/>
  <c r="M59" i="1"/>
  <c r="N59" s="1"/>
  <c r="L49"/>
  <c r="L51" s="1"/>
  <c r="M20"/>
  <c r="N20" s="1"/>
  <c r="M52"/>
  <c r="N52" s="1"/>
  <c r="K59"/>
  <c r="N23"/>
  <c r="M13" i="5"/>
  <c r="L27"/>
  <c r="P67"/>
  <c r="I14"/>
  <c r="J14" s="1"/>
  <c r="M57" i="1"/>
  <c r="N57" s="1"/>
  <c r="I27" i="5"/>
  <c r="B2" i="2"/>
  <c r="K32" i="5"/>
  <c r="J42"/>
  <c r="K42" s="1"/>
  <c r="K58" i="1"/>
  <c r="M58"/>
  <c r="N58" s="1"/>
  <c r="F27" i="5"/>
  <c r="M75" l="1"/>
  <c r="N75" s="1"/>
  <c r="N80" s="1"/>
  <c r="J11" i="1"/>
  <c r="J28"/>
  <c r="J24"/>
  <c r="J19"/>
  <c r="J27"/>
  <c r="J12"/>
  <c r="J7"/>
  <c r="J16"/>
  <c r="J22"/>
  <c r="J21"/>
  <c r="J10"/>
  <c r="J20"/>
  <c r="J9"/>
  <c r="J13"/>
  <c r="J29"/>
  <c r="J17"/>
  <c r="J26"/>
  <c r="J15"/>
  <c r="J18"/>
  <c r="J25"/>
  <c r="J23"/>
  <c r="J14"/>
  <c r="J8"/>
  <c r="J31"/>
  <c r="J30"/>
  <c r="N13" i="5"/>
  <c r="M27"/>
  <c r="N27" s="1"/>
  <c r="J27"/>
  <c r="R28" i="1" l="1"/>
  <c r="S28" s="1"/>
  <c r="M28"/>
  <c r="N28" s="1"/>
  <c r="H49"/>
  <c r="D75" i="5" l="1"/>
  <c r="J75" s="1"/>
  <c r="H51" i="1"/>
  <c r="N50"/>
  <c r="S50" s="1"/>
  <c r="M49"/>
  <c r="R49"/>
  <c r="S49" l="1"/>
  <c r="R51"/>
  <c r="S51" s="1"/>
  <c r="D80" i="5"/>
  <c r="N49" i="1"/>
  <c r="M51"/>
  <c r="N51" s="1"/>
  <c r="C80" i="5"/>
  <c r="O75"/>
  <c r="J80"/>
  <c r="O80" l="1"/>
  <c r="P80" s="1"/>
  <c r="P75"/>
</calcChain>
</file>

<file path=xl/comments1.xml><?xml version="1.0" encoding="utf-8"?>
<comments xmlns="http://schemas.openxmlformats.org/spreadsheetml/2006/main">
  <authors>
    <author>ewerton</author>
  </authors>
  <commentList>
    <comment ref="E20" authorId="0">
      <text>
        <r>
          <rPr>
            <b/>
            <sz val="9"/>
            <color indexed="81"/>
            <rFont val="Tahoma"/>
            <charset val="1"/>
          </rPr>
          <t>ewerton:</t>
        </r>
        <r>
          <rPr>
            <sz val="9"/>
            <color indexed="81"/>
            <rFont val="Tahoma"/>
            <charset val="1"/>
          </rPr>
          <t xml:space="preserve">
27/02/2020 - 100 - 31,40</t>
        </r>
      </text>
    </comment>
    <comment ref="E22" authorId="0">
      <text>
        <r>
          <rPr>
            <b/>
            <sz val="9"/>
            <color indexed="81"/>
            <rFont val="Tahoma"/>
            <charset val="1"/>
          </rPr>
          <t>ewerton:</t>
        </r>
        <r>
          <rPr>
            <sz val="9"/>
            <color indexed="81"/>
            <rFont val="Tahoma"/>
            <charset val="1"/>
          </rPr>
          <t xml:space="preserve">
28/01/2019 - 1200 - 1,2638
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ewerton:</t>
        </r>
        <r>
          <rPr>
            <sz val="9"/>
            <color indexed="81"/>
            <rFont val="Tahoma"/>
            <charset val="1"/>
          </rPr>
          <t xml:space="preserve">
16/08/2019 - 200 - 23,95
05/03/2020 - 200 - 23,00
09/03/2020 -500 - 17,40
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ewerton:</t>
        </r>
        <r>
          <rPr>
            <sz val="9"/>
            <color indexed="81"/>
            <rFont val="Tahoma"/>
            <charset val="1"/>
          </rPr>
          <t xml:space="preserve">
09/12/2019 - 26 - 134,31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ewerton:</t>
        </r>
        <r>
          <rPr>
            <sz val="9"/>
            <color indexed="81"/>
            <rFont val="Tahoma"/>
            <charset val="1"/>
          </rPr>
          <t xml:space="preserve">
06/12/2019 - 25 - 131,49</t>
        </r>
      </text>
    </comment>
  </commentList>
</comments>
</file>

<file path=xl/sharedStrings.xml><?xml version="1.0" encoding="utf-8"?>
<sst xmlns="http://schemas.openxmlformats.org/spreadsheetml/2006/main" count="753" uniqueCount="286">
  <si>
    <t>COMPRA</t>
  </si>
  <si>
    <t>VENDA</t>
  </si>
  <si>
    <t>PROGRAMAÇÃO</t>
  </si>
  <si>
    <t>CNPJ</t>
  </si>
  <si>
    <t>Código</t>
  </si>
  <si>
    <t>Descrição</t>
  </si>
  <si>
    <t>Data</t>
  </si>
  <si>
    <t>Quantidade</t>
  </si>
  <si>
    <t>Preço</t>
  </si>
  <si>
    <t>Valor</t>
  </si>
  <si>
    <t>Representatividade</t>
  </si>
  <si>
    <t>Total</t>
  </si>
  <si>
    <t>Rentabilidade</t>
  </si>
  <si>
    <t>%</t>
  </si>
  <si>
    <t>Lucro</t>
  </si>
  <si>
    <t>PETR4</t>
  </si>
  <si>
    <t>CIEL3</t>
  </si>
  <si>
    <t>OIBR3</t>
  </si>
  <si>
    <t>XPLG11</t>
  </si>
  <si>
    <t>VISC11</t>
  </si>
  <si>
    <t>BBPO11</t>
  </si>
  <si>
    <t>EMBR3</t>
  </si>
  <si>
    <t>ABEV3</t>
  </si>
  <si>
    <t>VLID3</t>
  </si>
  <si>
    <t>ITUB4</t>
  </si>
  <si>
    <t>CMIG4</t>
  </si>
  <si>
    <t>SANB4</t>
  </si>
  <si>
    <t>EQTL3</t>
  </si>
  <si>
    <t>TRPL4</t>
  </si>
  <si>
    <t>NTCO3</t>
  </si>
  <si>
    <t>BRFS3</t>
  </si>
  <si>
    <t>VALE3</t>
  </si>
  <si>
    <t>CCRO3</t>
  </si>
  <si>
    <t>SANB3</t>
  </si>
  <si>
    <t>CSNA3</t>
  </si>
  <si>
    <t>CVCB3</t>
  </si>
  <si>
    <t>VVAR3</t>
  </si>
  <si>
    <t>QGEP3</t>
  </si>
  <si>
    <t>BBDC3</t>
  </si>
  <si>
    <t>ITSA4</t>
  </si>
  <si>
    <t>CMIG3</t>
  </si>
  <si>
    <t>ELET3</t>
  </si>
  <si>
    <t>HYPE3</t>
  </si>
  <si>
    <t>GOAU3</t>
  </si>
  <si>
    <t>ENAT3</t>
  </si>
  <si>
    <t>TOTAL</t>
  </si>
  <si>
    <t>RESUMO DAS VENDAS</t>
  </si>
  <si>
    <t>FII</t>
  </si>
  <si>
    <t>FUNDO IMOBILIARIO</t>
  </si>
  <si>
    <t>Dividendos</t>
  </si>
  <si>
    <t>VIVT3</t>
  </si>
  <si>
    <t>GUAR3</t>
  </si>
  <si>
    <t>ENB3</t>
  </si>
  <si>
    <t>GRND3</t>
  </si>
  <si>
    <t>JHSF3</t>
  </si>
  <si>
    <t>BTOW3</t>
  </si>
  <si>
    <t>BRAP4</t>
  </si>
  <si>
    <t>Total Compra</t>
  </si>
  <si>
    <t>Total Venda</t>
  </si>
  <si>
    <t>Nota</t>
  </si>
  <si>
    <t>Titulo</t>
  </si>
  <si>
    <t>Quant</t>
  </si>
  <si>
    <t>Taxa Liquidacao</t>
  </si>
  <si>
    <t>Emolumentos</t>
  </si>
  <si>
    <t>Corretagem</t>
  </si>
  <si>
    <t>Tipo</t>
  </si>
  <si>
    <t>Data Transação</t>
  </si>
  <si>
    <t>Preço Médio</t>
  </si>
  <si>
    <t>Venda</t>
  </si>
  <si>
    <t>Compra</t>
  </si>
  <si>
    <t>Provento</t>
  </si>
  <si>
    <t>Juros Sobre Capital Proprio</t>
  </si>
  <si>
    <t>Rendimentos</t>
  </si>
  <si>
    <t>ABVE3</t>
  </si>
  <si>
    <t>Cadastro de Titulos</t>
  </si>
  <si>
    <t>Pega CNPJ das Acões</t>
  </si>
  <si>
    <t>https://br.advfn.com/bolsa-de-valores/bovespa/cielo-CIEL3/empresa</t>
  </si>
  <si>
    <t>AMBEV SA ON</t>
  </si>
  <si>
    <t>07.526.557/0001-00</t>
  </si>
  <si>
    <t>BBAS3</t>
  </si>
  <si>
    <t>BANCO DO BRASIL SA ON</t>
  </si>
  <si>
    <t>00.000.000/0001-91</t>
  </si>
  <si>
    <t>http://bvmf.bmfbovespa.com.br/Fundos-Listados/FundosListadosDetalhe.aspx?Sigla=XPLG&amp;tipoFundo=Imobiliario&amp;aba=abaPrincipal&amp;idioma=pt-br</t>
  </si>
  <si>
    <t>BANCO BRADESCO SA ON</t>
  </si>
  <si>
    <t>60.746.948/0001-12</t>
  </si>
  <si>
    <t>http://bvmf.bmfbovespa.com.br/Fundos-Listados/FundosListadosDetalhe.aspx?Sigla=VISC&amp;tipoFundo=Imobiliario&amp;aba=abaPrincipal&amp;idioma=pt-br</t>
  </si>
  <si>
    <t>BBDC4</t>
  </si>
  <si>
    <t>BANCO BRADESCO SA PN</t>
  </si>
  <si>
    <t>BANCO DO BRASIL LOCACAO</t>
  </si>
  <si>
    <t>14.410.722/0001-29</t>
  </si>
  <si>
    <t>BPAN4</t>
  </si>
  <si>
    <t>BANCO PAN S.A.</t>
  </si>
  <si>
    <t>00.000.000/0000-00</t>
  </si>
  <si>
    <t>BRASIL FOODS ON</t>
  </si>
  <si>
    <t>01.838.723/0001-27</t>
  </si>
  <si>
    <t>Validador de CNPJ</t>
  </si>
  <si>
    <t>B2W - COMPANHIA GLOBAL DO VAREJO ON</t>
  </si>
  <si>
    <t>00.776.574/0001-56</t>
  </si>
  <si>
    <t>http://www.validadordecnpj.clevert.com.br/v-cnpj.php</t>
  </si>
  <si>
    <t>GRUPO CCR - RODOVIAS</t>
  </si>
  <si>
    <t>02.846.056/0001-97</t>
  </si>
  <si>
    <t>CIELO SA</t>
  </si>
  <si>
    <t>01.027.058/0001-91</t>
  </si>
  <si>
    <t>CIA DE ENERGIA DE MINAS GERAIS ON</t>
  </si>
  <si>
    <t>17.155.730/0001-64</t>
  </si>
  <si>
    <t>COMPANHIA SIDERURGICA NACIONAL</t>
  </si>
  <si>
    <t>33.042.730/0001-04</t>
  </si>
  <si>
    <t>CVC BRAISL AGENCIA TURISMO</t>
  </si>
  <si>
    <t>10.760.260/0001-19</t>
  </si>
  <si>
    <t>ELETROBRAS ON</t>
  </si>
  <si>
    <t>00.001.180/0001-26</t>
  </si>
  <si>
    <t>EMBRAER SA</t>
  </si>
  <si>
    <t>07.689.002/0001-89</t>
  </si>
  <si>
    <t>Katinane</t>
  </si>
  <si>
    <t>ENAUTA PARTICIPAÇÕES S.A. ON</t>
  </si>
  <si>
    <t>11.669.021/0001-10</t>
  </si>
  <si>
    <t>https://www.meusdividendos.com/687912</t>
  </si>
  <si>
    <t>EQUATORIAL ENERGIA</t>
  </si>
  <si>
    <t>03.220.438/0001-73</t>
  </si>
  <si>
    <t>METALURGICA GERDAU ON</t>
  </si>
  <si>
    <t>92.690.783/0001-09</t>
  </si>
  <si>
    <t>HGBS11</t>
  </si>
  <si>
    <t>CSHG BRASIL SHOPPING - FDO INV IMOB – FII</t>
  </si>
  <si>
    <t>08.431.747/0001-06</t>
  </si>
  <si>
    <t>HTMX11</t>
  </si>
  <si>
    <t>FDO INV IMOB - FII HOTEL MAXINVEST</t>
  </si>
  <si>
    <t>08.706.065/0001-69</t>
  </si>
  <si>
    <t>HYPERMARCAS S/A</t>
  </si>
  <si>
    <t>02.932.074/0001-91</t>
  </si>
  <si>
    <t>https://www.meusdividendos.com/fundo-imobiliario/HGBS</t>
  </si>
  <si>
    <t>ITAU INVESTIMENTOS SA PN</t>
  </si>
  <si>
    <t>61.532.644/0001-15</t>
  </si>
  <si>
    <t>https://www.fundsexplorer.com.br/funds/HTMX11</t>
  </si>
  <si>
    <t>ITUB3</t>
  </si>
  <si>
    <t>ITAU UNIBANCO ON</t>
  </si>
  <si>
    <t>60.872.504/0001-23</t>
  </si>
  <si>
    <t>ITAU UNIBANCO PN</t>
  </si>
  <si>
    <t>ITAÚ UNIBANCO HOLDING S.A.</t>
  </si>
  <si>
    <t>NOTC3</t>
  </si>
  <si>
    <t>NATURA COSMETICO - AVON</t>
  </si>
  <si>
    <t>32.785.497/0001-97</t>
  </si>
  <si>
    <t>OI SA EM RECUPERAÇÃO JUDICIAL</t>
  </si>
  <si>
    <t>76.535.764/0001-43</t>
  </si>
  <si>
    <t>Link para acoes</t>
  </si>
  <si>
    <t>PETRÓLEO BRASILEIRO S.A. PN</t>
  </si>
  <si>
    <t>33.000.167/0001-01</t>
  </si>
  <si>
    <t>http://bvmf.bmfbovespa.com.br/cotacoes2000/FormConsultaCotacoes.asp?strListaCodigos=</t>
  </si>
  <si>
    <t>QUEIROZ GALVAO PART ON</t>
  </si>
  <si>
    <t>Separador</t>
  </si>
  <si>
    <t>BANCO SANTANDER BRON ON</t>
  </si>
  <si>
    <t>90.400.888/0001-42</t>
  </si>
  <si>
    <t>%7C</t>
  </si>
  <si>
    <t>BANCO SANTANDER BRON PN</t>
  </si>
  <si>
    <t>TRANSMISSÃO PAULISTA CTEEP</t>
  </si>
  <si>
    <t>02.998.611/0001-04</t>
  </si>
  <si>
    <t>http://www.itaucorretora.com.br/Finder/Finder/?stock=ciel3&amp;type=stock</t>
  </si>
  <si>
    <t>VALE</t>
  </si>
  <si>
    <t>33.592.510/0001-54</t>
  </si>
  <si>
    <t>VINCI SHOPPING CENTER FII</t>
  </si>
  <si>
    <t>17.554.274/0001-25</t>
  </si>
  <si>
    <t>33.113.309/0001-47</t>
  </si>
  <si>
    <t>VIA VAREJO SA ON</t>
  </si>
  <si>
    <t>33.041.260/0652-90</t>
  </si>
  <si>
    <t>*</t>
  </si>
  <si>
    <t>XP LOG FDO INV IMOB – FII</t>
  </si>
  <si>
    <t>26.502.794/0001-85</t>
  </si>
  <si>
    <t>Atualização</t>
  </si>
  <si>
    <t>as</t>
  </si>
  <si>
    <t>ENBR3</t>
  </si>
  <si>
    <t>B3Sa3</t>
  </si>
  <si>
    <t>TAEE11</t>
  </si>
  <si>
    <t>Diretorio</t>
  </si>
  <si>
    <t>F:\Cotacao</t>
  </si>
  <si>
    <t>Arquivo</t>
  </si>
  <si>
    <t>CARTEIRA DE AÇÕES</t>
  </si>
  <si>
    <t>Cotação</t>
  </si>
  <si>
    <t>PETROBRAS PN</t>
  </si>
  <si>
    <t>CIELO AS</t>
  </si>
  <si>
    <t>OI SA em Recuperação Judicial</t>
  </si>
  <si>
    <t>Ambev SA ON</t>
  </si>
  <si>
    <t>Embraer SA</t>
  </si>
  <si>
    <t>Hypefarma</t>
  </si>
  <si>
    <t>Grupo CCR – Rodovias</t>
  </si>
  <si>
    <t>BRML3</t>
  </si>
  <si>
    <t>BR MALLS PARON</t>
  </si>
  <si>
    <t>MRFG3</t>
  </si>
  <si>
    <t>IDA</t>
  </si>
  <si>
    <t>VOLTA</t>
  </si>
  <si>
    <t>coletivo</t>
  </si>
  <si>
    <t>onibus</t>
  </si>
  <si>
    <t>van</t>
  </si>
  <si>
    <t>SEMANA</t>
  </si>
  <si>
    <t>DIA</t>
  </si>
  <si>
    <t>MES</t>
  </si>
  <si>
    <t>FUNDO IMOBILIÁRIO</t>
  </si>
  <si>
    <t>Segmento</t>
  </si>
  <si>
    <t>Data Fundo</t>
  </si>
  <si>
    <t>Data Fim</t>
  </si>
  <si>
    <t>VPA</t>
  </si>
  <si>
    <t>Taxa Adm</t>
  </si>
  <si>
    <t>Cotas</t>
  </si>
  <si>
    <t>Vacancia</t>
  </si>
  <si>
    <t>Ativos</t>
  </si>
  <si>
    <t>HGJH11</t>
  </si>
  <si>
    <t>CSHG JHSF PRIME OFFICES FDO INV IMOB – FII</t>
  </si>
  <si>
    <t>Lajes Corporativas</t>
  </si>
  <si>
    <t>Indeterminada</t>
  </si>
  <si>
    <t>2 predio em SP</t>
  </si>
  <si>
    <t>Hotel</t>
  </si>
  <si>
    <t>24 ativos em SP%</t>
  </si>
  <si>
    <t>RBRD11</t>
  </si>
  <si>
    <t>RB CAPITAL RENDA II FDO INV IMOB – FII</t>
  </si>
  <si>
    <t>Hibrido</t>
  </si>
  <si>
    <t>4 ativos, MG, RJ, RN</t>
  </si>
  <si>
    <t>FEXC11</t>
  </si>
  <si>
    <t>FDO INV IMOB - FII BTG PACTUAL FUNDO DE CRI</t>
  </si>
  <si>
    <t>Titulos</t>
  </si>
  <si>
    <t>MBRF11</t>
  </si>
  <si>
    <t>FDO INV IMOB MERCANTIL DO BRASIL – FII</t>
  </si>
  <si>
    <t>Outros</t>
  </si>
  <si>
    <t>2 Ativos MG RJ</t>
  </si>
  <si>
    <t>HGCR11</t>
  </si>
  <si>
    <t>CSHG RECEBÍVEIS IMOBILIÁRIOS FDO INV IMOB – FII</t>
  </si>
  <si>
    <t>FIIB11</t>
  </si>
  <si>
    <t>FDO INV IMOB INDUSTRIAL DO BRASIL</t>
  </si>
  <si>
    <t>-</t>
  </si>
  <si>
    <t>1 Ativo em SC</t>
  </si>
  <si>
    <t>VINCI SHOPPING CENTERS FDO INVEST IMOB – FII</t>
  </si>
  <si>
    <t>Shopping</t>
  </si>
  <si>
    <t>9 Ativos BA, CE, PA, PE, PR, RI, SP</t>
  </si>
  <si>
    <t>Logistica</t>
  </si>
  <si>
    <t>5 Ativos RS, SP</t>
  </si>
  <si>
    <t>XPML11</t>
  </si>
  <si>
    <t xml:space="preserve">XP MALLS FDO INV IMOB FII </t>
  </si>
  <si>
    <t>7 Ativos AM. BA, PA, RJ, SP</t>
  </si>
  <si>
    <t>FVBI11</t>
  </si>
  <si>
    <t>FDO INV IMOB VBI FL 4440 – FII</t>
  </si>
  <si>
    <t>1 Ativo SP</t>
  </si>
  <si>
    <t>Pago R$</t>
  </si>
  <si>
    <t>Tarifa</t>
  </si>
  <si>
    <t>Taxa</t>
  </si>
  <si>
    <t>Resgate</t>
  </si>
  <si>
    <t>INVESTIMENTO MATERIAL DA CAIXA</t>
  </si>
  <si>
    <t xml:space="preserve">Quitação </t>
  </si>
  <si>
    <t>APTO</t>
  </si>
  <si>
    <t>Tesouro</t>
  </si>
  <si>
    <t>Prefixado 2021</t>
  </si>
  <si>
    <t>Prefixado 2025</t>
  </si>
  <si>
    <t>https://tesourodireto.bmfbovespa.com.br/PortalInvestidor/login.aspx?QS=aD355CXhRV6vA5vBWwgW4lpPlJuzTA0wNGNbNI6JoG3fgJlp1nQFfZGInyuirTp8vJISuS0ehW0wo2oLBEs0dDTcaFcCzYhM%2fkCxYCCjZe4eeAUYBy%2fFscDay0Ykh4iK</t>
  </si>
  <si>
    <t>IPCA+2024</t>
  </si>
  <si>
    <t>ITAU</t>
  </si>
  <si>
    <t>Previdencia Privada PGBL</t>
  </si>
  <si>
    <t>Previdencia Privada PGBL - Kinea</t>
  </si>
  <si>
    <t>Previdencia Privada  - Coruripe</t>
  </si>
  <si>
    <t>POUPANÇA</t>
  </si>
  <si>
    <t>EASYInvest</t>
  </si>
  <si>
    <t>Alaska Black FIC FIA II</t>
  </si>
  <si>
    <t>Compra Ações</t>
  </si>
  <si>
    <t>+</t>
  </si>
  <si>
    <t>Venda Acoes</t>
  </si>
  <si>
    <t>Cartão mês 10/2018</t>
  </si>
  <si>
    <t>Saque (17/09)</t>
  </si>
  <si>
    <t>Compra de Dolar</t>
  </si>
  <si>
    <t>SALDO</t>
  </si>
  <si>
    <t>IMOVEIS</t>
  </si>
  <si>
    <t>Inscrição</t>
  </si>
  <si>
    <t>Valorização</t>
  </si>
  <si>
    <t>Casa</t>
  </si>
  <si>
    <t>Firmino de Vasconcelos</t>
  </si>
  <si>
    <t>Apto</t>
  </si>
  <si>
    <t>De. Jose Lages, ITAPUA</t>
  </si>
  <si>
    <t>Terreno</t>
  </si>
  <si>
    <t>Barra de Santo Antonio</t>
  </si>
  <si>
    <t>Marechal Deodoro</t>
  </si>
  <si>
    <t>xpml11</t>
  </si>
  <si>
    <t>VENDER?</t>
  </si>
  <si>
    <t>Grupo</t>
  </si>
  <si>
    <t>BANCO</t>
  </si>
  <si>
    <t>RISCO</t>
  </si>
  <si>
    <t>ENERGIA</t>
  </si>
  <si>
    <t>EMP PUBLICA</t>
  </si>
  <si>
    <t>CARTEIRA</t>
  </si>
  <si>
    <t>DIVIDENDOS</t>
  </si>
  <si>
    <t>RESUMO CARTEIRA</t>
  </si>
  <si>
    <t>SOLUÇÕES E SERV. SEGURANÇA</t>
  </si>
  <si>
    <t>VALE MINERAÇÃO</t>
  </si>
</sst>
</file>

<file path=xl/styles.xml><?xml version="1.0" encoding="utf-8"?>
<styleSheet xmlns="http://schemas.openxmlformats.org/spreadsheetml/2006/main">
  <numFmts count="10">
    <numFmt numFmtId="164" formatCode="[$-416]d/m/yyyy"/>
    <numFmt numFmtId="165" formatCode="#,##0.0000"/>
    <numFmt numFmtId="166" formatCode="0.0000"/>
    <numFmt numFmtId="167" formatCode="_-* #,##0.00_-;\-* #,##0.00_-;_-* \-??_-;_-@_-"/>
    <numFmt numFmtId="168" formatCode="dd/mm/yy"/>
    <numFmt numFmtId="169" formatCode="#,##0.00000"/>
    <numFmt numFmtId="170" formatCode="dddd/mmm"/>
    <numFmt numFmtId="171" formatCode="[$-416]hh:mm"/>
    <numFmt numFmtId="172" formatCode="#,##0.000"/>
    <numFmt numFmtId="173" formatCode="_-* #,##0_-;\-* #,##0_-;_-* \-??_-;_-@_-"/>
  </numFmts>
  <fonts count="33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i/>
      <sz val="8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  <charset val="1"/>
    </font>
    <font>
      <b/>
      <sz val="10"/>
      <color rgb="FF127622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u/>
      <sz val="9"/>
      <color rgb="FF0000FF"/>
      <name val="Arial"/>
      <family val="2"/>
      <charset val="1"/>
    </font>
    <font>
      <b/>
      <i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color rgb="FF0000FF"/>
      <name val="Arial"/>
      <family val="2"/>
      <charset val="1"/>
    </font>
    <font>
      <sz val="10"/>
      <color rgb="FF00A853"/>
      <name val="Arial"/>
      <family val="2"/>
      <charset val="1"/>
    </font>
    <font>
      <b/>
      <sz val="10"/>
      <color rgb="FF00A853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u/>
      <sz val="1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0"/>
      <color theme="1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D7"/>
      </patternFill>
    </fill>
    <fill>
      <patternFill patternType="solid">
        <fgColor rgb="FFEEEEEE"/>
        <bgColor rgb="FFFFFFFF"/>
      </patternFill>
    </fill>
    <fill>
      <patternFill patternType="solid">
        <fgColor rgb="FFFFFFD7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rgb="FFFFFFFF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7">
    <xf numFmtId="0" fontId="0" fillId="0" borderId="0"/>
    <xf numFmtId="167" fontId="14" fillId="0" borderId="0" applyBorder="0" applyProtection="0"/>
    <xf numFmtId="9" fontId="14" fillId="0" borderId="0" applyBorder="0" applyProtection="0"/>
    <xf numFmtId="0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0" borderId="0" applyBorder="0" applyProtection="0"/>
    <xf numFmtId="0" fontId="2" fillId="0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1" fillId="8" borderId="0" applyBorder="0" applyProtection="0"/>
    <xf numFmtId="0" fontId="12" fillId="8" borderId="1" applyProtection="0"/>
    <xf numFmtId="0" fontId="12" fillId="8" borderId="1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126">
    <xf numFmtId="0" fontId="0" fillId="0" borderId="0" xfId="0"/>
    <xf numFmtId="0" fontId="26" fillId="0" borderId="0" xfId="0" applyFont="1" applyBorder="1" applyAlignment="1">
      <alignment horizontal="left" vertical="center" indent="1"/>
    </xf>
    <xf numFmtId="0" fontId="17" fillId="9" borderId="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0" xfId="0" applyFont="1" applyFill="1"/>
    <xf numFmtId="0" fontId="13" fillId="9" borderId="0" xfId="0" applyFont="1" applyFill="1" applyBorder="1" applyAlignment="1">
      <alignment horizontal="center" vertical="center"/>
    </xf>
    <xf numFmtId="0" fontId="13" fillId="9" borderId="3" xfId="0" applyFont="1" applyFill="1" applyBorder="1"/>
    <xf numFmtId="0" fontId="13" fillId="9" borderId="4" xfId="0" applyFont="1" applyFill="1" applyBorder="1"/>
    <xf numFmtId="0" fontId="13" fillId="9" borderId="4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4" fontId="0" fillId="0" borderId="0" xfId="0" applyNumberFormat="1" applyFont="1"/>
    <xf numFmtId="10" fontId="14" fillId="0" borderId="0" xfId="2" applyNumberFormat="1" applyBorder="1" applyAlignment="1" applyProtection="1"/>
    <xf numFmtId="4" fontId="0" fillId="0" borderId="0" xfId="0" applyNumberFormat="1"/>
    <xf numFmtId="10" fontId="0" fillId="0" borderId="0" xfId="0" applyNumberFormat="1"/>
    <xf numFmtId="0" fontId="15" fillId="0" borderId="0" xfId="0" applyFon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166" fontId="16" fillId="0" borderId="0" xfId="0" applyNumberFormat="1" applyFont="1"/>
    <xf numFmtId="4" fontId="16" fillId="0" borderId="0" xfId="0" applyNumberFormat="1" applyFont="1"/>
    <xf numFmtId="10" fontId="16" fillId="0" borderId="0" xfId="0" applyNumberFormat="1" applyFont="1"/>
    <xf numFmtId="2" fontId="16" fillId="0" borderId="0" xfId="0" applyNumberFormat="1" applyFont="1"/>
    <xf numFmtId="0" fontId="17" fillId="9" borderId="5" xfId="0" applyFont="1" applyFill="1" applyBorder="1"/>
    <xf numFmtId="4" fontId="17" fillId="9" borderId="5" xfId="0" applyNumberFormat="1" applyFont="1" applyFill="1" applyBorder="1"/>
    <xf numFmtId="10" fontId="17" fillId="9" borderId="5" xfId="0" applyNumberFormat="1" applyFont="1" applyFill="1" applyBorder="1"/>
    <xf numFmtId="4" fontId="17" fillId="0" borderId="0" xfId="0" applyNumberFormat="1" applyFont="1"/>
    <xf numFmtId="10" fontId="17" fillId="0" borderId="0" xfId="0" applyNumberFormat="1" applyFont="1"/>
    <xf numFmtId="165" fontId="0" fillId="0" borderId="0" xfId="0" applyNumberFormat="1"/>
    <xf numFmtId="167" fontId="0" fillId="0" borderId="0" xfId="1" applyFont="1" applyBorder="1" applyAlignment="1" applyProtection="1"/>
    <xf numFmtId="168" fontId="0" fillId="0" borderId="0" xfId="0" applyNumberFormat="1"/>
    <xf numFmtId="2" fontId="0" fillId="0" borderId="0" xfId="0" applyNumberFormat="1"/>
    <xf numFmtId="10" fontId="0" fillId="0" borderId="0" xfId="2" applyNumberFormat="1" applyFont="1" applyBorder="1" applyAlignment="1" applyProtection="1"/>
    <xf numFmtId="0" fontId="15" fillId="10" borderId="3" xfId="0" applyFont="1" applyFill="1" applyBorder="1"/>
    <xf numFmtId="4" fontId="15" fillId="10" borderId="3" xfId="0" applyNumberFormat="1" applyFont="1" applyFill="1" applyBorder="1"/>
    <xf numFmtId="0" fontId="0" fillId="0" borderId="0" xfId="0" applyFont="1" applyAlignment="1">
      <alignment wrapText="1"/>
    </xf>
    <xf numFmtId="3" fontId="0" fillId="0" borderId="0" xfId="0" applyNumberFormat="1"/>
    <xf numFmtId="169" fontId="0" fillId="0" borderId="0" xfId="0" applyNumberFormat="1"/>
    <xf numFmtId="0" fontId="15" fillId="10" borderId="5" xfId="0" applyFont="1" applyFill="1" applyBorder="1"/>
    <xf numFmtId="3" fontId="15" fillId="10" borderId="5" xfId="0" applyNumberFormat="1" applyFont="1" applyFill="1" applyBorder="1"/>
    <xf numFmtId="164" fontId="15" fillId="10" borderId="5" xfId="0" applyNumberFormat="1" applyFont="1" applyFill="1" applyBorder="1"/>
    <xf numFmtId="4" fontId="15" fillId="10" borderId="5" xfId="0" applyNumberFormat="1" applyFont="1" applyFill="1" applyBorder="1"/>
    <xf numFmtId="165" fontId="15" fillId="10" borderId="5" xfId="0" applyNumberFormat="1" applyFont="1" applyFill="1" applyBorder="1"/>
    <xf numFmtId="0" fontId="15" fillId="10" borderId="0" xfId="0" applyFont="1" applyFill="1"/>
    <xf numFmtId="3" fontId="15" fillId="10" borderId="0" xfId="0" applyNumberFormat="1" applyFont="1" applyFill="1"/>
    <xf numFmtId="164" fontId="15" fillId="10" borderId="0" xfId="0" applyNumberFormat="1" applyFont="1" applyFill="1"/>
    <xf numFmtId="4" fontId="15" fillId="10" borderId="0" xfId="0" applyNumberFormat="1" applyFont="1" applyFill="1"/>
    <xf numFmtId="165" fontId="15" fillId="10" borderId="0" xfId="0" applyNumberFormat="1" applyFont="1" applyFill="1"/>
    <xf numFmtId="0" fontId="15" fillId="10" borderId="3" xfId="0" applyFont="1" applyFill="1" applyBorder="1"/>
    <xf numFmtId="3" fontId="15" fillId="10" borderId="3" xfId="0" applyNumberFormat="1" applyFont="1" applyFill="1" applyBorder="1"/>
    <xf numFmtId="164" fontId="15" fillId="10" borderId="3" xfId="0" applyNumberFormat="1" applyFont="1" applyFill="1" applyBorder="1"/>
    <xf numFmtId="165" fontId="15" fillId="10" borderId="3" xfId="0" applyNumberFormat="1" applyFont="1" applyFill="1" applyBorder="1"/>
    <xf numFmtId="170" fontId="0" fillId="0" borderId="0" xfId="0" applyNumberFormat="1" applyFont="1"/>
    <xf numFmtId="0" fontId="18" fillId="0" borderId="0" xfId="3" applyFont="1" applyBorder="1" applyAlignment="1" applyProtection="1"/>
    <xf numFmtId="0" fontId="19" fillId="9" borderId="0" xfId="0" applyFont="1" applyFill="1"/>
    <xf numFmtId="0" fontId="0" fillId="0" borderId="0" xfId="0"/>
    <xf numFmtId="0" fontId="20" fillId="0" borderId="0" xfId="0" applyFont="1"/>
    <xf numFmtId="0" fontId="0" fillId="0" borderId="0" xfId="0" applyFont="1" applyAlignment="1">
      <alignment horizontal="center"/>
    </xf>
    <xf numFmtId="171" fontId="0" fillId="0" borderId="0" xfId="0" applyNumberFormat="1"/>
    <xf numFmtId="168" fontId="0" fillId="0" borderId="0" xfId="0" applyNumberFormat="1" applyFont="1"/>
    <xf numFmtId="10" fontId="0" fillId="0" borderId="0" xfId="0" applyNumberFormat="1" applyFont="1"/>
    <xf numFmtId="0" fontId="21" fillId="0" borderId="0" xfId="0" applyFont="1" applyBorder="1" applyAlignment="1">
      <alignment horizontal="left" vertical="center"/>
    </xf>
    <xf numFmtId="172" fontId="0" fillId="0" borderId="0" xfId="0" applyNumberFormat="1"/>
    <xf numFmtId="0" fontId="22" fillId="0" borderId="0" xfId="0" applyFont="1" applyBorder="1" applyAlignment="1">
      <alignment horizontal="left" vertical="center" wrapText="1"/>
    </xf>
    <xf numFmtId="10" fontId="23" fillId="9" borderId="5" xfId="0" applyNumberFormat="1" applyFont="1" applyFill="1" applyBorder="1"/>
    <xf numFmtId="0" fontId="24" fillId="0" borderId="0" xfId="0" applyFont="1"/>
    <xf numFmtId="164" fontId="24" fillId="0" borderId="0" xfId="0" applyNumberFormat="1" applyFont="1"/>
    <xf numFmtId="4" fontId="24" fillId="0" borderId="0" xfId="0" applyNumberFormat="1" applyFont="1"/>
    <xf numFmtId="168" fontId="24" fillId="0" borderId="0" xfId="0" applyNumberFormat="1" applyFont="1"/>
    <xf numFmtId="10" fontId="24" fillId="0" borderId="0" xfId="0" applyNumberFormat="1" applyFont="1"/>
    <xf numFmtId="4" fontId="25" fillId="0" borderId="0" xfId="0" applyNumberFormat="1" applyFont="1"/>
    <xf numFmtId="10" fontId="25" fillId="0" borderId="0" xfId="0" applyNumberFormat="1" applyFont="1"/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/>
    <xf numFmtId="4" fontId="20" fillId="0" borderId="0" xfId="0" applyNumberFormat="1" applyFont="1" applyBorder="1"/>
    <xf numFmtId="10" fontId="20" fillId="0" borderId="0" xfId="0" applyNumberFormat="1" applyFont="1" applyBorder="1"/>
    <xf numFmtId="0" fontId="21" fillId="0" borderId="0" xfId="0" applyFont="1" applyBorder="1" applyAlignment="1">
      <alignment horizontal="center" vertical="center"/>
    </xf>
    <xf numFmtId="168" fontId="21" fillId="0" borderId="0" xfId="0" applyNumberFormat="1" applyFont="1" applyBorder="1"/>
    <xf numFmtId="0" fontId="21" fillId="0" borderId="0" xfId="0" applyFont="1" applyBorder="1"/>
    <xf numFmtId="4" fontId="21" fillId="0" borderId="0" xfId="0" applyNumberFormat="1" applyFont="1" applyBorder="1"/>
    <xf numFmtId="0" fontId="21" fillId="0" borderId="0" xfId="0" applyFont="1"/>
    <xf numFmtId="165" fontId="21" fillId="0" borderId="0" xfId="0" applyNumberFormat="1" applyFont="1" applyBorder="1"/>
    <xf numFmtId="3" fontId="21" fillId="0" borderId="0" xfId="0" applyNumberFormat="1" applyFont="1" applyBorder="1"/>
    <xf numFmtId="10" fontId="21" fillId="0" borderId="0" xfId="0" applyNumberFormat="1" applyFont="1" applyBorder="1"/>
    <xf numFmtId="0" fontId="21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/>
    <xf numFmtId="4" fontId="20" fillId="0" borderId="5" xfId="0" applyNumberFormat="1" applyFont="1" applyBorder="1"/>
    <xf numFmtId="10" fontId="20" fillId="0" borderId="5" xfId="0" applyNumberFormat="1" applyFont="1" applyBorder="1"/>
    <xf numFmtId="164" fontId="15" fillId="0" borderId="0" xfId="0" applyNumberFormat="1" applyFont="1"/>
    <xf numFmtId="0" fontId="18" fillId="0" borderId="0" xfId="3" applyFont="1" applyBorder="1" applyAlignment="1" applyProtection="1">
      <alignment wrapText="1"/>
    </xf>
    <xf numFmtId="4" fontId="23" fillId="9" borderId="5" xfId="0" applyNumberFormat="1" applyFont="1" applyFill="1" applyBorder="1"/>
    <xf numFmtId="9" fontId="0" fillId="0" borderId="0" xfId="2" applyFont="1" applyBorder="1" applyAlignment="1" applyProtection="1"/>
    <xf numFmtId="173" fontId="0" fillId="0" borderId="0" xfId="1" applyNumberFormat="1" applyFont="1" applyBorder="1" applyAlignment="1" applyProtection="1"/>
    <xf numFmtId="173" fontId="0" fillId="0" borderId="0" xfId="0" applyNumberFormat="1"/>
    <xf numFmtId="0" fontId="13" fillId="9" borderId="3" xfId="0" applyFont="1" applyFill="1" applyBorder="1" applyAlignment="1">
      <alignment horizontal="left"/>
    </xf>
    <xf numFmtId="14" fontId="0" fillId="0" borderId="0" xfId="0" applyNumberFormat="1"/>
    <xf numFmtId="0" fontId="0" fillId="0" borderId="0" xfId="0" applyFont="1" applyFill="1"/>
    <xf numFmtId="0" fontId="28" fillId="0" borderId="0" xfId="0" applyFont="1" applyFill="1"/>
    <xf numFmtId="0" fontId="15" fillId="0" borderId="0" xfId="0" applyFont="1" applyFill="1"/>
    <xf numFmtId="0" fontId="29" fillId="0" borderId="0" xfId="0" applyFont="1"/>
    <xf numFmtId="10" fontId="14" fillId="0" borderId="0" xfId="2" applyNumberFormat="1"/>
    <xf numFmtId="167" fontId="14" fillId="0" borderId="0" xfId="1"/>
    <xf numFmtId="0" fontId="15" fillId="10" borderId="0" xfId="0" applyFont="1" applyFill="1" applyBorder="1" applyAlignment="1">
      <alignment horizontal="center"/>
    </xf>
    <xf numFmtId="0" fontId="13" fillId="9" borderId="0" xfId="0" applyFont="1" applyFill="1" applyBorder="1"/>
    <xf numFmtId="0" fontId="17" fillId="11" borderId="0" xfId="0" applyFont="1" applyFill="1" applyBorder="1"/>
    <xf numFmtId="0" fontId="17" fillId="11" borderId="0" xfId="0" applyFont="1" applyFill="1" applyBorder="1" applyAlignment="1">
      <alignment horizontal="center" vertical="center"/>
    </xf>
    <xf numFmtId="4" fontId="17" fillId="11" borderId="0" xfId="0" applyNumberFormat="1" applyFont="1" applyFill="1" applyBorder="1"/>
    <xf numFmtId="10" fontId="17" fillId="11" borderId="0" xfId="0" applyNumberFormat="1" applyFont="1" applyFill="1" applyBorder="1"/>
    <xf numFmtId="0" fontId="17" fillId="11" borderId="0" xfId="0" applyFont="1" applyFill="1" applyBorder="1" applyAlignment="1">
      <alignment horizontal="center" vertical="center"/>
    </xf>
    <xf numFmtId="10" fontId="17" fillId="11" borderId="0" xfId="0" applyNumberFormat="1" applyFont="1" applyFill="1"/>
    <xf numFmtId="0" fontId="0" fillId="11" borderId="0" xfId="0" applyFill="1"/>
    <xf numFmtId="0" fontId="32" fillId="12" borderId="5" xfId="0" applyFont="1" applyFill="1" applyBorder="1"/>
    <xf numFmtId="0" fontId="32" fillId="12" borderId="5" xfId="0" applyFont="1" applyFill="1" applyBorder="1" applyAlignment="1">
      <alignment horizontal="center" vertical="center"/>
    </xf>
    <xf numFmtId="4" fontId="32" fillId="12" borderId="5" xfId="0" applyNumberFormat="1" applyFont="1" applyFill="1" applyBorder="1"/>
    <xf numFmtId="10" fontId="32" fillId="12" borderId="5" xfId="0" applyNumberFormat="1" applyFont="1" applyFill="1" applyBorder="1"/>
    <xf numFmtId="0" fontId="32" fillId="12" borderId="0" xfId="0" applyFont="1" applyFill="1" applyBorder="1"/>
    <xf numFmtId="0" fontId="32" fillId="12" borderId="0" xfId="0" applyFont="1" applyFill="1" applyBorder="1" applyAlignment="1">
      <alignment horizontal="center" vertical="center"/>
    </xf>
    <xf numFmtId="4" fontId="32" fillId="12" borderId="0" xfId="0" applyNumberFormat="1" applyFont="1" applyFill="1" applyBorder="1"/>
    <xf numFmtId="10" fontId="32" fillId="12" borderId="0" xfId="0" applyNumberFormat="1" applyFont="1" applyFill="1" applyBorder="1"/>
  </cellXfs>
  <cellStyles count="37">
    <cellStyle name="Accent 1 1" xfId="4"/>
    <cellStyle name="Accent 1 2" xfId="5"/>
    <cellStyle name="Accent 2 1" xfId="6"/>
    <cellStyle name="Accent 2 2" xfId="7"/>
    <cellStyle name="Accent 3 1" xfId="8"/>
    <cellStyle name="Accent 3 2" xfId="9"/>
    <cellStyle name="Accent 4" xfId="10"/>
    <cellStyle name="Accent 5" xfId="11"/>
    <cellStyle name="Bad 1" xfId="12"/>
    <cellStyle name="Bad 2" xfId="13"/>
    <cellStyle name="Error 1" xfId="14"/>
    <cellStyle name="Error 2" xfId="15"/>
    <cellStyle name="Footnote 1" xfId="16"/>
    <cellStyle name="Footnote 2" xfId="17"/>
    <cellStyle name="Good 1" xfId="18"/>
    <cellStyle name="Good 2" xfId="19"/>
    <cellStyle name="Heading 1 1" xfId="20"/>
    <cellStyle name="Heading 1 2" xfId="21"/>
    <cellStyle name="Heading 2 1" xfId="22"/>
    <cellStyle name="Heading 2 2" xfId="23"/>
    <cellStyle name="Heading 3" xfId="24"/>
    <cellStyle name="Heading 4" xfId="25"/>
    <cellStyle name="Hyperlink" xfId="3" builtinId="8"/>
    <cellStyle name="Hyperlink 1" xfId="26"/>
    <cellStyle name="Neutral 1" xfId="27"/>
    <cellStyle name="Neutral 2" xfId="28"/>
    <cellStyle name="Normal" xfId="0" builtinId="0"/>
    <cellStyle name="Note 1" xfId="29"/>
    <cellStyle name="Note 2" xfId="30"/>
    <cellStyle name="Porcentagem" xfId="2" builtinId="5"/>
    <cellStyle name="Separador de milhares" xfId="1" builtinId="3"/>
    <cellStyle name="Status 1" xfId="31"/>
    <cellStyle name="Status 2" xfId="32"/>
    <cellStyle name="Text 1" xfId="33"/>
    <cellStyle name="Text 2" xfId="34"/>
    <cellStyle name="Warning 1" xfId="35"/>
    <cellStyle name="Warning 2" xfId="36"/>
  </cellStyles>
  <dxfs count="2">
    <dxf>
      <font>
        <b/>
        <i val="0"/>
        <color theme="0"/>
      </font>
      <fill>
        <patternFill>
          <bgColor theme="6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6" tint="0.39994506668294322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D7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853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eusdividendos.com/687912" TargetMode="External"/><Relationship Id="rId7" Type="http://schemas.openxmlformats.org/officeDocument/2006/relationships/hyperlink" Target="http://www.itaucorretora.com.br/Finder/Finder/?stock=ciel3&amp;type=stock%00%00%00%00%00%00%00%00%00" TargetMode="External"/><Relationship Id="rId2" Type="http://schemas.openxmlformats.org/officeDocument/2006/relationships/hyperlink" Target="http://www.validadordecnpj.clevert.com.br/v-cnpj.php" TargetMode="External"/><Relationship Id="rId1" Type="http://schemas.openxmlformats.org/officeDocument/2006/relationships/hyperlink" Target="https://br.advfn.com/bolsa-de-valores/bovespa/cielo-CIEL3/empresa" TargetMode="External"/><Relationship Id="rId6" Type="http://schemas.openxmlformats.org/officeDocument/2006/relationships/hyperlink" Target="http://bvmf.bmfbovespa.com.br/cotacoes2000/FormConsultaCotacoes.asp?strListaCodigos%00%00%00%00%00%00%00%00%00" TargetMode="External"/><Relationship Id="rId5" Type="http://schemas.openxmlformats.org/officeDocument/2006/relationships/hyperlink" Target="https://www.fundsexplorer.com.br/funds/HTMX11" TargetMode="External"/><Relationship Id="rId4" Type="http://schemas.openxmlformats.org/officeDocument/2006/relationships/hyperlink" Target="https://www.meusdividendos.com/fundo-imobiliario/HGB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esourodireto.bmfbovespa.com.br/PortalInvestidor/login.aspx?QS=aD355CXhRV6vA5vBWwgW4lpPlJuzTA0wNGNbNI6JoG3fgJlp1nQFfZGInyuirTp8vJISuS0ehW0wo2oLBEs0dDTcaFcCzYhM%2FkCxYCCjZe4eeAUYBy%2FFscDay0Ykh4iK" TargetMode="External"/><Relationship Id="rId1" Type="http://schemas.openxmlformats.org/officeDocument/2006/relationships/hyperlink" Target="../../../../../C:/Users/ewerton/AppData/Roaming/Microsoft/Cotac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S85"/>
  <sheetViews>
    <sheetView topLeftCell="A28" zoomScale="90" zoomScaleNormal="90" workbookViewId="0">
      <pane xSplit="4" topLeftCell="E1" activePane="topRight" state="frozen"/>
      <selection activeCell="A3" sqref="A3"/>
      <selection pane="topRight" activeCell="D23" sqref="D23"/>
    </sheetView>
  </sheetViews>
  <sheetFormatPr defaultRowHeight="12.75"/>
  <cols>
    <col min="1" max="1" width="10.7109375" style="58" customWidth="1"/>
    <col min="2" max="2" width="19.5703125" customWidth="1"/>
    <col min="3" max="3" width="11.42578125" customWidth="1"/>
    <col min="4" max="4" width="36.7109375" customWidth="1"/>
    <col min="5" max="8" width="11.42578125" customWidth="1"/>
    <col min="9" max="9" width="10.85546875" customWidth="1"/>
    <col min="10" max="10" width="11.42578125" customWidth="1"/>
    <col min="11" max="11" width="8.7109375" customWidth="1"/>
    <col min="12" max="14" width="11.42578125" customWidth="1"/>
    <col min="15" max="15" width="5.85546875" style="58" customWidth="1"/>
    <col min="16" max="16" width="8.28515625" customWidth="1"/>
    <col min="17" max="1027" width="11.42578125" customWidth="1"/>
  </cols>
  <sheetData>
    <row r="5" spans="1:19" ht="14.65" customHeight="1">
      <c r="B5" s="5"/>
      <c r="C5" s="5"/>
      <c r="D5" s="5"/>
      <c r="E5" s="4" t="s">
        <v>0</v>
      </c>
      <c r="F5" s="4"/>
      <c r="G5" s="4"/>
      <c r="H5" s="4"/>
      <c r="I5" s="4" t="s">
        <v>1</v>
      </c>
      <c r="J5" s="4"/>
      <c r="K5" s="4"/>
      <c r="L5" s="4"/>
      <c r="M5" s="4"/>
      <c r="N5" s="4"/>
      <c r="O5" s="6"/>
      <c r="P5" s="3" t="s">
        <v>2</v>
      </c>
      <c r="Q5" s="3"/>
      <c r="R5" s="3"/>
      <c r="S5" s="3"/>
    </row>
    <row r="6" spans="1:19" ht="14.65" customHeight="1">
      <c r="A6" s="7" t="s">
        <v>276</v>
      </c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8" t="s">
        <v>9</v>
      </c>
      <c r="I6" s="7" t="s">
        <v>6</v>
      </c>
      <c r="J6" s="7" t="s">
        <v>10</v>
      </c>
      <c r="K6" s="7" t="s">
        <v>8</v>
      </c>
      <c r="L6" s="7" t="s">
        <v>11</v>
      </c>
      <c r="M6" s="7" t="s">
        <v>12</v>
      </c>
      <c r="N6" s="9" t="s">
        <v>13</v>
      </c>
      <c r="O6" s="10" t="s">
        <v>275</v>
      </c>
      <c r="P6" s="101" t="s">
        <v>8</v>
      </c>
      <c r="Q6" s="10" t="s">
        <v>11</v>
      </c>
      <c r="R6" s="10" t="s">
        <v>14</v>
      </c>
      <c r="S6" s="10" t="s">
        <v>13</v>
      </c>
    </row>
    <row r="7" spans="1:19" ht="14.65" customHeight="1">
      <c r="A7" s="58" t="str">
        <f>VLOOKUP(C7,Cadastro!$A$7:$D$55,4,1)</f>
        <v>RISCO</v>
      </c>
      <c r="B7" t="str">
        <f>VLOOKUP(C7,Cadastro!$A$7:$D$55,3,1)</f>
        <v>07.526.557/0001-00</v>
      </c>
      <c r="C7" s="103" t="s">
        <v>22</v>
      </c>
      <c r="D7" s="11" t="str">
        <f>VLOOKUP(C7,Cadastro!$A$7:$D$55,2,1)</f>
        <v>AMBEV SA ON</v>
      </c>
      <c r="E7" s="12">
        <v>43453</v>
      </c>
      <c r="F7" s="11">
        <v>100</v>
      </c>
      <c r="G7" s="13">
        <v>15.82</v>
      </c>
      <c r="H7" s="14">
        <f>F7*G7</f>
        <v>1582</v>
      </c>
      <c r="J7" s="15">
        <f>L7/$L$49</f>
        <v>1.46860077592473E-2</v>
      </c>
      <c r="K7">
        <v>12.25</v>
      </c>
      <c r="L7" s="16">
        <f>K7*F7</f>
        <v>1225</v>
      </c>
      <c r="M7" s="16">
        <f>L7-H7</f>
        <v>-357</v>
      </c>
      <c r="N7" s="17">
        <f>M7/H7</f>
        <v>-0.22566371681415928</v>
      </c>
      <c r="O7" t="str">
        <f>IF(K7&gt;=P7,"SIM","")</f>
        <v/>
      </c>
      <c r="P7" s="11">
        <v>18</v>
      </c>
      <c r="Q7" s="16">
        <f>F7*P7</f>
        <v>1800</v>
      </c>
      <c r="R7" s="16">
        <f>Q7-H7</f>
        <v>218</v>
      </c>
      <c r="S7" s="17">
        <f>R7/H7</f>
        <v>0.13780025284450062</v>
      </c>
    </row>
    <row r="8" spans="1:19" ht="14.65" customHeight="1">
      <c r="A8" s="58" t="str">
        <f>VLOOKUP(C8,Cadastro!$A$7:$D$55,4,1)</f>
        <v>BANCO</v>
      </c>
      <c r="B8" s="11" t="str">
        <f>VLOOKUP(C8,Cadastro!$A$7:$C$55,3,1)</f>
        <v>00.000.000/0001-91</v>
      </c>
      <c r="C8" s="103" t="s">
        <v>79</v>
      </c>
      <c r="D8" s="11" t="str">
        <f>VLOOKUP(C8,Cadastro!$A$7:$D$55,2,1)</f>
        <v>BANCO DO BRASIL SA ON</v>
      </c>
      <c r="E8" s="19">
        <v>43908</v>
      </c>
      <c r="F8" s="11">
        <v>100</v>
      </c>
      <c r="G8" s="13">
        <v>26.4</v>
      </c>
      <c r="H8" s="14">
        <f>F8*G8</f>
        <v>2640</v>
      </c>
      <c r="J8" s="15">
        <f>L8/$L$49</f>
        <v>3.6061641910053781E-2</v>
      </c>
      <c r="K8">
        <v>30.08</v>
      </c>
      <c r="L8" s="16">
        <f>K8*F8</f>
        <v>3008</v>
      </c>
      <c r="M8" s="16">
        <f>L8-H8</f>
        <v>368</v>
      </c>
      <c r="N8" s="17">
        <f>M8/H8</f>
        <v>0.1393939393939394</v>
      </c>
      <c r="O8" s="58" t="str">
        <f>IF(K8&gt;=P8,"SIM","")</f>
        <v/>
      </c>
      <c r="P8" s="11">
        <v>40</v>
      </c>
      <c r="Q8" s="16">
        <f>F8*P8</f>
        <v>4000</v>
      </c>
      <c r="R8" s="16">
        <f>Q8-H8</f>
        <v>1360</v>
      </c>
      <c r="S8" s="17">
        <f>R8/H8</f>
        <v>0.51515151515151514</v>
      </c>
    </row>
    <row r="9" spans="1:19" ht="14.65" customHeight="1">
      <c r="A9" s="58" t="str">
        <f>VLOOKUP(C9,Cadastro!$A$7:$D$55,4,1)</f>
        <v>BANCO</v>
      </c>
      <c r="B9" s="11" t="str">
        <f>VLOOKUP(C9,Cadastro!$A$7:$C$55,3,1)</f>
        <v>60.746.948/0001-12</v>
      </c>
      <c r="C9" s="103" t="s">
        <v>38</v>
      </c>
      <c r="D9" s="11" t="str">
        <f>VLOOKUP(C9,Cadastro!$A$7:$D$55,2,1)</f>
        <v>BANCO BRADESCO SA ON</v>
      </c>
      <c r="E9" s="12">
        <v>43899</v>
      </c>
      <c r="F9" s="11">
        <v>200</v>
      </c>
      <c r="G9" s="13">
        <v>22.45</v>
      </c>
      <c r="H9" s="14">
        <f>F9*G9</f>
        <v>4490</v>
      </c>
      <c r="J9" s="15">
        <f>L9/$L$49</f>
        <v>5.1790655934651701E-2</v>
      </c>
      <c r="K9">
        <v>21.6</v>
      </c>
      <c r="L9" s="16">
        <f>K9*F9</f>
        <v>4320</v>
      </c>
      <c r="M9" s="16">
        <f>L9-H9</f>
        <v>-170</v>
      </c>
      <c r="N9" s="17">
        <f>M9/H9</f>
        <v>-3.7861915367483297E-2</v>
      </c>
      <c r="O9" s="58" t="str">
        <f>IF(K9&gt;=P9,"SIM","")</f>
        <v/>
      </c>
      <c r="P9" s="11">
        <v>25</v>
      </c>
      <c r="Q9" s="16">
        <f>F9*P9</f>
        <v>5000</v>
      </c>
      <c r="R9" s="16">
        <f>Q9-H9</f>
        <v>510</v>
      </c>
      <c r="S9" s="17">
        <f>R9/H9</f>
        <v>0.11358574610244988</v>
      </c>
    </row>
    <row r="10" spans="1:19" s="58" customFormat="1" ht="14.65" customHeight="1">
      <c r="A10" s="58" t="str">
        <f>VLOOKUP(C10,Cadastro!$A$7:$D$55,4,1)</f>
        <v>FII</v>
      </c>
      <c r="B10" s="11" t="str">
        <f>VLOOKUP(C10,Cadastro!$A$7:$C$55,3,1)</f>
        <v>14.410.722/0001-29</v>
      </c>
      <c r="C10" s="103" t="s">
        <v>20</v>
      </c>
      <c r="D10" s="11" t="str">
        <f>VLOOKUP(C10,Cadastro!$A$7:$D$55,2,1)</f>
        <v>BANCO DO BRASIL LOCACAO</v>
      </c>
      <c r="E10" s="12">
        <v>43805</v>
      </c>
      <c r="F10" s="11">
        <v>20</v>
      </c>
      <c r="G10" s="13">
        <v>157.74</v>
      </c>
      <c r="H10" s="14">
        <f>F10*G10</f>
        <v>3154.8</v>
      </c>
      <c r="J10" s="15">
        <f>L10/$L$49</f>
        <v>3.3325848464616857E-2</v>
      </c>
      <c r="K10" s="58">
        <v>138.99</v>
      </c>
      <c r="L10" s="16">
        <f>K10*F10</f>
        <v>2779.8</v>
      </c>
      <c r="M10" s="16">
        <f>L10-H10</f>
        <v>-375</v>
      </c>
      <c r="N10" s="17">
        <f>M10/H10</f>
        <v>-0.11886648915937618</v>
      </c>
      <c r="O10" s="58" t="str">
        <f>IF(K10&gt;=P10,"SIM","")</f>
        <v/>
      </c>
      <c r="P10" s="58">
        <v>175</v>
      </c>
      <c r="Q10" s="16">
        <f>F10*P10</f>
        <v>3500</v>
      </c>
      <c r="R10" s="16">
        <f>Q10-H10</f>
        <v>345.19999999999982</v>
      </c>
      <c r="S10" s="17">
        <f>R10/H10</f>
        <v>0.10942056548751103</v>
      </c>
    </row>
    <row r="11" spans="1:19" ht="14.65" customHeight="1">
      <c r="A11" s="58" t="str">
        <f>VLOOKUP(C11,Cadastro!$A$7:$D$55,4,1)</f>
        <v>RISCO</v>
      </c>
      <c r="B11" s="11" t="str">
        <f>VLOOKUP(C11,Cadastro!$A$7:$C$55,3,1)</f>
        <v>01.838.723/0001-27</v>
      </c>
      <c r="C11" s="105" t="s">
        <v>30</v>
      </c>
      <c r="D11" s="11" t="str">
        <f>VLOOKUP(C11,Cadastro!$A$7:$D$55,2,1)</f>
        <v>BRASIL FOODS ON</v>
      </c>
      <c r="E11" s="12">
        <v>43857</v>
      </c>
      <c r="F11" s="11">
        <v>200</v>
      </c>
      <c r="G11" s="13">
        <v>31.58</v>
      </c>
      <c r="H11" s="14">
        <f>F11*G11</f>
        <v>6316</v>
      </c>
      <c r="J11" s="15">
        <f>L11/$L$49</f>
        <v>4.5388755409396145E-2</v>
      </c>
      <c r="K11">
        <v>18.93</v>
      </c>
      <c r="L11" s="16">
        <f>K11*F11</f>
        <v>3786</v>
      </c>
      <c r="M11" s="16">
        <f>L11-H11</f>
        <v>-2530</v>
      </c>
      <c r="N11" s="17">
        <f>M11/H11</f>
        <v>-0.40056998100063329</v>
      </c>
      <c r="O11" s="58" t="str">
        <f>IF(K11&gt;=P11,"SIM","")</f>
        <v/>
      </c>
      <c r="P11" s="11">
        <v>25</v>
      </c>
      <c r="Q11" s="16">
        <f>F11*P11</f>
        <v>5000</v>
      </c>
      <c r="R11" s="16">
        <f>Q11-H11</f>
        <v>-1316</v>
      </c>
      <c r="S11" s="17">
        <f>R11/H11</f>
        <v>-0.2083597213426219</v>
      </c>
    </row>
    <row r="12" spans="1:19" ht="14.65" customHeight="1">
      <c r="A12" s="58" t="str">
        <f>VLOOKUP(C12,Cadastro!$A$7:$D$55,4,1)</f>
        <v>RISCO</v>
      </c>
      <c r="B12" s="11" t="str">
        <f>VLOOKUP(C12,Cadastro!$A$7:$C$55,3,1)</f>
        <v>02.846.056/0001-97</v>
      </c>
      <c r="C12" s="104" t="s">
        <v>32</v>
      </c>
      <c r="D12" s="11" t="str">
        <f>VLOOKUP(C12,Cadastro!$A$7:$D$55,2,1)</f>
        <v>GRUPO CCR - RODOVIAS</v>
      </c>
      <c r="E12" s="19">
        <v>43888</v>
      </c>
      <c r="F12" s="11">
        <v>200</v>
      </c>
      <c r="G12" s="13">
        <v>16.329999999999998</v>
      </c>
      <c r="H12" s="14">
        <f>F12*G12</f>
        <v>3265.9999999999995</v>
      </c>
      <c r="J12" s="15">
        <f>L12/$L$49</f>
        <v>3.0211215961880162E-2</v>
      </c>
      <c r="K12">
        <v>12.6</v>
      </c>
      <c r="L12" s="16">
        <f>K12*F12</f>
        <v>2520</v>
      </c>
      <c r="M12" s="16">
        <f>L12-H12</f>
        <v>-745.99999999999955</v>
      </c>
      <c r="N12" s="17">
        <f>M12/H12</f>
        <v>-0.22841396203306785</v>
      </c>
      <c r="O12" s="58" t="str">
        <f>IF(K12&gt;=P12,"SIM","")</f>
        <v/>
      </c>
      <c r="P12" s="11">
        <v>16</v>
      </c>
      <c r="Q12" s="16">
        <f>F12*P12</f>
        <v>3200</v>
      </c>
      <c r="R12" s="16">
        <f>Q12-H12</f>
        <v>-65.999999999999545</v>
      </c>
      <c r="S12" s="17">
        <f>R12/H12</f>
        <v>-2.0208205756276656E-2</v>
      </c>
    </row>
    <row r="13" spans="1:19" ht="14.65" customHeight="1">
      <c r="A13" s="58" t="str">
        <f>VLOOKUP(C13,Cadastro!$A$7:$D$55,4,1)</f>
        <v>RISCO</v>
      </c>
      <c r="B13" s="11" t="str">
        <f>VLOOKUP(C13,Cadastro!$A$7:$C$55,3,1)</f>
        <v>01.027.058/0001-91</v>
      </c>
      <c r="C13" s="104" t="s">
        <v>16</v>
      </c>
      <c r="D13" s="11" t="str">
        <f>VLOOKUP(C13,Cadastro!$A$7:$D$55,2,1)</f>
        <v>CIELO SA</v>
      </c>
      <c r="E13" s="12">
        <v>43412</v>
      </c>
      <c r="F13" s="11">
        <v>600</v>
      </c>
      <c r="G13" s="13">
        <f>H13/F13</f>
        <v>11.027215999999999</v>
      </c>
      <c r="H13" s="14">
        <v>6616.3296</v>
      </c>
      <c r="J13" s="15">
        <f>L13/$L$49</f>
        <v>3.1002462094215113E-2</v>
      </c>
      <c r="K13">
        <v>4.3099999999999996</v>
      </c>
      <c r="L13" s="16">
        <f>K13*F13</f>
        <v>2585.9999999999995</v>
      </c>
      <c r="M13" s="16">
        <f>L13-H13</f>
        <v>-4030.3296000000005</v>
      </c>
      <c r="N13" s="17">
        <f>M13/H13</f>
        <v>-0.60914885497844617</v>
      </c>
      <c r="O13" s="58" t="str">
        <f>IF(K13&gt;=P13,"SIM","")</f>
        <v/>
      </c>
      <c r="P13">
        <v>7</v>
      </c>
      <c r="Q13" s="16">
        <f>F13*P13</f>
        <v>4200</v>
      </c>
      <c r="R13" s="16">
        <f>Q13-H13</f>
        <v>-2416.3296</v>
      </c>
      <c r="S13" s="17">
        <f>R13/H13</f>
        <v>-0.3652069570415597</v>
      </c>
    </row>
    <row r="14" spans="1:19" ht="14.85" customHeight="1">
      <c r="A14" s="58" t="str">
        <f>VLOOKUP(C14,Cadastro!$A$7:$D$55,4,1)</f>
        <v>ENERGIA</v>
      </c>
      <c r="B14" s="11" t="str">
        <f>VLOOKUP(C14,Cadastro!$A$7:$C$55,3,1)</f>
        <v>17.155.730/0001-64</v>
      </c>
      <c r="C14" s="103" t="s">
        <v>25</v>
      </c>
      <c r="D14" s="11" t="str">
        <f>VLOOKUP(C14,Cadastro!$A$7:$D$55,2,1)</f>
        <v>CIA DE ENERGIA DE MINAS GERAIS ON</v>
      </c>
      <c r="E14" s="12">
        <v>43805</v>
      </c>
      <c r="F14" s="11">
        <v>300</v>
      </c>
      <c r="G14" s="13">
        <v>13.17</v>
      </c>
      <c r="H14" s="14">
        <f>F14*G14</f>
        <v>3951</v>
      </c>
      <c r="J14" s="15">
        <f>L14/$L$49</f>
        <v>3.1937571159701889E-2</v>
      </c>
      <c r="K14">
        <v>8.8800000000000008</v>
      </c>
      <c r="L14" s="16">
        <f>K14*F14</f>
        <v>2664.0000000000005</v>
      </c>
      <c r="M14" s="16">
        <f>L14-H14</f>
        <v>-1286.9999999999995</v>
      </c>
      <c r="N14" s="17">
        <f>M14/H14</f>
        <v>-0.32574031890660582</v>
      </c>
      <c r="O14" s="58" t="str">
        <f>IF(K14&gt;=P14,"SIM","")</f>
        <v/>
      </c>
      <c r="P14" s="11">
        <v>14</v>
      </c>
      <c r="Q14" s="16">
        <f>F14*P14</f>
        <v>4200</v>
      </c>
      <c r="R14" s="16">
        <f>Q14-H14</f>
        <v>249</v>
      </c>
      <c r="S14" s="17">
        <f>R14/H14</f>
        <v>6.3022019741837507E-2</v>
      </c>
    </row>
    <row r="15" spans="1:19" ht="14.85" customHeight="1">
      <c r="A15" s="58" t="str">
        <f>VLOOKUP(C15,Cadastro!$A$7:$D$55,4,1)</f>
        <v>RISCO</v>
      </c>
      <c r="B15" s="11" t="str">
        <f>VLOOKUP(C15,Cadastro!$A$7:$C$55,3,1)</f>
        <v>33.042.730/0001-04</v>
      </c>
      <c r="C15" s="104" t="s">
        <v>34</v>
      </c>
      <c r="D15" s="11" t="str">
        <f>VLOOKUP(C15,Cadastro!$A$7:$D$55,2,1)</f>
        <v>COMPANHIA SIDERURGICA NACIONAL</v>
      </c>
      <c r="E15" s="19">
        <v>43888</v>
      </c>
      <c r="F15" s="11">
        <v>200</v>
      </c>
      <c r="G15" s="13">
        <v>11.52</v>
      </c>
      <c r="H15" s="14">
        <f>F15*G15</f>
        <v>2304</v>
      </c>
      <c r="J15" s="15">
        <f>L15/$L$49</f>
        <v>1.6855940334287105E-2</v>
      </c>
      <c r="K15">
        <v>7.03</v>
      </c>
      <c r="L15" s="16">
        <f>K15*F15</f>
        <v>1406</v>
      </c>
      <c r="M15" s="16">
        <f>L15-H15</f>
        <v>-898</v>
      </c>
      <c r="N15" s="17">
        <f>M15/H15</f>
        <v>-0.38975694444444442</v>
      </c>
      <c r="O15" s="58" t="str">
        <f>IF(K15&gt;=P15,"SIM","")</f>
        <v/>
      </c>
      <c r="P15" s="11">
        <v>9.5</v>
      </c>
      <c r="Q15" s="16">
        <f>F15*P15</f>
        <v>1900</v>
      </c>
      <c r="R15" s="16">
        <f>Q15-H15</f>
        <v>-404</v>
      </c>
      <c r="S15" s="17">
        <f>R15/H15</f>
        <v>-0.17534722222222221</v>
      </c>
    </row>
    <row r="16" spans="1:19" ht="14.85" customHeight="1">
      <c r="A16" s="58" t="str">
        <f>VLOOKUP(C16,Cadastro!$A$7:$D$55,4,1)</f>
        <v>RISCO</v>
      </c>
      <c r="B16" s="11" t="str">
        <f>VLOOKUP(C16,Cadastro!$A$7:$C$55,3,1)</f>
        <v>10.760.260/0001-19</v>
      </c>
      <c r="C16" s="104" t="s">
        <v>35</v>
      </c>
      <c r="D16" s="11" t="str">
        <f>VLOOKUP(C16,Cadastro!$A$7:$D$55,2,1)</f>
        <v>CVC BRAISL AGENCIA TURISMO</v>
      </c>
      <c r="E16" s="19">
        <v>43895</v>
      </c>
      <c r="F16" s="11">
        <v>100</v>
      </c>
      <c r="G16" s="13">
        <v>22.41</v>
      </c>
      <c r="H16" s="14">
        <f>F16*G16</f>
        <v>2241</v>
      </c>
      <c r="J16" s="15">
        <f>L16/$L$49</f>
        <v>1.3451184249694262E-2</v>
      </c>
      <c r="K16">
        <v>11.22</v>
      </c>
      <c r="L16" s="16">
        <f>K16*F16</f>
        <v>1122</v>
      </c>
      <c r="M16" s="16">
        <f>L16-H16</f>
        <v>-1119</v>
      </c>
      <c r="N16" s="17">
        <f>M16/H16</f>
        <v>-0.49933065595716197</v>
      </c>
      <c r="O16" s="58" t="str">
        <f>IF(K16&gt;=P16,"SIM","")</f>
        <v/>
      </c>
      <c r="P16" s="11">
        <v>25</v>
      </c>
      <c r="Q16" s="16">
        <f>F16*P16</f>
        <v>2500</v>
      </c>
      <c r="R16" s="16">
        <f>Q16-H16</f>
        <v>259</v>
      </c>
      <c r="S16" s="17">
        <f>R16/H16</f>
        <v>0.11557340473003123</v>
      </c>
    </row>
    <row r="17" spans="1:19" ht="14.85" customHeight="1">
      <c r="A17" s="58" t="str">
        <f>VLOOKUP(C17,Cadastro!$A$7:$D$55,4,1)</f>
        <v>ENERGIA</v>
      </c>
      <c r="B17" s="11" t="str">
        <f>VLOOKUP(C17,Cadastro!$A$7:$C$55,3,1)</f>
        <v>00.001.180/0001-26</v>
      </c>
      <c r="C17" s="103" t="s">
        <v>41</v>
      </c>
      <c r="D17" s="11" t="str">
        <f>VLOOKUP(C17,Cadastro!$A$7:$D$55,2,1)</f>
        <v>ELETROBRAS ON</v>
      </c>
      <c r="E17" s="19">
        <v>43908</v>
      </c>
      <c r="F17" s="11">
        <v>100</v>
      </c>
      <c r="G17" s="13">
        <v>19.7</v>
      </c>
      <c r="H17" s="14">
        <f>F17*G17</f>
        <v>1970</v>
      </c>
      <c r="J17" s="15">
        <f>L17/$L$49</f>
        <v>3.0990473516452465E-2</v>
      </c>
      <c r="K17">
        <v>25.85</v>
      </c>
      <c r="L17" s="16">
        <f>K17*F17</f>
        <v>2585</v>
      </c>
      <c r="M17" s="16">
        <f>L17-H17</f>
        <v>615</v>
      </c>
      <c r="N17" s="17">
        <f>M17/H17</f>
        <v>0.31218274111675126</v>
      </c>
      <c r="O17" s="58" t="str">
        <f>IF(K17&gt;=P17,"SIM","")</f>
        <v/>
      </c>
      <c r="P17" s="11">
        <v>30</v>
      </c>
      <c r="Q17" s="16">
        <f>F17*P17</f>
        <v>3000</v>
      </c>
      <c r="R17" s="16">
        <f>Q17-H17</f>
        <v>1030</v>
      </c>
      <c r="S17" s="17">
        <f>R17/H17</f>
        <v>0.52284263959390864</v>
      </c>
    </row>
    <row r="18" spans="1:19" ht="14.85" customHeight="1">
      <c r="A18" s="58" t="str">
        <f>VLOOKUP(C18,Cadastro!$A$7:$D$55,4,1)</f>
        <v>EMP PUBLICA</v>
      </c>
      <c r="B18" s="11" t="str">
        <f>VLOOKUP(C18,Cadastro!$A$7:$C$55,3,1)</f>
        <v>07.689.002/0001-89</v>
      </c>
      <c r="C18" s="105" t="s">
        <v>21</v>
      </c>
      <c r="D18" s="11" t="str">
        <f>VLOOKUP(C18,Cadastro!$A$7:$D$55,2,1)</f>
        <v>EMBRAER SA</v>
      </c>
      <c r="E18" s="12">
        <v>43497</v>
      </c>
      <c r="F18" s="11">
        <v>100</v>
      </c>
      <c r="G18" s="13">
        <f>H18/F18</f>
        <v>19.254000000000001</v>
      </c>
      <c r="H18" s="14">
        <v>1925.4</v>
      </c>
      <c r="J18" s="15">
        <f>L18/$L$49</f>
        <v>1.1329205985705059E-2</v>
      </c>
      <c r="K18">
        <v>9.4499999999999993</v>
      </c>
      <c r="L18" s="16">
        <f>K18*F18</f>
        <v>944.99999999999989</v>
      </c>
      <c r="M18" s="16">
        <f>L18-H18</f>
        <v>-980.4000000000002</v>
      </c>
      <c r="N18" s="17">
        <f>M18/H18</f>
        <v>-0.5091928949828608</v>
      </c>
      <c r="O18" s="58" t="str">
        <f>IF(K18&gt;=P18,"SIM","")</f>
        <v/>
      </c>
      <c r="P18" s="11">
        <v>18</v>
      </c>
      <c r="Q18" s="16">
        <f>F18*P18</f>
        <v>1800</v>
      </c>
      <c r="R18" s="16">
        <f>Q18-H18</f>
        <v>-125.40000000000009</v>
      </c>
      <c r="S18" s="17">
        <f>R18/H18</f>
        <v>-6.5129323776877579E-2</v>
      </c>
    </row>
    <row r="19" spans="1:19" ht="14.65" customHeight="1">
      <c r="A19" s="58" t="str">
        <f>VLOOKUP(C19,Cadastro!$A$7:$D$55,4,1)</f>
        <v>ENERGIA</v>
      </c>
      <c r="B19" s="11" t="str">
        <f>VLOOKUP(C19,Cadastro!$A$7:$C$55,3,1)</f>
        <v>03.220.438/0001-73</v>
      </c>
      <c r="C19" s="103" t="s">
        <v>27</v>
      </c>
      <c r="D19" s="11" t="str">
        <f>VLOOKUP(C19,Cadastro!$A$7:$D$55,2,1)</f>
        <v>EQUATORIAL ENERGIA</v>
      </c>
      <c r="E19" s="12">
        <v>43826</v>
      </c>
      <c r="F19" s="11">
        <v>200</v>
      </c>
      <c r="G19" s="13">
        <v>22.51</v>
      </c>
      <c r="H19" s="14">
        <f>F19*G19</f>
        <v>4502</v>
      </c>
      <c r="J19" s="15">
        <f>L19/$L$49</f>
        <v>4.3350697189745498E-2</v>
      </c>
      <c r="K19">
        <v>18.079999999999998</v>
      </c>
      <c r="L19" s="16">
        <f>K19*F19</f>
        <v>3615.9999999999995</v>
      </c>
      <c r="M19" s="16">
        <f>L19-H19</f>
        <v>-886.00000000000045</v>
      </c>
      <c r="N19" s="17">
        <f>M19/H19</f>
        <v>-0.19680142159040437</v>
      </c>
      <c r="O19" s="58" t="str">
        <f>IF(K19&gt;=P19,"SIM","")</f>
        <v/>
      </c>
      <c r="P19" s="11">
        <v>25</v>
      </c>
      <c r="Q19" s="16">
        <f>F19*P19</f>
        <v>5000</v>
      </c>
      <c r="R19" s="16">
        <f>Q19-H19</f>
        <v>498</v>
      </c>
      <c r="S19" s="17">
        <f>R19/H19</f>
        <v>0.11061750333185251</v>
      </c>
    </row>
    <row r="20" spans="1:19" ht="14.65" customHeight="1">
      <c r="A20" s="58" t="str">
        <f>VLOOKUP(C20,Cadastro!$A$7:$D$55,4,1)</f>
        <v>BANCO</v>
      </c>
      <c r="B20" s="11" t="str">
        <f>VLOOKUP(C20,Cadastro!$A$7:$C$55,3,1)</f>
        <v>60.872.504/0001-23</v>
      </c>
      <c r="C20" s="103" t="s">
        <v>24</v>
      </c>
      <c r="D20" s="11" t="str">
        <f>VLOOKUP(C20,Cadastro!$A$7:$D$55,2,1)</f>
        <v>ITAÚ UNIBANCO HOLDING S.A.</v>
      </c>
      <c r="E20" s="12">
        <v>43712</v>
      </c>
      <c r="F20" s="11">
        <f>100+100</f>
        <v>200</v>
      </c>
      <c r="G20" s="13">
        <f>H20/F20</f>
        <v>32.15</v>
      </c>
      <c r="H20" s="14">
        <f>3290+3140</f>
        <v>6430</v>
      </c>
      <c r="J20" s="15">
        <f>L20/$L$49</f>
        <v>5.886391681461571E-2</v>
      </c>
      <c r="K20">
        <v>24.55</v>
      </c>
      <c r="L20" s="16">
        <f>K20*F20</f>
        <v>4910</v>
      </c>
      <c r="M20" s="16">
        <f>L20-H20</f>
        <v>-1520</v>
      </c>
      <c r="N20" s="17">
        <f>M20/H20</f>
        <v>-0.2363919129082426</v>
      </c>
      <c r="O20" s="58" t="str">
        <f>IF(K20&gt;=P20,"SIM","")</f>
        <v/>
      </c>
      <c r="P20" s="11">
        <v>35</v>
      </c>
      <c r="Q20" s="16">
        <f>F20*P20</f>
        <v>7000</v>
      </c>
      <c r="R20" s="16">
        <f>Q20-H20</f>
        <v>570</v>
      </c>
      <c r="S20" s="17">
        <f>R20/H20</f>
        <v>8.8646967340590979E-2</v>
      </c>
    </row>
    <row r="21" spans="1:19" ht="14.65" customHeight="1">
      <c r="A21" s="58" t="str">
        <f>VLOOKUP(C21,Cadastro!$A$7:$D$55,4,1)</f>
        <v>RISCO</v>
      </c>
      <c r="B21" s="11" t="str">
        <f>VLOOKUP(C21,Cadastro!$A$7:$C$55,3,1)</f>
        <v>32.785.497/0001-97</v>
      </c>
      <c r="C21" s="103" t="s">
        <v>29</v>
      </c>
      <c r="D21" s="11" t="str">
        <f>VLOOKUP(C21,Cadastro!$A$7:$D$55,2,1)</f>
        <v>NATURA COSMETICO - AVON</v>
      </c>
      <c r="E21" s="12">
        <v>43836</v>
      </c>
      <c r="F21" s="11">
        <v>100</v>
      </c>
      <c r="G21" s="13">
        <v>42.2</v>
      </c>
      <c r="H21" s="14">
        <f>F21*G21</f>
        <v>4220</v>
      </c>
      <c r="J21" s="15">
        <f>L21/$L$49</f>
        <v>3.5114544266804361E-2</v>
      </c>
      <c r="K21">
        <v>29.29</v>
      </c>
      <c r="L21" s="16">
        <f>K21*F21</f>
        <v>2929</v>
      </c>
      <c r="M21" s="16">
        <f>L21-H21</f>
        <v>-1291</v>
      </c>
      <c r="N21" s="17">
        <f>M21/H21</f>
        <v>-0.30592417061611377</v>
      </c>
      <c r="O21" s="58" t="str">
        <f>IF(K21&gt;=P21,"SIM","")</f>
        <v/>
      </c>
      <c r="P21" s="11">
        <v>38</v>
      </c>
      <c r="Q21" s="16">
        <f>F21*P21</f>
        <v>3800</v>
      </c>
      <c r="R21" s="16">
        <f>Q21-H21</f>
        <v>-420</v>
      </c>
      <c r="S21" s="17">
        <f>R21/H21</f>
        <v>-9.9526066350710901E-2</v>
      </c>
    </row>
    <row r="22" spans="1:19" ht="14.65" customHeight="1">
      <c r="A22" s="58" t="str">
        <f>VLOOKUP(C22,Cadastro!$A$7:$D$55,4,1)</f>
        <v>RISCO</v>
      </c>
      <c r="B22" s="11" t="str">
        <f>VLOOKUP(C22,Cadastro!$A$7:$C$55,3,1)</f>
        <v>76.535.764/0001-43</v>
      </c>
      <c r="C22" s="105" t="s">
        <v>17</v>
      </c>
      <c r="D22" s="11" t="str">
        <f>VLOOKUP(C22,Cadastro!$A$7:$D$55,2,1)</f>
        <v>OI SA EM RECUPERAÇÃO JUDICIAL</v>
      </c>
      <c r="E22" s="12">
        <v>43425</v>
      </c>
      <c r="F22" s="58">
        <f>800+1200</f>
        <v>2000</v>
      </c>
      <c r="G22" s="13">
        <f>H22/F22</f>
        <v>2.0761100000000003</v>
      </c>
      <c r="H22" s="58">
        <f>1371.84+2780.38</f>
        <v>4152.22</v>
      </c>
      <c r="J22" s="15">
        <f>L22/$L$49</f>
        <v>1.1988577762650858E-2</v>
      </c>
      <c r="K22">
        <v>0.5</v>
      </c>
      <c r="L22" s="16">
        <f>K22*F22</f>
        <v>1000</v>
      </c>
      <c r="M22" s="16">
        <f>L22-H22</f>
        <v>-3152.2200000000003</v>
      </c>
      <c r="N22" s="17">
        <f>M22/H22</f>
        <v>-0.75916497680758732</v>
      </c>
      <c r="O22" s="58" t="str">
        <f>IF(K22&gt;=P22,"SIM","")</f>
        <v/>
      </c>
      <c r="P22" s="58">
        <v>0.85</v>
      </c>
      <c r="Q22" s="16">
        <f>F22*P22</f>
        <v>1700</v>
      </c>
      <c r="R22" s="16">
        <f>Q22-H22</f>
        <v>-2452.2200000000003</v>
      </c>
      <c r="S22" s="17">
        <f>R22/H22</f>
        <v>-0.59058046057289837</v>
      </c>
    </row>
    <row r="23" spans="1:19" ht="14.65" customHeight="1">
      <c r="A23" s="58" t="str">
        <f>VLOOKUP(C23,Cadastro!$A$7:$D$55,4,1)</f>
        <v>EMP PUBLICA</v>
      </c>
      <c r="B23" s="11" t="str">
        <f>VLOOKUP(C23,Cadastro!$A$7:$C$55,3,1)</f>
        <v>33.000.167/0001-01</v>
      </c>
      <c r="C23" s="103" t="s">
        <v>15</v>
      </c>
      <c r="D23" s="11" t="str">
        <f>VLOOKUP(C23,Cadastro!$A$7:$D$55,2,1)</f>
        <v>PETRÓLEO BRASILEIRO S.A. PN</v>
      </c>
      <c r="E23" s="12">
        <v>43257</v>
      </c>
      <c r="F23" s="58">
        <f>300+200+200+500</f>
        <v>1200</v>
      </c>
      <c r="G23" s="13">
        <f>H23/F23</f>
        <v>19.202141666666666</v>
      </c>
      <c r="H23" s="58">
        <f>4952.57+4790+4600+8700</f>
        <v>23042.57</v>
      </c>
      <c r="J23" s="15">
        <f>L23/$L$49</f>
        <v>0.24010723543037138</v>
      </c>
      <c r="K23">
        <v>16.690000000000001</v>
      </c>
      <c r="L23" s="16">
        <f>K23*F23</f>
        <v>20028</v>
      </c>
      <c r="M23" s="16">
        <f>L23-H23</f>
        <v>-3014.5699999999997</v>
      </c>
      <c r="N23" s="17">
        <f>M23/H23</f>
        <v>-0.13082611878796505</v>
      </c>
      <c r="O23" s="58" t="str">
        <f>IF(K23&gt;=P23,"SIM","")</f>
        <v/>
      </c>
      <c r="P23" s="58">
        <v>30</v>
      </c>
      <c r="Q23" s="16">
        <f>F23*P23</f>
        <v>36000</v>
      </c>
      <c r="R23" s="16">
        <f>Q23-H23</f>
        <v>12957.43</v>
      </c>
      <c r="S23" s="17">
        <f>R23/H23</f>
        <v>0.56232573015943965</v>
      </c>
    </row>
    <row r="24" spans="1:19" ht="14.65" customHeight="1">
      <c r="A24" s="58" t="str">
        <f>VLOOKUP(C24,Cadastro!$A$7:$D$55,4,1)</f>
        <v>BANCO</v>
      </c>
      <c r="B24" s="11" t="str">
        <f>VLOOKUP(C24,Cadastro!$A$7:$C$55,3,1)</f>
        <v>90.400.888/0001-42</v>
      </c>
      <c r="C24" s="103" t="s">
        <v>33</v>
      </c>
      <c r="D24" s="11" t="str">
        <f>VLOOKUP(C24,Cadastro!$A$7:$D$55,2,1)</f>
        <v>BANCO SANTANDER BRON ON</v>
      </c>
      <c r="E24" s="19">
        <v>43888</v>
      </c>
      <c r="F24" s="11">
        <v>200</v>
      </c>
      <c r="G24" s="13">
        <v>19.3</v>
      </c>
      <c r="H24" s="14">
        <f>F24*G24</f>
        <v>3860</v>
      </c>
      <c r="J24" s="15">
        <f>L24/$L$49</f>
        <v>3.3208360402542873E-2</v>
      </c>
      <c r="K24">
        <v>13.85</v>
      </c>
      <c r="L24" s="16">
        <f>K24*F24</f>
        <v>2770</v>
      </c>
      <c r="M24" s="16">
        <f>L24-H24</f>
        <v>-1090</v>
      </c>
      <c r="N24" s="17">
        <f>M24/H24</f>
        <v>-0.28238341968911918</v>
      </c>
      <c r="O24" s="58" t="str">
        <f>IF(K24&gt;=P24,"SIM","")</f>
        <v/>
      </c>
      <c r="P24" s="11">
        <v>20</v>
      </c>
      <c r="Q24" s="16">
        <f>F24*P24</f>
        <v>4000</v>
      </c>
      <c r="R24" s="16">
        <f>Q24-H24</f>
        <v>140</v>
      </c>
      <c r="S24" s="17">
        <f>R24/H24</f>
        <v>3.6269430051813469E-2</v>
      </c>
    </row>
    <row r="25" spans="1:19" ht="14.65" customHeight="1">
      <c r="A25" s="58" t="str">
        <f>VLOOKUP(C25,Cadastro!$A$7:$D$55,4,1)</f>
        <v>BANCO</v>
      </c>
      <c r="B25" s="11" t="str">
        <f>VLOOKUP(C25,Cadastro!$A$7:$C$55,3,1)</f>
        <v>90.400.888/0001-42</v>
      </c>
      <c r="C25" s="103" t="s">
        <v>26</v>
      </c>
      <c r="D25" s="11" t="str">
        <f>VLOOKUP(C25,Cadastro!$A$7:$D$55,2,1)</f>
        <v>BANCO SANTANDER BRON PN</v>
      </c>
      <c r="E25" s="12">
        <v>43811</v>
      </c>
      <c r="F25" s="11">
        <v>200</v>
      </c>
      <c r="G25" s="13">
        <v>20.100000000000001</v>
      </c>
      <c r="H25" s="14">
        <f>F25*G25</f>
        <v>4020.0000000000005</v>
      </c>
      <c r="J25" s="15">
        <f>L25/$L$49</f>
        <v>3.4646989734060975E-2</v>
      </c>
      <c r="K25">
        <v>14.45</v>
      </c>
      <c r="L25" s="16">
        <f>K25*F25</f>
        <v>2890</v>
      </c>
      <c r="M25" s="16">
        <f>L25-H25</f>
        <v>-1130.0000000000005</v>
      </c>
      <c r="N25" s="17">
        <f>M25/H25</f>
        <v>-0.28109452736318419</v>
      </c>
      <c r="O25" s="58" t="str">
        <f>IF(K25&gt;=P25,"SIM","")</f>
        <v/>
      </c>
      <c r="P25" s="11">
        <v>21</v>
      </c>
      <c r="Q25" s="16">
        <f>F25*P25</f>
        <v>4200</v>
      </c>
      <c r="R25" s="16">
        <f>Q25-H25</f>
        <v>179.99999999999955</v>
      </c>
      <c r="S25" s="17">
        <f>R25/H25</f>
        <v>4.4776119402984954E-2</v>
      </c>
    </row>
    <row r="26" spans="1:19" ht="14.65" customHeight="1">
      <c r="A26" s="58" t="str">
        <f>VLOOKUP(C26,Cadastro!$A$7:$D$55,4,1)</f>
        <v>ENERGIA</v>
      </c>
      <c r="B26" s="11" t="str">
        <f>VLOOKUP(C26,Cadastro!$A$7:$C$55,3,1)</f>
        <v>02.998.611/0001-04</v>
      </c>
      <c r="C26" s="103" t="s">
        <v>28</v>
      </c>
      <c r="D26" s="11" t="str">
        <f>VLOOKUP(C26,Cadastro!$A$7:$D$55,2,1)</f>
        <v>TRANSMISSÃO PAULISTA CTEEP</v>
      </c>
      <c r="E26" s="12">
        <v>43832</v>
      </c>
      <c r="F26" s="11">
        <v>200</v>
      </c>
      <c r="G26" s="13">
        <v>22.58</v>
      </c>
      <c r="H26" s="14">
        <f>F26*G26</f>
        <v>4516</v>
      </c>
      <c r="J26" s="15">
        <f>L26/$L$49</f>
        <v>4.8817488649514289E-2</v>
      </c>
      <c r="K26">
        <v>20.36</v>
      </c>
      <c r="L26" s="16">
        <f>K26*F26</f>
        <v>4072</v>
      </c>
      <c r="M26" s="16">
        <f>L26-H26</f>
        <v>-444</v>
      </c>
      <c r="N26" s="17">
        <f>M26/H26</f>
        <v>-9.8317094774136402E-2</v>
      </c>
      <c r="O26" s="58" t="str">
        <f>IF(K26&gt;=P26,"SIM","")</f>
        <v/>
      </c>
      <c r="P26" s="11">
        <v>22.6</v>
      </c>
      <c r="Q26" s="16">
        <f>F26*P26</f>
        <v>4520</v>
      </c>
      <c r="R26" s="16">
        <f>Q26-H26</f>
        <v>4</v>
      </c>
      <c r="S26" s="17">
        <f>R26/H26</f>
        <v>8.8573959255978745E-4</v>
      </c>
    </row>
    <row r="27" spans="1:19" ht="14.65" customHeight="1">
      <c r="A27" s="58" t="str">
        <f>VLOOKUP(C27,Cadastro!$A$7:$D$55,4,1)</f>
        <v>EMP PUBLICA</v>
      </c>
      <c r="B27" s="11" t="str">
        <f>VLOOKUP(C27,Cadastro!$A$7:$C$55,3,1)</f>
        <v>33.592.510/0001-54</v>
      </c>
      <c r="C27" s="103" t="s">
        <v>31</v>
      </c>
      <c r="D27" s="11" t="str">
        <f>VLOOKUP(C27,Cadastro!$A$7:$D$55,2,1)</f>
        <v>VALE MINERAÇÃO</v>
      </c>
      <c r="E27" s="19">
        <v>43861</v>
      </c>
      <c r="F27" s="11">
        <v>100</v>
      </c>
      <c r="G27" s="13">
        <v>50.4</v>
      </c>
      <c r="H27" s="14">
        <f>F27*G27</f>
        <v>5040</v>
      </c>
      <c r="J27" s="15">
        <f>L27/$L$49</f>
        <v>5.3277239577220407E-2</v>
      </c>
      <c r="K27">
        <v>44.44</v>
      </c>
      <c r="L27" s="16">
        <f>K27*F27</f>
        <v>4444</v>
      </c>
      <c r="M27" s="16">
        <f>L27-H27</f>
        <v>-596</v>
      </c>
      <c r="N27" s="17">
        <f>M27/H27</f>
        <v>-0.11825396825396825</v>
      </c>
      <c r="O27" s="58" t="str">
        <f>IF(K27&gt;=P27,"SIM","")</f>
        <v/>
      </c>
      <c r="P27" s="11">
        <v>54</v>
      </c>
      <c r="Q27" s="16">
        <f>F27*P27</f>
        <v>5400</v>
      </c>
      <c r="R27" s="16">
        <f>Q27-H27</f>
        <v>360</v>
      </c>
      <c r="S27" s="17">
        <f>R27/H27</f>
        <v>7.1428571428571425E-2</v>
      </c>
    </row>
    <row r="28" spans="1:19" ht="14.65" customHeight="1">
      <c r="A28" s="58" t="str">
        <f>VLOOKUP(C28,Cadastro!$A$7:$D$55,4,1)</f>
        <v>FII</v>
      </c>
      <c r="B28" s="11" t="str">
        <f>VLOOKUP(C28,Cadastro!$A$7:$C$55,3,1)</f>
        <v>17.554.274/0001-25</v>
      </c>
      <c r="C28" s="103" t="s">
        <v>19</v>
      </c>
      <c r="D28" s="11" t="str">
        <f>VLOOKUP(C28,Cadastro!$A$7:$D$55,2,1)</f>
        <v>VINCI SHOPPING CENTER FII</v>
      </c>
      <c r="E28" s="12">
        <v>43493</v>
      </c>
      <c r="F28" s="11">
        <f>1+26</f>
        <v>27</v>
      </c>
      <c r="G28" s="13">
        <f>H28/F28</f>
        <v>133.24296296296296</v>
      </c>
      <c r="H28" s="14">
        <f>105.5+3492.06</f>
        <v>3597.56</v>
      </c>
      <c r="J28" s="15">
        <f>L28/$L$49</f>
        <v>3.0514407093497599E-2</v>
      </c>
      <c r="K28">
        <v>94.27</v>
      </c>
      <c r="L28" s="16">
        <f>K28*F28</f>
        <v>2545.29</v>
      </c>
      <c r="M28" s="16">
        <f>L28-H28</f>
        <v>-1052.27</v>
      </c>
      <c r="N28" s="17">
        <f>M28/H28</f>
        <v>-0.29249546915131369</v>
      </c>
      <c r="O28" s="58" t="str">
        <f>IF(K28&gt;=P28,"SIM","")</f>
        <v/>
      </c>
      <c r="P28" s="58">
        <v>150</v>
      </c>
      <c r="Q28" s="16">
        <f>F28*P28</f>
        <v>4050</v>
      </c>
      <c r="R28" s="16">
        <f>Q28-H28</f>
        <v>452.44000000000005</v>
      </c>
      <c r="S28" s="17">
        <f>R28/H28</f>
        <v>0.12576301715607247</v>
      </c>
    </row>
    <row r="29" spans="1:19" ht="14.65" customHeight="1">
      <c r="A29" s="58" t="str">
        <f>VLOOKUP(C29,Cadastro!$A$7:$D$55,4,1)</f>
        <v>RISCO</v>
      </c>
      <c r="B29" s="11" t="str">
        <f>VLOOKUP(C29,Cadastro!$A$7:$C$55,3,1)</f>
        <v>33.113.309/0001-47</v>
      </c>
      <c r="C29" s="104" t="s">
        <v>23</v>
      </c>
      <c r="D29" s="11" t="str">
        <f>VLOOKUP(C29,Cadastro!$A$7:$D$55,2,1)</f>
        <v>SOLUÇÕES E SERV. SEGURANÇA</v>
      </c>
      <c r="E29" s="12">
        <v>43689</v>
      </c>
      <c r="F29" s="11">
        <v>200</v>
      </c>
      <c r="G29" s="13">
        <v>13.16</v>
      </c>
      <c r="H29" s="14">
        <f>F29*G29</f>
        <v>2632</v>
      </c>
      <c r="J29" s="15">
        <f>L29/$L$49</f>
        <v>1.9157747264716071E-2</v>
      </c>
      <c r="K29">
        <v>7.99</v>
      </c>
      <c r="L29" s="16">
        <f>K29*F29</f>
        <v>1598</v>
      </c>
      <c r="M29" s="16">
        <f>L29-H29</f>
        <v>-1034</v>
      </c>
      <c r="N29" s="17">
        <f>M29/H29</f>
        <v>-0.39285714285714285</v>
      </c>
      <c r="O29" s="58" t="str">
        <f>IF(K29&gt;=P29,"SIM","")</f>
        <v/>
      </c>
      <c r="P29" s="11">
        <v>18</v>
      </c>
      <c r="Q29" s="16">
        <f>F29*P29</f>
        <v>3600</v>
      </c>
      <c r="R29" s="16">
        <f>Q29-H29</f>
        <v>968</v>
      </c>
      <c r="S29" s="17">
        <f>R29/H29</f>
        <v>0.36778115501519759</v>
      </c>
    </row>
    <row r="30" spans="1:19" ht="14.65" customHeight="1">
      <c r="A30" s="58" t="str">
        <f>VLOOKUP(C30,Cadastro!$A$7:$D$55,4,1)</f>
        <v>RISCO</v>
      </c>
      <c r="B30" s="11" t="str">
        <f>VLOOKUP(C30,Cadastro!$A$7:$C$55,3,1)</f>
        <v>33.041.260/0652-90</v>
      </c>
      <c r="C30" s="104" t="s">
        <v>36</v>
      </c>
      <c r="D30" s="11" t="str">
        <f>VLOOKUP(C30,Cadastro!$A$7:$D$55,2,1)</f>
        <v>VIA VAREJO SA ON</v>
      </c>
      <c r="E30" s="19">
        <v>43907</v>
      </c>
      <c r="F30" s="11">
        <v>200</v>
      </c>
      <c r="G30" s="13">
        <v>7.7</v>
      </c>
      <c r="H30" s="14">
        <f>F30*G30</f>
        <v>1540</v>
      </c>
      <c r="J30" s="15">
        <f>L30/$L$49</f>
        <v>1.1149377319265298E-2</v>
      </c>
      <c r="K30">
        <v>4.6500000000000004</v>
      </c>
      <c r="L30" s="16">
        <f>K30*F30</f>
        <v>930.00000000000011</v>
      </c>
      <c r="M30" s="16">
        <f>L30-H30</f>
        <v>-609.99999999999989</v>
      </c>
      <c r="N30" s="17">
        <f>M30/H30</f>
        <v>-0.39610389610389601</v>
      </c>
      <c r="O30" s="58" t="str">
        <f>IF(K30&gt;=P30,"SIM","")</f>
        <v/>
      </c>
      <c r="P30" s="11">
        <v>8</v>
      </c>
      <c r="Q30" s="16">
        <f>F30*P30</f>
        <v>1600</v>
      </c>
      <c r="R30" s="16">
        <f>Q30-H30</f>
        <v>60</v>
      </c>
      <c r="S30" s="17">
        <f>R30/H30</f>
        <v>3.896103896103896E-2</v>
      </c>
    </row>
    <row r="31" spans="1:19" s="58" customFormat="1" ht="14.65" customHeight="1">
      <c r="A31" s="58" t="str">
        <f>VLOOKUP(C31,Cadastro!$A$7:$D$55,4,1)</f>
        <v>FII</v>
      </c>
      <c r="B31" s="11" t="str">
        <f>VLOOKUP(C31,Cadastro!$A$7:$C$55,3,1)</f>
        <v>26.502.794/0001-85</v>
      </c>
      <c r="C31" s="103" t="s">
        <v>18</v>
      </c>
      <c r="D31" s="11" t="str">
        <f>VLOOKUP(C31,Cadastro!$A$7:$D$55,2,1)</f>
        <v>XP LOG FDO INV IMOB – FII</v>
      </c>
      <c r="E31" s="12">
        <v>43493</v>
      </c>
      <c r="F31" s="11">
        <f>1+25</f>
        <v>26</v>
      </c>
      <c r="G31" s="13">
        <f>H31/F31</f>
        <v>130.3326923076923</v>
      </c>
      <c r="H31" s="58">
        <f>101.4 + 3287.25</f>
        <v>3388.65</v>
      </c>
      <c r="J31" s="15">
        <f>L31/$L$49</f>
        <v>3.2772455715092887E-2</v>
      </c>
      <c r="K31" s="58">
        <v>105.14</v>
      </c>
      <c r="L31" s="16">
        <f>K31*F31</f>
        <v>2733.64</v>
      </c>
      <c r="M31" s="16">
        <f>L31-H31</f>
        <v>-655.01000000000022</v>
      </c>
      <c r="N31" s="17">
        <f>M31/H31</f>
        <v>-0.19329526507606279</v>
      </c>
      <c r="O31" s="58" t="str">
        <f>IF(K31&gt;=P31,"SIM","")</f>
        <v/>
      </c>
      <c r="P31" s="58">
        <v>145</v>
      </c>
      <c r="Q31" s="16">
        <f>F31*P31</f>
        <v>3770</v>
      </c>
      <c r="R31" s="16">
        <f>Q31-H31</f>
        <v>381.34999999999991</v>
      </c>
      <c r="S31" s="17">
        <f>R31/H31</f>
        <v>0.1125374411638853</v>
      </c>
    </row>
    <row r="32" spans="1:19" ht="14.65" customHeight="1">
      <c r="B32" s="11"/>
      <c r="C32" s="11"/>
      <c r="D32" s="11"/>
      <c r="E32" s="12"/>
      <c r="F32" s="11"/>
      <c r="G32" s="13"/>
      <c r="H32" s="14"/>
      <c r="K32" s="11"/>
      <c r="L32" s="16"/>
      <c r="M32" s="16"/>
      <c r="N32" s="17"/>
      <c r="O32" s="17"/>
      <c r="P32" s="11"/>
      <c r="Q32" s="16"/>
      <c r="R32" s="16"/>
      <c r="S32" s="17"/>
    </row>
    <row r="33" spans="1:19" ht="14.65" customHeight="1">
      <c r="A33" s="20" t="str">
        <f>VLOOKUP(C33,Cadastro!$A$7:$D$55,4,1)</f>
        <v>RISCO</v>
      </c>
      <c r="B33" s="20" t="str">
        <f>VLOOKUP(C33,Cadastro!$A$7:$C$55,3,1)</f>
        <v>11.669.021/0001-10</v>
      </c>
      <c r="C33" s="20" t="s">
        <v>37</v>
      </c>
      <c r="D33" s="20" t="str">
        <f>VLOOKUP(C33,Cadastro!$A$7:$D$55,2,1)</f>
        <v>QUEIROZ GALVAO PART ON</v>
      </c>
      <c r="E33" s="21">
        <v>43325</v>
      </c>
      <c r="F33" s="20">
        <v>100</v>
      </c>
      <c r="G33" s="22">
        <f>H33/F33</f>
        <v>12.184200000000001</v>
      </c>
      <c r="H33" s="23">
        <v>1218.42</v>
      </c>
      <c r="I33" s="21">
        <v>43369</v>
      </c>
      <c r="J33" s="21"/>
      <c r="K33" s="22">
        <f t="shared" ref="K33:K40" si="0">L33/F33</f>
        <v>12.793900000000001</v>
      </c>
      <c r="L33" s="23">
        <v>1279.3900000000001</v>
      </c>
      <c r="M33" s="23">
        <f>L33-H33</f>
        <v>60.970000000000027</v>
      </c>
      <c r="N33" s="24">
        <f t="shared" ref="N33:N47" si="1">M33/H33</f>
        <v>5.0040216017465264E-2</v>
      </c>
      <c r="O33" s="24"/>
    </row>
    <row r="34" spans="1:19" ht="14.65" customHeight="1">
      <c r="A34" s="20" t="str">
        <f>VLOOKUP(C34,Cadastro!$A$7:$D$55,4,1)</f>
        <v>BANCO</v>
      </c>
      <c r="B34" s="20" t="str">
        <f>VLOOKUP(C34,Cadastro!$A$7:$C$55,3,1)</f>
        <v>60.746.948/0001-12</v>
      </c>
      <c r="C34" s="20" t="s">
        <v>38</v>
      </c>
      <c r="D34" s="20" t="str">
        <f>VLOOKUP(C34,Cadastro!$A$7:$D$55,2,1)</f>
        <v>BANCO BRADESCO SA ON</v>
      </c>
      <c r="E34" s="21">
        <v>43332</v>
      </c>
      <c r="F34" s="20">
        <v>100</v>
      </c>
      <c r="G34" s="25">
        <v>25.070499999999999</v>
      </c>
      <c r="H34" s="23">
        <f t="shared" ref="H34:H39" si="2">F34*G34</f>
        <v>2507.0499999999997</v>
      </c>
      <c r="I34" s="21">
        <v>43376</v>
      </c>
      <c r="J34" s="21"/>
      <c r="K34" s="22">
        <f t="shared" si="0"/>
        <v>28.8185</v>
      </c>
      <c r="L34" s="23">
        <v>2881.85</v>
      </c>
      <c r="M34" s="23">
        <f>F34*K34-H34</f>
        <v>374.80000000000018</v>
      </c>
      <c r="N34" s="24">
        <f t="shared" si="1"/>
        <v>0.14949841447119133</v>
      </c>
      <c r="O34" s="24"/>
    </row>
    <row r="35" spans="1:19" ht="14.65" customHeight="1">
      <c r="A35" s="20" t="str">
        <f>VLOOKUP(C35,Cadastro!$A$7:$D$55,4,1)</f>
        <v>BANCO</v>
      </c>
      <c r="B35" s="20" t="str">
        <f>VLOOKUP(C35,Cadastro!$A$7:$C$55,3,1)</f>
        <v>61.532.644/0001-15</v>
      </c>
      <c r="C35" s="20" t="s">
        <v>39</v>
      </c>
      <c r="D35" s="20" t="str">
        <f>VLOOKUP(C35,Cadastro!$A$7:$D$55,2,1)</f>
        <v>ITAU INVESTIMENTOS SA PN</v>
      </c>
      <c r="E35" s="21">
        <v>43333</v>
      </c>
      <c r="F35" s="20">
        <v>300</v>
      </c>
      <c r="G35" s="22">
        <v>9.5267999999999997</v>
      </c>
      <c r="H35" s="23">
        <f t="shared" si="2"/>
        <v>2858.04</v>
      </c>
      <c r="I35" s="21">
        <v>43381</v>
      </c>
      <c r="J35" s="21"/>
      <c r="K35" s="22">
        <f t="shared" si="0"/>
        <v>11.0618</v>
      </c>
      <c r="L35" s="23">
        <v>3318.54</v>
      </c>
      <c r="M35" s="23">
        <f t="shared" ref="M35:M47" si="3">L35-H35</f>
        <v>460.5</v>
      </c>
      <c r="N35" s="24">
        <f t="shared" si="1"/>
        <v>0.16112440693622204</v>
      </c>
      <c r="O35" s="24"/>
    </row>
    <row r="36" spans="1:19" ht="14.65" customHeight="1">
      <c r="A36" s="20" t="str">
        <f>VLOOKUP(C36,Cadastro!$A$7:$D$55,4,1)</f>
        <v>ENERGIA</v>
      </c>
      <c r="B36" s="20" t="str">
        <f>VLOOKUP(C36,Cadastro!$A$7:$C$55,3,1)</f>
        <v>17.155.730/0001-64</v>
      </c>
      <c r="C36" s="20" t="s">
        <v>40</v>
      </c>
      <c r="D36" s="20" t="str">
        <f>VLOOKUP(C36,Cadastro!$A$7:$D$55,2,1)</f>
        <v>CIA DE ENERGIA DE MINAS GERAIS ON</v>
      </c>
      <c r="E36" s="21">
        <v>43356</v>
      </c>
      <c r="F36" s="20">
        <v>400</v>
      </c>
      <c r="G36" s="22">
        <v>6.4055</v>
      </c>
      <c r="H36" s="23">
        <f t="shared" si="2"/>
        <v>2562.1999999999998</v>
      </c>
      <c r="I36" s="21">
        <v>43381</v>
      </c>
      <c r="J36" s="21"/>
      <c r="K36" s="22">
        <f t="shared" si="0"/>
        <v>9.3818000000000001</v>
      </c>
      <c r="L36" s="23">
        <v>3752.72</v>
      </c>
      <c r="M36" s="23">
        <f t="shared" si="3"/>
        <v>1190.52</v>
      </c>
      <c r="N36" s="24">
        <f t="shared" si="1"/>
        <v>0.46464756849582395</v>
      </c>
      <c r="O36" s="24"/>
    </row>
    <row r="37" spans="1:19" ht="14.65" customHeight="1">
      <c r="A37" s="20" t="str">
        <f>VLOOKUP(C37,Cadastro!$A$7:$D$55,4,1)</f>
        <v>RISCO</v>
      </c>
      <c r="B37" s="20" t="str">
        <f>VLOOKUP(C37,Cadastro!$A$7:$C$55,3,1)</f>
        <v>01.027.058/0001-91</v>
      </c>
      <c r="C37" s="20" t="s">
        <v>16</v>
      </c>
      <c r="D37" s="20" t="str">
        <f>VLOOKUP(C37,Cadastro!$A$7:$D$55,2,1)</f>
        <v>CIELO SA</v>
      </c>
      <c r="E37" s="21">
        <v>43361</v>
      </c>
      <c r="F37" s="20">
        <v>400</v>
      </c>
      <c r="G37" s="22">
        <v>12.8461</v>
      </c>
      <c r="H37" s="23">
        <f t="shared" si="2"/>
        <v>5138.4399999999996</v>
      </c>
      <c r="I37" s="21">
        <v>43404</v>
      </c>
      <c r="J37" s="21"/>
      <c r="K37" s="22">
        <f t="shared" si="0"/>
        <v>13.319000000000001</v>
      </c>
      <c r="L37" s="23">
        <v>5327.6</v>
      </c>
      <c r="M37" s="23">
        <f t="shared" si="3"/>
        <v>189.16000000000076</v>
      </c>
      <c r="N37" s="24">
        <f t="shared" si="1"/>
        <v>3.6812729155152296E-2</v>
      </c>
      <c r="O37" s="24"/>
    </row>
    <row r="38" spans="1:19" ht="14.65" customHeight="1">
      <c r="A38" s="20" t="str">
        <f>VLOOKUP(C38,Cadastro!$A$7:$D$55,4,1)</f>
        <v>EMP PUBLICA</v>
      </c>
      <c r="B38" s="20" t="str">
        <f>VLOOKUP(C38,Cadastro!$A$7:$C$55,3,1)</f>
        <v>07.689.002/0001-89</v>
      </c>
      <c r="C38" s="20" t="s">
        <v>21</v>
      </c>
      <c r="D38" s="20" t="str">
        <f>VLOOKUP(C38,Cadastro!$A$7:$D$55,2,1)</f>
        <v>EMBRAER SA</v>
      </c>
      <c r="E38" s="21">
        <v>43381</v>
      </c>
      <c r="F38" s="20">
        <v>200</v>
      </c>
      <c r="G38" s="22">
        <v>19.1782</v>
      </c>
      <c r="H38" s="23">
        <f t="shared" si="2"/>
        <v>3835.64</v>
      </c>
      <c r="I38" s="21">
        <v>43411</v>
      </c>
      <c r="J38" s="21"/>
      <c r="K38" s="22">
        <f t="shared" si="0"/>
        <v>21.79945</v>
      </c>
      <c r="L38" s="23">
        <v>4359.8900000000003</v>
      </c>
      <c r="M38" s="23">
        <f t="shared" si="3"/>
        <v>524.25000000000045</v>
      </c>
      <c r="N38" s="24">
        <f t="shared" si="1"/>
        <v>0.13667862468844846</v>
      </c>
      <c r="O38" s="24"/>
    </row>
    <row r="39" spans="1:19" ht="14.65" customHeight="1">
      <c r="A39" s="20" t="str">
        <f>VLOOKUP(C39,Cadastro!$A$7:$D$55,4,1)</f>
        <v>ENERGIA</v>
      </c>
      <c r="B39" s="20" t="str">
        <f>VLOOKUP(C39,Cadastro!$A$7:$C$55,3,1)</f>
        <v>00.001.180/0001-26</v>
      </c>
      <c r="C39" s="20" t="s">
        <v>41</v>
      </c>
      <c r="D39" s="20" t="str">
        <f>VLOOKUP(C39,Cadastro!$A$7:$D$55,2,1)</f>
        <v>ELETROBRAS ON</v>
      </c>
      <c r="E39" s="21">
        <v>43336</v>
      </c>
      <c r="F39" s="20">
        <v>200</v>
      </c>
      <c r="G39" s="22">
        <v>14.791600000000001</v>
      </c>
      <c r="H39" s="23">
        <f t="shared" si="2"/>
        <v>2958.32</v>
      </c>
      <c r="I39" s="21">
        <v>43423</v>
      </c>
      <c r="J39" s="21"/>
      <c r="K39" s="22">
        <f t="shared" si="0"/>
        <v>24.922199999999997</v>
      </c>
      <c r="L39" s="23">
        <v>4984.4399999999996</v>
      </c>
      <c r="M39" s="23">
        <f t="shared" si="3"/>
        <v>2026.1199999999994</v>
      </c>
      <c r="N39" s="24">
        <f t="shared" si="1"/>
        <v>0.68488872062521944</v>
      </c>
      <c r="O39" s="24"/>
    </row>
    <row r="40" spans="1:19" ht="14.65" customHeight="1">
      <c r="A40" s="20" t="str">
        <f>VLOOKUP(C40,Cadastro!$A$7:$D$55,4,1)</f>
        <v>RISCO</v>
      </c>
      <c r="B40" s="20" t="str">
        <f>VLOOKUP(C40,Cadastro!$A$7:$C$55,3,1)</f>
        <v>11.669.021/0001-10</v>
      </c>
      <c r="C40" s="20" t="s">
        <v>37</v>
      </c>
      <c r="D40" s="20" t="str">
        <f>VLOOKUP(C40,Cadastro!$A$7:$D$55,2,1)</f>
        <v>QUEIROZ GALVAO PART ON</v>
      </c>
      <c r="E40" s="21">
        <v>43369</v>
      </c>
      <c r="F40" s="20">
        <v>300</v>
      </c>
      <c r="G40" s="22">
        <f>H40/F40</f>
        <v>11.8165</v>
      </c>
      <c r="H40" s="23">
        <v>3544.95</v>
      </c>
      <c r="I40" s="21">
        <v>43509</v>
      </c>
      <c r="J40" s="21"/>
      <c r="K40" s="22">
        <f t="shared" si="0"/>
        <v>12.979933333333333</v>
      </c>
      <c r="L40" s="23">
        <v>3893.98</v>
      </c>
      <c r="M40" s="23">
        <f t="shared" si="3"/>
        <v>349.0300000000002</v>
      </c>
      <c r="N40" s="24">
        <f t="shared" si="1"/>
        <v>9.845837035783303E-2</v>
      </c>
      <c r="O40" s="24"/>
    </row>
    <row r="41" spans="1:19" ht="14.65" customHeight="1">
      <c r="A41" s="20" t="str">
        <f>VLOOKUP(C41,Cadastro!$A$7:$D$55,4,1)</f>
        <v>RISCO</v>
      </c>
      <c r="B41" s="20" t="str">
        <f>VLOOKUP(C41,Cadastro!$A$7:$C$55,3,1)</f>
        <v>02.932.074/0001-91</v>
      </c>
      <c r="C41" s="20" t="s">
        <v>42</v>
      </c>
      <c r="D41" s="20" t="str">
        <f>VLOOKUP(C41,Cadastro!$A$7:$D$55,2,1)</f>
        <v>HYPERMARCAS S/A</v>
      </c>
      <c r="E41" s="21">
        <v>43525</v>
      </c>
      <c r="F41" s="20">
        <v>100</v>
      </c>
      <c r="G41" s="22">
        <f>H41/F41</f>
        <v>26.674800000000001</v>
      </c>
      <c r="H41" s="23">
        <v>2667.48</v>
      </c>
      <c r="I41" s="21">
        <v>43614</v>
      </c>
      <c r="J41" s="21"/>
      <c r="K41" s="22">
        <v>31</v>
      </c>
      <c r="L41" s="23">
        <f t="shared" ref="L41:L47" si="4">K41*F41</f>
        <v>3100</v>
      </c>
      <c r="M41" s="23">
        <f t="shared" si="3"/>
        <v>432.52</v>
      </c>
      <c r="N41" s="24">
        <f t="shared" si="1"/>
        <v>0.16214554560858938</v>
      </c>
      <c r="O41" s="24"/>
      <c r="P41" s="11"/>
      <c r="Q41" s="16"/>
      <c r="R41" s="16"/>
      <c r="S41" s="17"/>
    </row>
    <row r="42" spans="1:19" ht="14.65" customHeight="1">
      <c r="A42" s="20" t="str">
        <f>VLOOKUP(C42,Cadastro!$A$7:$D$55,4,1)</f>
        <v>BANCO</v>
      </c>
      <c r="B42" s="20" t="str">
        <f>VLOOKUP(C42,Cadastro!$A$7:$C$55,3,1)</f>
        <v>90.400.888/0001-42</v>
      </c>
      <c r="C42" s="20" t="s">
        <v>33</v>
      </c>
      <c r="D42" s="20" t="str">
        <f>VLOOKUP(C42,Cadastro!$A$7:$D$55,2,1)</f>
        <v>BANCO SANTANDER BRON ON</v>
      </c>
      <c r="E42" s="21">
        <v>43551</v>
      </c>
      <c r="F42" s="20">
        <v>100</v>
      </c>
      <c r="G42" s="22">
        <f>H42/F42</f>
        <v>21.01</v>
      </c>
      <c r="H42" s="23">
        <v>2101</v>
      </c>
      <c r="I42" s="21">
        <v>43649</v>
      </c>
      <c r="J42" s="21"/>
      <c r="K42" s="22">
        <v>23.85</v>
      </c>
      <c r="L42" s="23">
        <f t="shared" si="4"/>
        <v>2385</v>
      </c>
      <c r="M42" s="23">
        <f t="shared" si="3"/>
        <v>284</v>
      </c>
      <c r="N42" s="24">
        <f t="shared" si="1"/>
        <v>0.13517372679676345</v>
      </c>
      <c r="O42" s="24"/>
      <c r="P42" s="11"/>
      <c r="Q42" s="16"/>
      <c r="R42" s="16"/>
      <c r="S42" s="17"/>
    </row>
    <row r="43" spans="1:19" ht="14.65" customHeight="1">
      <c r="A43" s="20" t="str">
        <f>VLOOKUP(C43,Cadastro!$A$7:$D$55,4,1)</f>
        <v>EMP PUBLICA</v>
      </c>
      <c r="B43" s="20" t="str">
        <f>VLOOKUP(C43,Cadastro!$A$7:$C$55,3,1)</f>
        <v>33.592.510/0001-54</v>
      </c>
      <c r="C43" s="20" t="s">
        <v>31</v>
      </c>
      <c r="D43" s="20" t="str">
        <f>VLOOKUP(C43,Cadastro!$A$7:$D$55,2,1)</f>
        <v>VALE MINERAÇÃO</v>
      </c>
      <c r="E43" s="21">
        <v>43496</v>
      </c>
      <c r="F43" s="20">
        <v>100</v>
      </c>
      <c r="G43" s="22">
        <f>H43/F43</f>
        <v>47.319399999999995</v>
      </c>
      <c r="H43" s="23">
        <v>4731.9399999999996</v>
      </c>
      <c r="I43" s="21">
        <v>43656</v>
      </c>
      <c r="J43" s="21"/>
      <c r="K43" s="22">
        <v>52.5</v>
      </c>
      <c r="L43" s="23">
        <f t="shared" si="4"/>
        <v>5250</v>
      </c>
      <c r="M43" s="23">
        <f t="shared" si="3"/>
        <v>518.0600000000004</v>
      </c>
      <c r="N43" s="24">
        <f t="shared" si="1"/>
        <v>0.10948152343436317</v>
      </c>
      <c r="O43" s="24"/>
      <c r="P43" s="11"/>
      <c r="Q43" s="16"/>
      <c r="R43" s="16"/>
      <c r="S43" s="17"/>
    </row>
    <row r="44" spans="1:19" ht="14.65" customHeight="1">
      <c r="A44" s="20" t="str">
        <f>VLOOKUP(C44,Cadastro!$A$7:$D$55,4,1)</f>
        <v>RISCO</v>
      </c>
      <c r="B44" s="20" t="str">
        <f>VLOOKUP(C44,Cadastro!$A$7:$C$55,3,1)</f>
        <v>07.526.557/0001-00</v>
      </c>
      <c r="C44" s="20" t="s">
        <v>22</v>
      </c>
      <c r="D44" s="20" t="str">
        <f>VLOOKUP(C44,Cadastro!$A$7:$D$55,2,1)</f>
        <v>AMBEV SA ON</v>
      </c>
      <c r="E44" s="21">
        <v>43453</v>
      </c>
      <c r="F44" s="20">
        <v>100</v>
      </c>
      <c r="G44" s="22">
        <v>15.82</v>
      </c>
      <c r="H44" s="23">
        <f>G44*F44</f>
        <v>1582</v>
      </c>
      <c r="I44" s="21">
        <v>43656</v>
      </c>
      <c r="J44" s="21"/>
      <c r="K44" s="22">
        <v>19.100000000000001</v>
      </c>
      <c r="L44" s="23">
        <f t="shared" si="4"/>
        <v>1910.0000000000002</v>
      </c>
      <c r="M44" s="23">
        <f t="shared" si="3"/>
        <v>328.00000000000023</v>
      </c>
      <c r="N44" s="24">
        <f t="shared" si="1"/>
        <v>0.20733249051833136</v>
      </c>
      <c r="O44" s="24"/>
      <c r="P44" s="11"/>
      <c r="Q44" s="16"/>
      <c r="R44" s="16"/>
      <c r="S44" s="17"/>
    </row>
    <row r="45" spans="1:19" ht="14.65" customHeight="1">
      <c r="A45" s="20" t="str">
        <f>VLOOKUP(C45,Cadastro!$A$7:$D$55,4,1)</f>
        <v>RISCO</v>
      </c>
      <c r="B45" s="20" t="str">
        <f>VLOOKUP(C45,Cadastro!$A$7:$C$55,3,1)</f>
        <v>92.690.783/0001-09</v>
      </c>
      <c r="C45" s="20" t="s">
        <v>43</v>
      </c>
      <c r="D45" s="20" t="str">
        <f>VLOOKUP(C45,Cadastro!$A$7:$D$55,2,1)</f>
        <v>METALURGICA GERDAU ON</v>
      </c>
      <c r="E45" s="21">
        <v>43689</v>
      </c>
      <c r="F45" s="20">
        <v>200</v>
      </c>
      <c r="G45" s="22">
        <v>6.27</v>
      </c>
      <c r="H45" s="23">
        <f>G45*F45</f>
        <v>1254</v>
      </c>
      <c r="I45" s="21">
        <v>43810</v>
      </c>
      <c r="J45" s="21"/>
      <c r="K45" s="22">
        <v>7.5</v>
      </c>
      <c r="L45" s="23">
        <f t="shared" si="4"/>
        <v>1500</v>
      </c>
      <c r="M45" s="23">
        <f t="shared" si="3"/>
        <v>246</v>
      </c>
      <c r="N45" s="24">
        <f t="shared" si="1"/>
        <v>0.19617224880382775</v>
      </c>
      <c r="O45" s="24"/>
      <c r="P45" s="11"/>
      <c r="Q45" s="16"/>
      <c r="R45" s="16"/>
      <c r="S45" s="17"/>
    </row>
    <row r="46" spans="1:19" ht="14.65" customHeight="1">
      <c r="A46" s="20" t="str">
        <f>VLOOKUP(C46,Cadastro!$A$7:$D$55,4,1)</f>
        <v>RISCO</v>
      </c>
      <c r="B46" s="20" t="str">
        <f>VLOOKUP(C46,Cadastro!$A$7:$C$55,3,1)</f>
        <v>11.669.021/0001-10</v>
      </c>
      <c r="C46" s="20" t="s">
        <v>44</v>
      </c>
      <c r="D46" s="20" t="str">
        <f>VLOOKUP(C46,Cadastro!$A$7:$D$55,2,1)</f>
        <v>ENAUTA PARTICIPAÇÕES S.A. ON</v>
      </c>
      <c r="E46" s="21">
        <v>43690</v>
      </c>
      <c r="F46" s="20">
        <v>200</v>
      </c>
      <c r="G46" s="22">
        <v>11.95</v>
      </c>
      <c r="H46" s="23">
        <f>F46*G46</f>
        <v>2390</v>
      </c>
      <c r="I46" s="21">
        <v>43816</v>
      </c>
      <c r="J46" s="21"/>
      <c r="K46" s="22">
        <v>14.2</v>
      </c>
      <c r="L46" s="23">
        <f t="shared" si="4"/>
        <v>2840</v>
      </c>
      <c r="M46" s="23">
        <f t="shared" si="3"/>
        <v>450</v>
      </c>
      <c r="N46" s="24">
        <f t="shared" si="1"/>
        <v>0.18828451882845187</v>
      </c>
      <c r="O46" s="24"/>
      <c r="P46" s="11"/>
      <c r="Q46" s="16"/>
      <c r="R46" s="16"/>
      <c r="S46" s="17"/>
    </row>
    <row r="47" spans="1:19">
      <c r="A47" s="20" t="str">
        <f>VLOOKUP(C47,Cadastro!$A$7:$D$55,4,1)</f>
        <v>RISCO</v>
      </c>
      <c r="B47" s="20" t="str">
        <f>VLOOKUP(C47,Cadastro!$A$7:$C$55,3,1)</f>
        <v>02.932.074/0001-91</v>
      </c>
      <c r="C47" s="20" t="s">
        <v>42</v>
      </c>
      <c r="D47" s="20" t="str">
        <f>VLOOKUP(C47,Cadastro!$A$7:$D$55,2,1)</f>
        <v>HYPERMARCAS S/A</v>
      </c>
      <c r="E47" s="21">
        <v>43908</v>
      </c>
      <c r="F47" s="20">
        <v>100</v>
      </c>
      <c r="G47" s="22">
        <v>26.3</v>
      </c>
      <c r="H47" s="23">
        <f t="shared" ref="H47" si="5">F47*G47</f>
        <v>2630</v>
      </c>
      <c r="I47" s="21">
        <v>43915</v>
      </c>
      <c r="J47" s="21"/>
      <c r="K47" s="22">
        <v>32</v>
      </c>
      <c r="L47" s="23">
        <f t="shared" si="4"/>
        <v>3200</v>
      </c>
      <c r="M47" s="23">
        <f t="shared" si="3"/>
        <v>570</v>
      </c>
      <c r="N47" s="24">
        <f t="shared" si="1"/>
        <v>0.21673003802281368</v>
      </c>
    </row>
    <row r="48" spans="1:19" ht="14.65" customHeight="1"/>
    <row r="49" spans="1:19" ht="14.65" customHeight="1">
      <c r="A49" s="118"/>
      <c r="B49" s="118"/>
      <c r="C49" s="119" t="s">
        <v>281</v>
      </c>
      <c r="D49" s="119"/>
      <c r="E49" s="119"/>
      <c r="F49" s="118"/>
      <c r="G49" s="118"/>
      <c r="H49" s="120">
        <f>SUM(H7:H32)</f>
        <v>111397.52959999999</v>
      </c>
      <c r="I49" s="118"/>
      <c r="J49" s="118"/>
      <c r="K49" s="118"/>
      <c r="L49" s="120">
        <f>SUM(L7:L32)</f>
        <v>83412.73</v>
      </c>
      <c r="M49" s="120">
        <f>SUM(M7:M32)</f>
        <v>-27984.799599999998</v>
      </c>
      <c r="N49" s="121">
        <f>M49/H49</f>
        <v>-0.25121562121248331</v>
      </c>
      <c r="O49" s="121"/>
      <c r="P49" s="118"/>
      <c r="Q49" s="120">
        <f>SUM(Q7:Q32)</f>
        <v>124740</v>
      </c>
      <c r="R49" s="120">
        <f>SUM(R7:R32)</f>
        <v>13342.470400000002</v>
      </c>
      <c r="S49" s="121">
        <f>R49/H49</f>
        <v>0.11977348553338119</v>
      </c>
    </row>
    <row r="50" spans="1:19" s="58" customFormat="1" ht="14.65" customHeight="1">
      <c r="A50" s="122"/>
      <c r="B50" s="122"/>
      <c r="C50" s="123"/>
      <c r="D50" s="123" t="s">
        <v>282</v>
      </c>
      <c r="E50" s="123"/>
      <c r="F50" s="122"/>
      <c r="G50" s="122"/>
      <c r="H50" s="124"/>
      <c r="I50" s="122"/>
      <c r="J50" s="122"/>
      <c r="K50" s="122"/>
      <c r="L50" s="124"/>
      <c r="M50" s="124">
        <f>SUM(Dividendos!H7:H116)</f>
        <v>1894.9499999999998</v>
      </c>
      <c r="N50" s="125">
        <f>M50/H49</f>
        <v>1.7010700388099091E-2</v>
      </c>
      <c r="O50" s="125"/>
      <c r="P50" s="122"/>
      <c r="Q50" s="124"/>
      <c r="R50" s="124">
        <f>M50</f>
        <v>1894.9499999999998</v>
      </c>
      <c r="S50" s="125">
        <f>N50</f>
        <v>1.7010700388099091E-2</v>
      </c>
    </row>
    <row r="51" spans="1:19" s="58" customFormat="1" ht="14.65" customHeight="1">
      <c r="A51" s="111"/>
      <c r="B51" s="111"/>
      <c r="C51" s="112"/>
      <c r="D51" s="112" t="s">
        <v>283</v>
      </c>
      <c r="E51" s="112"/>
      <c r="F51" s="111"/>
      <c r="G51" s="111"/>
      <c r="H51" s="113">
        <f>H49+H50</f>
        <v>111397.52959999999</v>
      </c>
      <c r="I51" s="111"/>
      <c r="J51" s="111"/>
      <c r="K51" s="111"/>
      <c r="L51" s="113">
        <f>SUM(L49:L50)</f>
        <v>83412.73</v>
      </c>
      <c r="M51" s="113">
        <f>SUM(M49:M50)</f>
        <v>-26089.849599999998</v>
      </c>
      <c r="N51" s="114">
        <f>M51/H51</f>
        <v>-0.23420492082438424</v>
      </c>
      <c r="O51" s="114"/>
      <c r="P51" s="111"/>
      <c r="Q51" s="113">
        <f>SUM(Q49:Q50)</f>
        <v>124740</v>
      </c>
      <c r="R51" s="113">
        <f>SUM(R49:R50)</f>
        <v>15237.420400000003</v>
      </c>
      <c r="S51" s="114">
        <f>R51/H51</f>
        <v>0.13678418592148028</v>
      </c>
    </row>
    <row r="52" spans="1:19">
      <c r="A52" s="111"/>
      <c r="B52" s="111"/>
      <c r="C52" s="112"/>
      <c r="D52" s="115" t="s">
        <v>46</v>
      </c>
      <c r="E52" s="115"/>
      <c r="F52" s="111"/>
      <c r="G52" s="111"/>
      <c r="H52" s="113">
        <f>SUM(H33:H48)</f>
        <v>41979.479999999996</v>
      </c>
      <c r="I52" s="111"/>
      <c r="J52" s="111"/>
      <c r="K52" s="111"/>
      <c r="L52" s="113">
        <f>SUM(L33:L47)</f>
        <v>49983.409999999996</v>
      </c>
      <c r="M52" s="113">
        <f>SUM(M33:M47)</f>
        <v>8003.9300000000012</v>
      </c>
      <c r="N52" s="114">
        <f>M52/H52</f>
        <v>0.19066291435720503</v>
      </c>
      <c r="O52" s="116"/>
      <c r="P52" s="117"/>
      <c r="Q52" s="117"/>
      <c r="R52" s="117"/>
      <c r="S52" s="117"/>
    </row>
    <row r="53" spans="1:19" s="58" customFormat="1">
      <c r="H53" s="29"/>
      <c r="L53" s="29"/>
      <c r="M53" s="29"/>
      <c r="N53" s="30"/>
      <c r="O53" s="30"/>
    </row>
    <row r="54" spans="1:19" s="58" customFormat="1">
      <c r="H54" s="29"/>
      <c r="L54" s="29"/>
      <c r="M54" s="29"/>
      <c r="N54" s="30"/>
      <c r="O54" s="30"/>
    </row>
    <row r="55" spans="1:19" s="58" customFormat="1">
      <c r="H55" s="29"/>
      <c r="L55" s="29"/>
      <c r="M55" s="29"/>
      <c r="N55" s="30"/>
      <c r="O55" s="30"/>
    </row>
    <row r="56" spans="1:19" ht="14.65" customHeight="1">
      <c r="K56">
        <f>K13</f>
        <v>4.3099999999999996</v>
      </c>
      <c r="L56" s="32">
        <f>K56*F57</f>
        <v>3447.9999999999995</v>
      </c>
      <c r="M56">
        <f>L56-H57</f>
        <v>-6434.3295999999991</v>
      </c>
      <c r="N56" s="17">
        <f>M56/H57</f>
        <v>-0.65109441401347312</v>
      </c>
      <c r="O56" s="17"/>
    </row>
    <row r="57" spans="1:19" ht="14.65" customHeight="1">
      <c r="B57" t="str">
        <f>B12</f>
        <v>02.846.056/0001-97</v>
      </c>
      <c r="C57" s="16" t="str">
        <f>C12</f>
        <v>CCRO3</v>
      </c>
      <c r="D57" t="str">
        <f>VLOOKUP(C57,Cadastro!$A$7:$C$39,2,1)</f>
        <v>GRUPO CCR - RODOVIAS</v>
      </c>
      <c r="F57">
        <f>F12+F13</f>
        <v>800</v>
      </c>
      <c r="G57" s="31">
        <f>H57/F57</f>
        <v>12.352911999999998</v>
      </c>
      <c r="H57">
        <f>H12+H13</f>
        <v>9882.3295999999991</v>
      </c>
      <c r="K57">
        <f>K7</f>
        <v>12.25</v>
      </c>
      <c r="L57" s="32">
        <f>K57*F58</f>
        <v>4900</v>
      </c>
      <c r="M57">
        <f>L57-H58</f>
        <v>-3812</v>
      </c>
      <c r="N57" s="17">
        <f>M57/H58</f>
        <v>-0.43755739210284667</v>
      </c>
      <c r="O57" s="17"/>
    </row>
    <row r="58" spans="1:19" ht="14.65" customHeight="1">
      <c r="B58" t="str">
        <f>B13</f>
        <v>01.027.058/0001-91</v>
      </c>
      <c r="C58" t="s">
        <v>15</v>
      </c>
      <c r="D58" t="str">
        <f>VLOOKUP(C58,Cadastro!$A$7:$C$39,2,1)</f>
        <v>PETRÓLEO BRASILEIRO S.A. PN</v>
      </c>
      <c r="E58" s="33"/>
      <c r="F58">
        <f>F7+F8+F9</f>
        <v>400</v>
      </c>
      <c r="G58" s="31">
        <f>H58/F58</f>
        <v>21.78</v>
      </c>
      <c r="H58">
        <f>H7+H8+H9</f>
        <v>8712</v>
      </c>
      <c r="K58" s="34">
        <f>L58/F59</f>
        <v>10.9025</v>
      </c>
      <c r="L58" s="32">
        <f>SUM(L14:L18)</f>
        <v>8722</v>
      </c>
      <c r="M58" s="16">
        <f>L58-H59</f>
        <v>-3669.3999999999996</v>
      </c>
      <c r="N58" s="35">
        <f>M58/H59</f>
        <v>-0.29612473166873798</v>
      </c>
      <c r="O58" s="35"/>
    </row>
    <row r="59" spans="1:19">
      <c r="C59" t="s">
        <v>47</v>
      </c>
      <c r="D59" t="s">
        <v>48</v>
      </c>
      <c r="F59">
        <f>SUM(F14:F18)</f>
        <v>800</v>
      </c>
      <c r="G59">
        <f>H59/F59</f>
        <v>15.48925</v>
      </c>
      <c r="H59" s="16">
        <f>SUM(H14:H18)</f>
        <v>12391.4</v>
      </c>
      <c r="K59" s="34">
        <f>L59/F60</f>
        <v>1.8709523809523809</v>
      </c>
      <c r="L59" s="32">
        <f>SUM(L21:L22)</f>
        <v>3929</v>
      </c>
      <c r="M59" s="16">
        <f>L59-H60</f>
        <v>-4443.2200000000012</v>
      </c>
      <c r="N59" s="35">
        <f>M59/H60</f>
        <v>-0.53070989534436508</v>
      </c>
      <c r="O59" s="35"/>
    </row>
    <row r="60" spans="1:19">
      <c r="C60" s="58" t="str">
        <f>C21</f>
        <v>NTCO3</v>
      </c>
      <c r="F60" s="58">
        <f>SUM(F21:F22)</f>
        <v>2100</v>
      </c>
      <c r="G60" s="58">
        <f>H60/F60</f>
        <v>3.9867714285714291</v>
      </c>
      <c r="H60" s="16">
        <f>SUM(H21:H22)</f>
        <v>8372.2200000000012</v>
      </c>
    </row>
    <row r="61" spans="1:19" ht="14.65" customHeight="1"/>
    <row r="62" spans="1:19" ht="14.65" customHeight="1">
      <c r="C62" t="s">
        <v>28</v>
      </c>
      <c r="D62" t="s">
        <v>49</v>
      </c>
    </row>
    <row r="63" spans="1:19" ht="14.65" customHeight="1">
      <c r="C63" t="s">
        <v>50</v>
      </c>
      <c r="D63" t="s">
        <v>5</v>
      </c>
      <c r="G63">
        <v>45</v>
      </c>
    </row>
    <row r="64" spans="1:19" ht="14.65" customHeight="1">
      <c r="C64" t="s">
        <v>44</v>
      </c>
      <c r="D64" t="s">
        <v>5</v>
      </c>
      <c r="G64">
        <v>12.25</v>
      </c>
      <c r="L64" t="s">
        <v>23</v>
      </c>
    </row>
    <row r="65" spans="3:12" ht="14.65" customHeight="1">
      <c r="C65" t="s">
        <v>51</v>
      </c>
      <c r="L65" t="s">
        <v>43</v>
      </c>
    </row>
    <row r="66" spans="3:12" ht="14.65" customHeight="1">
      <c r="C66" t="s">
        <v>52</v>
      </c>
      <c r="L66" t="s">
        <v>31</v>
      </c>
    </row>
    <row r="67" spans="3:12" ht="14.65" customHeight="1">
      <c r="C67" t="s">
        <v>53</v>
      </c>
      <c r="L67" t="s">
        <v>55</v>
      </c>
    </row>
    <row r="68" spans="3:12" ht="14.65" customHeight="1">
      <c r="C68" t="s">
        <v>54</v>
      </c>
      <c r="L68" t="s">
        <v>56</v>
      </c>
    </row>
    <row r="69" spans="3:12">
      <c r="C69" t="s">
        <v>43</v>
      </c>
    </row>
    <row r="80" spans="3:12" ht="14.65" customHeight="1">
      <c r="I80">
        <f>G81*H81</f>
        <v>4516</v>
      </c>
    </row>
    <row r="81" spans="7:9" ht="14.65" customHeight="1">
      <c r="G81">
        <v>200</v>
      </c>
      <c r="H81">
        <v>22.58</v>
      </c>
      <c r="I81">
        <f>G82*H82</f>
        <v>6600</v>
      </c>
    </row>
    <row r="82" spans="7:9" ht="14.65" customHeight="1">
      <c r="G82">
        <v>300</v>
      </c>
      <c r="H82">
        <v>22</v>
      </c>
      <c r="I82">
        <f>SUM(I80:I81)</f>
        <v>11116</v>
      </c>
    </row>
    <row r="83" spans="7:9">
      <c r="G83">
        <f>SUM(G81:G82)</f>
        <v>500</v>
      </c>
    </row>
    <row r="84" spans="7:9" ht="14.65" customHeight="1"/>
    <row r="85" spans="7:9">
      <c r="H85">
        <f>I82/G83</f>
        <v>22.231999999999999</v>
      </c>
    </row>
  </sheetData>
  <autoFilter ref="A6:S31"/>
  <sortState ref="A7:S38">
    <sortCondition ref="C7:C38"/>
  </sortState>
  <mergeCells count="5">
    <mergeCell ref="E5:H5"/>
    <mergeCell ref="I5:N5"/>
    <mergeCell ref="P5:S5"/>
    <mergeCell ref="C49:E49"/>
    <mergeCell ref="D52:E52"/>
  </mergeCells>
  <conditionalFormatting sqref="C7">
    <cfRule type="expression" dxfId="1" priority="7">
      <formula>$K$7&gt;=$P$7</formula>
    </cfRule>
  </conditionalFormatting>
  <conditionalFormatting sqref="O7:O31">
    <cfRule type="cellIs" dxfId="0" priority="3" operator="equal">
      <formula>"SIM"</formula>
    </cfRule>
  </conditionalFormatting>
  <conditionalFormatting sqref="N7:N31">
    <cfRule type="iconSet" priority="36">
      <iconSet iconSet="3Arrows">
        <cfvo type="percent" val="0"/>
        <cfvo type="percent" val="33"/>
        <cfvo type="percent" val="67"/>
      </iconSet>
    </cfRule>
    <cfRule type="colorScale" priority="37">
      <colorScale>
        <cfvo type="min" val="0"/>
        <cfvo type="percentile" val="20"/>
        <cfvo type="max" val="0"/>
        <color rgb="FFF8696B"/>
        <color rgb="FFFFEB84"/>
        <color rgb="FF558ED5"/>
      </colorScale>
    </cfRule>
  </conditionalFormatting>
  <pageMargins left="0.40416666666666701" right="0.55208333333333304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P38"/>
  <sheetViews>
    <sheetView tabSelected="1" zoomScale="90" zoomScaleNormal="90" workbookViewId="0">
      <selection activeCell="O3" sqref="O3"/>
    </sheetView>
  </sheetViews>
  <sheetFormatPr defaultRowHeight="12.75"/>
  <cols>
    <col min="1" max="1" width="19.5703125" customWidth="1"/>
    <col min="2" max="4" width="11.42578125" customWidth="1"/>
    <col min="5" max="5" width="39.140625" customWidth="1"/>
    <col min="6" max="10" width="11.42578125" customWidth="1"/>
    <col min="11" max="11" width="10.42578125" customWidth="1"/>
    <col min="12" max="1025" width="11.42578125" customWidth="1"/>
  </cols>
  <sheetData>
    <row r="2" spans="1:16" ht="14.65" customHeight="1">
      <c r="A2" t="s">
        <v>57</v>
      </c>
      <c r="B2" s="16">
        <f>SUM(P7:P51)</f>
        <v>53039.380000000005</v>
      </c>
    </row>
    <row r="3" spans="1:16" ht="14.65" customHeight="1">
      <c r="A3" t="s">
        <v>58</v>
      </c>
      <c r="B3" s="16">
        <f>SUM(O7:O49)</f>
        <v>29798.41</v>
      </c>
    </row>
    <row r="4" spans="1:16" ht="14.65" customHeight="1">
      <c r="E4" s="16"/>
    </row>
    <row r="5" spans="1:16" ht="14.65" customHeight="1">
      <c r="H5" s="16"/>
    </row>
    <row r="6" spans="1:16" ht="14.65" customHeight="1">
      <c r="A6" s="36" t="s">
        <v>3</v>
      </c>
      <c r="B6" s="36" t="s">
        <v>59</v>
      </c>
      <c r="C6" s="36" t="s">
        <v>6</v>
      </c>
      <c r="D6" s="36" t="s">
        <v>60</v>
      </c>
      <c r="E6" s="36" t="s">
        <v>5</v>
      </c>
      <c r="F6" s="36" t="s">
        <v>8</v>
      </c>
      <c r="G6" s="36" t="s">
        <v>61</v>
      </c>
      <c r="H6" s="36" t="s">
        <v>62</v>
      </c>
      <c r="I6" s="37" t="s">
        <v>63</v>
      </c>
      <c r="J6" s="36" t="s">
        <v>64</v>
      </c>
      <c r="K6" s="36" t="s">
        <v>11</v>
      </c>
      <c r="L6" s="37" t="s">
        <v>65</v>
      </c>
      <c r="M6" s="37" t="s">
        <v>66</v>
      </c>
      <c r="N6" s="37" t="s">
        <v>67</v>
      </c>
      <c r="O6" s="37" t="s">
        <v>68</v>
      </c>
      <c r="P6" s="37" t="s">
        <v>69</v>
      </c>
    </row>
    <row r="7" spans="1:16" ht="14.65" customHeight="1">
      <c r="A7" s="38" t="str">
        <f>VLOOKUP(D7,Cadastro!$A$7:$C$39,3,1)</f>
        <v>60.746.948/0001-12</v>
      </c>
      <c r="B7" s="39">
        <v>657653</v>
      </c>
      <c r="C7" s="19">
        <v>43376</v>
      </c>
      <c r="D7" t="s">
        <v>38</v>
      </c>
      <c r="E7" t="str">
        <f>VLOOKUP(D7,Cadastro!$A$7:$C$39,2,1)</f>
        <v>BANCO BRADESCO SA ON</v>
      </c>
      <c r="F7" s="16">
        <v>28.9</v>
      </c>
      <c r="G7">
        <v>100</v>
      </c>
      <c r="H7">
        <v>0.79</v>
      </c>
      <c r="I7">
        <v>0.14000000000000001</v>
      </c>
      <c r="J7">
        <v>7.22</v>
      </c>
      <c r="K7" s="16">
        <f>IF(L7="Venda",1,-1)*F7*G7-H7-I7-J7</f>
        <v>2881.8500000000004</v>
      </c>
      <c r="L7" s="16" t="s">
        <v>68</v>
      </c>
      <c r="M7" s="19">
        <v>43381</v>
      </c>
      <c r="N7" s="31">
        <f>K7/G7</f>
        <v>28.818500000000004</v>
      </c>
      <c r="O7" s="16">
        <f t="shared" ref="O7:O36" si="0">IF(L7="Venda",K7,0)</f>
        <v>2881.8500000000004</v>
      </c>
      <c r="P7">
        <f t="shared" ref="P7:P36" si="1">ABS(IF(L7="Compra",K7,0))</f>
        <v>0</v>
      </c>
    </row>
    <row r="8" spans="1:16" ht="14.65" customHeight="1">
      <c r="A8" s="38" t="str">
        <f>VLOOKUP(D8,Cadastro!$A$7:$C$39,3,1)</f>
        <v>07.689.002/0001-89</v>
      </c>
      <c r="B8" s="39">
        <v>675409</v>
      </c>
      <c r="C8" s="19">
        <v>43411</v>
      </c>
      <c r="D8" t="s">
        <v>21</v>
      </c>
      <c r="E8" t="str">
        <f>VLOOKUP(D8,Cadastro!$A$7:$C$39,2,1)</f>
        <v>EMBRAER SA</v>
      </c>
      <c r="F8" s="16">
        <v>21.85</v>
      </c>
      <c r="G8">
        <v>200</v>
      </c>
      <c r="H8">
        <v>1.2</v>
      </c>
      <c r="I8" s="16">
        <v>0.17</v>
      </c>
      <c r="J8" s="16">
        <v>8.74</v>
      </c>
      <c r="K8" s="16">
        <f>IF(L8="Venda",1,-1)*F8*G8-H8-I8-J8</f>
        <v>4359.8900000000003</v>
      </c>
      <c r="L8" t="s">
        <v>68</v>
      </c>
      <c r="M8" s="19">
        <v>43416</v>
      </c>
      <c r="N8" s="40">
        <f>K8/G8</f>
        <v>21.79945</v>
      </c>
      <c r="O8" s="16">
        <f t="shared" si="0"/>
        <v>4359.8900000000003</v>
      </c>
      <c r="P8">
        <f t="shared" si="1"/>
        <v>0</v>
      </c>
    </row>
    <row r="9" spans="1:16" ht="14.65" customHeight="1">
      <c r="A9" s="41" t="str">
        <f>VLOOKUP(D9,Cadastro!$A$7:$C$39,3,1)</f>
        <v>17.155.730/0001-64</v>
      </c>
      <c r="B9" s="42">
        <v>660055</v>
      </c>
      <c r="C9" s="43">
        <v>43381</v>
      </c>
      <c r="D9" s="41" t="s">
        <v>40</v>
      </c>
      <c r="E9" s="41" t="str">
        <f>VLOOKUP(D9,Cadastro!$A$7:$C$39,2,1)</f>
        <v>CIA DE ENERGIA DE MINAS GERAIS ON</v>
      </c>
      <c r="F9" s="44">
        <v>9.41</v>
      </c>
      <c r="G9" s="41">
        <v>400</v>
      </c>
      <c r="H9" s="44">
        <v>1.3333333333333299</v>
      </c>
      <c r="I9" s="44">
        <v>0.24</v>
      </c>
      <c r="J9" s="44">
        <v>9.7066666666666706</v>
      </c>
      <c r="K9" s="44">
        <f>IF(L9="Venda",1,-1)*F9*G9-H9-I9-J9</f>
        <v>3752.7200000000003</v>
      </c>
      <c r="L9" s="41" t="s">
        <v>68</v>
      </c>
      <c r="M9" s="43">
        <v>43384</v>
      </c>
      <c r="N9" s="45">
        <f>K9/G9</f>
        <v>9.3818000000000001</v>
      </c>
      <c r="O9" s="45">
        <f t="shared" si="0"/>
        <v>3752.7200000000003</v>
      </c>
      <c r="P9" s="45">
        <f t="shared" si="1"/>
        <v>0</v>
      </c>
    </row>
    <row r="10" spans="1:16" ht="14.65" customHeight="1">
      <c r="A10" s="46" t="str">
        <f>VLOOKUP(D10,Cadastro!$A$7:$C$39,3,1)</f>
        <v>07.689.002/0001-89</v>
      </c>
      <c r="B10" s="47">
        <v>660055</v>
      </c>
      <c r="C10" s="48">
        <v>43381</v>
      </c>
      <c r="D10" s="46" t="s">
        <v>21</v>
      </c>
      <c r="E10" s="46" t="str">
        <f>VLOOKUP(D10,Cadastro!$A$7:$C$39,2,1)</f>
        <v>EMBRAER SA</v>
      </c>
      <c r="F10" s="49">
        <v>19.149999999999999</v>
      </c>
      <c r="G10" s="46">
        <v>200</v>
      </c>
      <c r="H10" s="49">
        <v>0.66666666666666696</v>
      </c>
      <c r="I10" s="49">
        <v>0.12</v>
      </c>
      <c r="J10" s="49">
        <v>4.8533333333333299</v>
      </c>
      <c r="K10" s="49">
        <f>IF(L10="Venda",1,-1)*F10*G10-H10-I10-J10</f>
        <v>-3835.6399999999994</v>
      </c>
      <c r="L10" s="46" t="s">
        <v>69</v>
      </c>
      <c r="M10" s="48">
        <v>43384</v>
      </c>
      <c r="N10" s="50">
        <f>ABS(K10/G10)</f>
        <v>19.178199999999997</v>
      </c>
      <c r="O10" s="50">
        <f t="shared" si="0"/>
        <v>0</v>
      </c>
      <c r="P10" s="50">
        <f t="shared" si="1"/>
        <v>3835.6399999999994</v>
      </c>
    </row>
    <row r="11" spans="1:16" ht="14.65" customHeight="1">
      <c r="A11" s="51" t="str">
        <f>VLOOKUP(D11,Cadastro!$A$7:$C$39,3,1)</f>
        <v>61.532.644/0001-15</v>
      </c>
      <c r="B11" s="52">
        <v>660055</v>
      </c>
      <c r="C11" s="53">
        <v>43381</v>
      </c>
      <c r="D11" s="51" t="s">
        <v>39</v>
      </c>
      <c r="E11" s="51" t="str">
        <f>VLOOKUP(D11,Cadastro!$A$7:$C$39,2,1)</f>
        <v>ITAU INVESTIMENTOS SA PN</v>
      </c>
      <c r="F11" s="37">
        <v>11.09</v>
      </c>
      <c r="G11" s="51">
        <v>300</v>
      </c>
      <c r="H11" s="37">
        <v>1</v>
      </c>
      <c r="I11" s="37">
        <v>0.18</v>
      </c>
      <c r="J11" s="37">
        <v>7.28</v>
      </c>
      <c r="K11" s="37">
        <f>IF(L11="Venda",1,-1)*F11*G11-H11-I11-J11</f>
        <v>3318.54</v>
      </c>
      <c r="L11" s="51" t="s">
        <v>68</v>
      </c>
      <c r="M11" s="53">
        <v>43384</v>
      </c>
      <c r="N11" s="54">
        <f t="shared" ref="N11:N36" si="2">K11/G11</f>
        <v>11.0618</v>
      </c>
      <c r="O11" s="54">
        <f t="shared" si="0"/>
        <v>3318.54</v>
      </c>
      <c r="P11" s="54">
        <f t="shared" si="1"/>
        <v>0</v>
      </c>
    </row>
    <row r="12" spans="1:16" ht="14.65" customHeight="1">
      <c r="A12" s="38" t="str">
        <f>VLOOKUP(D12,Cadastro!$A$7:$C$39,3,1)</f>
        <v>01.027.058/0001-91</v>
      </c>
      <c r="B12" s="39">
        <v>676187</v>
      </c>
      <c r="C12" s="19">
        <v>43412</v>
      </c>
      <c r="D12" t="s">
        <v>16</v>
      </c>
      <c r="E12" t="str">
        <f>VLOOKUP(D12,Cadastro!$A$7:$C$39,2,1)</f>
        <v>CIELO SA</v>
      </c>
      <c r="F12" s="16">
        <v>11.2</v>
      </c>
      <c r="G12">
        <v>400</v>
      </c>
      <c r="H12">
        <v>1.23</v>
      </c>
      <c r="I12" s="16">
        <v>0.18</v>
      </c>
      <c r="J12" s="16">
        <v>8.9600000000000009</v>
      </c>
      <c r="K12" s="16">
        <f t="shared" ref="K12:K36" si="3">F12*G12+(SUM(H12:J12)*IF(L12="Compra",1,-1))</f>
        <v>4490.37</v>
      </c>
      <c r="L12" t="s">
        <v>69</v>
      </c>
      <c r="M12" s="19">
        <v>43417</v>
      </c>
      <c r="N12" s="16">
        <f t="shared" si="2"/>
        <v>11.225925</v>
      </c>
      <c r="O12" s="16">
        <f t="shared" si="0"/>
        <v>0</v>
      </c>
      <c r="P12">
        <f t="shared" si="1"/>
        <v>4490.37</v>
      </c>
    </row>
    <row r="13" spans="1:16" ht="14.65" customHeight="1">
      <c r="A13" s="38" t="str">
        <f>VLOOKUP(D13,Cadastro!$A$7:$C$39,3,1)</f>
        <v>01.027.058/0001-91</v>
      </c>
      <c r="B13" s="39">
        <v>676895</v>
      </c>
      <c r="C13" s="19">
        <v>43413</v>
      </c>
      <c r="D13" t="s">
        <v>16</v>
      </c>
      <c r="E13" t="str">
        <f>VLOOKUP(D13,Cadastro!$A$7:$C$39,2,1)</f>
        <v>CIELO SA</v>
      </c>
      <c r="F13" s="16">
        <v>10.6</v>
      </c>
      <c r="G13">
        <v>200</v>
      </c>
      <c r="H13">
        <v>0.57999999999999996</v>
      </c>
      <c r="I13" s="16">
        <v>0.08</v>
      </c>
      <c r="J13" s="16">
        <v>5.3</v>
      </c>
      <c r="K13" s="16">
        <f t="shared" si="3"/>
        <v>2125.96</v>
      </c>
      <c r="L13" t="s">
        <v>69</v>
      </c>
      <c r="M13" s="19">
        <v>43418</v>
      </c>
      <c r="N13" s="16">
        <f t="shared" si="2"/>
        <v>10.629799999999999</v>
      </c>
      <c r="O13" s="16">
        <f t="shared" si="0"/>
        <v>0</v>
      </c>
      <c r="P13">
        <f t="shared" si="1"/>
        <v>2125.96</v>
      </c>
    </row>
    <row r="14" spans="1:16" ht="14.65" customHeight="1">
      <c r="A14" s="38" t="str">
        <f>VLOOKUP(D14,Cadastro!$A$7:$C$39,3,1)</f>
        <v>11.669.021/0001-10</v>
      </c>
      <c r="B14" s="39">
        <v>638041</v>
      </c>
      <c r="C14" s="19">
        <v>43325</v>
      </c>
      <c r="D14" t="s">
        <v>37</v>
      </c>
      <c r="E14" t="str">
        <f>VLOOKUP(D14,Cadastro!$A$7:$C$39,2,1)</f>
        <v>QUEIROZ GALVAO PART ON</v>
      </c>
      <c r="F14" s="16">
        <v>12.15</v>
      </c>
      <c r="G14">
        <v>100</v>
      </c>
      <c r="H14">
        <v>0.33</v>
      </c>
      <c r="I14" s="16">
        <v>0.06</v>
      </c>
      <c r="J14" s="16">
        <v>3.03</v>
      </c>
      <c r="K14" s="16">
        <f t="shared" si="3"/>
        <v>1218.42</v>
      </c>
      <c r="L14" t="s">
        <v>69</v>
      </c>
      <c r="M14" s="19">
        <v>43328</v>
      </c>
      <c r="N14" s="31">
        <f t="shared" si="2"/>
        <v>12.184200000000001</v>
      </c>
      <c r="O14" s="16">
        <f t="shared" si="0"/>
        <v>0</v>
      </c>
      <c r="P14">
        <f t="shared" si="1"/>
        <v>1218.42</v>
      </c>
    </row>
    <row r="15" spans="1:16" ht="14.65" customHeight="1">
      <c r="A15" s="41" t="str">
        <f>VLOOKUP(D15,Cadastro!$A$7:$C$39,3,1)</f>
        <v>17.155.730/0001-64</v>
      </c>
      <c r="B15" s="42">
        <v>649361</v>
      </c>
      <c r="C15" s="43">
        <v>43356</v>
      </c>
      <c r="D15" s="41" t="s">
        <v>40</v>
      </c>
      <c r="E15" s="41" t="str">
        <f>VLOOKUP(D15,Cadastro!$A$7:$C$39,2,1)</f>
        <v>CIA DE ENERGIA DE MINAS GERAIS ON</v>
      </c>
      <c r="F15" s="44">
        <v>6.35</v>
      </c>
      <c r="G15" s="41">
        <v>300</v>
      </c>
      <c r="H15" s="41">
        <v>0.52500000000000002</v>
      </c>
      <c r="I15" s="44">
        <v>0.09</v>
      </c>
      <c r="J15" s="44">
        <v>4.7850000000000001</v>
      </c>
      <c r="K15" s="44">
        <f t="shared" si="3"/>
        <v>1910.4</v>
      </c>
      <c r="L15" s="41" t="s">
        <v>69</v>
      </c>
      <c r="M15" s="43">
        <v>43361</v>
      </c>
      <c r="N15" s="44">
        <f t="shared" si="2"/>
        <v>6.3680000000000003</v>
      </c>
      <c r="O15" s="44">
        <f t="shared" si="0"/>
        <v>0</v>
      </c>
      <c r="P15" s="44">
        <f t="shared" si="1"/>
        <v>1910.4</v>
      </c>
    </row>
    <row r="16" spans="1:16" ht="14.65" customHeight="1">
      <c r="A16" s="51" t="str">
        <f>VLOOKUP(D16,Cadastro!$A$7:$C$39,3,1)</f>
        <v>17.155.730/0001-64</v>
      </c>
      <c r="B16" s="52">
        <v>649361</v>
      </c>
      <c r="C16" s="53">
        <v>43356</v>
      </c>
      <c r="D16" s="51" t="s">
        <v>40</v>
      </c>
      <c r="E16" s="51" t="str">
        <f>VLOOKUP(D16,Cadastro!$A$7:$C$39,2,1)</f>
        <v>CIA DE ENERGIA DE MINAS GERAIS ON</v>
      </c>
      <c r="F16" s="37">
        <v>6.5</v>
      </c>
      <c r="G16" s="51">
        <v>100</v>
      </c>
      <c r="H16" s="51">
        <v>0.17499999999999999</v>
      </c>
      <c r="I16" s="37">
        <v>0.03</v>
      </c>
      <c r="J16" s="37">
        <v>1.595</v>
      </c>
      <c r="K16" s="37">
        <f t="shared" si="3"/>
        <v>651.79999999999995</v>
      </c>
      <c r="L16" s="51" t="s">
        <v>69</v>
      </c>
      <c r="M16" s="53">
        <v>43361</v>
      </c>
      <c r="N16" s="37">
        <f t="shared" si="2"/>
        <v>6.5179999999999998</v>
      </c>
      <c r="O16" s="37">
        <f t="shared" si="0"/>
        <v>0</v>
      </c>
      <c r="P16" s="37">
        <f t="shared" si="1"/>
        <v>651.79999999999995</v>
      </c>
    </row>
    <row r="17" spans="1:16" ht="14.65" customHeight="1">
      <c r="A17" s="38" t="str">
        <f>VLOOKUP(D17,Cadastro!$A$7:$C$39,3,1)</f>
        <v>11.669.021/0001-10</v>
      </c>
      <c r="B17" s="39">
        <v>678087</v>
      </c>
      <c r="C17" s="19">
        <v>43417</v>
      </c>
      <c r="D17" t="s">
        <v>37</v>
      </c>
      <c r="E17" t="str">
        <f>VLOOKUP(D17,Cadastro!$A$7:$C$39,2,1)</f>
        <v>QUEIROZ GALVAO PART ON</v>
      </c>
      <c r="F17" s="16">
        <v>11.35</v>
      </c>
      <c r="G17">
        <v>100</v>
      </c>
      <c r="H17">
        <v>0.31</v>
      </c>
      <c r="I17" s="16">
        <v>0.04</v>
      </c>
      <c r="J17" s="16">
        <v>2.83</v>
      </c>
      <c r="K17" s="16">
        <f t="shared" si="3"/>
        <v>1138.18</v>
      </c>
      <c r="L17" t="s">
        <v>69</v>
      </c>
      <c r="M17" s="19">
        <v>43423</v>
      </c>
      <c r="N17" s="16">
        <f t="shared" si="2"/>
        <v>11.3818</v>
      </c>
      <c r="O17" s="16">
        <f t="shared" si="0"/>
        <v>0</v>
      </c>
      <c r="P17">
        <f t="shared" si="1"/>
        <v>1138.18</v>
      </c>
    </row>
    <row r="18" spans="1:16" ht="14.65" customHeight="1">
      <c r="A18" s="38" t="str">
        <f>VLOOKUP(D18,Cadastro!$A$7:$C$39,3,1)</f>
        <v>01.027.058/0001-91</v>
      </c>
      <c r="B18" s="39">
        <v>651017</v>
      </c>
      <c r="C18" s="19">
        <v>43361</v>
      </c>
      <c r="D18" t="s">
        <v>16</v>
      </c>
      <c r="E18" t="str">
        <f>VLOOKUP(D18,Cadastro!$A$7:$C$39,2,1)</f>
        <v>CIELO SA</v>
      </c>
      <c r="F18" s="16">
        <v>13.75</v>
      </c>
      <c r="G18" s="39">
        <v>200</v>
      </c>
      <c r="H18">
        <v>0.75</v>
      </c>
      <c r="I18" s="16">
        <v>0.13</v>
      </c>
      <c r="J18" s="16">
        <v>6.87</v>
      </c>
      <c r="K18" s="16">
        <f t="shared" si="3"/>
        <v>2757.75</v>
      </c>
      <c r="L18" t="s">
        <v>69</v>
      </c>
      <c r="M18" s="19">
        <v>43364</v>
      </c>
      <c r="N18" s="16">
        <f t="shared" si="2"/>
        <v>13.78875</v>
      </c>
      <c r="O18" s="16">
        <f t="shared" si="0"/>
        <v>0</v>
      </c>
      <c r="P18">
        <f t="shared" si="1"/>
        <v>2757.75</v>
      </c>
    </row>
    <row r="19" spans="1:16" ht="14.65" customHeight="1">
      <c r="A19" s="38" t="str">
        <f>VLOOKUP(D19,Cadastro!$A$7:$C$39,3,1)</f>
        <v>00.001.180/0001-26</v>
      </c>
      <c r="B19" s="39">
        <v>680072</v>
      </c>
      <c r="C19" s="19">
        <v>43423</v>
      </c>
      <c r="D19" t="s">
        <v>41</v>
      </c>
      <c r="E19" t="str">
        <f>VLOOKUP(D19,Cadastro!$A$7:$C$39,2,1)</f>
        <v>ELETROBRAS ON</v>
      </c>
      <c r="F19" s="16">
        <v>24.98</v>
      </c>
      <c r="G19">
        <v>200</v>
      </c>
      <c r="H19">
        <v>1.37</v>
      </c>
      <c r="I19" s="16">
        <v>0.2</v>
      </c>
      <c r="J19" s="16">
        <v>9.99</v>
      </c>
      <c r="K19" s="16">
        <f t="shared" si="3"/>
        <v>4984.4399999999996</v>
      </c>
      <c r="L19" t="s">
        <v>68</v>
      </c>
      <c r="M19" s="19">
        <v>43427</v>
      </c>
      <c r="N19" s="31">
        <f t="shared" si="2"/>
        <v>24.922199999999997</v>
      </c>
      <c r="O19" s="16">
        <f t="shared" si="0"/>
        <v>4984.4399999999996</v>
      </c>
      <c r="P19">
        <f t="shared" si="1"/>
        <v>0</v>
      </c>
    </row>
    <row r="20" spans="1:16" ht="14.85" customHeight="1">
      <c r="A20" s="38" t="str">
        <f>VLOOKUP(D20,Cadastro!$A$7:$C$39,3,1)</f>
        <v>07.526.557/0001-00</v>
      </c>
      <c r="B20" s="39">
        <v>692858</v>
      </c>
      <c r="C20" s="19">
        <v>43453</v>
      </c>
      <c r="D20" t="s">
        <v>22</v>
      </c>
      <c r="E20" t="str">
        <f>VLOOKUP(D20,Cadastro!$A$7:$C$39,2,1)</f>
        <v>AMBEV SA ON</v>
      </c>
      <c r="F20" s="16">
        <v>15.78</v>
      </c>
      <c r="G20">
        <v>200</v>
      </c>
      <c r="H20">
        <v>0.86</v>
      </c>
      <c r="I20" s="16">
        <v>0.16</v>
      </c>
      <c r="J20" s="16">
        <v>6.31</v>
      </c>
      <c r="K20" s="16">
        <f t="shared" si="3"/>
        <v>3163.33</v>
      </c>
      <c r="L20" t="s">
        <v>69</v>
      </c>
      <c r="M20" s="19">
        <v>43460</v>
      </c>
      <c r="N20" s="40">
        <f t="shared" si="2"/>
        <v>15.816649999999999</v>
      </c>
      <c r="O20" s="16">
        <f t="shared" si="0"/>
        <v>0</v>
      </c>
      <c r="P20">
        <f t="shared" si="1"/>
        <v>3163.33</v>
      </c>
    </row>
    <row r="21" spans="1:16" ht="14.65" customHeight="1">
      <c r="A21" s="38" t="str">
        <f>VLOOKUP(D21,Cadastro!$A$7:$C$39,3,1)</f>
        <v>60.746.948/0001-12</v>
      </c>
      <c r="B21" s="39">
        <v>640570</v>
      </c>
      <c r="C21" s="19">
        <v>43332</v>
      </c>
      <c r="D21" t="s">
        <v>38</v>
      </c>
      <c r="E21" t="str">
        <f>VLOOKUP(D21,Cadastro!$A$7:$C$39,2,1)</f>
        <v>BANCO BRADESCO SA ON</v>
      </c>
      <c r="F21" s="16">
        <v>25</v>
      </c>
      <c r="G21">
        <v>100</v>
      </c>
      <c r="H21">
        <v>0.68</v>
      </c>
      <c r="I21">
        <v>0.12</v>
      </c>
      <c r="J21">
        <v>6.25</v>
      </c>
      <c r="K21" s="16">
        <f t="shared" si="3"/>
        <v>2507.0500000000002</v>
      </c>
      <c r="L21" t="s">
        <v>69</v>
      </c>
      <c r="M21" s="19">
        <v>43335</v>
      </c>
      <c r="N21" s="31">
        <f t="shared" si="2"/>
        <v>25.070500000000003</v>
      </c>
      <c r="O21" s="16">
        <f t="shared" si="0"/>
        <v>0</v>
      </c>
      <c r="P21">
        <f t="shared" si="1"/>
        <v>2507.0500000000002</v>
      </c>
    </row>
    <row r="22" spans="1:16" ht="14.65" customHeight="1">
      <c r="A22" s="38" t="str">
        <f>VLOOKUP(D22,Cadastro!$A$7:$C$39,3,1)</f>
        <v>61.532.644/0001-15</v>
      </c>
      <c r="B22" s="39">
        <v>641162</v>
      </c>
      <c r="C22" s="19">
        <v>43333</v>
      </c>
      <c r="D22" t="s">
        <v>39</v>
      </c>
      <c r="E22" t="str">
        <f>VLOOKUP(D22,Cadastro!$A$7:$C$39,2,1)</f>
        <v>ITAU INVESTIMENTOS SA PN</v>
      </c>
      <c r="F22" s="16">
        <v>9.5</v>
      </c>
      <c r="G22">
        <v>300</v>
      </c>
      <c r="H22">
        <v>0.78</v>
      </c>
      <c r="I22">
        <v>0.14000000000000001</v>
      </c>
      <c r="J22">
        <v>7.12</v>
      </c>
      <c r="K22" s="16">
        <f t="shared" si="3"/>
        <v>2858.04</v>
      </c>
      <c r="L22" t="s">
        <v>69</v>
      </c>
      <c r="M22" s="19">
        <v>43336</v>
      </c>
      <c r="N22" s="31">
        <f t="shared" si="2"/>
        <v>9.5267999999999997</v>
      </c>
      <c r="O22" s="16">
        <f t="shared" si="0"/>
        <v>0</v>
      </c>
      <c r="P22">
        <f t="shared" si="1"/>
        <v>2858.04</v>
      </c>
    </row>
    <row r="23" spans="1:16" ht="14.65" customHeight="1">
      <c r="A23" s="38" t="str">
        <f>VLOOKUP(D23,Cadastro!$A$7:$C$39,3,1)</f>
        <v>76.535.764/0001-43</v>
      </c>
      <c r="B23" s="39">
        <v>680813</v>
      </c>
      <c r="C23" s="19">
        <v>43425</v>
      </c>
      <c r="D23" t="s">
        <v>17</v>
      </c>
      <c r="E23" t="str">
        <f>VLOOKUP(D23,Cadastro!$A$7:$C$39,2,1)</f>
        <v>OI SA EM RECUPERAÇÃO JUDICIAL</v>
      </c>
      <c r="F23" s="16">
        <v>1.71</v>
      </c>
      <c r="G23">
        <v>800</v>
      </c>
      <c r="H23">
        <v>0.37</v>
      </c>
      <c r="I23">
        <v>0.05</v>
      </c>
      <c r="J23">
        <v>3.42</v>
      </c>
      <c r="K23" s="16">
        <f t="shared" si="3"/>
        <v>1371.84</v>
      </c>
      <c r="L23" t="s">
        <v>69</v>
      </c>
      <c r="M23" s="19">
        <v>43430</v>
      </c>
      <c r="N23" s="31">
        <f t="shared" si="2"/>
        <v>1.7147999999999999</v>
      </c>
      <c r="O23" s="16">
        <f t="shared" si="0"/>
        <v>0</v>
      </c>
      <c r="P23">
        <f t="shared" si="1"/>
        <v>1371.84</v>
      </c>
    </row>
    <row r="24" spans="1:16" ht="14.65" customHeight="1">
      <c r="A24" s="38" t="str">
        <f>VLOOKUP(D24,Cadastro!$A$7:$C$39,3,1)</f>
        <v>00.001.180/0001-26</v>
      </c>
      <c r="B24" s="39">
        <v>642680</v>
      </c>
      <c r="C24" s="19">
        <v>43336</v>
      </c>
      <c r="D24" t="s">
        <v>41</v>
      </c>
      <c r="E24" t="str">
        <f>VLOOKUP(D24,Cadastro!$A$7:$C$39,2,1)</f>
        <v>ELETROBRAS ON</v>
      </c>
      <c r="F24" s="16">
        <v>14.75</v>
      </c>
      <c r="G24">
        <v>200</v>
      </c>
      <c r="H24">
        <v>0.81</v>
      </c>
      <c r="I24">
        <v>0.14000000000000001</v>
      </c>
      <c r="J24">
        <v>7.37</v>
      </c>
      <c r="K24" s="16">
        <f t="shared" si="3"/>
        <v>2958.32</v>
      </c>
      <c r="L24" t="s">
        <v>69</v>
      </c>
      <c r="M24" s="19">
        <v>43341</v>
      </c>
      <c r="N24" s="31">
        <f t="shared" si="2"/>
        <v>14.791600000000001</v>
      </c>
      <c r="O24" s="16">
        <f t="shared" si="0"/>
        <v>0</v>
      </c>
      <c r="P24">
        <f t="shared" si="1"/>
        <v>2958.32</v>
      </c>
    </row>
    <row r="25" spans="1:16" ht="14.65" customHeight="1">
      <c r="A25" s="38" t="str">
        <f>VLOOKUP(D25,Cadastro!$A$7:$C$39,3,1)</f>
        <v>01.027.058/0001-91</v>
      </c>
      <c r="B25" s="39">
        <v>668964</v>
      </c>
      <c r="C25" s="19">
        <v>43398</v>
      </c>
      <c r="D25" t="s">
        <v>16</v>
      </c>
      <c r="E25" t="str">
        <f>VLOOKUP(D25,Cadastro!$A$7:$C$39,2,1)</f>
        <v>CIELO SA</v>
      </c>
      <c r="F25" s="16">
        <v>11.87</v>
      </c>
      <c r="G25">
        <v>200</v>
      </c>
      <c r="H25">
        <v>0.65</v>
      </c>
      <c r="I25">
        <v>0.11</v>
      </c>
      <c r="J25">
        <v>5.93</v>
      </c>
      <c r="K25" s="16">
        <f t="shared" si="3"/>
        <v>2380.69</v>
      </c>
      <c r="L25" t="s">
        <v>69</v>
      </c>
      <c r="M25" s="19">
        <v>43403</v>
      </c>
      <c r="N25" s="16">
        <f t="shared" si="2"/>
        <v>11.903449999999999</v>
      </c>
      <c r="O25" s="16">
        <f t="shared" si="0"/>
        <v>0</v>
      </c>
      <c r="P25">
        <f t="shared" si="1"/>
        <v>2380.69</v>
      </c>
    </row>
    <row r="26" spans="1:16" ht="14.65" customHeight="1">
      <c r="A26" s="38" t="str">
        <f>VLOOKUP(D26,Cadastro!$A$7:$C$39,3,1)</f>
        <v>11.669.021/0001-10</v>
      </c>
      <c r="B26" s="39">
        <v>654261</v>
      </c>
      <c r="C26" s="19">
        <v>43369</v>
      </c>
      <c r="D26" t="s">
        <v>37</v>
      </c>
      <c r="E26" t="str">
        <f>VLOOKUP(D26,Cadastro!$A$7:$C$39,2,1)</f>
        <v>QUEIROZ GALVAO PART ON</v>
      </c>
      <c r="F26" s="16">
        <v>12.83</v>
      </c>
      <c r="G26">
        <v>100</v>
      </c>
      <c r="H26">
        <v>0.35</v>
      </c>
      <c r="I26">
        <v>0.06</v>
      </c>
      <c r="J26">
        <v>3.2</v>
      </c>
      <c r="K26" s="16">
        <f t="shared" si="3"/>
        <v>1279.3900000000001</v>
      </c>
      <c r="L26" t="s">
        <v>68</v>
      </c>
      <c r="M26" s="19">
        <v>43374</v>
      </c>
      <c r="N26" s="16">
        <f t="shared" si="2"/>
        <v>12.793900000000001</v>
      </c>
      <c r="O26" s="16">
        <f t="shared" si="0"/>
        <v>1279.3900000000001</v>
      </c>
      <c r="P26">
        <f t="shared" si="1"/>
        <v>0</v>
      </c>
    </row>
    <row r="27" spans="1:16" ht="14.65" customHeight="1">
      <c r="A27" s="38" t="str">
        <f>VLOOKUP(D27,Cadastro!$A$7:$C$39,3,1)</f>
        <v>11.669.021/0001-10</v>
      </c>
      <c r="B27" s="39">
        <v>671559</v>
      </c>
      <c r="C27" s="19">
        <v>43403</v>
      </c>
      <c r="D27" t="s">
        <v>37</v>
      </c>
      <c r="E27" t="str">
        <f>VLOOKUP(D27,Cadastro!$A$7:$C$39,2,1)</f>
        <v>QUEIROZ GALVAO PART ON</v>
      </c>
      <c r="F27" s="16">
        <v>12</v>
      </c>
      <c r="G27">
        <v>200</v>
      </c>
      <c r="H27">
        <v>0.66</v>
      </c>
      <c r="I27">
        <v>0.11</v>
      </c>
      <c r="J27">
        <v>6</v>
      </c>
      <c r="K27" s="16">
        <f t="shared" si="3"/>
        <v>2406.77</v>
      </c>
      <c r="L27" t="s">
        <v>69</v>
      </c>
      <c r="M27" s="19">
        <v>43409</v>
      </c>
      <c r="N27" s="16">
        <f t="shared" si="2"/>
        <v>12.033849999999999</v>
      </c>
      <c r="O27" s="16">
        <f t="shared" si="0"/>
        <v>0</v>
      </c>
      <c r="P27">
        <f t="shared" si="1"/>
        <v>2406.77</v>
      </c>
    </row>
    <row r="28" spans="1:16" ht="14.65" customHeight="1">
      <c r="A28" s="38" t="str">
        <f>VLOOKUP(D28,Cadastro!$A$7:$C$39,3,1)</f>
        <v>01.027.058/0001-91</v>
      </c>
      <c r="B28">
        <v>672240</v>
      </c>
      <c r="C28" s="19">
        <v>43404</v>
      </c>
      <c r="D28" t="s">
        <v>16</v>
      </c>
      <c r="E28" t="str">
        <f>VLOOKUP(D28,Cadastro!$A$7:$C$39,2,1)</f>
        <v>CIELO SA</v>
      </c>
      <c r="F28">
        <v>13.35</v>
      </c>
      <c r="G28">
        <v>400</v>
      </c>
      <c r="H28">
        <v>1.46</v>
      </c>
      <c r="I28">
        <v>0.26</v>
      </c>
      <c r="J28">
        <v>10.68</v>
      </c>
      <c r="K28" s="16">
        <f t="shared" si="3"/>
        <v>5327.6</v>
      </c>
      <c r="L28" t="s">
        <v>68</v>
      </c>
      <c r="M28" s="19">
        <v>43410</v>
      </c>
      <c r="N28" s="40">
        <f t="shared" si="2"/>
        <v>13.319000000000001</v>
      </c>
      <c r="O28" s="16">
        <f t="shared" si="0"/>
        <v>5327.6</v>
      </c>
      <c r="P28">
        <f t="shared" si="1"/>
        <v>0</v>
      </c>
    </row>
    <row r="29" spans="1:16" ht="14.65" customHeight="1">
      <c r="A29" s="38" t="str">
        <f>VLOOKUP(D29,Cadastro!$A$7:$C$39,3,1)</f>
        <v>33.000.167/0001-01</v>
      </c>
      <c r="B29">
        <v>611917</v>
      </c>
      <c r="C29" s="19">
        <v>43257</v>
      </c>
      <c r="D29" t="s">
        <v>15</v>
      </c>
      <c r="E29" t="str">
        <f>VLOOKUP(D29,Cadastro!$A$7:$C$39,2,1)</f>
        <v>PETRÓLEO BRASILEIRO S.A. PN</v>
      </c>
      <c r="F29">
        <v>16.47</v>
      </c>
      <c r="G29">
        <v>300</v>
      </c>
      <c r="H29">
        <v>1.35</v>
      </c>
      <c r="I29">
        <v>0.34</v>
      </c>
      <c r="J29">
        <v>9.8800000000000008</v>
      </c>
      <c r="K29" s="16">
        <f t="shared" si="3"/>
        <v>4952.57</v>
      </c>
      <c r="L29" t="s">
        <v>69</v>
      </c>
      <c r="M29" s="19">
        <v>43262</v>
      </c>
      <c r="N29" s="16">
        <f t="shared" si="2"/>
        <v>16.508566666666667</v>
      </c>
      <c r="O29" s="16">
        <f t="shared" si="0"/>
        <v>0</v>
      </c>
      <c r="P29">
        <f t="shared" si="1"/>
        <v>4952.57</v>
      </c>
    </row>
    <row r="30" spans="1:16" ht="14.65" customHeight="1">
      <c r="A30" s="38" t="str">
        <f>VLOOKUP(D30,Cadastro!$A$7:$C$39,3,1)</f>
        <v>07.689.002/0001-89</v>
      </c>
      <c r="B30">
        <v>711878</v>
      </c>
      <c r="C30" s="19">
        <v>43497</v>
      </c>
      <c r="D30" t="s">
        <v>21</v>
      </c>
      <c r="E30" t="str">
        <f>VLOOKUP(D30,Cadastro!$A$7:$C$39,2,1)</f>
        <v>EMBRAER SA</v>
      </c>
      <c r="F30">
        <v>19.2</v>
      </c>
      <c r="G30">
        <v>100</v>
      </c>
      <c r="H30">
        <v>0.52</v>
      </c>
      <c r="I30">
        <v>0.08</v>
      </c>
      <c r="J30">
        <v>4.8</v>
      </c>
      <c r="K30" s="16">
        <f t="shared" si="3"/>
        <v>1925.4</v>
      </c>
      <c r="L30" t="s">
        <v>69</v>
      </c>
      <c r="M30" s="19">
        <v>43502</v>
      </c>
      <c r="N30" s="31">
        <f t="shared" si="2"/>
        <v>19.254000000000001</v>
      </c>
      <c r="O30" s="16">
        <f t="shared" si="0"/>
        <v>0</v>
      </c>
      <c r="P30">
        <f t="shared" si="1"/>
        <v>1925.4</v>
      </c>
    </row>
    <row r="31" spans="1:16" ht="14.65" customHeight="1">
      <c r="A31" s="38" t="str">
        <f>VLOOKUP(D31,Cadastro!$A$7:$C$39,3,1)</f>
        <v>02.998.611/0001-04</v>
      </c>
      <c r="B31">
        <v>711129</v>
      </c>
      <c r="C31" s="19">
        <v>43496</v>
      </c>
      <c r="D31" t="s">
        <v>31</v>
      </c>
      <c r="E31" t="str">
        <f>VLOOKUP(D31,Cadastro!$A$7:$C$39,2,1)</f>
        <v>TRANSMISSÃO PAULISTA CTEEP</v>
      </c>
      <c r="F31">
        <v>47.21</v>
      </c>
      <c r="G31">
        <v>100</v>
      </c>
      <c r="H31">
        <v>1.29</v>
      </c>
      <c r="I31">
        <v>0.21</v>
      </c>
      <c r="J31">
        <v>9.44</v>
      </c>
      <c r="K31" s="16">
        <f t="shared" si="3"/>
        <v>4731.9399999999996</v>
      </c>
      <c r="L31" t="s">
        <v>69</v>
      </c>
      <c r="M31" s="19">
        <v>43501</v>
      </c>
      <c r="N31" s="40">
        <f t="shared" si="2"/>
        <v>47.319399999999995</v>
      </c>
      <c r="O31" s="16">
        <f t="shared" si="0"/>
        <v>0</v>
      </c>
      <c r="P31">
        <f t="shared" si="1"/>
        <v>4731.9399999999996</v>
      </c>
    </row>
    <row r="32" spans="1:16" ht="14.65" customHeight="1">
      <c r="A32" s="43" t="str">
        <f>VLOOKUP(D32,Cadastro!$A$7:$C$39,3,1)</f>
        <v>76.535.764/0001-43</v>
      </c>
      <c r="B32" s="42">
        <v>708607</v>
      </c>
      <c r="C32" s="43">
        <v>43493</v>
      </c>
      <c r="D32" s="41" t="s">
        <v>17</v>
      </c>
      <c r="E32" s="41" t="str">
        <f>VLOOKUP(D32,Cadastro!$A$7:$C$39,2,1)</f>
        <v>OI SA EM RECUPERAÇÃO JUDICIAL</v>
      </c>
      <c r="F32" s="44">
        <v>1.26</v>
      </c>
      <c r="G32" s="41">
        <v>2200</v>
      </c>
      <c r="H32" s="44">
        <v>0.81</v>
      </c>
      <c r="I32" s="44">
        <v>0.13</v>
      </c>
      <c r="J32" s="44">
        <v>7.44</v>
      </c>
      <c r="K32" s="44">
        <f t="shared" si="3"/>
        <v>2780.38</v>
      </c>
      <c r="L32" s="41" t="s">
        <v>69</v>
      </c>
      <c r="M32" s="43">
        <v>43496</v>
      </c>
      <c r="N32" s="45">
        <f t="shared" si="2"/>
        <v>1.2638090909090909</v>
      </c>
      <c r="O32" s="45">
        <f t="shared" si="0"/>
        <v>0</v>
      </c>
      <c r="P32" s="45">
        <f t="shared" si="1"/>
        <v>2780.38</v>
      </c>
    </row>
    <row r="33" spans="1:16" ht="14.65" customHeight="1">
      <c r="A33" s="48" t="str">
        <f>VLOOKUP(D33,Cadastro!$A$7:$C$39,3,1)</f>
        <v>02.998.611/0001-04</v>
      </c>
      <c r="B33" s="47">
        <v>708607</v>
      </c>
      <c r="C33" s="48">
        <v>43493</v>
      </c>
      <c r="D33" s="46" t="s">
        <v>19</v>
      </c>
      <c r="E33" s="46" t="str">
        <f>VLOOKUP(D33,Cadastro!$A$7:$C$39,2,1)</f>
        <v>TRANSMISSÃO PAULISTA CTEEP</v>
      </c>
      <c r="F33" s="49">
        <v>105.65</v>
      </c>
      <c r="G33" s="46">
        <v>1</v>
      </c>
      <c r="H33" s="49"/>
      <c r="I33" s="49"/>
      <c r="J33" s="49"/>
      <c r="K33" s="49">
        <f t="shared" si="3"/>
        <v>105.65</v>
      </c>
      <c r="L33" s="46" t="s">
        <v>69</v>
      </c>
      <c r="M33" s="48">
        <v>43496</v>
      </c>
      <c r="N33" s="50">
        <f t="shared" si="2"/>
        <v>105.65</v>
      </c>
      <c r="O33" s="50">
        <f t="shared" si="0"/>
        <v>0</v>
      </c>
      <c r="P33" s="50">
        <f t="shared" si="1"/>
        <v>105.65</v>
      </c>
    </row>
    <row r="34" spans="1:16" ht="14.65" customHeight="1">
      <c r="A34" s="53" t="str">
        <f>VLOOKUP(D34,Cadastro!$A$7:$C$39,3,1)</f>
        <v>02.998.611/0001-04</v>
      </c>
      <c r="B34" s="52">
        <v>708607</v>
      </c>
      <c r="C34" s="53">
        <v>43493</v>
      </c>
      <c r="D34" s="51" t="s">
        <v>18</v>
      </c>
      <c r="E34" s="51" t="str">
        <f>VLOOKUP(D34,Cadastro!$A$7:$C$39,2,1)</f>
        <v>TRANSMISSÃO PAULISTA CTEEP</v>
      </c>
      <c r="F34" s="37">
        <v>101.4</v>
      </c>
      <c r="G34" s="51">
        <v>1</v>
      </c>
      <c r="H34" s="37"/>
      <c r="I34" s="37"/>
      <c r="J34" s="37"/>
      <c r="K34" s="37">
        <f t="shared" si="3"/>
        <v>101.4</v>
      </c>
      <c r="L34" s="51" t="s">
        <v>69</v>
      </c>
      <c r="M34" s="53">
        <v>43496</v>
      </c>
      <c r="N34" s="54">
        <f t="shared" si="2"/>
        <v>101.4</v>
      </c>
      <c r="O34" s="54">
        <f t="shared" si="0"/>
        <v>0</v>
      </c>
      <c r="P34" s="54">
        <f t="shared" si="1"/>
        <v>101.4</v>
      </c>
    </row>
    <row r="35" spans="1:16" ht="14.65" customHeight="1">
      <c r="A35" s="38" t="str">
        <f>VLOOKUP(D35,Cadastro!$A$7:$C$39,3,1)</f>
        <v>11.669.021/0001-10</v>
      </c>
      <c r="B35">
        <v>717450</v>
      </c>
      <c r="C35" s="33">
        <v>43509</v>
      </c>
      <c r="D35" t="s">
        <v>37</v>
      </c>
      <c r="E35" t="str">
        <f>VLOOKUP(D35,Cadastro!$A$7:$C$39,2,1)</f>
        <v>QUEIROZ GALVAO PART ON</v>
      </c>
      <c r="F35">
        <v>13.01</v>
      </c>
      <c r="G35">
        <v>300</v>
      </c>
      <c r="H35">
        <v>1.07</v>
      </c>
      <c r="I35">
        <v>0.15</v>
      </c>
      <c r="J35">
        <v>7.8</v>
      </c>
      <c r="K35" s="16">
        <f t="shared" si="3"/>
        <v>3893.98</v>
      </c>
      <c r="L35" t="s">
        <v>68</v>
      </c>
      <c r="M35" s="19">
        <v>43514</v>
      </c>
      <c r="N35">
        <f t="shared" si="2"/>
        <v>12.979933333333333</v>
      </c>
      <c r="O35" s="16">
        <f t="shared" si="0"/>
        <v>3893.98</v>
      </c>
      <c r="P35">
        <f t="shared" si="1"/>
        <v>0</v>
      </c>
    </row>
    <row r="36" spans="1:16" ht="14.65" customHeight="1">
      <c r="A36" s="38" t="str">
        <f>VLOOKUP(D36,Cadastro!$A$7:$C$39,3,1)</f>
        <v>02.932.074/0001-91</v>
      </c>
      <c r="B36">
        <v>725570</v>
      </c>
      <c r="C36" s="33">
        <v>43525</v>
      </c>
      <c r="D36" t="s">
        <v>42</v>
      </c>
      <c r="E36" t="str">
        <f>VLOOKUP(D36,Cadastro!$A$7:$C$39,2,1)</f>
        <v>HYPERMARCAS S/A</v>
      </c>
      <c r="F36">
        <v>26.6</v>
      </c>
      <c r="G36">
        <v>100</v>
      </c>
      <c r="H36">
        <v>0.73</v>
      </c>
      <c r="I36">
        <v>0.1</v>
      </c>
      <c r="J36">
        <v>6.65</v>
      </c>
      <c r="K36" s="16">
        <f t="shared" si="3"/>
        <v>2667.48</v>
      </c>
      <c r="L36" t="s">
        <v>69</v>
      </c>
      <c r="M36" s="19">
        <v>43532</v>
      </c>
      <c r="N36">
        <f t="shared" si="2"/>
        <v>26.674800000000001</v>
      </c>
      <c r="O36" s="16">
        <f t="shared" si="0"/>
        <v>0</v>
      </c>
      <c r="P36">
        <f t="shared" si="1"/>
        <v>2667.48</v>
      </c>
    </row>
    <row r="37" spans="1:16" ht="14.65" customHeight="1">
      <c r="M37" s="19"/>
    </row>
    <row r="38" spans="1:16" ht="14.65" customHeight="1">
      <c r="M38" s="19"/>
    </row>
  </sheetData>
  <autoFilter ref="A6:P36"/>
  <pageMargins left="0.39374999999999999" right="0.39374999999999999" top="0.65902777777777799" bottom="0.65902777777777799" header="0.39374999999999999" footer="0.39374999999999999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90"/>
  <sheetViews>
    <sheetView topLeftCell="A58" zoomScale="90" zoomScaleNormal="90" workbookViewId="0">
      <selection activeCell="C13" sqref="C13"/>
    </sheetView>
  </sheetViews>
  <sheetFormatPr defaultRowHeight="12.75"/>
  <cols>
    <col min="1" max="1" width="13.5703125" style="58" customWidth="1"/>
    <col min="2" max="2" width="19.42578125" customWidth="1"/>
    <col min="3" max="3" width="8.7109375" customWidth="1"/>
    <col min="4" max="4" width="43.42578125" customWidth="1"/>
    <col min="5" max="5" width="25.140625" customWidth="1"/>
    <col min="6" max="9" width="11.42578125" customWidth="1"/>
    <col min="10" max="10" width="12.28515625" customWidth="1"/>
    <col min="11" max="1026" width="11.42578125" customWidth="1"/>
  </cols>
  <sheetData>
    <row r="1" spans="1:11" ht="12.75" customHeight="1"/>
    <row r="6" spans="1:11" ht="14.65" customHeight="1">
      <c r="A6" s="51" t="s">
        <v>65</v>
      </c>
      <c r="B6" s="36" t="s">
        <v>3</v>
      </c>
      <c r="C6" s="36" t="s">
        <v>60</v>
      </c>
      <c r="D6" s="36" t="s">
        <v>5</v>
      </c>
      <c r="E6" s="36" t="s">
        <v>70</v>
      </c>
      <c r="F6" s="36" t="s">
        <v>6</v>
      </c>
      <c r="G6" s="36" t="s">
        <v>61</v>
      </c>
      <c r="H6" s="36" t="s">
        <v>9</v>
      </c>
      <c r="I6" s="109" t="s">
        <v>8</v>
      </c>
      <c r="J6" s="109" t="s">
        <v>11</v>
      </c>
      <c r="K6" s="109" t="s">
        <v>13</v>
      </c>
    </row>
    <row r="7" spans="1:11" ht="14.65" customHeight="1">
      <c r="A7" s="58" t="str">
        <f>VLOOKUP(C7,Cadastro!$A$7:$D$55,4,1)</f>
        <v>RISCO</v>
      </c>
      <c r="B7" t="str">
        <f>VLOOKUP(C7,Cadastro!$A$7:$D$55,3,1)</f>
        <v>07.526.557/0001-00</v>
      </c>
      <c r="C7" t="s">
        <v>73</v>
      </c>
      <c r="D7" s="11" t="str">
        <f>VLOOKUP(C7,Cadastro!$A$7:$D$55,2,1)</f>
        <v>AMBEV SA ON</v>
      </c>
      <c r="E7" s="58" t="s">
        <v>71</v>
      </c>
      <c r="F7" s="19">
        <v>43829</v>
      </c>
      <c r="G7">
        <v>100</v>
      </c>
      <c r="H7">
        <v>41.71</v>
      </c>
      <c r="I7" s="108">
        <f>VLOOKUP(C7,Resumo!$C$7:$H$31,5,1)</f>
        <v>15.82</v>
      </c>
      <c r="J7" s="108">
        <f>I7*G7</f>
        <v>1582</v>
      </c>
      <c r="K7" s="107">
        <f>H7/J7</f>
        <v>2.6365360303413403E-2</v>
      </c>
    </row>
    <row r="8" spans="1:11" ht="14.65" customHeight="1">
      <c r="A8" s="58" t="str">
        <f>VLOOKUP(C8,Cadastro!$A$7:$D$55,4,1)</f>
        <v>BANCO</v>
      </c>
      <c r="B8" t="str">
        <f>VLOOKUP(C8,Cadastro!$A$7:$D$55,3,1)</f>
        <v>60.746.948/0001-12</v>
      </c>
      <c r="C8" t="s">
        <v>38</v>
      </c>
      <c r="D8" s="11" t="str">
        <f>VLOOKUP(C8,Cadastro!$A$7:$D$55,2,1)</f>
        <v>BANCO BRADESCO SA ON</v>
      </c>
      <c r="E8" s="11" t="s">
        <v>71</v>
      </c>
      <c r="F8" s="19">
        <v>43374</v>
      </c>
      <c r="G8">
        <v>100</v>
      </c>
      <c r="H8">
        <v>1.47</v>
      </c>
      <c r="I8" s="108">
        <f>VLOOKUP(C8,Resumo!$C$7:$H$31,5,1)</f>
        <v>22.45</v>
      </c>
      <c r="J8" s="108">
        <f>I8*G8</f>
        <v>2245</v>
      </c>
      <c r="K8" s="107">
        <f>H8/J8</f>
        <v>6.547884187082405E-4</v>
      </c>
    </row>
    <row r="9" spans="1:11" ht="14.65" customHeight="1">
      <c r="A9" s="58" t="str">
        <f>VLOOKUP(C9,Cadastro!$A$7:$D$55,4,1)</f>
        <v>BANCO</v>
      </c>
      <c r="B9" s="58" t="str">
        <f>VLOOKUP(C9,Cadastro!$A$7:$D$55,3,1)</f>
        <v>60.746.948/0001-12</v>
      </c>
      <c r="C9" t="s">
        <v>38</v>
      </c>
      <c r="D9" s="11" t="str">
        <f>VLOOKUP(C9,Cadastro!$A$7:$D$55,2,1)</f>
        <v>BANCO BRADESCO SA ON</v>
      </c>
      <c r="E9" s="11" t="s">
        <v>71</v>
      </c>
      <c r="F9" s="19">
        <v>43405</v>
      </c>
      <c r="G9">
        <v>100</v>
      </c>
      <c r="H9">
        <v>1.47</v>
      </c>
      <c r="I9" s="108">
        <f>VLOOKUP(C9,Resumo!$C$7:$H$31,5,1)</f>
        <v>22.45</v>
      </c>
      <c r="J9" s="108">
        <f>I9*G9</f>
        <v>2245</v>
      </c>
      <c r="K9" s="107">
        <f>H9/J9</f>
        <v>6.547884187082405E-4</v>
      </c>
    </row>
    <row r="10" spans="1:11" ht="14.65" customHeight="1">
      <c r="A10" s="58" t="str">
        <f>VLOOKUP(C10,Cadastro!$A$7:$D$55,4,1)</f>
        <v>BANCO</v>
      </c>
      <c r="B10" s="58" t="str">
        <f>VLOOKUP(C10,Cadastro!$A$7:$D$55,3,1)</f>
        <v>60.746.948/0001-12</v>
      </c>
      <c r="C10" t="s">
        <v>38</v>
      </c>
      <c r="D10" s="11" t="str">
        <f>VLOOKUP(C10,Cadastro!$A$7:$D$55,2,1)</f>
        <v>BANCO BRADESCO SA ON</v>
      </c>
      <c r="E10" s="58" t="s">
        <v>71</v>
      </c>
      <c r="F10" s="102">
        <v>43955</v>
      </c>
      <c r="G10">
        <v>200</v>
      </c>
      <c r="H10" s="11">
        <v>2.93</v>
      </c>
      <c r="I10" s="108">
        <f>VLOOKUP(C10,Resumo!$C$7:$H$31,5,1)</f>
        <v>22.45</v>
      </c>
      <c r="J10" s="108">
        <f>I10*G10</f>
        <v>4490</v>
      </c>
      <c r="K10" s="107">
        <f>H10/J10</f>
        <v>6.5256124721603569E-4</v>
      </c>
    </row>
    <row r="11" spans="1:11" ht="14.65" customHeight="1">
      <c r="A11" s="58" t="str">
        <f>VLOOKUP(C11,Cadastro!$A$7:$D$55,4,1)</f>
        <v>FII</v>
      </c>
      <c r="B11" s="58" t="str">
        <f>VLOOKUP(C11,Cadastro!$A$7:$D$55,3,1)</f>
        <v>14.410.722/0001-29</v>
      </c>
      <c r="C11" t="s">
        <v>20</v>
      </c>
      <c r="D11" s="11" t="str">
        <f>VLOOKUP(C11,Cadastro!$A$7:$D$55,2,1)</f>
        <v>BANCO DO BRASIL LOCACAO</v>
      </c>
      <c r="E11" s="58" t="s">
        <v>72</v>
      </c>
      <c r="F11" s="102">
        <v>43845</v>
      </c>
      <c r="G11">
        <v>20</v>
      </c>
      <c r="H11" s="11">
        <v>21.15</v>
      </c>
      <c r="I11" s="108">
        <f>VLOOKUP(C11,Resumo!$C$7:$H$31,5,1)</f>
        <v>157.74</v>
      </c>
      <c r="J11" s="108">
        <f>I11*G11</f>
        <v>3154.8</v>
      </c>
      <c r="K11" s="107">
        <f>H11/J11</f>
        <v>6.7040699885888158E-3</v>
      </c>
    </row>
    <row r="12" spans="1:11" ht="14.65" customHeight="1">
      <c r="A12" s="58" t="str">
        <f>VLOOKUP(C12,Cadastro!$A$7:$D$55,4,1)</f>
        <v>FII</v>
      </c>
      <c r="B12" s="58" t="str">
        <f>VLOOKUP(C12,Cadastro!$A$7:$D$55,3,1)</f>
        <v>14.410.722/0001-29</v>
      </c>
      <c r="C12" s="58" t="s">
        <v>20</v>
      </c>
      <c r="D12" s="11" t="str">
        <f>VLOOKUP(C12,Cadastro!$A$7:$D$55,2,1)</f>
        <v>BANCO DO BRASIL LOCACAO</v>
      </c>
      <c r="E12" s="58" t="s">
        <v>72</v>
      </c>
      <c r="F12" s="102">
        <v>43903</v>
      </c>
      <c r="G12">
        <v>20</v>
      </c>
      <c r="H12" s="11">
        <v>21.15</v>
      </c>
      <c r="I12" s="108">
        <f>VLOOKUP(C12,Resumo!$C$7:$H$31,5,1)</f>
        <v>157.74</v>
      </c>
      <c r="J12" s="108">
        <f>I12*G12</f>
        <v>3154.8</v>
      </c>
      <c r="K12" s="107">
        <f>H12/J12</f>
        <v>6.7040699885888158E-3</v>
      </c>
    </row>
    <row r="13" spans="1:11" ht="14.65" customHeight="1">
      <c r="A13" s="58" t="str">
        <f>VLOOKUP(C13,Cadastro!$A$7:$D$55,4,1)</f>
        <v>FII</v>
      </c>
      <c r="B13" s="58" t="str">
        <f>VLOOKUP(C13,Cadastro!$A$7:$D$55,3,1)</f>
        <v>14.410.722/0001-29</v>
      </c>
      <c r="C13" s="58" t="s">
        <v>20</v>
      </c>
      <c r="D13" s="11" t="str">
        <f>VLOOKUP(C13,Cadastro!$A$7:$D$55,2,1)</f>
        <v>BANCO DO BRASIL LOCACAO</v>
      </c>
      <c r="E13" s="58" t="s">
        <v>72</v>
      </c>
      <c r="F13" s="102">
        <v>43875</v>
      </c>
      <c r="G13">
        <v>20</v>
      </c>
      <c r="H13" s="11">
        <v>21.15</v>
      </c>
      <c r="I13" s="108">
        <f>VLOOKUP(C13,Resumo!$C$7:$H$31,5,1)</f>
        <v>157.74</v>
      </c>
      <c r="J13" s="108">
        <f>I13*G13</f>
        <v>3154.8</v>
      </c>
      <c r="K13" s="107">
        <f>H13/J13</f>
        <v>6.7040699885888158E-3</v>
      </c>
    </row>
    <row r="14" spans="1:11" ht="14.65" customHeight="1">
      <c r="A14" s="58" t="str">
        <f>VLOOKUP(C14,Cadastro!$A$7:$D$55,4,1)</f>
        <v>FII</v>
      </c>
      <c r="B14" s="58" t="str">
        <f>VLOOKUP(C14,Cadastro!$A$7:$D$55,3,1)</f>
        <v>14.410.722/0001-29</v>
      </c>
      <c r="C14" s="58" t="s">
        <v>20</v>
      </c>
      <c r="D14" s="11" t="str">
        <f>VLOOKUP(C14,Cadastro!$A$7:$D$55,2,1)</f>
        <v>BANCO DO BRASIL LOCACAO</v>
      </c>
      <c r="E14" s="58" t="s">
        <v>72</v>
      </c>
      <c r="F14" s="102">
        <v>43936</v>
      </c>
      <c r="G14">
        <v>20</v>
      </c>
      <c r="H14" s="11">
        <v>16.920000000000002</v>
      </c>
      <c r="I14" s="108">
        <f>VLOOKUP(C14,Resumo!$C$7:$H$31,5,1)</f>
        <v>157.74</v>
      </c>
      <c r="J14" s="108">
        <f>I14*G14</f>
        <v>3154.8</v>
      </c>
      <c r="K14" s="107">
        <f>H14/J14</f>
        <v>5.3632559908710535E-3</v>
      </c>
    </row>
    <row r="15" spans="1:11" ht="14.65" customHeight="1">
      <c r="A15" s="58" t="str">
        <f>VLOOKUP(C15,Cadastro!$A$7:$D$55,4,1)</f>
        <v>RISCO</v>
      </c>
      <c r="B15" s="58" t="str">
        <f>VLOOKUP(C15,Cadastro!$A$7:$D$55,3,1)</f>
        <v>01.027.058/0001-91</v>
      </c>
      <c r="C15" s="55" t="s">
        <v>16</v>
      </c>
      <c r="D15" s="11" t="str">
        <f>VLOOKUP(C15,Cadastro!$A$7:$D$55,2,1)</f>
        <v>CIELO SA</v>
      </c>
      <c r="E15" s="11" t="s">
        <v>71</v>
      </c>
      <c r="F15" s="19">
        <v>43460</v>
      </c>
      <c r="G15">
        <v>200</v>
      </c>
      <c r="H15">
        <v>9.5500000000000007</v>
      </c>
      <c r="I15" s="108">
        <f>VLOOKUP(C15,Resumo!$C$7:$H$31,5,1)</f>
        <v>11.027215999999999</v>
      </c>
      <c r="J15" s="108">
        <f>I15*G15</f>
        <v>2205.4431999999997</v>
      </c>
      <c r="K15" s="107">
        <f>H15/J15</f>
        <v>4.3301954001807898E-3</v>
      </c>
    </row>
    <row r="16" spans="1:11" ht="14.65" customHeight="1">
      <c r="A16" s="58" t="str">
        <f>VLOOKUP(C16,Cadastro!$A$7:$D$55,4,1)</f>
        <v>RISCO</v>
      </c>
      <c r="B16" s="58" t="str">
        <f>VLOOKUP(C16,Cadastro!$A$7:$D$55,3,1)</f>
        <v>01.027.058/0001-91</v>
      </c>
      <c r="C16" s="55" t="s">
        <v>16</v>
      </c>
      <c r="D16" s="11" t="str">
        <f>VLOOKUP(C16,Cadastro!$A$7:$D$55,2,1)</f>
        <v>CIELO SA</v>
      </c>
      <c r="E16" s="11" t="s">
        <v>49</v>
      </c>
      <c r="F16" s="19">
        <v>43460</v>
      </c>
      <c r="G16">
        <v>600</v>
      </c>
      <c r="H16">
        <v>159.71</v>
      </c>
      <c r="I16" s="108">
        <f>VLOOKUP(C16,Resumo!$C$7:$H$31,5,1)</f>
        <v>11.027215999999999</v>
      </c>
      <c r="J16" s="108">
        <f>I16*G16</f>
        <v>6616.3295999999991</v>
      </c>
      <c r="K16" s="107">
        <f>H16/J16</f>
        <v>2.4138761164498219E-2</v>
      </c>
    </row>
    <row r="17" spans="1:16" ht="14.65" customHeight="1">
      <c r="A17" s="58" t="str">
        <f>VLOOKUP(C17,Cadastro!$A$7:$D$55,4,1)</f>
        <v>RISCO</v>
      </c>
      <c r="B17" s="58" t="str">
        <f>VLOOKUP(C17,Cadastro!$A$7:$D$55,3,1)</f>
        <v>01.027.058/0001-91</v>
      </c>
      <c r="C17" s="55" t="s">
        <v>16</v>
      </c>
      <c r="D17" s="11" t="str">
        <f>VLOOKUP(C17,Cadastro!$A$7:$D$55,2,1)</f>
        <v>CIELO SA</v>
      </c>
      <c r="E17" s="11" t="s">
        <v>71</v>
      </c>
      <c r="F17" s="19">
        <v>43535</v>
      </c>
      <c r="G17">
        <v>600</v>
      </c>
      <c r="H17">
        <v>31.1</v>
      </c>
      <c r="I17" s="108">
        <f>VLOOKUP(C17,Resumo!$C$7:$H$31,5,1)</f>
        <v>11.027215999999999</v>
      </c>
      <c r="J17" s="108">
        <f>I17*G17</f>
        <v>6616.3295999999991</v>
      </c>
      <c r="K17" s="107">
        <f>H17/J17</f>
        <v>4.7004913419065467E-3</v>
      </c>
    </row>
    <row r="18" spans="1:16" ht="14.65" customHeight="1">
      <c r="A18" s="58" t="str">
        <f>VLOOKUP(C18,Cadastro!$A$7:$D$55,4,1)</f>
        <v>RISCO</v>
      </c>
      <c r="B18" s="58" t="str">
        <f>VLOOKUP(C18,Cadastro!$A$7:$D$55,3,1)</f>
        <v>01.027.058/0001-91</v>
      </c>
      <c r="C18" s="55" t="s">
        <v>16</v>
      </c>
      <c r="D18" s="11" t="str">
        <f>VLOOKUP(C18,Cadastro!$A$7:$D$55,2,1)</f>
        <v>CIELO SA</v>
      </c>
      <c r="E18" s="11" t="s">
        <v>49</v>
      </c>
      <c r="F18" s="19">
        <v>43535</v>
      </c>
      <c r="G18">
        <v>600</v>
      </c>
      <c r="H18">
        <v>156.83000000000001</v>
      </c>
      <c r="I18" s="108">
        <f>VLOOKUP(C18,Resumo!$C$7:$H$31,5,1)</f>
        <v>11.027215999999999</v>
      </c>
      <c r="J18" s="108">
        <f>I18*G18</f>
        <v>6616.3295999999991</v>
      </c>
      <c r="K18" s="107">
        <f>H18/J18</f>
        <v>2.3703474506469573E-2</v>
      </c>
    </row>
    <row r="19" spans="1:16" ht="14.65" customHeight="1">
      <c r="A19" s="58" t="str">
        <f>VLOOKUP(C19,Cadastro!$A$7:$D$55,4,1)</f>
        <v>RISCO</v>
      </c>
      <c r="B19" s="58" t="str">
        <f>VLOOKUP(C19,Cadastro!$A$7:$D$55,3,1)</f>
        <v>01.027.058/0001-91</v>
      </c>
      <c r="C19" s="55" t="s">
        <v>16</v>
      </c>
      <c r="D19" s="11" t="str">
        <f>VLOOKUP(C19,Cadastro!$A$7:$D$55,2,1)</f>
        <v>CIELO SA</v>
      </c>
      <c r="E19" s="58" t="s">
        <v>71</v>
      </c>
      <c r="F19" s="19">
        <v>43643</v>
      </c>
      <c r="G19">
        <v>600</v>
      </c>
      <c r="H19">
        <v>27.78</v>
      </c>
      <c r="I19" s="108">
        <f>VLOOKUP(C19,Resumo!$C$7:$H$31,5,1)</f>
        <v>11.027215999999999</v>
      </c>
      <c r="J19" s="108">
        <f>I19*G19</f>
        <v>6616.3295999999991</v>
      </c>
      <c r="K19" s="107">
        <f>H19/J19</f>
        <v>4.1987025555679704E-3</v>
      </c>
    </row>
    <row r="20" spans="1:16" ht="14.65" customHeight="1">
      <c r="A20" s="58" t="str">
        <f>VLOOKUP(C20,Cadastro!$A$7:$D$55,4,1)</f>
        <v>RISCO</v>
      </c>
      <c r="B20" s="58" t="str">
        <f>VLOOKUP(C20,Cadastro!$A$7:$D$55,3,1)</f>
        <v>01.027.058/0001-91</v>
      </c>
      <c r="C20" s="55" t="s">
        <v>16</v>
      </c>
      <c r="D20" s="11" t="str">
        <f>VLOOKUP(C20,Cadastro!$A$7:$D$55,2,1)</f>
        <v>CIELO SA</v>
      </c>
      <c r="E20" t="s">
        <v>49</v>
      </c>
      <c r="F20" s="19">
        <v>43643</v>
      </c>
      <c r="G20">
        <v>600</v>
      </c>
      <c r="H20">
        <v>47.97</v>
      </c>
      <c r="I20" s="108">
        <f>VLOOKUP(C20,Resumo!$C$7:$H$31,5,1)</f>
        <v>11.027215999999999</v>
      </c>
      <c r="J20" s="108">
        <f>I20*G20</f>
        <v>6616.3295999999991</v>
      </c>
      <c r="K20" s="107">
        <f>H20/J20</f>
        <v>7.2502433977896154E-3</v>
      </c>
    </row>
    <row r="21" spans="1:16" ht="14.65" customHeight="1">
      <c r="A21" s="58" t="str">
        <f>VLOOKUP(C21,Cadastro!$A$7:$D$55,4,1)</f>
        <v>RISCO</v>
      </c>
      <c r="B21" s="58" t="str">
        <f>VLOOKUP(C21,Cadastro!$A$7:$D$55,3,1)</f>
        <v>01.027.058/0001-91</v>
      </c>
      <c r="C21" s="55" t="s">
        <v>16</v>
      </c>
      <c r="D21" s="11" t="str">
        <f>VLOOKUP(C21,Cadastro!$A$7:$D$55,2,1)</f>
        <v>CIELO SA</v>
      </c>
      <c r="E21" t="s">
        <v>71</v>
      </c>
      <c r="F21" s="19">
        <v>43735</v>
      </c>
      <c r="G21">
        <v>600</v>
      </c>
      <c r="H21">
        <v>25.21</v>
      </c>
      <c r="I21" s="108">
        <f>VLOOKUP(C21,Resumo!$C$7:$H$31,5,1)</f>
        <v>11.027215999999999</v>
      </c>
      <c r="J21" s="108">
        <f>I21*G21</f>
        <v>6616.3295999999991</v>
      </c>
      <c r="K21" s="107">
        <f>H21/J21</f>
        <v>3.8102696697576862E-3</v>
      </c>
    </row>
    <row r="22" spans="1:16" ht="14.65" customHeight="1">
      <c r="A22" s="58" t="str">
        <f>VLOOKUP(C22,Cadastro!$A$7:$D$55,4,1)</f>
        <v>RISCO</v>
      </c>
      <c r="B22" s="58" t="str">
        <f>VLOOKUP(C22,Cadastro!$A$7:$D$55,3,1)</f>
        <v>01.027.058/0001-91</v>
      </c>
      <c r="C22" s="55" t="s">
        <v>16</v>
      </c>
      <c r="D22" s="11" t="str">
        <f>VLOOKUP(C22,Cadastro!$A$7:$D$55,2,1)</f>
        <v>CIELO SA</v>
      </c>
      <c r="E22" t="s">
        <v>49</v>
      </c>
      <c r="F22" s="19">
        <v>43735</v>
      </c>
      <c r="G22">
        <v>600</v>
      </c>
      <c r="H22">
        <v>1.59</v>
      </c>
      <c r="I22" s="108">
        <f>VLOOKUP(C22,Resumo!$C$7:$H$31,5,1)</f>
        <v>11.027215999999999</v>
      </c>
      <c r="J22" s="108">
        <f>I22*G22</f>
        <v>6616.3295999999991</v>
      </c>
      <c r="K22" s="107">
        <f>H22/J22</f>
        <v>2.40314509119981E-4</v>
      </c>
    </row>
    <row r="23" spans="1:16" ht="14.65" customHeight="1">
      <c r="A23" s="58" t="str">
        <f>VLOOKUP(C23,Cadastro!$A$7:$D$55,4,1)</f>
        <v>RISCO</v>
      </c>
      <c r="B23" s="58" t="str">
        <f>VLOOKUP(C23,Cadastro!$A$7:$D$55,3,1)</f>
        <v>01.027.058/0001-91</v>
      </c>
      <c r="C23" s="58" t="s">
        <v>16</v>
      </c>
      <c r="D23" s="11" t="str">
        <f>VLOOKUP(C23,Cadastro!$A$7:$D$55,2,1)</f>
        <v>CIELO SA</v>
      </c>
      <c r="E23" t="s">
        <v>71</v>
      </c>
      <c r="F23" s="19">
        <v>43735</v>
      </c>
      <c r="G23">
        <v>600</v>
      </c>
      <c r="H23">
        <v>0.38</v>
      </c>
      <c r="I23" s="108">
        <f>VLOOKUP(C23,Resumo!$C$7:$H$31,5,1)</f>
        <v>11.027215999999999</v>
      </c>
      <c r="J23" s="108">
        <f>I23*G23</f>
        <v>6616.3295999999991</v>
      </c>
      <c r="K23" s="107">
        <f>H23/J23</f>
        <v>5.7433656267668413E-5</v>
      </c>
    </row>
    <row r="24" spans="1:16" ht="14.65" customHeight="1">
      <c r="A24" s="58" t="str">
        <f>VLOOKUP(C24,Cadastro!$A$7:$D$55,4,1)</f>
        <v>RISCO</v>
      </c>
      <c r="B24" s="58" t="str">
        <f>VLOOKUP(C24,Cadastro!$A$7:$D$55,3,1)</f>
        <v>01.027.058/0001-91</v>
      </c>
      <c r="C24" s="58" t="s">
        <v>16</v>
      </c>
      <c r="D24" s="11" t="str">
        <f>VLOOKUP(C24,Cadastro!$A$7:$D$55,2,1)</f>
        <v>CIELO SA</v>
      </c>
      <c r="E24" t="s">
        <v>71</v>
      </c>
      <c r="F24" s="19">
        <v>43787</v>
      </c>
      <c r="G24">
        <v>600</v>
      </c>
      <c r="H24">
        <v>14.68</v>
      </c>
      <c r="I24" s="108">
        <f>VLOOKUP(C24,Resumo!$C$7:$H$31,5,1)</f>
        <v>11.027215999999999</v>
      </c>
      <c r="J24" s="108">
        <f>I24*G24</f>
        <v>6616.3295999999991</v>
      </c>
      <c r="K24" s="107">
        <f>H24/J24</f>
        <v>2.2187528263404536E-3</v>
      </c>
    </row>
    <row r="25" spans="1:16" ht="14.65" customHeight="1">
      <c r="A25" s="58" t="str">
        <f>VLOOKUP(C25,Cadastro!$A$7:$D$55,4,1)</f>
        <v>RISCO</v>
      </c>
      <c r="B25" s="58" t="str">
        <f>VLOOKUP(C25,Cadastro!$A$7:$D$55,3,1)</f>
        <v>01.027.058/0001-91</v>
      </c>
      <c r="C25" s="58" t="s">
        <v>16</v>
      </c>
      <c r="D25" s="11" t="str">
        <f>VLOOKUP(C25,Cadastro!$A$7:$D$55,2,1)</f>
        <v>CIELO SA</v>
      </c>
      <c r="E25" t="s">
        <v>71</v>
      </c>
      <c r="F25" s="19">
        <v>43787</v>
      </c>
      <c r="G25">
        <v>600</v>
      </c>
      <c r="H25">
        <v>7.89</v>
      </c>
      <c r="I25" s="108">
        <f>VLOOKUP(C25,Resumo!$C$7:$H$31,5,1)</f>
        <v>11.027215999999999</v>
      </c>
      <c r="J25" s="108">
        <f>I25*G25</f>
        <v>6616.3295999999991</v>
      </c>
      <c r="K25" s="107">
        <f>H25/J25</f>
        <v>1.1925040735576416E-3</v>
      </c>
    </row>
    <row r="26" spans="1:16" ht="14.65" customHeight="1">
      <c r="A26" s="58" t="str">
        <f>VLOOKUP(C26,Cadastro!$A$7:$D$55,4,1)</f>
        <v>RISCO</v>
      </c>
      <c r="B26" s="58" t="str">
        <f>VLOOKUP(C26,Cadastro!$A$7:$D$55,3,1)</f>
        <v>01.027.058/0001-91</v>
      </c>
      <c r="C26" s="58" t="s">
        <v>16</v>
      </c>
      <c r="D26" s="11" t="str">
        <f>VLOOKUP(C26,Cadastro!$A$7:$D$55,2,1)</f>
        <v>CIELO SA</v>
      </c>
      <c r="E26" t="s">
        <v>71</v>
      </c>
      <c r="F26" s="102">
        <v>43874</v>
      </c>
      <c r="G26">
        <v>600</v>
      </c>
      <c r="H26" s="11">
        <v>10.73</v>
      </c>
      <c r="I26" s="108">
        <f>VLOOKUP(C26,Resumo!$C$7:$H$31,5,1)</f>
        <v>11.027215999999999</v>
      </c>
      <c r="J26" s="108">
        <f>I26*G26</f>
        <v>6616.3295999999991</v>
      </c>
      <c r="K26" s="107">
        <f>H26/J26</f>
        <v>1.6217450835581109E-3</v>
      </c>
      <c r="P26">
        <f>813-160</f>
        <v>653</v>
      </c>
    </row>
    <row r="27" spans="1:16" ht="14.65" customHeight="1">
      <c r="A27" s="58" t="str">
        <f>VLOOKUP(C27,Cadastro!$A$7:$D$55,4,1)</f>
        <v>RISCO</v>
      </c>
      <c r="B27" s="58" t="str">
        <f>VLOOKUP(C27,Cadastro!$A$7:$D$55,3,1)</f>
        <v>01.027.058/0001-91</v>
      </c>
      <c r="C27" s="58" t="s">
        <v>16</v>
      </c>
      <c r="D27" s="11" t="str">
        <f>VLOOKUP(C27,Cadastro!$A$7:$D$55,2,1)</f>
        <v>CIELO SA</v>
      </c>
      <c r="E27" t="s">
        <v>71</v>
      </c>
      <c r="F27" s="102">
        <v>43874</v>
      </c>
      <c r="G27">
        <v>600</v>
      </c>
      <c r="H27" s="11">
        <v>4.54</v>
      </c>
      <c r="I27" s="108">
        <f>VLOOKUP(C27,Resumo!$C$7:$H$31,5,1)</f>
        <v>11.027215999999999</v>
      </c>
      <c r="J27" s="108">
        <f>I27*G27</f>
        <v>6616.3295999999991</v>
      </c>
      <c r="K27" s="107">
        <f>H27/J27</f>
        <v>6.8618105119793316E-4</v>
      </c>
      <c r="P27">
        <v>697.77</v>
      </c>
    </row>
    <row r="28" spans="1:16" ht="14.65" customHeight="1">
      <c r="A28" s="58" t="str">
        <f>VLOOKUP(C28,Cadastro!$A$7:$D$55,4,1)</f>
        <v>ENERGIA</v>
      </c>
      <c r="B28" s="58" t="str">
        <f>VLOOKUP(C28,Cadastro!$A$7:$D$55,3,1)</f>
        <v>17.155.730/0001-64</v>
      </c>
      <c r="C28" s="58" t="s">
        <v>25</v>
      </c>
      <c r="D28" s="11" t="str">
        <f>VLOOKUP(C28,Cadastro!$A$7:$D$55,2,1)</f>
        <v>CIA DE ENERGIA DE MINAS GERAIS ON</v>
      </c>
      <c r="E28" t="s">
        <v>71</v>
      </c>
      <c r="F28" s="102">
        <v>44012</v>
      </c>
      <c r="G28">
        <v>300</v>
      </c>
      <c r="H28" s="11">
        <v>34.97</v>
      </c>
      <c r="I28" s="108">
        <f>VLOOKUP(C28,Resumo!$C$7:$H$31,5,1)</f>
        <v>13.17</v>
      </c>
      <c r="J28" s="108">
        <f>I28*G28</f>
        <v>3951</v>
      </c>
      <c r="K28" s="107">
        <f>H28/J28</f>
        <v>8.8509238167552521E-3</v>
      </c>
      <c r="P28">
        <f>P27+N11</f>
        <v>697.77</v>
      </c>
    </row>
    <row r="29" spans="1:16" ht="14.65" customHeight="1">
      <c r="A29" s="58" t="str">
        <f>VLOOKUP(C29,Cadastro!$A$7:$D$55,4,1)</f>
        <v>ENERGIA</v>
      </c>
      <c r="B29" s="58" t="str">
        <f>VLOOKUP(C29,Cadastro!$A$7:$D$55,3,1)</f>
        <v>17.155.730/0001-64</v>
      </c>
      <c r="C29" s="58" t="s">
        <v>25</v>
      </c>
      <c r="D29" s="11" t="str">
        <f>VLOOKUP(C29,Cadastro!$A$7:$D$55,2,1)</f>
        <v>CIA DE ENERGIA DE MINAS GERAIS ON</v>
      </c>
      <c r="E29" t="s">
        <v>71</v>
      </c>
      <c r="F29" s="102">
        <v>44195</v>
      </c>
      <c r="G29">
        <v>300</v>
      </c>
      <c r="H29" s="11">
        <v>34.97</v>
      </c>
      <c r="I29" s="108">
        <f>VLOOKUP(C29,Resumo!$C$7:$H$31,5,1)</f>
        <v>13.17</v>
      </c>
      <c r="J29" s="108">
        <f>I29*G29</f>
        <v>3951</v>
      </c>
      <c r="K29" s="107">
        <f>H29/J29</f>
        <v>8.8509238167552521E-3</v>
      </c>
    </row>
    <row r="30" spans="1:16" ht="14.65" customHeight="1">
      <c r="A30" s="58" t="str">
        <f>VLOOKUP(C30,Cadastro!$A$7:$D$55,4,1)</f>
        <v>RISCO</v>
      </c>
      <c r="B30" s="58" t="str">
        <f>VLOOKUP(C30,Cadastro!$A$7:$D$55,3,1)</f>
        <v>92.690.783/0001-09</v>
      </c>
      <c r="C30" s="55" t="s">
        <v>43</v>
      </c>
      <c r="D30" s="11" t="str">
        <f>VLOOKUP(C30,Cadastro!$A$7:$D$55,2,1)</f>
        <v>METALURGICA GERDAU ON</v>
      </c>
      <c r="E30" t="s">
        <v>49</v>
      </c>
      <c r="F30" s="19">
        <v>43706</v>
      </c>
      <c r="G30">
        <v>200</v>
      </c>
      <c r="H30">
        <v>8</v>
      </c>
      <c r="I30" s="108">
        <f>VLOOKUP(C30,Resumo!$C$7:$H$31,5,1)</f>
        <v>22.51</v>
      </c>
      <c r="J30" s="108">
        <f>I30*G30</f>
        <v>4502</v>
      </c>
      <c r="K30" s="107">
        <f>H30/J30</f>
        <v>1.7769880053309639E-3</v>
      </c>
    </row>
    <row r="31" spans="1:16" ht="14.65" customHeight="1">
      <c r="A31" s="58" t="str">
        <f>VLOOKUP(C31,Cadastro!$A$7:$D$55,4,1)</f>
        <v>RISCO</v>
      </c>
      <c r="B31" s="58" t="str">
        <f>VLOOKUP(C31,Cadastro!$A$7:$D$55,3,1)</f>
        <v>92.690.783/0001-09</v>
      </c>
      <c r="C31" s="58" t="s">
        <v>43</v>
      </c>
      <c r="D31" s="11" t="str">
        <f>VLOOKUP(C31,Cadastro!$A$7:$D$55,2,1)</f>
        <v>METALURGICA GERDAU ON</v>
      </c>
      <c r="E31" t="s">
        <v>49</v>
      </c>
      <c r="F31" s="19">
        <v>43795</v>
      </c>
      <c r="G31">
        <v>200</v>
      </c>
      <c r="H31">
        <v>4</v>
      </c>
      <c r="I31" s="108">
        <f>VLOOKUP(C31,Resumo!$C$7:$H$31,5,1)</f>
        <v>22.51</v>
      </c>
      <c r="J31" s="108">
        <f>I31*G31</f>
        <v>4502</v>
      </c>
      <c r="K31" s="107">
        <f>H31/J31</f>
        <v>8.8849400266548197E-4</v>
      </c>
    </row>
    <row r="32" spans="1:16" ht="14.65" customHeight="1">
      <c r="A32" s="58" t="str">
        <f>VLOOKUP(C32,Cadastro!$A$7:$D$55,4,1)</f>
        <v>RISCO</v>
      </c>
      <c r="B32" s="58" t="str">
        <f>VLOOKUP(C32,Cadastro!$A$7:$D$55,3,1)</f>
        <v>02.932.074/0001-91</v>
      </c>
      <c r="C32" s="58" t="s">
        <v>42</v>
      </c>
      <c r="D32" s="11" t="str">
        <f>VLOOKUP(C32,Cadastro!$A$7:$D$55,2,1)</f>
        <v>HYPERMARCAS S/A</v>
      </c>
      <c r="E32" t="s">
        <v>71</v>
      </c>
      <c r="F32" s="19">
        <v>43837</v>
      </c>
      <c r="G32">
        <v>100</v>
      </c>
      <c r="H32" s="11">
        <v>2.2400000000000002</v>
      </c>
      <c r="I32" s="108">
        <f>VLOOKUP(C32,Resumo!$C$7:$H$31,5,1)</f>
        <v>22.51</v>
      </c>
      <c r="J32" s="108">
        <f>I32*G32</f>
        <v>2251</v>
      </c>
      <c r="K32" s="107">
        <f>H32/J32</f>
        <v>9.9511328298533997E-4</v>
      </c>
    </row>
    <row r="33" spans="1:11" ht="14.65" customHeight="1">
      <c r="A33" s="58" t="str">
        <f>VLOOKUP(C33,Cadastro!$A$7:$D$55,4,1)</f>
        <v>RISCO</v>
      </c>
      <c r="B33" s="58" t="str">
        <f>VLOOKUP(C33,Cadastro!$A$7:$D$55,3,1)</f>
        <v>02.932.074/0001-91</v>
      </c>
      <c r="C33" s="58" t="s">
        <v>42</v>
      </c>
      <c r="D33" s="11" t="str">
        <f>VLOOKUP(C33,Cadastro!$A$7:$D$55,2,1)</f>
        <v>HYPERMARCAS S/A</v>
      </c>
      <c r="E33" t="s">
        <v>71</v>
      </c>
      <c r="F33" s="102">
        <v>43837</v>
      </c>
      <c r="G33">
        <v>100</v>
      </c>
      <c r="H33" s="11">
        <v>19.41</v>
      </c>
      <c r="I33" s="108">
        <f>VLOOKUP(C33,Resumo!$C$7:$H$31,5,1)</f>
        <v>22.51</v>
      </c>
      <c r="J33" s="108">
        <f>I33*G33</f>
        <v>2251</v>
      </c>
      <c r="K33" s="107">
        <f>H33/J33</f>
        <v>8.6228342958685027E-3</v>
      </c>
    </row>
    <row r="34" spans="1:11" ht="14.65" customHeight="1">
      <c r="A34" s="58" t="str">
        <f>VLOOKUP(C34,Cadastro!$A$7:$D$55,4,1)</f>
        <v>BANCO</v>
      </c>
      <c r="B34" s="58" t="str">
        <f>VLOOKUP(C34,Cadastro!$A$7:$D$55,3,1)</f>
        <v>61.532.644/0001-15</v>
      </c>
      <c r="C34" s="58" t="s">
        <v>39</v>
      </c>
      <c r="D34" s="11" t="str">
        <f>VLOOKUP(C34,Cadastro!$A$7:$D$55,2,1)</f>
        <v>ITAU INVESTIMENTOS SA PN</v>
      </c>
      <c r="E34" s="11" t="s">
        <v>49</v>
      </c>
      <c r="F34" s="19">
        <v>43374</v>
      </c>
      <c r="G34">
        <v>300</v>
      </c>
      <c r="H34">
        <v>4.5</v>
      </c>
      <c r="I34" s="108">
        <f>VLOOKUP(C34,Resumo!$C$7:$H$31,5,1)</f>
        <v>22.51</v>
      </c>
      <c r="J34" s="108">
        <f>I34*G34</f>
        <v>6753.0000000000009</v>
      </c>
      <c r="K34" s="107">
        <f>H34/J34</f>
        <v>6.6637050199911145E-4</v>
      </c>
    </row>
    <row r="35" spans="1:11" ht="14.65" customHeight="1">
      <c r="A35" s="58" t="str">
        <f>VLOOKUP(C35,Cadastro!$A$7:$D$55,4,1)</f>
        <v>BANCO</v>
      </c>
      <c r="B35" s="58" t="str">
        <f>VLOOKUP(C35,Cadastro!$A$7:$D$55,3,1)</f>
        <v>60.872.504/0001-23</v>
      </c>
      <c r="C35" s="58" t="s">
        <v>24</v>
      </c>
      <c r="D35" s="11" t="str">
        <f>VLOOKUP(C35,Cadastro!$A$7:$D$55,2,1)</f>
        <v>ITAÚ UNIBANCO HOLDING S.A.</v>
      </c>
      <c r="E35" t="s">
        <v>49</v>
      </c>
      <c r="F35" s="19">
        <v>43770</v>
      </c>
      <c r="G35">
        <v>100</v>
      </c>
      <c r="H35">
        <v>1.5</v>
      </c>
      <c r="I35" s="108">
        <f>VLOOKUP(C35,Resumo!$C$7:$H$31,5,1)</f>
        <v>32.15</v>
      </c>
      <c r="J35" s="108">
        <f>I35*G35</f>
        <v>3215</v>
      </c>
      <c r="K35" s="107">
        <f>H35/J35</f>
        <v>4.6656298600311044E-4</v>
      </c>
    </row>
    <row r="36" spans="1:11" ht="14.65" customHeight="1">
      <c r="A36" s="58" t="str">
        <f>VLOOKUP(C36,Cadastro!$A$7:$D$55,4,1)</f>
        <v>BANCO</v>
      </c>
      <c r="B36" s="58" t="str">
        <f>VLOOKUP(C36,Cadastro!$A$7:$D$55,3,1)</f>
        <v>60.872.504/0001-23</v>
      </c>
      <c r="C36" s="58" t="s">
        <v>24</v>
      </c>
      <c r="D36" s="11" t="str">
        <f>VLOOKUP(C36,Cadastro!$A$7:$D$55,2,1)</f>
        <v>ITAÚ UNIBANCO HOLDING S.A.</v>
      </c>
      <c r="E36" t="s">
        <v>49</v>
      </c>
      <c r="F36" s="19">
        <v>43801</v>
      </c>
      <c r="G36">
        <v>100</v>
      </c>
      <c r="H36">
        <v>1.5</v>
      </c>
      <c r="I36" s="108">
        <f>VLOOKUP(C36,Resumo!$C$7:$H$31,5,1)</f>
        <v>32.15</v>
      </c>
      <c r="J36" s="108">
        <f>I36*G36</f>
        <v>3215</v>
      </c>
      <c r="K36" s="107">
        <f>H36/J36</f>
        <v>4.6656298600311044E-4</v>
      </c>
    </row>
    <row r="37" spans="1:11" ht="14.65" customHeight="1">
      <c r="A37" s="58" t="str">
        <f>VLOOKUP(C37,Cadastro!$A$7:$D$55,4,1)</f>
        <v>BANCO</v>
      </c>
      <c r="B37" s="58" t="str">
        <f>VLOOKUP(C37,Cadastro!$A$7:$D$55,3,1)</f>
        <v>60.872.504/0001-23</v>
      </c>
      <c r="C37" s="58" t="s">
        <v>24</v>
      </c>
      <c r="D37" s="11" t="str">
        <f>VLOOKUP(C37,Cadastro!$A$7:$D$55,2,1)</f>
        <v>ITAÚ UNIBANCO HOLDING S.A.</v>
      </c>
      <c r="E37" t="s">
        <v>49</v>
      </c>
      <c r="F37" s="102">
        <v>43832</v>
      </c>
      <c r="G37">
        <v>100</v>
      </c>
      <c r="H37" s="11">
        <v>1.5</v>
      </c>
      <c r="I37" s="108">
        <f>VLOOKUP(C37,Resumo!$C$7:$H$31,5,1)</f>
        <v>32.15</v>
      </c>
      <c r="J37" s="108">
        <f>I37*G37</f>
        <v>3215</v>
      </c>
      <c r="K37" s="107">
        <f>H37/J37</f>
        <v>4.6656298600311044E-4</v>
      </c>
    </row>
    <row r="38" spans="1:11" ht="14.65" customHeight="1">
      <c r="A38" s="58" t="str">
        <f>VLOOKUP(C38,Cadastro!$A$7:$D$55,4,1)</f>
        <v>BANCO</v>
      </c>
      <c r="B38" s="58" t="str">
        <f>VLOOKUP(C38,Cadastro!$A$7:$D$55,3,1)</f>
        <v>60.872.504/0001-23</v>
      </c>
      <c r="C38" s="58" t="s">
        <v>24</v>
      </c>
      <c r="D38" s="11" t="str">
        <f>VLOOKUP(C38,Cadastro!$A$7:$D$55,2,1)</f>
        <v>ITAÚ UNIBANCO HOLDING S.A.</v>
      </c>
      <c r="E38" t="s">
        <v>49</v>
      </c>
      <c r="F38" s="102">
        <v>43864</v>
      </c>
      <c r="G38">
        <v>100</v>
      </c>
      <c r="H38" s="11">
        <v>1.5</v>
      </c>
      <c r="I38" s="108">
        <f>VLOOKUP(C38,Resumo!$C$7:$H$31,5,1)</f>
        <v>32.15</v>
      </c>
      <c r="J38" s="108">
        <f>I38*G38</f>
        <v>3215</v>
      </c>
      <c r="K38" s="107">
        <f>H38/J38</f>
        <v>4.6656298600311044E-4</v>
      </c>
    </row>
    <row r="39" spans="1:11" ht="14.65" customHeight="1">
      <c r="A39" s="58" t="str">
        <f>VLOOKUP(C39,Cadastro!$A$7:$D$55,4,1)</f>
        <v>BANCO</v>
      </c>
      <c r="B39" s="58" t="str">
        <f>VLOOKUP(C39,Cadastro!$A$7:$D$55,3,1)</f>
        <v>60.872.504/0001-23</v>
      </c>
      <c r="C39" s="58" t="s">
        <v>24</v>
      </c>
      <c r="D39" s="11" t="str">
        <f>VLOOKUP(C39,Cadastro!$A$7:$D$55,2,1)</f>
        <v>ITAÚ UNIBANCO HOLDING S.A.</v>
      </c>
      <c r="E39" t="s">
        <v>71</v>
      </c>
      <c r="F39" s="102">
        <v>43896</v>
      </c>
      <c r="G39">
        <v>100</v>
      </c>
      <c r="H39" s="11">
        <v>3.19</v>
      </c>
      <c r="I39" s="108">
        <f>VLOOKUP(C39,Resumo!$C$7:$H$31,5,1)</f>
        <v>32.15</v>
      </c>
      <c r="J39" s="108">
        <f>I39*G39</f>
        <v>3215</v>
      </c>
      <c r="K39" s="107">
        <f>H39/J39</f>
        <v>9.9222395023328158E-4</v>
      </c>
    </row>
    <row r="40" spans="1:11" ht="14.65" customHeight="1">
      <c r="A40" s="58" t="str">
        <f>VLOOKUP(C40,Cadastro!$A$7:$D$55,4,1)</f>
        <v>BANCO</v>
      </c>
      <c r="B40" s="58" t="str">
        <f>VLOOKUP(C40,Cadastro!$A$7:$D$55,3,1)</f>
        <v>60.872.504/0001-23</v>
      </c>
      <c r="C40" s="58" t="s">
        <v>24</v>
      </c>
      <c r="D40" s="11" t="str">
        <f>VLOOKUP(C40,Cadastro!$A$7:$D$55,2,1)</f>
        <v>ITAÚ UNIBANCO HOLDING S.A.</v>
      </c>
      <c r="E40" t="s">
        <v>49</v>
      </c>
      <c r="F40" s="102">
        <v>43896</v>
      </c>
      <c r="G40">
        <v>100</v>
      </c>
      <c r="H40" s="11">
        <v>48.32</v>
      </c>
      <c r="I40" s="108">
        <f>VLOOKUP(C40,Resumo!$C$7:$H$31,5,1)</f>
        <v>32.15</v>
      </c>
      <c r="J40" s="108">
        <f>I40*G40</f>
        <v>3215</v>
      </c>
      <c r="K40" s="107">
        <f>H40/J40</f>
        <v>1.5029548989113531E-2</v>
      </c>
    </row>
    <row r="41" spans="1:11" ht="14.65" customHeight="1">
      <c r="A41" s="58" t="str">
        <f>VLOOKUP(C41,Cadastro!$A$7:$D$55,4,1)</f>
        <v>BANCO</v>
      </c>
      <c r="B41" s="58" t="str">
        <f>VLOOKUP(C41,Cadastro!$A$7:$D$55,3,1)</f>
        <v>60.872.504/0001-23</v>
      </c>
      <c r="C41" s="58" t="s">
        <v>24</v>
      </c>
      <c r="D41" s="11" t="str">
        <f>VLOOKUP(C41,Cadastro!$A$7:$D$55,2,1)</f>
        <v>ITAÚ UNIBANCO HOLDING S.A.</v>
      </c>
      <c r="E41" t="s">
        <v>71</v>
      </c>
      <c r="F41" s="102">
        <v>43896</v>
      </c>
      <c r="G41">
        <v>100</v>
      </c>
      <c r="H41" s="11">
        <v>44.5</v>
      </c>
      <c r="I41" s="108">
        <f>VLOOKUP(C41,Resumo!$C$7:$H$31,5,1)</f>
        <v>32.15</v>
      </c>
      <c r="J41" s="108">
        <f>I41*G41</f>
        <v>3215</v>
      </c>
      <c r="K41" s="107">
        <f>H41/J41</f>
        <v>1.3841368584758942E-2</v>
      </c>
    </row>
    <row r="42" spans="1:11" ht="14.65" customHeight="1">
      <c r="A42" s="58" t="str">
        <f>VLOOKUP(C42,Cadastro!$A$7:$D$55,4,1)</f>
        <v>BANCO</v>
      </c>
      <c r="B42" s="58" t="str">
        <f>VLOOKUP(C42,Cadastro!$A$7:$D$55,3,1)</f>
        <v>60.872.504/0001-23</v>
      </c>
      <c r="C42" s="58" t="s">
        <v>24</v>
      </c>
      <c r="D42" s="11" t="str">
        <f>VLOOKUP(C42,Cadastro!$A$7:$D$55,2,1)</f>
        <v>ITAÚ UNIBANCO HOLDING S.A.</v>
      </c>
      <c r="E42" t="s">
        <v>49</v>
      </c>
      <c r="F42" s="102">
        <v>43922</v>
      </c>
      <c r="G42">
        <v>200</v>
      </c>
      <c r="H42" s="11">
        <v>3</v>
      </c>
      <c r="I42" s="108">
        <f>VLOOKUP(C42,Resumo!$C$7:$H$31,5,1)</f>
        <v>32.15</v>
      </c>
      <c r="J42" s="108">
        <f>I42*G42</f>
        <v>6430</v>
      </c>
      <c r="K42" s="107">
        <f>H42/J42</f>
        <v>4.6656298600311044E-4</v>
      </c>
    </row>
    <row r="43" spans="1:11" ht="14.65" customHeight="1">
      <c r="A43" s="58" t="str">
        <f>VLOOKUP(C43,Cadastro!$A$7:$D$55,4,1)</f>
        <v>BANCO</v>
      </c>
      <c r="B43" s="58" t="str">
        <f>VLOOKUP(C43,Cadastro!$A$7:$D$55,3,1)</f>
        <v>60.872.504/0001-23</v>
      </c>
      <c r="C43" t="s">
        <v>24</v>
      </c>
      <c r="D43" s="11" t="str">
        <f>VLOOKUP(C43,Cadastro!$A$7:$D$55,2,1)</f>
        <v>ITAÚ UNIBANCO HOLDING S.A.</v>
      </c>
      <c r="E43" t="s">
        <v>49</v>
      </c>
      <c r="F43" s="102">
        <v>43892</v>
      </c>
      <c r="G43">
        <v>100</v>
      </c>
      <c r="H43" s="11">
        <v>1.5</v>
      </c>
      <c r="I43" s="108">
        <f>VLOOKUP(C43,Resumo!$C$7:$H$31,5,1)</f>
        <v>32.15</v>
      </c>
      <c r="J43" s="108">
        <f>I43*G43</f>
        <v>3215</v>
      </c>
      <c r="K43" s="107">
        <f>H43/J43</f>
        <v>4.6656298600311044E-4</v>
      </c>
    </row>
    <row r="44" spans="1:11" ht="14.65" customHeight="1">
      <c r="A44" s="58" t="str">
        <f>VLOOKUP(C44,Cadastro!$A$7:$D$55,4,1)</f>
        <v>BANCO</v>
      </c>
      <c r="B44" s="58" t="str">
        <f>VLOOKUP(C44,Cadastro!$A$7:$D$55,3,1)</f>
        <v>60.872.504/0001-23</v>
      </c>
      <c r="C44" t="s">
        <v>24</v>
      </c>
      <c r="D44" s="11" t="str">
        <f>VLOOKUP(C44,Cadastro!$A$7:$D$55,2,1)</f>
        <v>ITAÚ UNIBANCO HOLDING S.A.</v>
      </c>
      <c r="E44" t="s">
        <v>49</v>
      </c>
      <c r="F44" s="102">
        <v>43955</v>
      </c>
      <c r="G44">
        <v>200</v>
      </c>
      <c r="H44" s="11">
        <v>3</v>
      </c>
      <c r="I44" s="108">
        <f>VLOOKUP(C44,Resumo!$C$7:$H$31,5,1)</f>
        <v>32.15</v>
      </c>
      <c r="J44" s="108">
        <f>I44*G44</f>
        <v>6430</v>
      </c>
      <c r="K44" s="107">
        <f>H44/J44</f>
        <v>4.6656298600311044E-4</v>
      </c>
    </row>
    <row r="45" spans="1:11" ht="14.65" customHeight="1">
      <c r="A45" s="58" t="str">
        <f>VLOOKUP(C45,Cadastro!$A$7:$D$55,4,1)</f>
        <v>EMP PUBLICA</v>
      </c>
      <c r="B45" s="58" t="str">
        <f>VLOOKUP(C45,Cadastro!$A$7:$D$55,3,1)</f>
        <v>33.000.167/0001-01</v>
      </c>
      <c r="C45" t="s">
        <v>15</v>
      </c>
      <c r="D45" s="11" t="str">
        <f>VLOOKUP(C45,Cadastro!$A$7:$D$55,2,1)</f>
        <v>PETRÓLEO BRASILEIRO S.A. PN</v>
      </c>
      <c r="E45" s="11" t="s">
        <v>71</v>
      </c>
      <c r="F45" s="19">
        <v>43335</v>
      </c>
      <c r="G45">
        <v>300</v>
      </c>
      <c r="H45">
        <v>12.75</v>
      </c>
      <c r="I45" s="108">
        <f>VLOOKUP(C45,Resumo!$C$7:$H$31,5,1)</f>
        <v>19.202141666666666</v>
      </c>
      <c r="J45" s="108">
        <f>I45*G45</f>
        <v>5760.6424999999999</v>
      </c>
      <c r="K45" s="107">
        <f>H45/J45</f>
        <v>2.2132947843925394E-3</v>
      </c>
    </row>
    <row r="46" spans="1:11" ht="14.65" customHeight="1">
      <c r="A46" s="58" t="str">
        <f>VLOOKUP(C46,Cadastro!$A$7:$D$55,4,1)</f>
        <v>EMP PUBLICA</v>
      </c>
      <c r="B46" s="58" t="str">
        <f>VLOOKUP(C46,Cadastro!$A$7:$D$55,3,1)</f>
        <v>33.000.167/0001-01</v>
      </c>
      <c r="C46" t="s">
        <v>15</v>
      </c>
      <c r="D46" s="11" t="str">
        <f>VLOOKUP(C46,Cadastro!$A$7:$D$55,2,1)</f>
        <v>PETRÓLEO BRASILEIRO S.A. PN</v>
      </c>
      <c r="E46" s="11" t="s">
        <v>71</v>
      </c>
      <c r="F46" s="19">
        <v>43437</v>
      </c>
      <c r="G46">
        <v>300</v>
      </c>
      <c r="H46">
        <v>25.5</v>
      </c>
      <c r="I46" s="108">
        <f>VLOOKUP(C46,Resumo!$C$7:$H$31,5,1)</f>
        <v>19.202141666666666</v>
      </c>
      <c r="J46" s="108">
        <f>I46*G46</f>
        <v>5760.6424999999999</v>
      </c>
      <c r="K46" s="107">
        <f>H46/J46</f>
        <v>4.4265895687850788E-3</v>
      </c>
    </row>
    <row r="47" spans="1:11" ht="14.65" customHeight="1">
      <c r="A47" s="58" t="str">
        <f>VLOOKUP(C47,Cadastro!$A$7:$D$55,4,1)</f>
        <v>EMP PUBLICA</v>
      </c>
      <c r="B47" s="58" t="str">
        <f>VLOOKUP(C47,Cadastro!$A$7:$D$55,3,1)</f>
        <v>33.000.167/0001-01</v>
      </c>
      <c r="C47" s="55" t="s">
        <v>15</v>
      </c>
      <c r="D47" s="11" t="str">
        <f>VLOOKUP(C47,Cadastro!$A$7:$D$55,2,1)</f>
        <v>PETRÓLEO BRASILEIRO S.A. PN</v>
      </c>
      <c r="E47" t="s">
        <v>71</v>
      </c>
      <c r="F47" s="19">
        <v>43605</v>
      </c>
      <c r="G47">
        <v>300</v>
      </c>
      <c r="H47">
        <v>178.5</v>
      </c>
      <c r="I47" s="108">
        <f>VLOOKUP(C47,Resumo!$C$7:$H$31,5,1)</f>
        <v>19.202141666666666</v>
      </c>
      <c r="J47" s="108">
        <f>I47*G47</f>
        <v>5760.6424999999999</v>
      </c>
      <c r="K47" s="107">
        <f>H47/J47</f>
        <v>3.0986126981495554E-2</v>
      </c>
    </row>
    <row r="48" spans="1:11" ht="14.65" customHeight="1">
      <c r="A48" s="58" t="str">
        <f>VLOOKUP(C48,Cadastro!$A$7:$D$55,4,1)</f>
        <v>EMP PUBLICA</v>
      </c>
      <c r="B48" s="58" t="str">
        <f>VLOOKUP(C48,Cadastro!$A$7:$D$55,3,1)</f>
        <v>33.000.167/0001-01</v>
      </c>
      <c r="C48" s="55" t="s">
        <v>15</v>
      </c>
      <c r="D48" s="11" t="str">
        <f>VLOOKUP(C48,Cadastro!$A$7:$D$55,2,1)</f>
        <v>PETRÓLEO BRASILEIRO S.A. PN</v>
      </c>
      <c r="E48" t="s">
        <v>72</v>
      </c>
      <c r="F48" s="19">
        <v>43605</v>
      </c>
      <c r="G48">
        <v>300</v>
      </c>
      <c r="H48">
        <v>3.85</v>
      </c>
      <c r="I48" s="108">
        <f>VLOOKUP(C48,Resumo!$C$7:$H$31,5,1)</f>
        <v>19.202141666666666</v>
      </c>
      <c r="J48" s="108">
        <f>I48*G48</f>
        <v>5760.6424999999999</v>
      </c>
      <c r="K48" s="107">
        <f>H48/J48</f>
        <v>6.6832822901264927E-4</v>
      </c>
    </row>
    <row r="49" spans="1:11" ht="14.65" customHeight="1">
      <c r="A49" s="58" t="str">
        <f>VLOOKUP(C49,Cadastro!$A$7:$D$55,4,1)</f>
        <v>EMP PUBLICA</v>
      </c>
      <c r="B49" s="58" t="str">
        <f>VLOOKUP(C49,Cadastro!$A$7:$D$55,3,1)</f>
        <v>33.000.167/0001-01</v>
      </c>
      <c r="C49" s="55" t="s">
        <v>15</v>
      </c>
      <c r="D49" s="11" t="str">
        <f>VLOOKUP(C49,Cadastro!$A$7:$D$55,2,1)</f>
        <v>PETRÓLEO BRASILEIRO S.A. PN</v>
      </c>
      <c r="E49" t="s">
        <v>49</v>
      </c>
      <c r="F49" s="19">
        <v>43605</v>
      </c>
      <c r="G49">
        <v>300</v>
      </c>
      <c r="H49">
        <v>5.71</v>
      </c>
      <c r="I49" s="108">
        <f>VLOOKUP(C49,Resumo!$C$7:$H$31,5,1)</f>
        <v>19.202141666666666</v>
      </c>
      <c r="J49" s="108">
        <f>I49*G49</f>
        <v>5760.6424999999999</v>
      </c>
      <c r="K49" s="107">
        <f>H49/J49</f>
        <v>9.9120887991226668E-4</v>
      </c>
    </row>
    <row r="50" spans="1:11" ht="14.65" customHeight="1">
      <c r="A50" s="58" t="str">
        <f>VLOOKUP(C50,Cadastro!$A$7:$D$55,4,1)</f>
        <v>EMP PUBLICA</v>
      </c>
      <c r="B50" s="58" t="str">
        <f>VLOOKUP(C50,Cadastro!$A$7:$D$55,3,1)</f>
        <v>33.000.167/0001-01</v>
      </c>
      <c r="C50" s="55" t="s">
        <v>15</v>
      </c>
      <c r="D50" s="11" t="str">
        <f>VLOOKUP(C50,Cadastro!$A$7:$D$55,2,1)</f>
        <v>PETRÓLEO BRASILEIRO S.A. PN</v>
      </c>
      <c r="E50" t="s">
        <v>72</v>
      </c>
      <c r="F50" s="19">
        <v>43605</v>
      </c>
      <c r="G50">
        <v>300</v>
      </c>
      <c r="H50">
        <v>0.11</v>
      </c>
      <c r="I50" s="108">
        <f>VLOOKUP(C50,Resumo!$C$7:$H$31,5,1)</f>
        <v>19.202141666666666</v>
      </c>
      <c r="J50" s="108">
        <f>I50*G50</f>
        <v>5760.6424999999999</v>
      </c>
      <c r="K50" s="107">
        <f>H50/J50</f>
        <v>1.9095092257504265E-5</v>
      </c>
    </row>
    <row r="51" spans="1:11" ht="14.65" customHeight="1">
      <c r="A51" s="58" t="str">
        <f>VLOOKUP(C51,Cadastro!$A$7:$D$55,4,1)</f>
        <v>EMP PUBLICA</v>
      </c>
      <c r="B51" s="58" t="str">
        <f>VLOOKUP(C51,Cadastro!$A$7:$D$55,3,1)</f>
        <v>33.000.167/0001-01</v>
      </c>
      <c r="C51" s="55" t="s">
        <v>15</v>
      </c>
      <c r="D51" s="11" t="str">
        <f>VLOOKUP(C51,Cadastro!$A$7:$D$55,2,1)</f>
        <v>PETRÓLEO BRASILEIRO S.A. PN</v>
      </c>
      <c r="E51" t="s">
        <v>71</v>
      </c>
      <c r="F51" s="19">
        <v>43651</v>
      </c>
      <c r="G51">
        <v>300</v>
      </c>
      <c r="H51">
        <v>25.5</v>
      </c>
      <c r="I51" s="108">
        <f>VLOOKUP(C51,Resumo!$C$7:$H$31,5,1)</f>
        <v>19.202141666666666</v>
      </c>
      <c r="J51" s="108">
        <f>I51*G51</f>
        <v>5760.6424999999999</v>
      </c>
      <c r="K51" s="107">
        <f>H51/J51</f>
        <v>4.4265895687850788E-3</v>
      </c>
    </row>
    <row r="52" spans="1:11" ht="14.65" customHeight="1">
      <c r="A52" s="58" t="str">
        <f>VLOOKUP(C52,Cadastro!$A$7:$D$55,4,1)</f>
        <v>EMP PUBLICA</v>
      </c>
      <c r="B52" s="58" t="str">
        <f>VLOOKUP(C52,Cadastro!$A$7:$D$55,3,1)</f>
        <v>33.000.167/0001-01</v>
      </c>
      <c r="C52" t="s">
        <v>15</v>
      </c>
      <c r="D52" s="11" t="str">
        <f>VLOOKUP(C52,Cadastro!$A$7:$D$55,2,1)</f>
        <v>PETRÓLEO BRASILEIRO S.A. PN</v>
      </c>
      <c r="E52" t="s">
        <v>71</v>
      </c>
      <c r="F52" s="19">
        <v>43742</v>
      </c>
      <c r="G52">
        <v>300</v>
      </c>
      <c r="H52">
        <v>51</v>
      </c>
      <c r="I52" s="108">
        <f>VLOOKUP(C52,Resumo!$C$7:$H$31,5,1)</f>
        <v>19.202141666666666</v>
      </c>
      <c r="J52" s="108">
        <f>I52*G52</f>
        <v>5760.6424999999999</v>
      </c>
      <c r="K52" s="107">
        <f>H52/J52</f>
        <v>8.8531791375701576E-3</v>
      </c>
    </row>
    <row r="53" spans="1:11" ht="14.65" customHeight="1">
      <c r="A53" s="58" t="str">
        <f>VLOOKUP(C53,Cadastro!$A$7:$D$55,4,1)</f>
        <v>EMP PUBLICA</v>
      </c>
      <c r="B53" s="58" t="str">
        <f>VLOOKUP(C53,Cadastro!$A$7:$D$55,3,1)</f>
        <v>33.000.167/0001-01</v>
      </c>
      <c r="C53" t="s">
        <v>15</v>
      </c>
      <c r="D53" s="11" t="str">
        <f>VLOOKUP(C53,Cadastro!$A$7:$D$55,2,1)</f>
        <v>PETRÓLEO BRASILEIRO S.A. PN</v>
      </c>
      <c r="E53" t="s">
        <v>71</v>
      </c>
      <c r="F53" s="102">
        <v>43868</v>
      </c>
      <c r="G53">
        <v>500</v>
      </c>
      <c r="H53" s="11">
        <v>85</v>
      </c>
      <c r="I53" s="108">
        <f>VLOOKUP(C53,Resumo!$C$7:$H$31,5,1)</f>
        <v>19.202141666666666</v>
      </c>
      <c r="J53" s="108">
        <f>I53*G53</f>
        <v>9601.0708333333332</v>
      </c>
      <c r="K53" s="107">
        <f>H53/J53</f>
        <v>8.8531791375701576E-3</v>
      </c>
    </row>
    <row r="54" spans="1:11" ht="14.65" customHeight="1">
      <c r="A54" s="58" t="str">
        <f>VLOOKUP(C54,Cadastro!$A$7:$D$55,4,1)</f>
        <v>EMP PUBLICA</v>
      </c>
      <c r="B54" s="58" t="str">
        <f>VLOOKUP(C54,Cadastro!$A$7:$D$55,3,1)</f>
        <v>33.000.167/0001-01</v>
      </c>
      <c r="C54" t="s">
        <v>15</v>
      </c>
      <c r="D54" s="11" t="str">
        <f>VLOOKUP(C54,Cadastro!$A$7:$D$55,2,1)</f>
        <v>PETRÓLEO BRASILEIRO S.A. PN</v>
      </c>
      <c r="E54" t="s">
        <v>72</v>
      </c>
      <c r="F54" s="102">
        <v>43868</v>
      </c>
      <c r="G54">
        <v>500</v>
      </c>
      <c r="H54" s="11">
        <v>0.36</v>
      </c>
      <c r="I54" s="108">
        <f>VLOOKUP(C54,Resumo!$C$7:$H$31,5,1)</f>
        <v>19.202141666666666</v>
      </c>
      <c r="J54" s="108">
        <f>I54*G54</f>
        <v>9601.0708333333332</v>
      </c>
      <c r="K54" s="107">
        <f>H54/J54</f>
        <v>3.7495817523826555E-5</v>
      </c>
    </row>
    <row r="55" spans="1:11">
      <c r="A55" s="58" t="str">
        <f>VLOOKUP(C55,Cadastro!$A$7:$D$55,4,1)</f>
        <v>EMP PUBLICA</v>
      </c>
      <c r="B55" s="58" t="str">
        <f>VLOOKUP(C55,Cadastro!$A$7:$D$55,3,1)</f>
        <v>33.000.167/0001-01</v>
      </c>
      <c r="C55" s="58" t="s">
        <v>15</v>
      </c>
      <c r="D55" s="11" t="str">
        <f>VLOOKUP(C55,Cadastro!$A$7:$D$55,2,1)</f>
        <v>PETRÓLEO BRASILEIRO S.A. PN</v>
      </c>
      <c r="E55" s="58" t="s">
        <v>71</v>
      </c>
      <c r="F55" s="102">
        <v>43868</v>
      </c>
      <c r="G55">
        <v>500</v>
      </c>
      <c r="H55" s="11">
        <v>178.5</v>
      </c>
      <c r="I55" s="108">
        <f>VLOOKUP(C55,Resumo!$C$7:$H$31,5,1)</f>
        <v>19.202141666666666</v>
      </c>
      <c r="J55" s="108">
        <f>I55*G55</f>
        <v>9601.0708333333332</v>
      </c>
      <c r="K55" s="107">
        <f>H55/J55</f>
        <v>1.8591676188897333E-2</v>
      </c>
    </row>
    <row r="56" spans="1:11">
      <c r="A56" s="58" t="str">
        <f>VLOOKUP(C56,Cadastro!$A$7:$D$55,4,1)</f>
        <v>EMP PUBLICA</v>
      </c>
      <c r="B56" s="58" t="str">
        <f>VLOOKUP(C56,Cadastro!$A$7:$D$55,3,1)</f>
        <v>33.000.167/0001-01</v>
      </c>
      <c r="C56" s="58" t="s">
        <v>15</v>
      </c>
      <c r="D56" s="11" t="str">
        <f>VLOOKUP(C56,Cadastro!$A$7:$D$55,2,1)</f>
        <v>PETRÓLEO BRASILEIRO S.A. PN</v>
      </c>
      <c r="E56" s="58" t="s">
        <v>72</v>
      </c>
      <c r="F56" s="102">
        <v>43868</v>
      </c>
      <c r="G56">
        <v>500</v>
      </c>
      <c r="H56" s="11">
        <v>0.76</v>
      </c>
      <c r="I56" s="108">
        <f>VLOOKUP(C56,Resumo!$C$7:$H$31,5,1)</f>
        <v>19.202141666666666</v>
      </c>
      <c r="J56" s="108">
        <f>I56*G56</f>
        <v>9601.0708333333332</v>
      </c>
      <c r="K56" s="107">
        <f>H56/J56</f>
        <v>7.9157836994744944E-5</v>
      </c>
    </row>
    <row r="57" spans="1:11">
      <c r="A57" s="58" t="str">
        <f>VLOOKUP(C57,Cadastro!$A$7:$D$55,4,1)</f>
        <v>BANCO</v>
      </c>
      <c r="B57" s="58" t="str">
        <f>VLOOKUP(C57,Cadastro!$A$7:$D$55,3,1)</f>
        <v>90.400.888/0001-42</v>
      </c>
      <c r="C57" s="55" t="s">
        <v>33</v>
      </c>
      <c r="D57" s="11" t="str">
        <f>VLOOKUP(C57,Cadastro!$A$7:$D$55,2,1)</f>
        <v>BANCO SANTANDER BRON ON</v>
      </c>
      <c r="E57" s="58" t="s">
        <v>71</v>
      </c>
      <c r="F57" s="19">
        <v>43584</v>
      </c>
      <c r="G57">
        <v>100</v>
      </c>
      <c r="H57" s="58">
        <v>10.84</v>
      </c>
      <c r="I57" s="108">
        <f>VLOOKUP(C57,Resumo!$C$7:$H$31,5,1)</f>
        <v>19.3</v>
      </c>
      <c r="J57" s="108">
        <f>I57*G57</f>
        <v>1930</v>
      </c>
      <c r="K57" s="107">
        <f>H57/J57</f>
        <v>5.6165803108808292E-3</v>
      </c>
    </row>
    <row r="58" spans="1:11">
      <c r="A58" s="58" t="str">
        <f>VLOOKUP(C58,Cadastro!$A$7:$D$55,4,1)</f>
        <v>BANCO</v>
      </c>
      <c r="B58" s="58" t="str">
        <f>VLOOKUP(C58,Cadastro!$A$7:$D$55,3,1)</f>
        <v>90.400.888/0001-42</v>
      </c>
      <c r="C58" s="58" t="s">
        <v>26</v>
      </c>
      <c r="D58" s="11" t="str">
        <f>VLOOKUP(C58,Cadastro!$A$7:$D$55,2,1)</f>
        <v>BANCO SANTANDER BRON PN</v>
      </c>
      <c r="E58" s="58" t="s">
        <v>49</v>
      </c>
      <c r="F58" s="102">
        <v>43882</v>
      </c>
      <c r="G58">
        <v>200</v>
      </c>
      <c r="H58" s="11">
        <v>190.74</v>
      </c>
      <c r="I58" s="108">
        <f>VLOOKUP(C58,Resumo!$C$7:$H$31,5,1)</f>
        <v>20.100000000000001</v>
      </c>
      <c r="J58" s="108">
        <f>I58*G58</f>
        <v>4020.0000000000005</v>
      </c>
      <c r="K58" s="107">
        <f>H58/J58</f>
        <v>4.7447761194029846E-2</v>
      </c>
    </row>
    <row r="59" spans="1:11">
      <c r="A59" s="58" t="str">
        <f>VLOOKUP(C59,Cadastro!$A$7:$D$55,4,1)</f>
        <v>BANCO</v>
      </c>
      <c r="B59" s="58" t="str">
        <f>VLOOKUP(C59,Cadastro!$A$7:$D$55,3,1)</f>
        <v>90.400.888/0001-42</v>
      </c>
      <c r="C59" s="58" t="s">
        <v>26</v>
      </c>
      <c r="D59" s="11" t="str">
        <f>VLOOKUP(C59,Cadastro!$A$7:$D$55,2,1)</f>
        <v>BANCO SANTANDER BRON PN</v>
      </c>
      <c r="E59" s="58" t="s">
        <v>71</v>
      </c>
      <c r="F59" s="102">
        <v>43882</v>
      </c>
      <c r="G59">
        <v>200</v>
      </c>
      <c r="H59" s="11">
        <v>24.12</v>
      </c>
      <c r="I59" s="108">
        <f>VLOOKUP(C59,Resumo!$C$7:$H$31,5,1)</f>
        <v>20.100000000000001</v>
      </c>
      <c r="J59" s="108">
        <f>I59*G59</f>
        <v>4020.0000000000005</v>
      </c>
      <c r="K59" s="107">
        <f>H59/J59</f>
        <v>5.9999999999999993E-3</v>
      </c>
    </row>
    <row r="60" spans="1:11">
      <c r="A60" s="58" t="str">
        <f>VLOOKUP(C60,Cadastro!$A$7:$D$55,4,1)</f>
        <v>FII</v>
      </c>
      <c r="B60" s="58" t="str">
        <f>VLOOKUP(C60,Cadastro!$A$7:$D$55,3,1)</f>
        <v>17.554.274/0001-25</v>
      </c>
      <c r="C60" s="55" t="s">
        <v>19</v>
      </c>
      <c r="D60" s="11" t="str">
        <f>VLOOKUP(C60,Cadastro!$A$7:$D$55,2,1)</f>
        <v>VINCI SHOPPING CENTER FII</v>
      </c>
      <c r="E60" s="11" t="s">
        <v>72</v>
      </c>
      <c r="F60" s="19">
        <v>43510</v>
      </c>
      <c r="G60">
        <v>1</v>
      </c>
      <c r="H60" s="58">
        <v>0.6</v>
      </c>
      <c r="I60" s="108">
        <f>VLOOKUP(C60,Resumo!$C$7:$H$31,5,1)</f>
        <v>133.24296296296296</v>
      </c>
      <c r="J60" s="108">
        <f>I60*G60</f>
        <v>133.24296296296296</v>
      </c>
      <c r="K60" s="107">
        <f>H60/J60</f>
        <v>4.5030520686242899E-3</v>
      </c>
    </row>
    <row r="61" spans="1:11">
      <c r="A61" s="58" t="str">
        <f>VLOOKUP(C61,Cadastro!$A$7:$D$55,4,1)</f>
        <v>FII</v>
      </c>
      <c r="B61" s="58" t="str">
        <f>VLOOKUP(C61,Cadastro!$A$7:$D$55,3,1)</f>
        <v>17.554.274/0001-25</v>
      </c>
      <c r="C61" s="55" t="s">
        <v>19</v>
      </c>
      <c r="D61" s="11" t="str">
        <f>VLOOKUP(C61,Cadastro!$A$7:$D$55,2,1)</f>
        <v>VINCI SHOPPING CENTER FII</v>
      </c>
      <c r="E61" s="11" t="s">
        <v>72</v>
      </c>
      <c r="F61" s="19">
        <v>43542</v>
      </c>
      <c r="G61">
        <v>1</v>
      </c>
      <c r="H61" s="58">
        <v>0.6</v>
      </c>
      <c r="I61" s="108">
        <f>VLOOKUP(C61,Resumo!$C$7:$H$31,5,1)</f>
        <v>133.24296296296296</v>
      </c>
      <c r="J61" s="108">
        <f>I61*G61</f>
        <v>133.24296296296296</v>
      </c>
      <c r="K61" s="107">
        <f>H61/J61</f>
        <v>4.5030520686242899E-3</v>
      </c>
    </row>
    <row r="62" spans="1:11">
      <c r="A62" s="58" t="str">
        <f>VLOOKUP(C62,Cadastro!$A$7:$D$55,4,1)</f>
        <v>FII</v>
      </c>
      <c r="B62" s="58" t="str">
        <f>VLOOKUP(C62,Cadastro!$A$7:$D$55,3,1)</f>
        <v>17.554.274/0001-25</v>
      </c>
      <c r="C62" s="55" t="s">
        <v>19</v>
      </c>
      <c r="D62" s="11" t="str">
        <f>VLOOKUP(C62,Cadastro!$A$7:$D$55,2,1)</f>
        <v>VINCI SHOPPING CENTER FII</v>
      </c>
      <c r="E62" s="58" t="s">
        <v>72</v>
      </c>
      <c r="F62" s="19">
        <v>43567</v>
      </c>
      <c r="G62">
        <v>1</v>
      </c>
      <c r="H62" s="58">
        <v>0.6</v>
      </c>
      <c r="I62" s="108">
        <f>VLOOKUP(C62,Resumo!$C$7:$H$31,5,1)</f>
        <v>133.24296296296296</v>
      </c>
      <c r="J62" s="108">
        <f>I62*G62</f>
        <v>133.24296296296296</v>
      </c>
      <c r="K62" s="107">
        <f>H62/J62</f>
        <v>4.5030520686242899E-3</v>
      </c>
    </row>
    <row r="63" spans="1:11">
      <c r="A63" s="58" t="str">
        <f>VLOOKUP(C63,Cadastro!$A$7:$D$55,4,1)</f>
        <v>FII</v>
      </c>
      <c r="B63" s="58" t="str">
        <f>VLOOKUP(C63,Cadastro!$A$7:$D$55,3,1)</f>
        <v>17.554.274/0001-25</v>
      </c>
      <c r="C63" s="55" t="s">
        <v>19</v>
      </c>
      <c r="D63" s="11" t="str">
        <f>VLOOKUP(C63,Cadastro!$A$7:$D$55,2,1)</f>
        <v>VINCI SHOPPING CENTER FII</v>
      </c>
      <c r="E63" s="58" t="s">
        <v>72</v>
      </c>
      <c r="F63" s="19">
        <v>43600</v>
      </c>
      <c r="G63">
        <v>1</v>
      </c>
      <c r="H63" s="58">
        <v>0.49</v>
      </c>
      <c r="I63" s="108">
        <f>VLOOKUP(C63,Resumo!$C$7:$H$31,5,1)</f>
        <v>133.24296296296296</v>
      </c>
      <c r="J63" s="108">
        <f>I63*G63</f>
        <v>133.24296296296296</v>
      </c>
      <c r="K63" s="107">
        <f>H63/J63</f>
        <v>3.6774925227098364E-3</v>
      </c>
    </row>
    <row r="64" spans="1:11">
      <c r="A64" s="58" t="str">
        <f>VLOOKUP(C64,Cadastro!$A$7:$D$55,4,1)</f>
        <v>FII</v>
      </c>
      <c r="B64" s="58" t="str">
        <f>VLOOKUP(C64,Cadastro!$A$7:$D$55,3,1)</f>
        <v>17.554.274/0001-25</v>
      </c>
      <c r="C64" s="55" t="s">
        <v>19</v>
      </c>
      <c r="D64" s="11" t="str">
        <f>VLOOKUP(C64,Cadastro!$A$7:$D$55,2,1)</f>
        <v>VINCI SHOPPING CENTER FII</v>
      </c>
      <c r="E64" s="58" t="s">
        <v>72</v>
      </c>
      <c r="F64" s="19">
        <v>43630</v>
      </c>
      <c r="G64">
        <v>1</v>
      </c>
      <c r="H64" s="58">
        <v>0.56000000000000005</v>
      </c>
      <c r="I64" s="108">
        <f>VLOOKUP(C64,Resumo!$C$7:$H$31,5,1)</f>
        <v>133.24296296296296</v>
      </c>
      <c r="J64" s="108">
        <f>I64*G64</f>
        <v>133.24296296296296</v>
      </c>
      <c r="K64" s="107">
        <f>H64/J64</f>
        <v>4.2028485973826706E-3</v>
      </c>
    </row>
    <row r="65" spans="1:11">
      <c r="A65" s="58" t="str">
        <f>VLOOKUP(C65,Cadastro!$A$7:$D$55,4,1)</f>
        <v>FII</v>
      </c>
      <c r="B65" s="58" t="str">
        <f>VLOOKUP(C65,Cadastro!$A$7:$D$55,3,1)</f>
        <v>17.554.274/0001-25</v>
      </c>
      <c r="C65" s="55" t="s">
        <v>19</v>
      </c>
      <c r="D65" s="11" t="str">
        <f>VLOOKUP(C65,Cadastro!$A$7:$D$55,2,1)</f>
        <v>VINCI SHOPPING CENTER FII</v>
      </c>
      <c r="E65" s="58" t="s">
        <v>72</v>
      </c>
      <c r="F65" s="19">
        <v>43661</v>
      </c>
      <c r="G65">
        <v>1</v>
      </c>
      <c r="H65" s="58">
        <v>0.55000000000000004</v>
      </c>
      <c r="I65" s="108">
        <f>VLOOKUP(C65,Resumo!$C$7:$H$31,5,1)</f>
        <v>133.24296296296296</v>
      </c>
      <c r="J65" s="108">
        <f>I65*G65</f>
        <v>133.24296296296296</v>
      </c>
      <c r="K65" s="107">
        <f>H65/J65</f>
        <v>4.1277977295722662E-3</v>
      </c>
    </row>
    <row r="66" spans="1:11">
      <c r="A66" s="58" t="str">
        <f>VLOOKUP(C66,Cadastro!$A$7:$D$55,4,1)</f>
        <v>FII</v>
      </c>
      <c r="B66" s="58" t="str">
        <f>VLOOKUP(C66,Cadastro!$A$7:$D$55,3,1)</f>
        <v>17.554.274/0001-25</v>
      </c>
      <c r="C66" s="55" t="s">
        <v>19</v>
      </c>
      <c r="D66" s="11" t="str">
        <f>VLOOKUP(C66,Cadastro!$A$7:$D$55,2,1)</f>
        <v>VINCI SHOPPING CENTER FII</v>
      </c>
      <c r="E66" s="58" t="s">
        <v>72</v>
      </c>
      <c r="F66" s="19">
        <v>43691</v>
      </c>
      <c r="G66">
        <v>1</v>
      </c>
      <c r="H66" s="58">
        <v>0.65</v>
      </c>
      <c r="I66" s="108">
        <f>VLOOKUP(C66,Resumo!$C$7:$H$31,5,1)</f>
        <v>133.24296296296296</v>
      </c>
      <c r="J66" s="108">
        <f>I66*G66</f>
        <v>133.24296296296296</v>
      </c>
      <c r="K66" s="107">
        <f>H66/J66</f>
        <v>4.8783064076763144E-3</v>
      </c>
    </row>
    <row r="67" spans="1:11">
      <c r="A67" s="58" t="str">
        <f>VLOOKUP(C67,Cadastro!$A$7:$D$55,4,1)</f>
        <v>FII</v>
      </c>
      <c r="B67" s="58" t="str">
        <f>VLOOKUP(C67,Cadastro!$A$7:$D$55,3,1)</f>
        <v>17.554.274/0001-25</v>
      </c>
      <c r="C67" s="55" t="s">
        <v>19</v>
      </c>
      <c r="D67" s="11" t="str">
        <f>VLOOKUP(C67,Cadastro!$A$7:$D$55,2,1)</f>
        <v>VINCI SHOPPING CENTER FII</v>
      </c>
      <c r="E67" s="58" t="s">
        <v>72</v>
      </c>
      <c r="F67" s="19">
        <v>43721</v>
      </c>
      <c r="G67">
        <v>1</v>
      </c>
      <c r="H67" s="58">
        <v>0.92</v>
      </c>
      <c r="I67" s="108">
        <f>VLOOKUP(C67,Resumo!$C$7:$H$31,5,1)</f>
        <v>133.24296296296296</v>
      </c>
      <c r="J67" s="108">
        <f>I67*G67</f>
        <v>133.24296296296296</v>
      </c>
      <c r="K67" s="107">
        <f>H67/J67</f>
        <v>6.9046798385572448E-3</v>
      </c>
    </row>
    <row r="68" spans="1:11">
      <c r="A68" s="58" t="str">
        <f>VLOOKUP(C68,Cadastro!$A$7:$D$55,4,1)</f>
        <v>FII</v>
      </c>
      <c r="B68" s="58" t="str">
        <f>VLOOKUP(C68,Cadastro!$A$7:$D$55,3,1)</f>
        <v>17.554.274/0001-25</v>
      </c>
      <c r="C68" s="58" t="s">
        <v>19</v>
      </c>
      <c r="D68" s="11" t="str">
        <f>VLOOKUP(C68,Cadastro!$A$7:$D$55,2,1)</f>
        <v>VINCI SHOPPING CENTER FII</v>
      </c>
      <c r="E68" s="58" t="s">
        <v>72</v>
      </c>
      <c r="F68" s="19">
        <v>43752</v>
      </c>
      <c r="G68">
        <v>1</v>
      </c>
      <c r="H68" s="58">
        <v>0.92</v>
      </c>
      <c r="I68" s="108">
        <f>VLOOKUP(C68,Resumo!$C$7:$H$31,5,1)</f>
        <v>133.24296296296296</v>
      </c>
      <c r="J68" s="108">
        <f>I68*G68</f>
        <v>133.24296296296296</v>
      </c>
      <c r="K68" s="107">
        <f>H68/J68</f>
        <v>6.9046798385572448E-3</v>
      </c>
    </row>
    <row r="69" spans="1:11">
      <c r="A69" s="58" t="str">
        <f>VLOOKUP(C69,Cadastro!$A$7:$D$55,4,1)</f>
        <v>FII</v>
      </c>
      <c r="B69" s="58" t="str">
        <f>VLOOKUP(C69,Cadastro!$A$7:$D$55,3,1)</f>
        <v>17.554.274/0001-25</v>
      </c>
      <c r="C69" s="58" t="s">
        <v>19</v>
      </c>
      <c r="D69" s="11" t="str">
        <f>VLOOKUP(C69,Cadastro!$A$7:$D$55,2,1)</f>
        <v>VINCI SHOPPING CENTER FII</v>
      </c>
      <c r="E69" s="58" t="s">
        <v>72</v>
      </c>
      <c r="F69" s="19">
        <v>43812</v>
      </c>
      <c r="G69">
        <v>1</v>
      </c>
      <c r="H69" s="58">
        <v>0.63</v>
      </c>
      <c r="I69" s="108">
        <f>VLOOKUP(C69,Resumo!$C$7:$H$31,5,1)</f>
        <v>133.24296296296296</v>
      </c>
      <c r="J69" s="108">
        <f>I69*G69</f>
        <v>133.24296296296296</v>
      </c>
      <c r="K69" s="107">
        <f>H69/J69</f>
        <v>4.7282046720555047E-3</v>
      </c>
    </row>
    <row r="70" spans="1:11">
      <c r="A70" s="58" t="str">
        <f>VLOOKUP(C70,Cadastro!$A$7:$D$55,4,1)</f>
        <v>FII</v>
      </c>
      <c r="B70" s="58" t="str">
        <f>VLOOKUP(C70,Cadastro!$A$7:$D$55,3,1)</f>
        <v>17.554.274/0001-25</v>
      </c>
      <c r="C70" s="58" t="s">
        <v>19</v>
      </c>
      <c r="D70" s="11" t="str">
        <f>VLOOKUP(C70,Cadastro!$A$7:$D$55,2,1)</f>
        <v>VINCI SHOPPING CENTER FII</v>
      </c>
      <c r="E70" s="58" t="s">
        <v>72</v>
      </c>
      <c r="F70" s="102">
        <v>43845</v>
      </c>
      <c r="G70">
        <v>27</v>
      </c>
      <c r="H70" s="11">
        <v>20.79</v>
      </c>
      <c r="I70" s="108">
        <f>VLOOKUP(C70,Resumo!$C$7:$H$31,5,1)</f>
        <v>133.24296296296296</v>
      </c>
      <c r="J70" s="108">
        <f>I70*G70</f>
        <v>3597.56</v>
      </c>
      <c r="K70" s="107">
        <f>H70/J70</f>
        <v>5.7789168214011722E-3</v>
      </c>
    </row>
    <row r="71" spans="1:11">
      <c r="A71" s="58" t="str">
        <f>VLOOKUP(C71,Cadastro!$A$7:$D$55,4,1)</f>
        <v>FII</v>
      </c>
      <c r="B71" s="58" t="str">
        <f>VLOOKUP(C71,Cadastro!$A$7:$D$55,3,1)</f>
        <v>17.554.274/0001-25</v>
      </c>
      <c r="C71" s="58" t="s">
        <v>19</v>
      </c>
      <c r="D71" s="11" t="str">
        <f>VLOOKUP(C71,Cadastro!$A$7:$D$55,2,1)</f>
        <v>VINCI SHOPPING CENTER FII</v>
      </c>
      <c r="E71" s="58" t="s">
        <v>72</v>
      </c>
      <c r="F71" s="102">
        <v>43903</v>
      </c>
      <c r="G71">
        <v>27</v>
      </c>
      <c r="H71" s="11">
        <v>17.010000000000002</v>
      </c>
      <c r="I71" s="108">
        <f>VLOOKUP(C71,Resumo!$C$7:$H$31,5,1)</f>
        <v>133.24296296296296</v>
      </c>
      <c r="J71" s="108">
        <f>I71*G71</f>
        <v>3597.56</v>
      </c>
      <c r="K71" s="107">
        <f>H71/J71</f>
        <v>4.7282046720555047E-3</v>
      </c>
    </row>
    <row r="72" spans="1:11">
      <c r="A72" s="58" t="str">
        <f>VLOOKUP(C72,Cadastro!$A$7:$D$55,4,1)</f>
        <v>FII</v>
      </c>
      <c r="B72" s="58" t="str">
        <f>VLOOKUP(C72,Cadastro!$A$7:$D$55,3,1)</f>
        <v>17.554.274/0001-25</v>
      </c>
      <c r="C72" s="58" t="s">
        <v>19</v>
      </c>
      <c r="D72" s="11" t="str">
        <f>VLOOKUP(C72,Cadastro!$A$7:$D$55,2,1)</f>
        <v>VINCI SHOPPING CENTER FII</v>
      </c>
      <c r="E72" s="58" t="s">
        <v>72</v>
      </c>
      <c r="F72" s="102">
        <v>43875</v>
      </c>
      <c r="G72">
        <v>27</v>
      </c>
      <c r="H72" s="11">
        <v>17.010000000000002</v>
      </c>
      <c r="I72" s="108">
        <f>VLOOKUP(C72,Resumo!$C$7:$H$31,5,1)</f>
        <v>133.24296296296296</v>
      </c>
      <c r="J72" s="108">
        <f>I72*G72</f>
        <v>3597.56</v>
      </c>
      <c r="K72" s="107">
        <f>H72/J72</f>
        <v>4.7282046720555047E-3</v>
      </c>
    </row>
    <row r="73" spans="1:11">
      <c r="A73" s="58" t="str">
        <f>VLOOKUP(C73,Cadastro!$A$7:$D$55,4,1)</f>
        <v>FII</v>
      </c>
      <c r="B73" s="58" t="str">
        <f>VLOOKUP(C73,Cadastro!$A$7:$D$55,3,1)</f>
        <v>17.554.274/0001-25</v>
      </c>
      <c r="C73" s="58" t="s">
        <v>19</v>
      </c>
      <c r="D73" s="11" t="str">
        <f>VLOOKUP(C73,Cadastro!$A$7:$D$55,2,1)</f>
        <v>VINCI SHOPPING CENTER FII</v>
      </c>
      <c r="E73" s="58" t="s">
        <v>72</v>
      </c>
      <c r="F73" s="102">
        <v>43935</v>
      </c>
      <c r="G73">
        <v>27</v>
      </c>
      <c r="H73" s="11">
        <v>6.48</v>
      </c>
      <c r="I73" s="108">
        <f>VLOOKUP(C73,Resumo!$C$7:$H$31,5,1)</f>
        <v>133.24296296296296</v>
      </c>
      <c r="J73" s="108">
        <f>I73*G73</f>
        <v>3597.56</v>
      </c>
      <c r="K73" s="107">
        <f>H73/J73</f>
        <v>1.801220827449716E-3</v>
      </c>
    </row>
    <row r="74" spans="1:11">
      <c r="A74" s="58" t="str">
        <f>VLOOKUP(C74,Cadastro!$A$7:$D$55,4,1)</f>
        <v>RISCO</v>
      </c>
      <c r="B74" s="58" t="str">
        <f>VLOOKUP(C74,Cadastro!$A$7:$D$55,3,1)</f>
        <v>33.113.309/0001-47</v>
      </c>
      <c r="C74" s="58" t="s">
        <v>23</v>
      </c>
      <c r="D74" s="11" t="str">
        <f>VLOOKUP(C74,Cadastro!$A$7:$D$55,2,1)</f>
        <v>SOLUÇÕES E SERV. SEGURANÇA</v>
      </c>
      <c r="E74" s="58" t="s">
        <v>71</v>
      </c>
      <c r="F74" s="102">
        <v>43833</v>
      </c>
      <c r="G74">
        <v>200</v>
      </c>
      <c r="H74" s="11">
        <v>59.5</v>
      </c>
      <c r="I74" s="108">
        <f>VLOOKUP(C74,Resumo!$C$7:$H$31,5,1)</f>
        <v>13.16</v>
      </c>
      <c r="J74" s="108">
        <f>I74*G74</f>
        <v>2632</v>
      </c>
      <c r="K74" s="107">
        <f>H74/J74</f>
        <v>2.2606382978723406E-2</v>
      </c>
    </row>
    <row r="75" spans="1:11">
      <c r="A75" s="58" t="str">
        <f>VLOOKUP(C75,Cadastro!$A$7:$D$55,4,1)</f>
        <v>RISCO</v>
      </c>
      <c r="B75" s="58" t="str">
        <f>VLOOKUP(C75,Cadastro!$A$7:$D$55,3,1)</f>
        <v>33.113.309/0001-47</v>
      </c>
      <c r="C75" s="58" t="s">
        <v>23</v>
      </c>
      <c r="D75" s="11" t="str">
        <f>VLOOKUP(C75,Cadastro!$A$7:$D$55,2,1)</f>
        <v>SOLUÇÕES E SERV. SEGURANÇA</v>
      </c>
      <c r="E75" s="58" t="s">
        <v>71</v>
      </c>
      <c r="F75" s="102">
        <v>43924</v>
      </c>
      <c r="G75">
        <v>200</v>
      </c>
      <c r="H75" s="11">
        <v>59.5</v>
      </c>
      <c r="I75" s="108">
        <f>VLOOKUP(C75,Resumo!$C$7:$H$31,5,1)</f>
        <v>13.16</v>
      </c>
      <c r="J75" s="108">
        <f>I75*G75</f>
        <v>2632</v>
      </c>
      <c r="K75" s="107">
        <f>H75/J75</f>
        <v>2.2606382978723406E-2</v>
      </c>
    </row>
    <row r="76" spans="1:11">
      <c r="A76" s="58" t="str">
        <f>VLOOKUP(C76,Cadastro!$A$7:$D$55,4,1)</f>
        <v>FII</v>
      </c>
      <c r="B76" s="58" t="str">
        <f>VLOOKUP(C76,Cadastro!$A$7:$D$55,3,1)</f>
        <v>26.502.794/0001-85</v>
      </c>
      <c r="C76" s="55" t="s">
        <v>18</v>
      </c>
      <c r="D76" s="11" t="str">
        <f>VLOOKUP(C76,Cadastro!$A$7:$D$55,2,1)</f>
        <v>XP LOG FDO INV IMOB – FII</v>
      </c>
      <c r="E76" s="11" t="s">
        <v>72</v>
      </c>
      <c r="F76" s="19">
        <v>43510</v>
      </c>
      <c r="G76">
        <v>1</v>
      </c>
      <c r="H76" s="58">
        <v>0.67</v>
      </c>
      <c r="I76" s="108">
        <f>VLOOKUP(C76,Resumo!$C$7:$H$31,5,1)</f>
        <v>130.3326923076923</v>
      </c>
      <c r="J76" s="108">
        <f>I76*G76</f>
        <v>130.3326923076923</v>
      </c>
      <c r="K76" s="107">
        <f>H76/J76</f>
        <v>5.1406902453779539E-3</v>
      </c>
    </row>
    <row r="77" spans="1:11">
      <c r="A77" s="58" t="str">
        <f>VLOOKUP(C77,Cadastro!$A$7:$D$55,4,1)</f>
        <v>FII</v>
      </c>
      <c r="B77" s="58" t="str">
        <f>VLOOKUP(C77,Cadastro!$A$7:$D$55,3,1)</f>
        <v>26.502.794/0001-85</v>
      </c>
      <c r="C77" s="55" t="s">
        <v>18</v>
      </c>
      <c r="D77" s="11" t="str">
        <f>VLOOKUP(C77,Cadastro!$A$7:$D$55,2,1)</f>
        <v>XP LOG FDO INV IMOB – FII</v>
      </c>
      <c r="E77" s="11" t="s">
        <v>72</v>
      </c>
      <c r="F77" s="19">
        <v>43542</v>
      </c>
      <c r="G77">
        <v>1</v>
      </c>
      <c r="H77" s="58">
        <v>0.67</v>
      </c>
      <c r="I77" s="108">
        <f>VLOOKUP(C77,Resumo!$C$7:$H$31,5,1)</f>
        <v>130.3326923076923</v>
      </c>
      <c r="J77" s="108">
        <f>I77*G77</f>
        <v>130.3326923076923</v>
      </c>
      <c r="K77" s="107">
        <f>H77/J77</f>
        <v>5.1406902453779539E-3</v>
      </c>
    </row>
    <row r="78" spans="1:11">
      <c r="A78" s="58" t="str">
        <f>VLOOKUP(C78,Cadastro!$A$7:$D$55,4,1)</f>
        <v>FII</v>
      </c>
      <c r="B78" s="58" t="str">
        <f>VLOOKUP(C78,Cadastro!$A$7:$D$55,3,1)</f>
        <v>26.502.794/0001-85</v>
      </c>
      <c r="C78" s="55" t="s">
        <v>18</v>
      </c>
      <c r="D78" s="11" t="str">
        <f>VLOOKUP(C78,Cadastro!$A$7:$D$55,2,1)</f>
        <v>XP LOG FDO INV IMOB – FII</v>
      </c>
      <c r="E78" s="58" t="s">
        <v>72</v>
      </c>
      <c r="F78" s="19">
        <v>43567</v>
      </c>
      <c r="G78">
        <v>1</v>
      </c>
      <c r="H78" s="58">
        <v>0.68</v>
      </c>
      <c r="I78" s="108">
        <f>VLOOKUP(C78,Resumo!$C$7:$H$31,5,1)</f>
        <v>130.3326923076923</v>
      </c>
      <c r="J78" s="108">
        <f>I78*G78</f>
        <v>130.3326923076923</v>
      </c>
      <c r="K78" s="107">
        <f>H78/J78</f>
        <v>5.2174169654582219E-3</v>
      </c>
    </row>
    <row r="79" spans="1:11">
      <c r="A79" s="58" t="str">
        <f>VLOOKUP(C79,Cadastro!$A$7:$D$55,4,1)</f>
        <v>FII</v>
      </c>
      <c r="B79" s="58" t="str">
        <f>VLOOKUP(C79,Cadastro!$A$7:$D$55,3,1)</f>
        <v>26.502.794/0001-85</v>
      </c>
      <c r="C79" s="55" t="s">
        <v>18</v>
      </c>
      <c r="D79" s="11" t="str">
        <f>VLOOKUP(C79,Cadastro!$A$7:$D$55,2,1)</f>
        <v>XP LOG FDO INV IMOB – FII</v>
      </c>
      <c r="E79" s="58" t="s">
        <v>72</v>
      </c>
      <c r="F79" s="19">
        <v>43600</v>
      </c>
      <c r="G79">
        <v>1</v>
      </c>
      <c r="H79" s="58">
        <v>0.68</v>
      </c>
      <c r="I79" s="108">
        <f>VLOOKUP(C79,Resumo!$C$7:$H$31,5,1)</f>
        <v>130.3326923076923</v>
      </c>
      <c r="J79" s="108">
        <f>I79*G79</f>
        <v>130.3326923076923</v>
      </c>
      <c r="K79" s="107">
        <f>H79/J79</f>
        <v>5.2174169654582219E-3</v>
      </c>
    </row>
    <row r="80" spans="1:11">
      <c r="A80" s="58" t="str">
        <f>VLOOKUP(C80,Cadastro!$A$7:$D$55,4,1)</f>
        <v>FII</v>
      </c>
      <c r="B80" s="58" t="str">
        <f>VLOOKUP(C80,Cadastro!$A$7:$D$55,3,1)</f>
        <v>26.502.794/0001-85</v>
      </c>
      <c r="C80" s="55" t="s">
        <v>18</v>
      </c>
      <c r="D80" s="11" t="str">
        <f>VLOOKUP(C80,Cadastro!$A$7:$D$55,2,1)</f>
        <v>XP LOG FDO INV IMOB – FII</v>
      </c>
      <c r="E80" s="58" t="s">
        <v>72</v>
      </c>
      <c r="F80" s="19">
        <v>43630</v>
      </c>
      <c r="G80">
        <v>1</v>
      </c>
      <c r="H80" s="58">
        <v>0.61</v>
      </c>
      <c r="I80" s="108">
        <f>VLOOKUP(C80,Resumo!$C$7:$H$31,5,1)</f>
        <v>130.3326923076923</v>
      </c>
      <c r="J80" s="108">
        <f>I80*G80</f>
        <v>130.3326923076923</v>
      </c>
      <c r="K80" s="107">
        <f>H80/J80</f>
        <v>4.6803299248963457E-3</v>
      </c>
    </row>
    <row r="81" spans="1:11">
      <c r="A81" s="58" t="str">
        <f>VLOOKUP(C81,Cadastro!$A$7:$D$55,4,1)</f>
        <v>FII</v>
      </c>
      <c r="B81" s="58" t="str">
        <f>VLOOKUP(C81,Cadastro!$A$7:$D$55,3,1)</f>
        <v>26.502.794/0001-85</v>
      </c>
      <c r="C81" s="55" t="s">
        <v>18</v>
      </c>
      <c r="D81" s="11" t="str">
        <f>VLOOKUP(C81,Cadastro!$A$7:$D$55,2,1)</f>
        <v>XP LOG FDO INV IMOB – FII</v>
      </c>
      <c r="E81" s="58" t="s">
        <v>72</v>
      </c>
      <c r="F81" s="19">
        <v>43658</v>
      </c>
      <c r="G81">
        <v>1</v>
      </c>
      <c r="H81" s="58">
        <v>0.61</v>
      </c>
      <c r="I81" s="108">
        <f>VLOOKUP(C81,Resumo!$C$7:$H$31,5,1)</f>
        <v>130.3326923076923</v>
      </c>
      <c r="J81" s="108">
        <f>I81*G81</f>
        <v>130.3326923076923</v>
      </c>
      <c r="K81" s="107">
        <f>H81/J81</f>
        <v>4.6803299248963457E-3</v>
      </c>
    </row>
    <row r="82" spans="1:11">
      <c r="A82" s="58" t="str">
        <f>VLOOKUP(C82,Cadastro!$A$7:$D$55,4,1)</f>
        <v>FII</v>
      </c>
      <c r="B82" s="58" t="str">
        <f>VLOOKUP(C82,Cadastro!$A$7:$D$55,3,1)</f>
        <v>26.502.794/0001-85</v>
      </c>
      <c r="C82" s="55" t="s">
        <v>18</v>
      </c>
      <c r="D82" s="11" t="str">
        <f>VLOOKUP(C82,Cadastro!$A$7:$D$55,2,1)</f>
        <v>XP LOG FDO INV IMOB – FII</v>
      </c>
      <c r="E82" s="58" t="s">
        <v>72</v>
      </c>
      <c r="F82" s="19">
        <v>43691</v>
      </c>
      <c r="G82">
        <v>1</v>
      </c>
      <c r="H82" s="58">
        <v>0.61</v>
      </c>
      <c r="I82" s="108">
        <f>VLOOKUP(C82,Resumo!$C$7:$H$31,5,1)</f>
        <v>130.3326923076923</v>
      </c>
      <c r="J82" s="108">
        <f>I82*G82</f>
        <v>130.3326923076923</v>
      </c>
      <c r="K82" s="107">
        <f>H82/J82</f>
        <v>4.6803299248963457E-3</v>
      </c>
    </row>
    <row r="83" spans="1:11">
      <c r="A83" s="58" t="str">
        <f>VLOOKUP(C83,Cadastro!$A$7:$D$55,4,1)</f>
        <v>FII</v>
      </c>
      <c r="B83" s="58" t="str">
        <f>VLOOKUP(C83,Cadastro!$A$7:$D$55,3,1)</f>
        <v>26.502.794/0001-85</v>
      </c>
      <c r="C83" s="55" t="s">
        <v>18</v>
      </c>
      <c r="D83" s="11" t="str">
        <f>VLOOKUP(C83,Cadastro!$A$7:$D$55,2,1)</f>
        <v>XP LOG FDO INV IMOB – FII</v>
      </c>
      <c r="E83" s="58" t="s">
        <v>72</v>
      </c>
      <c r="F83" s="19">
        <v>43721</v>
      </c>
      <c r="G83">
        <v>1</v>
      </c>
      <c r="H83" s="58">
        <v>0.61</v>
      </c>
      <c r="I83" s="108">
        <f>VLOOKUP(C83,Resumo!$C$7:$H$31,5,1)</f>
        <v>130.3326923076923</v>
      </c>
      <c r="J83" s="108">
        <f>I83*G83</f>
        <v>130.3326923076923</v>
      </c>
      <c r="K83" s="107">
        <f>H83/J83</f>
        <v>4.6803299248963457E-3</v>
      </c>
    </row>
    <row r="84" spans="1:11">
      <c r="A84" s="58" t="str">
        <f>VLOOKUP(C84,Cadastro!$A$7:$D$55,4,1)</f>
        <v>FII</v>
      </c>
      <c r="B84" s="58" t="str">
        <f>VLOOKUP(C84,Cadastro!$A$7:$D$55,3,1)</f>
        <v>26.502.794/0001-85</v>
      </c>
      <c r="C84" s="58" t="s">
        <v>18</v>
      </c>
      <c r="D84" s="11" t="str">
        <f>VLOOKUP(C84,Cadastro!$A$7:$D$55,2,1)</f>
        <v>XP LOG FDO INV IMOB – FII</v>
      </c>
      <c r="E84" s="58" t="s">
        <v>72</v>
      </c>
      <c r="F84" s="19">
        <v>43752</v>
      </c>
      <c r="G84">
        <v>1</v>
      </c>
      <c r="H84" s="58">
        <v>0.61</v>
      </c>
      <c r="I84" s="108">
        <f>VLOOKUP(C84,Resumo!$C$7:$H$31,5,1)</f>
        <v>130.3326923076923</v>
      </c>
      <c r="J84" s="108">
        <f>I84*G84</f>
        <v>130.3326923076923</v>
      </c>
      <c r="K84" s="107">
        <f>H84/J84</f>
        <v>4.6803299248963457E-3</v>
      </c>
    </row>
    <row r="85" spans="1:11">
      <c r="A85" s="58" t="str">
        <f>VLOOKUP(C85,Cadastro!$A$7:$D$55,4,1)</f>
        <v>FII</v>
      </c>
      <c r="B85" s="58" t="str">
        <f>VLOOKUP(C85,Cadastro!$A$7:$D$55,3,1)</f>
        <v>26.502.794/0001-85</v>
      </c>
      <c r="C85" s="58" t="s">
        <v>18</v>
      </c>
      <c r="D85" s="11" t="str">
        <f>VLOOKUP(C85,Cadastro!$A$7:$D$55,2,1)</f>
        <v>XP LOG FDO INV IMOB – FII</v>
      </c>
      <c r="E85" s="58" t="s">
        <v>72</v>
      </c>
      <c r="F85" s="19">
        <v>43812</v>
      </c>
      <c r="G85">
        <v>1</v>
      </c>
      <c r="H85" s="58">
        <v>0.64</v>
      </c>
      <c r="I85" s="108">
        <f>VLOOKUP(C85,Resumo!$C$7:$H$31,5,1)</f>
        <v>130.3326923076923</v>
      </c>
      <c r="J85" s="108">
        <f>I85*G85</f>
        <v>130.3326923076923</v>
      </c>
      <c r="K85" s="107">
        <f>H85/J85</f>
        <v>4.9105100851371498E-3</v>
      </c>
    </row>
    <row r="86" spans="1:11">
      <c r="A86" s="58" t="str">
        <f>VLOOKUP(C86,Cadastro!$A$7:$D$55,4,1)</f>
        <v>FII</v>
      </c>
      <c r="B86" s="58" t="str">
        <f>VLOOKUP(C86,Cadastro!$A$7:$D$55,3,1)</f>
        <v>26.502.794/0001-85</v>
      </c>
      <c r="C86" s="58" t="s">
        <v>18</v>
      </c>
      <c r="D86" s="11" t="str">
        <f>VLOOKUP(C86,Cadastro!$A$7:$D$55,2,1)</f>
        <v>XP LOG FDO INV IMOB – FII</v>
      </c>
      <c r="E86" s="58" t="s">
        <v>72</v>
      </c>
      <c r="F86" s="102">
        <v>43845</v>
      </c>
      <c r="G86">
        <v>26</v>
      </c>
      <c r="H86" s="11">
        <v>16.64</v>
      </c>
      <c r="I86" s="108">
        <f>VLOOKUP(C86,Resumo!$C$7:$H$31,5,1)</f>
        <v>130.3326923076923</v>
      </c>
      <c r="J86" s="108">
        <f>I86*G86</f>
        <v>3388.6499999999996</v>
      </c>
      <c r="K86" s="107">
        <f>H86/J86</f>
        <v>4.9105100851371498E-3</v>
      </c>
    </row>
    <row r="87" spans="1:11">
      <c r="A87" s="58" t="str">
        <f>VLOOKUP(C87,Cadastro!$A$7:$D$55,4,1)</f>
        <v>FII</v>
      </c>
      <c r="B87" s="58" t="str">
        <f>VLOOKUP(C87,Cadastro!$A$7:$D$55,3,1)</f>
        <v>26.502.794/0001-85</v>
      </c>
      <c r="C87" s="58" t="s">
        <v>18</v>
      </c>
      <c r="D87" s="11" t="str">
        <f>VLOOKUP(C87,Cadastro!$A$7:$D$55,2,1)</f>
        <v>XP LOG FDO INV IMOB – FII</v>
      </c>
      <c r="E87" s="58" t="s">
        <v>72</v>
      </c>
      <c r="F87" s="102">
        <v>43903</v>
      </c>
      <c r="G87">
        <v>26</v>
      </c>
      <c r="H87" s="11">
        <v>16.64</v>
      </c>
      <c r="I87" s="108">
        <f>VLOOKUP(C87,Resumo!$C$7:$H$31,5,1)</f>
        <v>130.3326923076923</v>
      </c>
      <c r="J87" s="108">
        <f>I87*G87</f>
        <v>3388.6499999999996</v>
      </c>
      <c r="K87" s="107">
        <f>H87/J87</f>
        <v>4.9105100851371498E-3</v>
      </c>
    </row>
    <row r="88" spans="1:11">
      <c r="A88" s="58" t="str">
        <f>VLOOKUP(C88,Cadastro!$A$7:$D$55,4,1)</f>
        <v>FII</v>
      </c>
      <c r="B88" s="58" t="str">
        <f>VLOOKUP(C88,Cadastro!$A$7:$D$55,3,1)</f>
        <v>26.502.794/0001-85</v>
      </c>
      <c r="C88" s="58" t="s">
        <v>18</v>
      </c>
      <c r="D88" s="11" t="str">
        <f>VLOOKUP(C88,Cadastro!$A$7:$D$55,2,1)</f>
        <v>XP LOG FDO INV IMOB – FII</v>
      </c>
      <c r="E88" s="58" t="s">
        <v>72</v>
      </c>
      <c r="F88" s="102">
        <v>43875</v>
      </c>
      <c r="G88">
        <v>26</v>
      </c>
      <c r="H88" s="11">
        <v>16.64</v>
      </c>
      <c r="I88" s="108">
        <f>VLOOKUP(C88,Resumo!$C$7:$H$31,5,1)</f>
        <v>130.3326923076923</v>
      </c>
      <c r="J88" s="108">
        <f>I88*G88</f>
        <v>3388.6499999999996</v>
      </c>
      <c r="K88" s="107">
        <f>H88/J88</f>
        <v>4.9105100851371498E-3</v>
      </c>
    </row>
    <row r="89" spans="1:11">
      <c r="A89" s="58" t="str">
        <f>VLOOKUP(C89,Cadastro!$A$7:$D$55,4,1)</f>
        <v>FII</v>
      </c>
      <c r="B89" s="58" t="str">
        <f>VLOOKUP(C89,Cadastro!$A$7:$D$55,3,1)</f>
        <v>26.502.794/0001-85</v>
      </c>
      <c r="C89" s="58" t="s">
        <v>18</v>
      </c>
      <c r="D89" s="11" t="str">
        <f>VLOOKUP(C89,Cadastro!$A$7:$D$55,2,1)</f>
        <v>XP LOG FDO INV IMOB – FII</v>
      </c>
      <c r="E89" s="58" t="s">
        <v>72</v>
      </c>
      <c r="F89" s="102">
        <v>43935</v>
      </c>
      <c r="G89">
        <v>26</v>
      </c>
      <c r="H89" s="11">
        <v>15.08</v>
      </c>
      <c r="I89" s="108">
        <f>VLOOKUP(C89,Resumo!$C$7:$H$31,5,1)</f>
        <v>130.3326923076923</v>
      </c>
      <c r="J89" s="108">
        <f>I89*G89</f>
        <v>3388.6499999999996</v>
      </c>
      <c r="K89" s="107">
        <f>H89/J89</f>
        <v>4.4501497646555416E-3</v>
      </c>
    </row>
    <row r="90" spans="1:11">
      <c r="A90" s="58" t="e">
        <f>VLOOKUP(C90,Cadastro!$A$7:$D$55,4,1)</f>
        <v>#N/A</v>
      </c>
      <c r="B90" s="58" t="e">
        <f>VLOOKUP(C90,Cadastro!$A$7:$D$55,3,1)</f>
        <v>#N/A</v>
      </c>
      <c r="C90" s="106"/>
      <c r="D90" s="11" t="e">
        <f>VLOOKUP(C90,Cadastro!$A$7:$D$55,2,1)</f>
        <v>#N/A</v>
      </c>
    </row>
  </sheetData>
  <autoFilter ref="A6:K90"/>
  <sortState ref="A7:K89">
    <sortCondition ref="C7:C89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4:H51"/>
  <sheetViews>
    <sheetView topLeftCell="A17" zoomScale="90" zoomScaleNormal="90" workbookViewId="0">
      <selection activeCell="B41" sqref="B41"/>
    </sheetView>
  </sheetViews>
  <sheetFormatPr defaultRowHeight="12.75"/>
  <cols>
    <col min="1" max="1" width="11.42578125" customWidth="1"/>
    <col min="2" max="2" width="39.5703125" customWidth="1"/>
    <col min="3" max="3" width="18.85546875" customWidth="1"/>
    <col min="4" max="4" width="13.85546875" customWidth="1"/>
    <col min="5" max="5" width="13.42578125" customWidth="1"/>
    <col min="6" max="7" width="11.42578125" customWidth="1"/>
    <col min="8" max="8" width="18.85546875" customWidth="1"/>
    <col min="9" max="10" width="11.42578125" customWidth="1"/>
    <col min="11" max="11" width="18.85546875" customWidth="1"/>
    <col min="12" max="1025" width="11.42578125" customWidth="1"/>
  </cols>
  <sheetData>
    <row r="4" spans="1:8" ht="14.65" customHeight="1">
      <c r="A4" t="s">
        <v>74</v>
      </c>
      <c r="H4" t="s">
        <v>75</v>
      </c>
    </row>
    <row r="5" spans="1:8" ht="14.65" customHeight="1">
      <c r="H5" s="56" t="s">
        <v>76</v>
      </c>
    </row>
    <row r="6" spans="1:8" ht="14.85" customHeight="1">
      <c r="A6" s="7" t="s">
        <v>3</v>
      </c>
      <c r="B6" s="7" t="s">
        <v>5</v>
      </c>
      <c r="C6" s="7" t="s">
        <v>3</v>
      </c>
      <c r="D6" s="110" t="s">
        <v>65</v>
      </c>
    </row>
    <row r="7" spans="1:8" ht="14.65" customHeight="1">
      <c r="A7" s="57" t="s">
        <v>22</v>
      </c>
      <c r="B7" s="57" t="s">
        <v>77</v>
      </c>
      <c r="C7" s="57" t="s">
        <v>78</v>
      </c>
      <c r="D7" s="57" t="s">
        <v>278</v>
      </c>
      <c r="E7" s="58" t="str">
        <f t="shared" ref="E7:E44" si="0">CONCATENATE(A7,$H$37)</f>
        <v>ABEV3%7C</v>
      </c>
    </row>
    <row r="8" spans="1:8" ht="14.85" customHeight="1">
      <c r="A8" t="s">
        <v>79</v>
      </c>
      <c r="B8" t="s">
        <v>80</v>
      </c>
      <c r="C8" t="s">
        <v>81</v>
      </c>
      <c r="D8" s="58" t="s">
        <v>277</v>
      </c>
      <c r="E8" t="str">
        <f t="shared" si="0"/>
        <v>BBAS3%7C</v>
      </c>
      <c r="H8" t="s">
        <v>82</v>
      </c>
    </row>
    <row r="9" spans="1:8" ht="14.85" customHeight="1">
      <c r="A9" s="57" t="s">
        <v>38</v>
      </c>
      <c r="B9" s="57" t="s">
        <v>83</v>
      </c>
      <c r="C9" s="57" t="s">
        <v>84</v>
      </c>
      <c r="D9" s="57" t="s">
        <v>277</v>
      </c>
      <c r="E9" t="str">
        <f t="shared" si="0"/>
        <v>BBDC3%7C</v>
      </c>
      <c r="H9" t="s">
        <v>85</v>
      </c>
    </row>
    <row r="10" spans="1:8" ht="14.85" customHeight="1">
      <c r="A10" s="58" t="s">
        <v>86</v>
      </c>
      <c r="B10" s="58" t="s">
        <v>87</v>
      </c>
      <c r="C10" s="58" t="s">
        <v>84</v>
      </c>
      <c r="D10" s="58" t="s">
        <v>277</v>
      </c>
      <c r="E10" t="str">
        <f t="shared" si="0"/>
        <v>BBDC4%7C</v>
      </c>
    </row>
    <row r="11" spans="1:8" ht="14.85" customHeight="1">
      <c r="A11" s="57" t="s">
        <v>20</v>
      </c>
      <c r="B11" s="57" t="s">
        <v>88</v>
      </c>
      <c r="C11" s="57" t="s">
        <v>89</v>
      </c>
      <c r="D11" s="57" t="s">
        <v>47</v>
      </c>
      <c r="E11" t="str">
        <f t="shared" si="0"/>
        <v>BBPO11%7C</v>
      </c>
    </row>
    <row r="12" spans="1:8" ht="14.85" customHeight="1">
      <c r="A12" s="58" t="s">
        <v>90</v>
      </c>
      <c r="B12" s="58" t="s">
        <v>91</v>
      </c>
      <c r="C12" s="58" t="s">
        <v>92</v>
      </c>
      <c r="D12" s="58" t="s">
        <v>277</v>
      </c>
      <c r="E12" t="str">
        <f t="shared" si="0"/>
        <v>BPAN4%7C</v>
      </c>
    </row>
    <row r="13" spans="1:8" ht="14.85" customHeight="1">
      <c r="A13" s="57" t="s">
        <v>30</v>
      </c>
      <c r="B13" s="57" t="s">
        <v>93</v>
      </c>
      <c r="C13" s="57" t="s">
        <v>94</v>
      </c>
      <c r="D13" s="57" t="s">
        <v>278</v>
      </c>
      <c r="E13" t="str">
        <f t="shared" si="0"/>
        <v>BRFS3%7C</v>
      </c>
      <c r="H13" t="s">
        <v>95</v>
      </c>
    </row>
    <row r="14" spans="1:8" ht="14.85" customHeight="1">
      <c r="A14" s="58" t="s">
        <v>55</v>
      </c>
      <c r="B14" s="58" t="s">
        <v>96</v>
      </c>
      <c r="C14" s="58" t="s">
        <v>97</v>
      </c>
      <c r="D14" s="58" t="s">
        <v>278</v>
      </c>
      <c r="E14" t="str">
        <f t="shared" si="0"/>
        <v>BTOW3%7C</v>
      </c>
      <c r="H14" s="56" t="s">
        <v>98</v>
      </c>
    </row>
    <row r="15" spans="1:8" ht="14.85" customHeight="1">
      <c r="A15" s="57" t="s">
        <v>32</v>
      </c>
      <c r="B15" s="57" t="s">
        <v>99</v>
      </c>
      <c r="C15" s="57" t="s">
        <v>100</v>
      </c>
      <c r="D15" s="57" t="s">
        <v>278</v>
      </c>
      <c r="E15" t="str">
        <f t="shared" si="0"/>
        <v>CCRO3%7C</v>
      </c>
    </row>
    <row r="16" spans="1:8" ht="14.85" customHeight="1">
      <c r="A16" s="58" t="s">
        <v>16</v>
      </c>
      <c r="B16" s="58" t="s">
        <v>101</v>
      </c>
      <c r="C16" s="58" t="s">
        <v>102</v>
      </c>
      <c r="D16" s="58" t="s">
        <v>278</v>
      </c>
      <c r="E16" t="str">
        <f t="shared" si="0"/>
        <v>CIEL3%7C</v>
      </c>
    </row>
    <row r="17" spans="1:8" ht="14.85" customHeight="1">
      <c r="A17" s="57" t="s">
        <v>40</v>
      </c>
      <c r="B17" s="57" t="s">
        <v>103</v>
      </c>
      <c r="C17" s="57" t="s">
        <v>104</v>
      </c>
      <c r="D17" s="57" t="s">
        <v>279</v>
      </c>
      <c r="E17" t="str">
        <f t="shared" si="0"/>
        <v>CMIG3%7C</v>
      </c>
    </row>
    <row r="18" spans="1:8" s="58" customFormat="1" ht="14.85" customHeight="1">
      <c r="A18" s="58" t="s">
        <v>25</v>
      </c>
      <c r="B18" s="58" t="s">
        <v>103</v>
      </c>
      <c r="C18" s="58" t="s">
        <v>104</v>
      </c>
      <c r="D18" s="58" t="s">
        <v>279</v>
      </c>
      <c r="E18" s="58" t="str">
        <f t="shared" si="0"/>
        <v>CMIG4%7C</v>
      </c>
    </row>
    <row r="19" spans="1:8" ht="14.85" customHeight="1">
      <c r="A19" s="57" t="s">
        <v>34</v>
      </c>
      <c r="B19" s="57" t="s">
        <v>105</v>
      </c>
      <c r="C19" s="57" t="s">
        <v>106</v>
      </c>
      <c r="D19" s="57" t="s">
        <v>278</v>
      </c>
      <c r="E19" t="str">
        <f t="shared" si="0"/>
        <v>CSNA3%7C</v>
      </c>
    </row>
    <row r="20" spans="1:8" ht="14.85" customHeight="1">
      <c r="A20" s="58" t="s">
        <v>35</v>
      </c>
      <c r="B20" s="58" t="s">
        <v>107</v>
      </c>
      <c r="C20" s="58" t="s">
        <v>108</v>
      </c>
      <c r="D20" s="58" t="s">
        <v>278</v>
      </c>
      <c r="E20" t="str">
        <f t="shared" si="0"/>
        <v>CVCB3%7C</v>
      </c>
    </row>
    <row r="21" spans="1:8" ht="14.85" customHeight="1">
      <c r="A21" s="57" t="s">
        <v>41</v>
      </c>
      <c r="B21" s="57" t="s">
        <v>109</v>
      </c>
      <c r="C21" s="57" t="s">
        <v>110</v>
      </c>
      <c r="D21" s="57" t="s">
        <v>279</v>
      </c>
      <c r="E21" t="str">
        <f t="shared" si="0"/>
        <v>ELET3%7C</v>
      </c>
    </row>
    <row r="22" spans="1:8" ht="14.85" customHeight="1">
      <c r="A22" s="58" t="s">
        <v>21</v>
      </c>
      <c r="B22" s="58" t="s">
        <v>111</v>
      </c>
      <c r="C22" s="58" t="s">
        <v>112</v>
      </c>
      <c r="D22" s="58" t="s">
        <v>280</v>
      </c>
      <c r="E22" t="str">
        <f t="shared" si="0"/>
        <v>EMBR3%7C</v>
      </c>
      <c r="H22" t="s">
        <v>113</v>
      </c>
    </row>
    <row r="23" spans="1:8" ht="14.85" customHeight="1">
      <c r="A23" s="57" t="s">
        <v>44</v>
      </c>
      <c r="B23" s="57" t="s">
        <v>114</v>
      </c>
      <c r="C23" s="57" t="s">
        <v>115</v>
      </c>
      <c r="D23" s="57" t="s">
        <v>278</v>
      </c>
      <c r="E23" t="str">
        <f t="shared" si="0"/>
        <v>ENAT3%7C</v>
      </c>
      <c r="H23" s="59" t="s">
        <v>116</v>
      </c>
    </row>
    <row r="24" spans="1:8" ht="14.85" customHeight="1">
      <c r="A24" s="58" t="s">
        <v>27</v>
      </c>
      <c r="B24" s="58" t="s">
        <v>117</v>
      </c>
      <c r="C24" s="58" t="s">
        <v>118</v>
      </c>
      <c r="D24" s="58" t="s">
        <v>279</v>
      </c>
      <c r="E24" t="str">
        <f t="shared" si="0"/>
        <v>EQTL3%7C</v>
      </c>
      <c r="H24" s="59"/>
    </row>
    <row r="25" spans="1:8" ht="14.85" customHeight="1">
      <c r="A25" s="57" t="s">
        <v>43</v>
      </c>
      <c r="B25" s="57" t="s">
        <v>119</v>
      </c>
      <c r="C25" s="57" t="s">
        <v>120</v>
      </c>
      <c r="D25" s="57" t="s">
        <v>278</v>
      </c>
      <c r="E25" t="str">
        <f t="shared" si="0"/>
        <v>GOAU3%7C</v>
      </c>
    </row>
    <row r="26" spans="1:8" ht="14.85" customHeight="1">
      <c r="A26" s="58" t="s">
        <v>121</v>
      </c>
      <c r="B26" s="58" t="s">
        <v>122</v>
      </c>
      <c r="C26" s="58" t="s">
        <v>123</v>
      </c>
      <c r="D26" s="58" t="s">
        <v>47</v>
      </c>
      <c r="E26" t="str">
        <f t="shared" si="0"/>
        <v>HGBS11%7C</v>
      </c>
    </row>
    <row r="27" spans="1:8" ht="14.85" customHeight="1">
      <c r="A27" s="57" t="s">
        <v>124</v>
      </c>
      <c r="B27" s="57" t="s">
        <v>125</v>
      </c>
      <c r="C27" s="57" t="s">
        <v>126</v>
      </c>
      <c r="D27" s="57" t="s">
        <v>47</v>
      </c>
      <c r="E27" t="str">
        <f t="shared" si="0"/>
        <v>HTMX11%7C</v>
      </c>
      <c r="H27" t="s">
        <v>47</v>
      </c>
    </row>
    <row r="28" spans="1:8" ht="14.85" customHeight="1">
      <c r="A28" s="58" t="s">
        <v>42</v>
      </c>
      <c r="B28" s="58" t="s">
        <v>127</v>
      </c>
      <c r="C28" s="58" t="s">
        <v>128</v>
      </c>
      <c r="D28" s="58" t="s">
        <v>278</v>
      </c>
      <c r="E28" t="str">
        <f t="shared" si="0"/>
        <v>HYPE3%7C</v>
      </c>
      <c r="H28" s="56" t="s">
        <v>129</v>
      </c>
    </row>
    <row r="29" spans="1:8" ht="14.85" customHeight="1">
      <c r="A29" s="57" t="s">
        <v>39</v>
      </c>
      <c r="B29" s="57" t="s">
        <v>130</v>
      </c>
      <c r="C29" s="57" t="s">
        <v>131</v>
      </c>
      <c r="D29" s="57" t="s">
        <v>277</v>
      </c>
      <c r="E29" t="str">
        <f t="shared" si="0"/>
        <v>ITSA4%7C</v>
      </c>
      <c r="H29" s="56" t="s">
        <v>132</v>
      </c>
    </row>
    <row r="30" spans="1:8" ht="14.85" customHeight="1">
      <c r="A30" s="58" t="s">
        <v>133</v>
      </c>
      <c r="B30" s="58" t="s">
        <v>134</v>
      </c>
      <c r="C30" s="58" t="s">
        <v>135</v>
      </c>
      <c r="D30" s="58" t="s">
        <v>277</v>
      </c>
      <c r="E30" t="str">
        <f t="shared" si="0"/>
        <v>ITUB3%7C</v>
      </c>
    </row>
    <row r="31" spans="1:8" ht="14.85" customHeight="1">
      <c r="A31" s="57" t="s">
        <v>24</v>
      </c>
      <c r="B31" s="57" t="s">
        <v>136</v>
      </c>
      <c r="C31" s="57" t="s">
        <v>135</v>
      </c>
      <c r="D31" s="57" t="s">
        <v>277</v>
      </c>
      <c r="E31" t="str">
        <f t="shared" si="0"/>
        <v>ITUB4%7C</v>
      </c>
    </row>
    <row r="32" spans="1:8" ht="14.85" customHeight="1">
      <c r="A32" s="58" t="s">
        <v>24</v>
      </c>
      <c r="B32" s="58" t="s">
        <v>137</v>
      </c>
      <c r="C32" s="58" t="s">
        <v>135</v>
      </c>
      <c r="D32" s="58" t="s">
        <v>277</v>
      </c>
      <c r="E32" t="str">
        <f t="shared" si="0"/>
        <v>ITUB4%7C</v>
      </c>
    </row>
    <row r="33" spans="1:8" ht="14.85" customHeight="1">
      <c r="A33" s="57" t="s">
        <v>138</v>
      </c>
      <c r="B33" s="57" t="s">
        <v>139</v>
      </c>
      <c r="C33" s="57" t="s">
        <v>140</v>
      </c>
      <c r="D33" s="57" t="s">
        <v>278</v>
      </c>
      <c r="E33" t="str">
        <f t="shared" si="0"/>
        <v>NOTC3%7C</v>
      </c>
    </row>
    <row r="34" spans="1:8" ht="14.85" customHeight="1">
      <c r="A34" s="58" t="s">
        <v>17</v>
      </c>
      <c r="B34" s="58" t="s">
        <v>141</v>
      </c>
      <c r="C34" s="58" t="s">
        <v>142</v>
      </c>
      <c r="D34" s="58" t="s">
        <v>278</v>
      </c>
      <c r="E34" t="str">
        <f t="shared" si="0"/>
        <v>OIBR3%7C</v>
      </c>
      <c r="H34" t="s">
        <v>143</v>
      </c>
    </row>
    <row r="35" spans="1:8" ht="14.85" customHeight="1">
      <c r="A35" s="57" t="s">
        <v>15</v>
      </c>
      <c r="B35" s="57" t="s">
        <v>144</v>
      </c>
      <c r="C35" s="57" t="s">
        <v>145</v>
      </c>
      <c r="D35" s="57" t="s">
        <v>280</v>
      </c>
      <c r="E35" t="str">
        <f t="shared" si="0"/>
        <v>PETR4%7C</v>
      </c>
      <c r="H35" s="59" t="s">
        <v>146</v>
      </c>
    </row>
    <row r="36" spans="1:8" ht="14.85" customHeight="1">
      <c r="A36" s="58" t="s">
        <v>37</v>
      </c>
      <c r="B36" s="58" t="s">
        <v>147</v>
      </c>
      <c r="C36" s="58" t="s">
        <v>115</v>
      </c>
      <c r="D36" s="58" t="s">
        <v>278</v>
      </c>
      <c r="E36" t="str">
        <f t="shared" si="0"/>
        <v>QGEP3%7C</v>
      </c>
      <c r="H36" t="s">
        <v>148</v>
      </c>
    </row>
    <row r="37" spans="1:8" ht="14.85" customHeight="1">
      <c r="A37" s="57" t="s">
        <v>33</v>
      </c>
      <c r="B37" s="57" t="s">
        <v>149</v>
      </c>
      <c r="C37" s="57" t="s">
        <v>150</v>
      </c>
      <c r="D37" s="57" t="s">
        <v>277</v>
      </c>
      <c r="E37" t="str">
        <f t="shared" si="0"/>
        <v>SANB3%7C</v>
      </c>
      <c r="H37" t="s">
        <v>151</v>
      </c>
    </row>
    <row r="38" spans="1:8" ht="14.85" customHeight="1">
      <c r="A38" s="58" t="s">
        <v>26</v>
      </c>
      <c r="B38" s="58" t="s">
        <v>152</v>
      </c>
      <c r="C38" s="58" t="s">
        <v>150</v>
      </c>
      <c r="D38" s="58" t="s">
        <v>277</v>
      </c>
      <c r="E38" t="str">
        <f t="shared" si="0"/>
        <v>SANB4%7C</v>
      </c>
    </row>
    <row r="39" spans="1:8" ht="14.85" customHeight="1">
      <c r="A39" s="57" t="s">
        <v>28</v>
      </c>
      <c r="B39" s="57" t="s">
        <v>153</v>
      </c>
      <c r="C39" s="57" t="s">
        <v>154</v>
      </c>
      <c r="D39" s="57" t="s">
        <v>279</v>
      </c>
      <c r="E39" t="str">
        <f t="shared" si="0"/>
        <v>TRPL4%7C</v>
      </c>
      <c r="H39" s="59" t="s">
        <v>155</v>
      </c>
    </row>
    <row r="40" spans="1:8" ht="14.85" customHeight="1">
      <c r="A40" s="58" t="s">
        <v>31</v>
      </c>
      <c r="B40" s="58" t="s">
        <v>285</v>
      </c>
      <c r="C40" s="58" t="s">
        <v>157</v>
      </c>
      <c r="D40" s="58" t="s">
        <v>280</v>
      </c>
      <c r="E40" t="str">
        <f t="shared" si="0"/>
        <v>VALE3%7C</v>
      </c>
    </row>
    <row r="41" spans="1:8" ht="14.85" customHeight="1">
      <c r="A41" s="57" t="s">
        <v>19</v>
      </c>
      <c r="B41" s="57" t="s">
        <v>158</v>
      </c>
      <c r="C41" s="57" t="s">
        <v>159</v>
      </c>
      <c r="D41" s="57" t="s">
        <v>47</v>
      </c>
      <c r="E41" t="str">
        <f t="shared" si="0"/>
        <v>VISC11%7C</v>
      </c>
    </row>
    <row r="42" spans="1:8" ht="14.85" customHeight="1">
      <c r="A42" s="58" t="s">
        <v>23</v>
      </c>
      <c r="B42" s="58" t="s">
        <v>284</v>
      </c>
      <c r="C42" s="58" t="s">
        <v>160</v>
      </c>
      <c r="D42" s="58" t="s">
        <v>278</v>
      </c>
      <c r="E42" t="str">
        <f t="shared" si="0"/>
        <v>VLID3%7C</v>
      </c>
    </row>
    <row r="43" spans="1:8" ht="14.85" customHeight="1">
      <c r="A43" s="57" t="s">
        <v>36</v>
      </c>
      <c r="B43" s="57" t="s">
        <v>161</v>
      </c>
      <c r="C43" s="57" t="s">
        <v>162</v>
      </c>
      <c r="D43" s="57" t="s">
        <v>278</v>
      </c>
      <c r="E43" t="str">
        <f t="shared" si="0"/>
        <v>VVAR3%7C</v>
      </c>
      <c r="F43" s="18"/>
      <c r="G43" t="s">
        <v>163</v>
      </c>
    </row>
    <row r="44" spans="1:8" ht="14.85" customHeight="1">
      <c r="A44" s="58" t="s">
        <v>18</v>
      </c>
      <c r="B44" s="58" t="s">
        <v>164</v>
      </c>
      <c r="C44" s="58" t="s">
        <v>165</v>
      </c>
      <c r="D44" s="58" t="s">
        <v>47</v>
      </c>
      <c r="E44" t="str">
        <f t="shared" si="0"/>
        <v>XPLG11%7C</v>
      </c>
      <c r="G44" s="18"/>
    </row>
    <row r="45" spans="1:8" ht="14.85" customHeight="1">
      <c r="A45" s="57"/>
      <c r="B45" s="57"/>
      <c r="C45" s="57"/>
      <c r="D45" s="57"/>
    </row>
    <row r="46" spans="1:8" ht="14.85" customHeight="1"/>
    <row r="47" spans="1:8" ht="14.85" customHeight="1"/>
    <row r="48" spans="1:8" ht="14.85" customHeight="1"/>
    <row r="49" ht="14.85" customHeight="1"/>
    <row r="50" ht="14.85" customHeight="1"/>
    <row r="51" ht="14.85" customHeight="1"/>
  </sheetData>
  <autoFilter ref="A6:C25"/>
  <hyperlinks>
    <hyperlink ref="H5" r:id="rId1"/>
    <hyperlink ref="H14" r:id="rId2"/>
    <hyperlink ref="H23" r:id="rId3"/>
    <hyperlink ref="H28" r:id="rId4"/>
    <hyperlink ref="H29" r:id="rId5"/>
    <hyperlink ref="H35" r:id="rId6"/>
    <hyperlink ref="H39" r:id="rId7"/>
  </hyperlinks>
  <pageMargins left="0.40416666666666701" right="0.55208333333333304" top="1.05277777777778" bottom="1.05277777777778" header="0.78749999999999998" footer="0.78749999999999998"/>
  <pageSetup paperSize="9" firstPageNumber="0" orientation="portrait" horizontalDpi="300" verticalDpi="300" r:id="rId8"/>
  <headerFooter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X100"/>
  <sheetViews>
    <sheetView topLeftCell="A57" zoomScale="90" zoomScaleNormal="90" workbookViewId="0">
      <selection activeCell="D74" sqref="D74"/>
    </sheetView>
  </sheetViews>
  <sheetFormatPr defaultRowHeight="12.75"/>
  <cols>
    <col min="1" max="1" width="11" customWidth="1"/>
    <col min="2" max="2" width="36.42578125" customWidth="1"/>
    <col min="3" max="6" width="11" customWidth="1"/>
    <col min="7" max="7" width="10.7109375" customWidth="1"/>
    <col min="8" max="14" width="11" customWidth="1"/>
    <col min="15" max="15" width="11.28515625" customWidth="1"/>
    <col min="16" max="16" width="8.5703125" customWidth="1"/>
    <col min="17" max="17" width="8.140625" customWidth="1"/>
    <col min="18" max="1025" width="11" customWidth="1"/>
  </cols>
  <sheetData>
    <row r="2" spans="1:23" ht="12.75" customHeight="1">
      <c r="F2" t="s">
        <v>166</v>
      </c>
      <c r="G2" s="19">
        <f ca="1">NOW()</f>
        <v>43930.517007175928</v>
      </c>
      <c r="H2" s="60" t="s">
        <v>167</v>
      </c>
      <c r="I2" s="61">
        <f ca="1">NOW()</f>
        <v>43930.517007175928</v>
      </c>
      <c r="M2" t="s">
        <v>43</v>
      </c>
      <c r="N2" t="s">
        <v>39</v>
      </c>
      <c r="P2" t="s">
        <v>50</v>
      </c>
      <c r="Q2" t="s">
        <v>38</v>
      </c>
    </row>
    <row r="3" spans="1:23" ht="12.75" customHeight="1">
      <c r="M3" t="s">
        <v>17</v>
      </c>
      <c r="N3" t="s">
        <v>25</v>
      </c>
      <c r="P3" t="s">
        <v>168</v>
      </c>
      <c r="Q3" t="s">
        <v>169</v>
      </c>
    </row>
    <row r="4" spans="1:23" ht="12.75" customHeight="1">
      <c r="H4" t="str">
        <f ca="1">TEXT(G2,"HH")</f>
        <v>12</v>
      </c>
      <c r="M4" t="s">
        <v>32</v>
      </c>
      <c r="N4" t="s">
        <v>37</v>
      </c>
      <c r="P4" t="s">
        <v>170</v>
      </c>
      <c r="Q4" t="s">
        <v>42</v>
      </c>
    </row>
    <row r="5" spans="1:23" ht="12.75" customHeight="1">
      <c r="F5" t="s">
        <v>171</v>
      </c>
      <c r="G5" s="59" t="s">
        <v>172</v>
      </c>
      <c r="N5" t="s">
        <v>16</v>
      </c>
      <c r="P5" t="s">
        <v>79</v>
      </c>
      <c r="Q5" t="s">
        <v>22</v>
      </c>
    </row>
    <row r="6" spans="1:23" ht="12.75" customHeight="1">
      <c r="F6" t="s">
        <v>173</v>
      </c>
      <c r="G6" t="str">
        <f ca="1">CONCATENATE("cotacao_",TEXT(G2,"AAAAMMDD"),"-",TEXT(G2,"HH"),"00.xml")</f>
        <v>cotacao_20200409-1200.xml</v>
      </c>
      <c r="N6" t="s">
        <v>53</v>
      </c>
    </row>
    <row r="8" spans="1:23" ht="12.75" customHeight="1">
      <c r="A8" t="s">
        <v>174</v>
      </c>
    </row>
    <row r="10" spans="1:23" ht="14.65" customHeight="1">
      <c r="A10" s="5"/>
      <c r="B10" s="5"/>
      <c r="C10" s="5"/>
      <c r="D10" s="5"/>
      <c r="E10" s="5"/>
      <c r="F10" s="5"/>
      <c r="G10" s="3" t="s">
        <v>175</v>
      </c>
      <c r="H10" s="3"/>
      <c r="I10" s="3"/>
      <c r="J10" s="3"/>
      <c r="K10" s="3" t="s">
        <v>1</v>
      </c>
      <c r="L10" s="3"/>
      <c r="M10" s="3"/>
      <c r="N10" s="3"/>
    </row>
    <row r="11" spans="1:23" ht="14.65" customHeight="1">
      <c r="A11" s="7" t="s">
        <v>4</v>
      </c>
      <c r="B11" s="7" t="s">
        <v>5</v>
      </c>
      <c r="C11" s="7" t="s">
        <v>69</v>
      </c>
      <c r="D11" s="7" t="s">
        <v>7</v>
      </c>
      <c r="E11" s="7" t="s">
        <v>8</v>
      </c>
      <c r="F11" s="7" t="s">
        <v>9</v>
      </c>
      <c r="G11" s="7" t="s">
        <v>6</v>
      </c>
      <c r="H11" s="7" t="s">
        <v>8</v>
      </c>
      <c r="I11" s="7" t="s">
        <v>12</v>
      </c>
      <c r="J11" s="10" t="s">
        <v>13</v>
      </c>
      <c r="K11" s="10" t="s">
        <v>8</v>
      </c>
      <c r="L11" s="10" t="s">
        <v>11</v>
      </c>
      <c r="M11" s="10" t="s">
        <v>14</v>
      </c>
      <c r="N11" s="10" t="s">
        <v>13</v>
      </c>
    </row>
    <row r="12" spans="1:23" ht="14.65" customHeight="1">
      <c r="A12" t="s">
        <v>15</v>
      </c>
      <c r="B12" t="s">
        <v>176</v>
      </c>
      <c r="C12" s="19">
        <v>43257</v>
      </c>
      <c r="D12">
        <v>300</v>
      </c>
      <c r="E12" s="16">
        <v>16.7</v>
      </c>
      <c r="F12" s="16">
        <f t="shared" ref="F12:F22" si="0">D12*E12</f>
        <v>5010</v>
      </c>
      <c r="G12" s="33">
        <f ca="1">G2</f>
        <v>43930.517007175928</v>
      </c>
      <c r="H12">
        <v>27</v>
      </c>
      <c r="I12" s="16">
        <f t="shared" ref="I12:I20" si="1">D12*H12-F12</f>
        <v>3090</v>
      </c>
      <c r="J12" s="17">
        <f t="shared" ref="J12:J20" si="2">I12/F12</f>
        <v>0.61676646706586824</v>
      </c>
      <c r="K12" s="39">
        <v>30</v>
      </c>
      <c r="L12" s="16">
        <f t="shared" ref="L12:L20" si="3">K12*D12</f>
        <v>9000</v>
      </c>
      <c r="M12" s="16">
        <f t="shared" ref="M12:M20" si="4">L12-F12</f>
        <v>3990</v>
      </c>
      <c r="N12" s="17">
        <f t="shared" ref="N12:N20" si="5">M12/F12</f>
        <v>0.79640718562874246</v>
      </c>
      <c r="T12" s="16"/>
    </row>
    <row r="13" spans="1:23" ht="14.65" customHeight="1">
      <c r="A13" s="11" t="s">
        <v>16</v>
      </c>
      <c r="B13" t="s">
        <v>177</v>
      </c>
      <c r="C13" s="19">
        <v>43412</v>
      </c>
      <c r="D13">
        <f>400+200</f>
        <v>600</v>
      </c>
      <c r="E13" s="16">
        <v>11</v>
      </c>
      <c r="F13" s="16">
        <f t="shared" si="0"/>
        <v>6600</v>
      </c>
      <c r="G13" s="62">
        <f ca="1">G2</f>
        <v>43930.517007175928</v>
      </c>
      <c r="H13">
        <v>9.8000000000000007</v>
      </c>
      <c r="I13" s="16">
        <f t="shared" si="1"/>
        <v>-720</v>
      </c>
      <c r="J13" s="17">
        <f t="shared" si="2"/>
        <v>-0.10909090909090909</v>
      </c>
      <c r="K13" s="11">
        <v>12.3</v>
      </c>
      <c r="L13" s="16">
        <f t="shared" si="3"/>
        <v>7380</v>
      </c>
      <c r="M13" s="16">
        <f t="shared" si="4"/>
        <v>780</v>
      </c>
      <c r="N13" s="63">
        <f t="shared" si="5"/>
        <v>0.11818181818181818</v>
      </c>
      <c r="P13">
        <v>400</v>
      </c>
      <c r="Q13" s="16">
        <v>11.2</v>
      </c>
      <c r="R13">
        <v>200</v>
      </c>
      <c r="S13">
        <v>10.6</v>
      </c>
      <c r="T13">
        <f>((P13*Q13)+(R13*S13))/600</f>
        <v>11</v>
      </c>
      <c r="W13" s="17"/>
    </row>
    <row r="14" spans="1:23" ht="14.65" customHeight="1">
      <c r="A14" t="s">
        <v>17</v>
      </c>
      <c r="B14" t="s">
        <v>178</v>
      </c>
      <c r="C14" s="19">
        <v>43425</v>
      </c>
      <c r="D14">
        <f>800+2200</f>
        <v>3000</v>
      </c>
      <c r="E14" s="16">
        <f>T14/D14</f>
        <v>1.38</v>
      </c>
      <c r="F14" s="16">
        <f t="shared" si="0"/>
        <v>4140</v>
      </c>
      <c r="G14" s="62">
        <f ca="1">G2</f>
        <v>43930.517007175928</v>
      </c>
      <c r="H14">
        <v>1.8</v>
      </c>
      <c r="I14" s="16">
        <f t="shared" si="1"/>
        <v>1260</v>
      </c>
      <c r="J14" s="17">
        <f t="shared" si="2"/>
        <v>0.30434782608695654</v>
      </c>
      <c r="K14" s="11">
        <v>2</v>
      </c>
      <c r="L14" s="16">
        <f t="shared" si="3"/>
        <v>6000</v>
      </c>
      <c r="M14" s="16">
        <f t="shared" si="4"/>
        <v>1860</v>
      </c>
      <c r="N14" s="63">
        <f t="shared" si="5"/>
        <v>0.44927536231884058</v>
      </c>
      <c r="P14">
        <v>800</v>
      </c>
      <c r="Q14">
        <v>1.71</v>
      </c>
      <c r="R14">
        <v>2200</v>
      </c>
      <c r="S14">
        <v>1.26</v>
      </c>
      <c r="T14">
        <f>P14*Q14+R14*S14</f>
        <v>4140</v>
      </c>
      <c r="W14" s="17"/>
    </row>
    <row r="15" spans="1:23" ht="14.65" customHeight="1">
      <c r="A15" t="s">
        <v>22</v>
      </c>
      <c r="B15" t="s">
        <v>179</v>
      </c>
      <c r="C15" s="19">
        <v>43453</v>
      </c>
      <c r="D15">
        <v>200</v>
      </c>
      <c r="E15" s="16">
        <v>15.78</v>
      </c>
      <c r="F15" s="16">
        <f t="shared" si="0"/>
        <v>3156</v>
      </c>
      <c r="G15" s="33">
        <f ca="1">G2</f>
        <v>43930.517007175928</v>
      </c>
      <c r="H15" s="11">
        <v>16.649999999999999</v>
      </c>
      <c r="I15" s="16">
        <f t="shared" si="1"/>
        <v>173.99999999999955</v>
      </c>
      <c r="J15" s="17">
        <f t="shared" si="2"/>
        <v>5.5133079847908599E-2</v>
      </c>
      <c r="K15" s="11">
        <v>19</v>
      </c>
      <c r="L15" s="16">
        <f t="shared" si="3"/>
        <v>3800</v>
      </c>
      <c r="M15" s="16">
        <f t="shared" si="4"/>
        <v>644</v>
      </c>
      <c r="N15" s="63">
        <f t="shared" si="5"/>
        <v>0.20405576679340937</v>
      </c>
    </row>
    <row r="16" spans="1:23" ht="14.65" customHeight="1">
      <c r="A16" t="s">
        <v>18</v>
      </c>
      <c r="B16" s="64" t="s">
        <v>164</v>
      </c>
      <c r="C16" s="19">
        <v>43493</v>
      </c>
      <c r="D16">
        <v>1</v>
      </c>
      <c r="E16" s="16">
        <v>101.4</v>
      </c>
      <c r="F16" s="16">
        <f t="shared" si="0"/>
        <v>101.4</v>
      </c>
      <c r="G16" s="33">
        <f ca="1">G2</f>
        <v>43930.517007175928</v>
      </c>
      <c r="H16" s="11">
        <v>102</v>
      </c>
      <c r="I16" s="16">
        <f t="shared" si="1"/>
        <v>0.59999999999999432</v>
      </c>
      <c r="J16" s="17">
        <f t="shared" si="2"/>
        <v>5.917159763313553E-3</v>
      </c>
      <c r="K16" s="11">
        <v>103</v>
      </c>
      <c r="L16" s="16">
        <f t="shared" si="3"/>
        <v>103</v>
      </c>
      <c r="M16" s="16">
        <f t="shared" si="4"/>
        <v>1.5999999999999943</v>
      </c>
      <c r="N16" s="63">
        <f t="shared" si="5"/>
        <v>1.5779092702169567E-2</v>
      </c>
      <c r="Q16" s="65"/>
    </row>
    <row r="17" spans="1:24" ht="14.65" customHeight="1">
      <c r="A17" t="s">
        <v>19</v>
      </c>
      <c r="B17" s="66" t="s">
        <v>158</v>
      </c>
      <c r="C17" s="19">
        <v>43493</v>
      </c>
      <c r="D17">
        <v>1</v>
      </c>
      <c r="E17" s="16">
        <v>105.65</v>
      </c>
      <c r="F17" s="16">
        <f t="shared" si="0"/>
        <v>105.65</v>
      </c>
      <c r="G17" s="33">
        <f ca="1">G2</f>
        <v>43930.517007175928</v>
      </c>
      <c r="H17" s="11">
        <v>108.5</v>
      </c>
      <c r="I17" s="16">
        <f t="shared" si="1"/>
        <v>2.8499999999999943</v>
      </c>
      <c r="J17" s="17">
        <f t="shared" si="2"/>
        <v>2.697586370089914E-2</v>
      </c>
      <c r="K17" s="11">
        <v>108</v>
      </c>
      <c r="L17" s="16">
        <f t="shared" si="3"/>
        <v>108</v>
      </c>
      <c r="M17" s="16">
        <f t="shared" si="4"/>
        <v>2.3499999999999943</v>
      </c>
      <c r="N17" s="63">
        <f t="shared" si="5"/>
        <v>2.2243256034074722E-2</v>
      </c>
      <c r="Q17" s="65"/>
    </row>
    <row r="18" spans="1:24" ht="14.65" customHeight="1">
      <c r="A18" t="s">
        <v>21</v>
      </c>
      <c r="B18" t="s">
        <v>180</v>
      </c>
      <c r="C18" s="19">
        <v>43497</v>
      </c>
      <c r="D18">
        <v>100</v>
      </c>
      <c r="E18" s="16">
        <v>19.2</v>
      </c>
      <c r="F18" s="16">
        <f t="shared" si="0"/>
        <v>1920</v>
      </c>
      <c r="G18" s="33">
        <f ca="1">G2</f>
        <v>43930.517007175928</v>
      </c>
      <c r="H18" s="11">
        <v>18.75</v>
      </c>
      <c r="I18" s="16">
        <f t="shared" si="1"/>
        <v>-45</v>
      </c>
      <c r="J18" s="17">
        <f t="shared" si="2"/>
        <v>-2.34375E-2</v>
      </c>
      <c r="K18" s="11">
        <v>21.2</v>
      </c>
      <c r="L18" s="16">
        <f t="shared" si="3"/>
        <v>2120</v>
      </c>
      <c r="M18" s="16">
        <f t="shared" si="4"/>
        <v>200</v>
      </c>
      <c r="N18" s="63">
        <f t="shared" si="5"/>
        <v>0.10416666666666667</v>
      </c>
      <c r="Q18" s="65"/>
    </row>
    <row r="19" spans="1:24" ht="14.65" customHeight="1">
      <c r="A19" t="s">
        <v>31</v>
      </c>
      <c r="B19" t="s">
        <v>156</v>
      </c>
      <c r="C19" s="19">
        <v>43496</v>
      </c>
      <c r="D19">
        <v>100</v>
      </c>
      <c r="E19" s="16">
        <v>47.21</v>
      </c>
      <c r="F19" s="16">
        <f t="shared" si="0"/>
        <v>4721</v>
      </c>
      <c r="G19" s="33">
        <f ca="1">G2</f>
        <v>43930.517007175928</v>
      </c>
      <c r="H19" s="11">
        <v>49.7</v>
      </c>
      <c r="I19" s="16">
        <f t="shared" si="1"/>
        <v>249</v>
      </c>
      <c r="J19" s="17">
        <f t="shared" si="2"/>
        <v>5.2743062910400339E-2</v>
      </c>
      <c r="K19" s="11">
        <v>52</v>
      </c>
      <c r="L19" s="16">
        <f t="shared" si="3"/>
        <v>5200</v>
      </c>
      <c r="M19" s="16">
        <f t="shared" si="4"/>
        <v>479</v>
      </c>
      <c r="N19" s="63">
        <f t="shared" si="5"/>
        <v>0.10146155475534845</v>
      </c>
      <c r="Q19" s="65"/>
    </row>
    <row r="20" spans="1:24" ht="14.65" customHeight="1">
      <c r="A20" t="s">
        <v>42</v>
      </c>
      <c r="B20" t="s">
        <v>181</v>
      </c>
      <c r="C20" s="19">
        <v>43528</v>
      </c>
      <c r="D20">
        <v>100</v>
      </c>
      <c r="E20" s="16">
        <v>26.6</v>
      </c>
      <c r="F20" s="16">
        <f t="shared" si="0"/>
        <v>2660</v>
      </c>
      <c r="G20" s="33">
        <f ca="1">G2</f>
        <v>43930.517007175928</v>
      </c>
      <c r="H20" s="11">
        <v>25.85</v>
      </c>
      <c r="I20" s="16">
        <f t="shared" si="1"/>
        <v>-75</v>
      </c>
      <c r="J20" s="17">
        <f t="shared" si="2"/>
        <v>-2.819548872180451E-2</v>
      </c>
      <c r="K20" s="11">
        <v>29.6</v>
      </c>
      <c r="L20" s="16">
        <f t="shared" si="3"/>
        <v>2960</v>
      </c>
      <c r="M20" s="16">
        <f t="shared" si="4"/>
        <v>300</v>
      </c>
      <c r="N20" s="63">
        <f t="shared" si="5"/>
        <v>0.11278195488721804</v>
      </c>
      <c r="Q20" s="65"/>
    </row>
    <row r="21" spans="1:24" ht="14.65" customHeight="1">
      <c r="A21" t="s">
        <v>32</v>
      </c>
      <c r="B21" t="s">
        <v>182</v>
      </c>
      <c r="C21" s="19">
        <v>43370</v>
      </c>
      <c r="D21">
        <v>300</v>
      </c>
      <c r="E21" s="16">
        <v>0</v>
      </c>
      <c r="F21" s="16">
        <f t="shared" si="0"/>
        <v>0</v>
      </c>
      <c r="G21" s="33"/>
      <c r="H21" s="11">
        <v>0</v>
      </c>
      <c r="I21" s="16"/>
      <c r="J21" s="17"/>
      <c r="K21" s="11"/>
      <c r="L21" s="16"/>
      <c r="M21" s="16"/>
      <c r="N21" s="63"/>
      <c r="Q21" s="65"/>
    </row>
    <row r="22" spans="1:24" ht="14.65" customHeight="1">
      <c r="A22" t="s">
        <v>183</v>
      </c>
      <c r="B22" t="s">
        <v>184</v>
      </c>
      <c r="C22" s="33">
        <v>43472</v>
      </c>
      <c r="D22">
        <v>100</v>
      </c>
      <c r="E22">
        <v>11.5</v>
      </c>
      <c r="F22" s="16">
        <f t="shared" si="0"/>
        <v>1150</v>
      </c>
      <c r="G22" s="33"/>
      <c r="H22">
        <v>13.52</v>
      </c>
      <c r="I22" s="16">
        <f>D22*H22-F22</f>
        <v>202</v>
      </c>
      <c r="J22" s="17">
        <f>I22/F22</f>
        <v>0.17565217391304347</v>
      </c>
      <c r="L22" s="16"/>
      <c r="M22" s="16"/>
      <c r="N22" s="17"/>
    </row>
    <row r="23" spans="1:24" ht="14.65" customHeight="1">
      <c r="A23" t="s">
        <v>30</v>
      </c>
      <c r="C23" s="33"/>
      <c r="E23">
        <v>21</v>
      </c>
      <c r="F23" s="16"/>
      <c r="G23" s="33"/>
      <c r="I23" s="16"/>
      <c r="J23" s="17"/>
      <c r="L23" s="16"/>
      <c r="M23" s="16"/>
      <c r="N23" s="17"/>
    </row>
    <row r="24" spans="1:24" ht="14.65" customHeight="1">
      <c r="A24" t="s">
        <v>185</v>
      </c>
      <c r="C24" s="33"/>
      <c r="E24">
        <v>5.3</v>
      </c>
      <c r="F24" s="16"/>
      <c r="G24" s="33"/>
      <c r="I24" s="16"/>
      <c r="J24" s="17"/>
      <c r="L24" s="16"/>
      <c r="M24" s="16"/>
      <c r="N24" s="17"/>
    </row>
    <row r="25" spans="1:24" ht="14.65" customHeight="1">
      <c r="A25" t="s">
        <v>36</v>
      </c>
      <c r="C25" s="33"/>
      <c r="E25">
        <v>4.8</v>
      </c>
      <c r="F25" s="16"/>
      <c r="G25" s="33"/>
      <c r="I25" s="16"/>
      <c r="J25" s="17"/>
      <c r="L25" s="16"/>
      <c r="M25" s="16"/>
      <c r="N25" s="17"/>
    </row>
    <row r="26" spans="1:24" ht="14.65" customHeight="1">
      <c r="C26" s="19"/>
      <c r="E26" s="16"/>
      <c r="F26" s="16"/>
      <c r="G26" s="33"/>
      <c r="J26" s="17"/>
      <c r="L26" s="16"/>
      <c r="M26" s="16"/>
      <c r="N26" s="17"/>
    </row>
    <row r="27" spans="1:24" ht="14.65" customHeight="1">
      <c r="A27" s="2" t="s">
        <v>45</v>
      </c>
      <c r="B27" s="2"/>
      <c r="C27" s="2"/>
      <c r="D27" s="26"/>
      <c r="E27" s="26"/>
      <c r="F27" s="27">
        <f>SUM(F12:F20)</f>
        <v>28414.050000000003</v>
      </c>
      <c r="G27" s="26"/>
      <c r="H27" s="26"/>
      <c r="I27" s="27">
        <f>SUM(I12:I20)</f>
        <v>3936.4499999999994</v>
      </c>
      <c r="J27" s="28">
        <f>I27/F27</f>
        <v>0.13853885665718188</v>
      </c>
      <c r="K27" s="26"/>
      <c r="L27" s="27">
        <f>SUM(L12:L20)</f>
        <v>36671</v>
      </c>
      <c r="M27" s="27">
        <f>SUM(M12:M20)</f>
        <v>8256.9500000000007</v>
      </c>
      <c r="N27" s="67">
        <f>M27/F27</f>
        <v>0.29059391392638501</v>
      </c>
    </row>
    <row r="29" spans="1:24" ht="14.65" customHeight="1"/>
    <row r="30" spans="1:24" ht="14.65" customHeight="1">
      <c r="A30" s="5"/>
      <c r="B30" s="5"/>
      <c r="C30" s="3" t="s">
        <v>0</v>
      </c>
      <c r="D30" s="3"/>
      <c r="E30" s="3"/>
      <c r="F30" s="3"/>
      <c r="G30" s="3" t="s">
        <v>1</v>
      </c>
      <c r="H30" s="3"/>
      <c r="I30" s="3"/>
      <c r="J30" s="3"/>
      <c r="K30" s="3"/>
      <c r="L30" s="3" t="s">
        <v>2</v>
      </c>
      <c r="M30" s="3"/>
      <c r="N30" s="3"/>
      <c r="O30" s="3"/>
      <c r="U30" t="s">
        <v>186</v>
      </c>
      <c r="W30" t="s">
        <v>187</v>
      </c>
    </row>
    <row r="31" spans="1:24" ht="14.65" customHeight="1">
      <c r="A31" s="7" t="s">
        <v>4</v>
      </c>
      <c r="B31" s="7" t="s">
        <v>5</v>
      </c>
      <c r="C31" s="7" t="s">
        <v>69</v>
      </c>
      <c r="D31" s="7" t="s">
        <v>7</v>
      </c>
      <c r="E31" s="7" t="s">
        <v>8</v>
      </c>
      <c r="F31" s="7" t="s">
        <v>9</v>
      </c>
      <c r="G31" s="7" t="s">
        <v>6</v>
      </c>
      <c r="H31" s="7" t="s">
        <v>8</v>
      </c>
      <c r="I31" s="7" t="s">
        <v>11</v>
      </c>
      <c r="J31" s="7" t="s">
        <v>12</v>
      </c>
      <c r="K31" s="10" t="s">
        <v>13</v>
      </c>
      <c r="L31" s="10" t="s">
        <v>8</v>
      </c>
      <c r="M31" s="10" t="s">
        <v>11</v>
      </c>
      <c r="N31" s="10" t="s">
        <v>14</v>
      </c>
      <c r="O31" s="10" t="s">
        <v>13</v>
      </c>
      <c r="S31">
        <v>3.65</v>
      </c>
      <c r="T31" t="s">
        <v>188</v>
      </c>
      <c r="U31">
        <v>2</v>
      </c>
      <c r="V31">
        <f>U31*S31</f>
        <v>7.3</v>
      </c>
      <c r="W31">
        <v>2</v>
      </c>
      <c r="X31">
        <f>W31*S31</f>
        <v>7.3</v>
      </c>
    </row>
    <row r="32" spans="1:24" ht="14.65" customHeight="1">
      <c r="A32" s="68" t="s">
        <v>37</v>
      </c>
      <c r="B32" s="68" t="s">
        <v>147</v>
      </c>
      <c r="C32" s="69">
        <v>43325</v>
      </c>
      <c r="D32" s="68">
        <v>100</v>
      </c>
      <c r="E32" s="70">
        <v>12.15</v>
      </c>
      <c r="F32" s="70">
        <f t="shared" ref="F32:F39" si="6">D32*E32</f>
        <v>1215</v>
      </c>
      <c r="G32" s="71">
        <v>43369</v>
      </c>
      <c r="H32" s="68">
        <v>12.83</v>
      </c>
      <c r="I32" s="70">
        <f>D32*H32-4</f>
        <v>1279</v>
      </c>
      <c r="J32" s="70">
        <f t="shared" ref="J32:J39" si="7">D32*H32-F32</f>
        <v>68</v>
      </c>
      <c r="K32" s="72">
        <f t="shared" ref="K32:K39" si="8">J32/F32</f>
        <v>5.5967078189300412E-2</v>
      </c>
      <c r="L32" s="73">
        <v>13.25</v>
      </c>
      <c r="M32" s="73">
        <f t="shared" ref="M32:M39" si="9">L32*D32</f>
        <v>1325</v>
      </c>
      <c r="N32" s="73">
        <f t="shared" ref="N32:N39" si="10">M32-F32</f>
        <v>110</v>
      </c>
      <c r="O32" s="74">
        <f t="shared" ref="O32:O39" si="11">N32/F32</f>
        <v>9.0534979423868317E-2</v>
      </c>
      <c r="S32">
        <v>33</v>
      </c>
      <c r="T32" t="s">
        <v>189</v>
      </c>
      <c r="U32">
        <v>2</v>
      </c>
      <c r="V32">
        <f>U32*S32</f>
        <v>66</v>
      </c>
      <c r="W32">
        <v>2</v>
      </c>
      <c r="X32">
        <f>W32*S32</f>
        <v>66</v>
      </c>
    </row>
    <row r="33" spans="1:24" ht="14.65" customHeight="1">
      <c r="A33" s="68" t="s">
        <v>38</v>
      </c>
      <c r="B33" s="68" t="s">
        <v>83</v>
      </c>
      <c r="C33" s="69">
        <v>43332</v>
      </c>
      <c r="D33" s="68">
        <v>100</v>
      </c>
      <c r="E33" s="70">
        <v>25</v>
      </c>
      <c r="F33" s="70">
        <f t="shared" si="6"/>
        <v>2500</v>
      </c>
      <c r="G33" s="71">
        <v>43376</v>
      </c>
      <c r="H33" s="70">
        <v>28.9</v>
      </c>
      <c r="I33" s="70">
        <f>H33*D33-8.15</f>
        <v>2881.85</v>
      </c>
      <c r="J33" s="70">
        <f t="shared" si="7"/>
        <v>390</v>
      </c>
      <c r="K33" s="72">
        <f t="shared" si="8"/>
        <v>0.156</v>
      </c>
      <c r="L33" s="73">
        <v>29.4</v>
      </c>
      <c r="M33" s="73">
        <f t="shared" si="9"/>
        <v>2940</v>
      </c>
      <c r="N33" s="73">
        <f t="shared" si="10"/>
        <v>440</v>
      </c>
      <c r="O33" s="74">
        <f t="shared" si="11"/>
        <v>0.17599999999999999</v>
      </c>
      <c r="R33" s="11"/>
      <c r="S33">
        <v>4</v>
      </c>
      <c r="T33" t="s">
        <v>190</v>
      </c>
      <c r="U33">
        <v>2</v>
      </c>
      <c r="V33">
        <f>U33*S33</f>
        <v>8</v>
      </c>
      <c r="W33">
        <v>2</v>
      </c>
      <c r="X33">
        <f>W33*S33</f>
        <v>8</v>
      </c>
    </row>
    <row r="34" spans="1:24" ht="14.65" customHeight="1">
      <c r="A34" s="68" t="s">
        <v>39</v>
      </c>
      <c r="B34" s="68" t="s">
        <v>130</v>
      </c>
      <c r="C34" s="69">
        <v>43333</v>
      </c>
      <c r="D34" s="68">
        <v>300</v>
      </c>
      <c r="E34" s="70">
        <v>9.5</v>
      </c>
      <c r="F34" s="70">
        <f t="shared" si="6"/>
        <v>2850</v>
      </c>
      <c r="G34" s="71">
        <v>43381</v>
      </c>
      <c r="H34" s="70">
        <v>11.09</v>
      </c>
      <c r="I34" s="70">
        <f t="shared" ref="I34:I39" si="12">H34*D34-8.75</f>
        <v>3318.25</v>
      </c>
      <c r="J34" s="70">
        <f t="shared" si="7"/>
        <v>477</v>
      </c>
      <c r="K34" s="72">
        <f t="shared" si="8"/>
        <v>0.16736842105263158</v>
      </c>
      <c r="L34" s="73">
        <v>10.5</v>
      </c>
      <c r="M34" s="73">
        <f t="shared" si="9"/>
        <v>3150</v>
      </c>
      <c r="N34" s="73">
        <f t="shared" si="10"/>
        <v>300</v>
      </c>
      <c r="O34" s="74">
        <f t="shared" si="11"/>
        <v>0.10526315789473684</v>
      </c>
      <c r="V34">
        <f>SUM(V31:V33)</f>
        <v>81.3</v>
      </c>
      <c r="X34">
        <f>SUM(X31:X33)</f>
        <v>81.3</v>
      </c>
    </row>
    <row r="35" spans="1:24" ht="14.65" customHeight="1">
      <c r="A35" s="68" t="s">
        <v>40</v>
      </c>
      <c r="B35" s="68" t="s">
        <v>103</v>
      </c>
      <c r="C35" s="69">
        <v>43356</v>
      </c>
      <c r="D35" s="68">
        <v>400</v>
      </c>
      <c r="E35" s="70">
        <v>6.3875000000000002</v>
      </c>
      <c r="F35" s="70">
        <f t="shared" si="6"/>
        <v>2555</v>
      </c>
      <c r="G35" s="71">
        <v>43381</v>
      </c>
      <c r="H35" s="70">
        <v>9.41</v>
      </c>
      <c r="I35" s="70">
        <f t="shared" si="12"/>
        <v>3755.25</v>
      </c>
      <c r="J35" s="70">
        <f t="shared" si="7"/>
        <v>1209</v>
      </c>
      <c r="K35" s="72">
        <f t="shared" si="8"/>
        <v>0.47318982387475539</v>
      </c>
      <c r="L35" s="73">
        <v>8.8000000000000007</v>
      </c>
      <c r="M35" s="73">
        <f t="shared" si="9"/>
        <v>3520.0000000000005</v>
      </c>
      <c r="N35" s="73">
        <f t="shared" si="10"/>
        <v>965.00000000000045</v>
      </c>
      <c r="O35" s="74">
        <f t="shared" si="11"/>
        <v>0.3776908023483368</v>
      </c>
      <c r="R35" s="16"/>
      <c r="T35" t="s">
        <v>191</v>
      </c>
      <c r="U35">
        <f>V34+X34</f>
        <v>162.6</v>
      </c>
    </row>
    <row r="36" spans="1:24" ht="14.65" customHeight="1">
      <c r="A36" s="68" t="s">
        <v>16</v>
      </c>
      <c r="B36" s="68" t="s">
        <v>101</v>
      </c>
      <c r="C36" s="69">
        <v>43361</v>
      </c>
      <c r="D36" s="68">
        <v>400</v>
      </c>
      <c r="E36" s="70">
        <v>12.81</v>
      </c>
      <c r="F36" s="70">
        <f t="shared" si="6"/>
        <v>5124</v>
      </c>
      <c r="G36" s="71">
        <v>43404</v>
      </c>
      <c r="H36" s="70">
        <v>13.35</v>
      </c>
      <c r="I36" s="70">
        <f t="shared" si="12"/>
        <v>5331.25</v>
      </c>
      <c r="J36" s="70">
        <f t="shared" si="7"/>
        <v>216</v>
      </c>
      <c r="K36" s="72">
        <f t="shared" si="8"/>
        <v>4.2154566744730677E-2</v>
      </c>
      <c r="L36" s="73">
        <v>12.9</v>
      </c>
      <c r="M36" s="73">
        <f t="shared" si="9"/>
        <v>5160</v>
      </c>
      <c r="N36" s="73">
        <f t="shared" si="10"/>
        <v>36</v>
      </c>
      <c r="O36" s="74">
        <f t="shared" si="11"/>
        <v>7.0257611241217799E-3</v>
      </c>
      <c r="T36" t="s">
        <v>192</v>
      </c>
      <c r="U36">
        <f>U35/5</f>
        <v>32.519999999999996</v>
      </c>
    </row>
    <row r="37" spans="1:24" ht="14.65" customHeight="1">
      <c r="A37" s="68" t="s">
        <v>21</v>
      </c>
      <c r="B37" s="68" t="s">
        <v>180</v>
      </c>
      <c r="C37" s="69">
        <v>43381</v>
      </c>
      <c r="D37" s="68">
        <v>200</v>
      </c>
      <c r="E37" s="70">
        <v>19.149999999999999</v>
      </c>
      <c r="F37" s="70">
        <f t="shared" si="6"/>
        <v>3829.9999999999995</v>
      </c>
      <c r="G37" s="71">
        <v>43411</v>
      </c>
      <c r="H37" s="70">
        <v>21.85</v>
      </c>
      <c r="I37" s="70">
        <f t="shared" si="12"/>
        <v>4361.25</v>
      </c>
      <c r="J37" s="70">
        <f t="shared" si="7"/>
        <v>540.00000000000045</v>
      </c>
      <c r="K37" s="72">
        <f t="shared" si="8"/>
        <v>0.14099216710182783</v>
      </c>
      <c r="L37" s="73">
        <v>21.5</v>
      </c>
      <c r="M37" s="73">
        <f t="shared" si="9"/>
        <v>4300</v>
      </c>
      <c r="N37" s="73">
        <f t="shared" si="10"/>
        <v>470.00000000000045</v>
      </c>
      <c r="O37" s="74">
        <f t="shared" si="11"/>
        <v>0.12271540469973903</v>
      </c>
      <c r="T37" t="s">
        <v>193</v>
      </c>
      <c r="U37">
        <f>22*U36</f>
        <v>715.43999999999994</v>
      </c>
      <c r="W37">
        <f>U35*5</f>
        <v>813</v>
      </c>
    </row>
    <row r="38" spans="1:24" ht="14.65" customHeight="1">
      <c r="A38" s="68" t="s">
        <v>41</v>
      </c>
      <c r="B38" s="68" t="s">
        <v>109</v>
      </c>
      <c r="C38" s="69">
        <v>43336</v>
      </c>
      <c r="D38" s="68">
        <v>200</v>
      </c>
      <c r="E38" s="70">
        <v>14.75</v>
      </c>
      <c r="F38" s="70">
        <f t="shared" si="6"/>
        <v>2950</v>
      </c>
      <c r="G38" s="71">
        <v>43423</v>
      </c>
      <c r="H38" s="70">
        <v>24.98</v>
      </c>
      <c r="I38" s="70">
        <f t="shared" si="12"/>
        <v>4987.25</v>
      </c>
      <c r="J38" s="70">
        <f t="shared" si="7"/>
        <v>2046</v>
      </c>
      <c r="K38" s="72">
        <f t="shared" si="8"/>
        <v>0.69355932203389825</v>
      </c>
      <c r="L38" s="73">
        <v>22.5</v>
      </c>
      <c r="M38" s="73">
        <f t="shared" si="9"/>
        <v>4500</v>
      </c>
      <c r="N38" s="73">
        <f t="shared" si="10"/>
        <v>1550</v>
      </c>
      <c r="O38" s="74">
        <f t="shared" si="11"/>
        <v>0.52542372881355937</v>
      </c>
    </row>
    <row r="39" spans="1:24" ht="14.65" customHeight="1">
      <c r="A39" s="68" t="s">
        <v>37</v>
      </c>
      <c r="B39" s="68" t="s">
        <v>147</v>
      </c>
      <c r="C39" s="69">
        <v>43403</v>
      </c>
      <c r="D39" s="68">
        <v>300</v>
      </c>
      <c r="E39" s="68">
        <v>11.78</v>
      </c>
      <c r="F39" s="70">
        <f t="shared" si="6"/>
        <v>3534</v>
      </c>
      <c r="G39" s="71">
        <v>43509</v>
      </c>
      <c r="H39" s="68">
        <v>13.01</v>
      </c>
      <c r="I39" s="70">
        <f t="shared" si="12"/>
        <v>3894.25</v>
      </c>
      <c r="J39" s="70">
        <f t="shared" si="7"/>
        <v>369</v>
      </c>
      <c r="K39" s="72">
        <f t="shared" si="8"/>
        <v>0.10441426146010187</v>
      </c>
      <c r="L39" s="73">
        <v>13</v>
      </c>
      <c r="M39" s="73">
        <f t="shared" si="9"/>
        <v>3900</v>
      </c>
      <c r="N39" s="73">
        <f t="shared" si="10"/>
        <v>366</v>
      </c>
      <c r="O39" s="74">
        <f t="shared" si="11"/>
        <v>0.1035653650254669</v>
      </c>
    </row>
    <row r="40" spans="1:24" ht="14.65" customHeight="1">
      <c r="A40" s="68"/>
      <c r="B40" s="68"/>
      <c r="C40" s="69"/>
      <c r="D40" s="68"/>
      <c r="E40" s="70"/>
      <c r="F40" s="70"/>
      <c r="G40" s="71"/>
      <c r="H40" s="70"/>
      <c r="I40" s="70"/>
      <c r="J40" s="70"/>
      <c r="K40" s="72"/>
      <c r="L40" s="73"/>
      <c r="M40" s="73"/>
      <c r="N40" s="73"/>
      <c r="O40" s="74"/>
    </row>
    <row r="41" spans="1:24" ht="14.65" customHeight="1">
      <c r="I41" s="70"/>
    </row>
    <row r="42" spans="1:24" ht="14.65" customHeight="1">
      <c r="A42" s="2" t="s">
        <v>45</v>
      </c>
      <c r="B42" s="2"/>
      <c r="C42" s="2"/>
      <c r="D42" s="26"/>
      <c r="E42" s="26"/>
      <c r="F42" s="27">
        <f>SUM(F32:F41)</f>
        <v>24558</v>
      </c>
      <c r="G42" s="26"/>
      <c r="H42" s="26"/>
      <c r="I42" s="27">
        <f>SUM(I32:I41)</f>
        <v>29808.35</v>
      </c>
      <c r="J42" s="27">
        <f>SUM(J32:J41)</f>
        <v>5315</v>
      </c>
      <c r="K42" s="28">
        <f>J42/F42</f>
        <v>0.21642641908950241</v>
      </c>
      <c r="L42" s="26"/>
      <c r="M42" s="27">
        <f>SUM(M32:M41)</f>
        <v>28795</v>
      </c>
      <c r="N42" s="27">
        <f>SUM(N32:N41)</f>
        <v>4237.0000000000009</v>
      </c>
      <c r="O42" s="28">
        <f>N42/F42</f>
        <v>0.17253033634660805</v>
      </c>
      <c r="P42" s="18"/>
    </row>
    <row r="43" spans="1:24" ht="14.65" customHeight="1">
      <c r="A43" s="75"/>
      <c r="B43" s="75"/>
      <c r="C43" s="75"/>
      <c r="D43" s="76"/>
      <c r="E43" s="76"/>
      <c r="F43" s="77"/>
      <c r="G43" s="76"/>
      <c r="H43" s="76"/>
      <c r="I43" s="77"/>
      <c r="J43" s="77"/>
      <c r="K43" s="78"/>
      <c r="L43" s="76"/>
      <c r="M43" s="77"/>
      <c r="N43" s="77"/>
      <c r="O43" s="78"/>
    </row>
    <row r="44" spans="1:24" ht="14.65" customHeight="1">
      <c r="A44" s="1" t="s">
        <v>194</v>
      </c>
      <c r="B44" s="1"/>
      <c r="C44" s="75"/>
      <c r="D44" s="76"/>
      <c r="E44" s="76"/>
      <c r="F44" s="77"/>
      <c r="G44" s="76"/>
      <c r="H44" s="76"/>
      <c r="I44" s="77"/>
      <c r="J44" s="77"/>
      <c r="K44" s="78"/>
      <c r="L44" s="76"/>
      <c r="M44" s="77"/>
      <c r="N44" s="77"/>
      <c r="O44" s="78"/>
    </row>
    <row r="45" spans="1:24" ht="14.65" customHeight="1">
      <c r="A45" s="75"/>
      <c r="B45" s="75"/>
      <c r="C45" s="75"/>
      <c r="D45" s="76"/>
      <c r="E45" s="76"/>
      <c r="F45" s="77"/>
      <c r="G45" s="76"/>
      <c r="H45" s="76"/>
      <c r="I45" s="77"/>
      <c r="J45" s="77"/>
      <c r="K45" s="78"/>
      <c r="L45" s="76"/>
      <c r="M45" s="77"/>
      <c r="N45" s="77"/>
      <c r="O45" s="78"/>
    </row>
    <row r="46" spans="1:24" ht="14.65" customHeight="1">
      <c r="A46" s="7" t="s">
        <v>4</v>
      </c>
      <c r="B46" s="7" t="s">
        <v>5</v>
      </c>
      <c r="C46" s="7" t="s">
        <v>195</v>
      </c>
      <c r="D46" s="7" t="s">
        <v>196</v>
      </c>
      <c r="E46" s="7" t="s">
        <v>197</v>
      </c>
      <c r="F46" s="7" t="s">
        <v>198</v>
      </c>
      <c r="G46" s="7" t="s">
        <v>199</v>
      </c>
      <c r="H46" s="7" t="s">
        <v>49</v>
      </c>
      <c r="I46" s="7" t="s">
        <v>200</v>
      </c>
      <c r="J46" s="7" t="s">
        <v>8</v>
      </c>
      <c r="K46" s="7" t="s">
        <v>201</v>
      </c>
      <c r="L46" s="7" t="s">
        <v>202</v>
      </c>
      <c r="M46" s="77"/>
      <c r="N46" s="77"/>
      <c r="O46" s="78"/>
    </row>
    <row r="47" spans="1:24" ht="14.65" customHeight="1">
      <c r="A47" s="79" t="s">
        <v>203</v>
      </c>
      <c r="B47" s="64" t="s">
        <v>204</v>
      </c>
      <c r="C47" s="64" t="s">
        <v>205</v>
      </c>
      <c r="D47" s="80">
        <v>40128</v>
      </c>
      <c r="E47" s="81" t="s">
        <v>206</v>
      </c>
      <c r="F47" s="82">
        <v>149.72</v>
      </c>
      <c r="G47" s="83">
        <v>0.5</v>
      </c>
      <c r="H47" s="84">
        <v>0.8</v>
      </c>
      <c r="I47" s="85">
        <v>165000</v>
      </c>
      <c r="J47" s="82">
        <v>170.2</v>
      </c>
      <c r="K47" s="86">
        <v>1.7000000000000001E-2</v>
      </c>
      <c r="L47" s="86" t="s">
        <v>207</v>
      </c>
      <c r="M47" s="76" t="str">
        <f t="shared" ref="M47:M57" si="13">CONCATENATE("https://www.fundsexplorer.com.br/funds/",A47)</f>
        <v>https://www.fundsexplorer.com.br/funds/HGJH11</v>
      </c>
      <c r="N47" s="77"/>
      <c r="O47" s="78"/>
    </row>
    <row r="48" spans="1:24" ht="14.65" customHeight="1">
      <c r="A48" s="79" t="s">
        <v>124</v>
      </c>
      <c r="B48" s="64" t="s">
        <v>125</v>
      </c>
      <c r="C48" s="64" t="s">
        <v>208</v>
      </c>
      <c r="D48" s="80">
        <v>39126</v>
      </c>
      <c r="E48" s="81" t="s">
        <v>206</v>
      </c>
      <c r="F48" s="82">
        <v>140</v>
      </c>
      <c r="G48" s="83">
        <v>0.5</v>
      </c>
      <c r="H48" s="81">
        <v>1.3107</v>
      </c>
      <c r="I48" s="81">
        <v>714516</v>
      </c>
      <c r="J48" s="82">
        <v>149</v>
      </c>
      <c r="K48" s="86">
        <v>0.25</v>
      </c>
      <c r="L48" s="86" t="s">
        <v>209</v>
      </c>
      <c r="M48" s="76" t="str">
        <f t="shared" si="13"/>
        <v>https://www.fundsexplorer.com.br/funds/HTMX11</v>
      </c>
      <c r="N48" s="77"/>
      <c r="O48" s="78"/>
    </row>
    <row r="49" spans="1:16" ht="14.65" customHeight="1">
      <c r="A49" s="79" t="s">
        <v>210</v>
      </c>
      <c r="B49" s="64" t="s">
        <v>211</v>
      </c>
      <c r="C49" s="64" t="s">
        <v>212</v>
      </c>
      <c r="D49" s="80">
        <v>39307</v>
      </c>
      <c r="E49" s="81" t="s">
        <v>206</v>
      </c>
      <c r="F49" s="82">
        <v>77.11</v>
      </c>
      <c r="G49" s="83">
        <v>0.17</v>
      </c>
      <c r="H49" s="81">
        <v>0.52</v>
      </c>
      <c r="I49" s="85">
        <v>1851786</v>
      </c>
      <c r="J49" s="82">
        <v>89.7</v>
      </c>
      <c r="K49" s="86">
        <v>0</v>
      </c>
      <c r="L49" t="s">
        <v>213</v>
      </c>
      <c r="M49" s="76" t="str">
        <f t="shared" si="13"/>
        <v>https://www.fundsexplorer.com.br/funds/RBRD11</v>
      </c>
      <c r="N49" s="77"/>
      <c r="O49" s="78"/>
    </row>
    <row r="50" spans="1:16" ht="14.65" customHeight="1">
      <c r="A50" s="79" t="s">
        <v>214</v>
      </c>
      <c r="B50" s="64" t="s">
        <v>215</v>
      </c>
      <c r="C50" s="64" t="s">
        <v>216</v>
      </c>
      <c r="D50" s="80">
        <v>39548</v>
      </c>
      <c r="E50" s="81" t="s">
        <v>206</v>
      </c>
      <c r="F50" s="82">
        <v>100.73</v>
      </c>
      <c r="G50" s="83">
        <v>0.3</v>
      </c>
      <c r="H50" s="81">
        <v>0.62</v>
      </c>
      <c r="I50" s="85">
        <v>275000</v>
      </c>
      <c r="J50" s="82">
        <v>104.2</v>
      </c>
      <c r="K50" s="86"/>
      <c r="M50" s="76" t="str">
        <f t="shared" si="13"/>
        <v>https://www.fundsexplorer.com.br/funds/FEXC11</v>
      </c>
      <c r="N50" s="77"/>
      <c r="O50" s="78"/>
    </row>
    <row r="51" spans="1:16" ht="14.65" customHeight="1">
      <c r="A51" s="79" t="s">
        <v>217</v>
      </c>
      <c r="B51" s="64" t="s">
        <v>218</v>
      </c>
      <c r="C51" s="64" t="s">
        <v>219</v>
      </c>
      <c r="D51" s="80">
        <v>40716</v>
      </c>
      <c r="E51" s="81" t="s">
        <v>206</v>
      </c>
      <c r="F51" s="82">
        <v>1178.4000000000001</v>
      </c>
      <c r="G51" s="83">
        <v>0.3</v>
      </c>
      <c r="H51" s="81">
        <v>8</v>
      </c>
      <c r="I51" s="85">
        <v>101664</v>
      </c>
      <c r="J51" s="82">
        <v>1110.52</v>
      </c>
      <c r="K51" s="86">
        <v>0</v>
      </c>
      <c r="L51" t="s">
        <v>220</v>
      </c>
      <c r="M51" s="76" t="str">
        <f t="shared" si="13"/>
        <v>https://www.fundsexplorer.com.br/funds/MBRF11</v>
      </c>
      <c r="N51" s="77"/>
      <c r="O51" s="78"/>
    </row>
    <row r="52" spans="1:16" ht="14.65" customHeight="1">
      <c r="A52" s="79" t="s">
        <v>221</v>
      </c>
      <c r="B52" s="64" t="s">
        <v>222</v>
      </c>
      <c r="C52" s="64" t="s">
        <v>216</v>
      </c>
      <c r="D52" s="80">
        <v>40191</v>
      </c>
      <c r="E52" s="81" t="s">
        <v>206</v>
      </c>
      <c r="F52" s="82">
        <v>104.6</v>
      </c>
      <c r="G52" s="83">
        <v>0.8</v>
      </c>
      <c r="H52" s="81">
        <v>0.97</v>
      </c>
      <c r="I52" s="85">
        <v>30000</v>
      </c>
      <c r="J52" s="82">
        <v>119.25</v>
      </c>
      <c r="K52" s="86"/>
      <c r="M52" s="76" t="str">
        <f t="shared" si="13"/>
        <v>https://www.fundsexplorer.com.br/funds/HGCR11</v>
      </c>
      <c r="N52" s="77"/>
      <c r="O52" s="78"/>
    </row>
    <row r="53" spans="1:16" ht="14.65" customHeight="1">
      <c r="A53" s="79" t="s">
        <v>223</v>
      </c>
      <c r="B53" s="64" t="s">
        <v>224</v>
      </c>
      <c r="C53" s="64" t="s">
        <v>212</v>
      </c>
      <c r="D53" s="80">
        <v>40753</v>
      </c>
      <c r="E53" s="81" t="s">
        <v>206</v>
      </c>
      <c r="F53" s="82">
        <v>388.22</v>
      </c>
      <c r="G53" s="87" t="s">
        <v>225</v>
      </c>
      <c r="H53" s="81">
        <v>2.68</v>
      </c>
      <c r="I53" s="85">
        <v>664516</v>
      </c>
      <c r="J53" s="82">
        <v>435</v>
      </c>
      <c r="K53" s="86"/>
      <c r="L53" t="s">
        <v>226</v>
      </c>
      <c r="M53" s="76" t="str">
        <f t="shared" si="13"/>
        <v>https://www.fundsexplorer.com.br/funds/FIIB11</v>
      </c>
      <c r="N53" s="77"/>
      <c r="O53" s="78"/>
    </row>
    <row r="54" spans="1:16" ht="14.65" customHeight="1">
      <c r="A54" s="79" t="s">
        <v>19</v>
      </c>
      <c r="B54" s="64" t="s">
        <v>227</v>
      </c>
      <c r="C54" s="64" t="s">
        <v>228</v>
      </c>
      <c r="D54" s="80">
        <v>43040</v>
      </c>
      <c r="E54" s="81" t="s">
        <v>206</v>
      </c>
      <c r="F54" s="82">
        <v>101.8</v>
      </c>
      <c r="G54" s="83">
        <v>1.35</v>
      </c>
      <c r="H54" s="81">
        <v>0.6</v>
      </c>
      <c r="I54" s="85">
        <v>3215033</v>
      </c>
      <c r="J54" s="82">
        <v>107.98</v>
      </c>
      <c r="K54" s="86">
        <v>4.8000000000000001E-2</v>
      </c>
      <c r="L54" t="s">
        <v>229</v>
      </c>
      <c r="M54" s="76" t="str">
        <f t="shared" si="13"/>
        <v>https://www.fundsexplorer.com.br/funds/VISC11</v>
      </c>
      <c r="N54" s="77"/>
      <c r="O54" s="78"/>
    </row>
    <row r="55" spans="1:16" ht="14.65" customHeight="1">
      <c r="A55" s="79" t="s">
        <v>18</v>
      </c>
      <c r="B55" s="64" t="s">
        <v>164</v>
      </c>
      <c r="C55" s="64" t="s">
        <v>230</v>
      </c>
      <c r="D55" s="80">
        <v>43252</v>
      </c>
      <c r="E55" s="81" t="s">
        <v>206</v>
      </c>
      <c r="F55" s="82">
        <v>96.08</v>
      </c>
      <c r="G55" s="83">
        <v>0.95</v>
      </c>
      <c r="H55" s="81">
        <v>0.65</v>
      </c>
      <c r="I55" s="85">
        <v>3661150</v>
      </c>
      <c r="J55" s="82">
        <v>102</v>
      </c>
      <c r="K55" s="86">
        <v>0</v>
      </c>
      <c r="L55" t="s">
        <v>231</v>
      </c>
      <c r="M55" s="76" t="str">
        <f t="shared" si="13"/>
        <v>https://www.fundsexplorer.com.br/funds/XPLG11</v>
      </c>
      <c r="N55" s="77"/>
      <c r="O55" s="78"/>
    </row>
    <row r="56" spans="1:16" ht="14.65" customHeight="1">
      <c r="A56" s="79" t="s">
        <v>232</v>
      </c>
      <c r="B56" s="88" t="s">
        <v>233</v>
      </c>
      <c r="C56" s="64" t="s">
        <v>228</v>
      </c>
      <c r="D56" s="89" t="s">
        <v>225</v>
      </c>
      <c r="E56" s="81" t="s">
        <v>206</v>
      </c>
      <c r="F56" s="82">
        <v>102.47</v>
      </c>
      <c r="G56" s="83">
        <v>0.95</v>
      </c>
      <c r="H56" s="81">
        <v>0.88</v>
      </c>
      <c r="I56" s="85">
        <v>3750000</v>
      </c>
      <c r="J56" s="82">
        <v>107</v>
      </c>
      <c r="K56" s="86">
        <v>4.5999999999999999E-2</v>
      </c>
      <c r="L56" t="s">
        <v>234</v>
      </c>
      <c r="M56" s="76" t="str">
        <f t="shared" si="13"/>
        <v>https://www.fundsexplorer.com.br/funds/XPML11</v>
      </c>
      <c r="N56" s="77"/>
      <c r="O56" s="78"/>
    </row>
    <row r="57" spans="1:16" ht="14.65" customHeight="1">
      <c r="A57" s="79" t="s">
        <v>235</v>
      </c>
      <c r="B57" s="64" t="s">
        <v>236</v>
      </c>
      <c r="C57" s="64" t="s">
        <v>205</v>
      </c>
      <c r="D57" s="80">
        <v>40444</v>
      </c>
      <c r="E57" s="81" t="s">
        <v>206</v>
      </c>
      <c r="F57" s="82">
        <v>93.82</v>
      </c>
      <c r="G57" s="83">
        <v>0.17</v>
      </c>
      <c r="H57" s="81">
        <v>0.39</v>
      </c>
      <c r="I57" s="85">
        <v>2150000</v>
      </c>
      <c r="J57" s="82">
        <v>128</v>
      </c>
      <c r="K57" s="86">
        <v>0.20899999999999999</v>
      </c>
      <c r="L57" t="s">
        <v>237</v>
      </c>
      <c r="M57" s="76" t="str">
        <f t="shared" si="13"/>
        <v>https://www.fundsexplorer.com.br/funds/FVBI11</v>
      </c>
      <c r="N57" s="77"/>
      <c r="O57" s="78"/>
    </row>
    <row r="58" spans="1:16" ht="14.65" customHeight="1">
      <c r="A58" s="75"/>
      <c r="B58" s="90"/>
      <c r="C58" s="90"/>
      <c r="D58" s="76"/>
      <c r="E58" s="76"/>
      <c r="F58" s="77"/>
      <c r="G58" s="76"/>
      <c r="H58" s="76"/>
      <c r="I58" s="85"/>
      <c r="J58" s="77"/>
      <c r="K58" s="78"/>
      <c r="L58" s="76"/>
      <c r="M58" s="77"/>
      <c r="N58" s="77"/>
      <c r="O58" s="78"/>
    </row>
    <row r="59" spans="1:16" ht="14.65" customHeight="1">
      <c r="A59" s="75"/>
      <c r="B59" s="75"/>
      <c r="C59" s="75"/>
      <c r="D59" s="76"/>
      <c r="E59" s="76"/>
      <c r="F59" s="77"/>
      <c r="G59" s="76"/>
      <c r="H59" s="76"/>
      <c r="I59" s="77"/>
      <c r="J59" s="77"/>
      <c r="K59" s="78"/>
      <c r="L59" s="76"/>
      <c r="M59" s="77"/>
      <c r="N59" s="77"/>
      <c r="O59" s="78"/>
    </row>
    <row r="60" spans="1:16" ht="14.65" customHeight="1">
      <c r="A60" s="75"/>
      <c r="B60" s="75"/>
      <c r="C60" s="75"/>
      <c r="D60" s="76"/>
      <c r="E60" s="76"/>
      <c r="F60" s="77"/>
      <c r="G60" s="76"/>
      <c r="H60" s="76"/>
      <c r="I60" s="77"/>
      <c r="J60" s="77"/>
      <c r="K60" s="78"/>
      <c r="L60" s="76"/>
      <c r="M60" s="77"/>
      <c r="N60" s="77"/>
      <c r="O60" s="78"/>
    </row>
    <row r="61" spans="1:16" ht="14.65" customHeight="1">
      <c r="A61" s="75"/>
      <c r="B61" s="75"/>
      <c r="C61" s="75"/>
      <c r="D61" s="76"/>
      <c r="E61" s="76"/>
      <c r="F61" s="77"/>
      <c r="G61" s="76"/>
      <c r="H61" s="76"/>
      <c r="I61" s="77"/>
      <c r="J61" s="77"/>
      <c r="K61" s="78"/>
      <c r="L61" s="76"/>
      <c r="M61" s="77"/>
      <c r="N61" s="77"/>
      <c r="O61" s="78"/>
    </row>
    <row r="62" spans="1:16" ht="14.65" customHeight="1">
      <c r="A62" s="91"/>
      <c r="B62" s="91"/>
      <c r="C62" s="91"/>
      <c r="D62" s="92"/>
      <c r="E62" s="92"/>
      <c r="F62" s="93"/>
      <c r="G62" s="92"/>
      <c r="H62" s="92"/>
      <c r="I62" s="93"/>
      <c r="J62" s="93"/>
      <c r="K62" s="94"/>
      <c r="L62" s="92"/>
      <c r="M62" s="93"/>
      <c r="N62" s="93"/>
      <c r="O62" s="94"/>
    </row>
    <row r="63" spans="1:16" ht="14.65" customHeight="1">
      <c r="L63" s="3" t="s">
        <v>1</v>
      </c>
      <c r="M63" s="3"/>
      <c r="N63" s="3"/>
      <c r="O63" s="3"/>
    </row>
    <row r="64" spans="1:16" ht="14.65" customHeight="1">
      <c r="A64" s="7" t="s">
        <v>4</v>
      </c>
      <c r="B64" s="7" t="s">
        <v>5</v>
      </c>
      <c r="C64" s="7" t="s">
        <v>69</v>
      </c>
      <c r="D64" s="7" t="s">
        <v>9</v>
      </c>
      <c r="E64" s="7" t="s">
        <v>7</v>
      </c>
      <c r="F64" s="7" t="s">
        <v>238</v>
      </c>
      <c r="G64" s="7" t="s">
        <v>8</v>
      </c>
      <c r="H64" s="7" t="s">
        <v>239</v>
      </c>
      <c r="I64" s="7" t="s">
        <v>240</v>
      </c>
      <c r="J64" s="7" t="s">
        <v>45</v>
      </c>
      <c r="K64" s="7" t="s">
        <v>241</v>
      </c>
      <c r="L64" s="7" t="s">
        <v>6</v>
      </c>
      <c r="M64" s="7" t="s">
        <v>8</v>
      </c>
      <c r="N64" s="7" t="s">
        <v>11</v>
      </c>
      <c r="O64" s="7" t="s">
        <v>14</v>
      </c>
      <c r="P64" s="7" t="s">
        <v>13</v>
      </c>
    </row>
    <row r="65" spans="1:19" ht="14.65" customHeight="1">
      <c r="A65" t="s">
        <v>242</v>
      </c>
      <c r="D65" s="16">
        <v>322510</v>
      </c>
    </row>
    <row r="66" spans="1:19" ht="14.65" customHeight="1">
      <c r="A66" t="s">
        <v>243</v>
      </c>
      <c r="B66" t="s">
        <v>244</v>
      </c>
      <c r="C66" s="19">
        <v>43349</v>
      </c>
      <c r="D66" s="16">
        <v>147832.09</v>
      </c>
      <c r="E66">
        <v>1</v>
      </c>
      <c r="J66" s="16">
        <f>D66*E66</f>
        <v>147832.09</v>
      </c>
    </row>
    <row r="67" spans="1:19" ht="14.65" customHeight="1">
      <c r="A67" t="s">
        <v>245</v>
      </c>
      <c r="B67" t="s">
        <v>246</v>
      </c>
      <c r="C67" s="19">
        <v>43349</v>
      </c>
      <c r="D67" s="16">
        <v>50000</v>
      </c>
      <c r="E67">
        <v>62</v>
      </c>
      <c r="F67" s="16">
        <f>D67/E67</f>
        <v>806.45161290322585</v>
      </c>
      <c r="G67">
        <v>803.56</v>
      </c>
      <c r="H67">
        <v>199.28</v>
      </c>
      <c r="I67" s="17">
        <v>9.9500000000000005E-2</v>
      </c>
      <c r="J67" s="16">
        <f>E67*G67+H67</f>
        <v>50019.999999999993</v>
      </c>
      <c r="K67" s="19">
        <v>44197</v>
      </c>
      <c r="L67" s="95">
        <v>43928</v>
      </c>
      <c r="M67" s="16">
        <f>60525.64/62</f>
        <v>976.22</v>
      </c>
      <c r="N67" s="16">
        <f t="shared" ref="N67:N73" si="14">M67*E67</f>
        <v>60525.64</v>
      </c>
      <c r="O67">
        <f>N67-J67</f>
        <v>10505.640000000007</v>
      </c>
      <c r="P67" s="17">
        <f t="shared" ref="P67:P75" si="15">O67/J67</f>
        <v>0.21002878848460632</v>
      </c>
      <c r="S67" s="17"/>
    </row>
    <row r="68" spans="1:19" ht="14.65" customHeight="1">
      <c r="A68" t="s">
        <v>245</v>
      </c>
      <c r="B68" t="s">
        <v>247</v>
      </c>
      <c r="C68" s="19">
        <v>43353</v>
      </c>
      <c r="D68" s="16">
        <v>25166.959999999999</v>
      </c>
      <c r="E68">
        <v>52</v>
      </c>
      <c r="F68" s="16">
        <f>(D68+H68)/E68</f>
        <v>485.91576923076923</v>
      </c>
      <c r="G68" s="16">
        <f>D68/E68</f>
        <v>483.97999999999996</v>
      </c>
      <c r="H68">
        <v>100.66</v>
      </c>
      <c r="I68" s="17">
        <v>0.12230000000000001</v>
      </c>
      <c r="J68" s="16">
        <f t="shared" ref="J68:J73" si="16">D68+H68</f>
        <v>25267.62</v>
      </c>
      <c r="K68" s="19">
        <v>45658</v>
      </c>
      <c r="L68" s="19">
        <f>L67</f>
        <v>43928</v>
      </c>
      <c r="M68" s="16">
        <f>37755.12/52</f>
        <v>726.06000000000006</v>
      </c>
      <c r="N68" s="16">
        <f t="shared" si="14"/>
        <v>37755.120000000003</v>
      </c>
      <c r="O68">
        <f>N68-J68</f>
        <v>12487.500000000004</v>
      </c>
      <c r="P68" s="17">
        <f t="shared" si="15"/>
        <v>0.49420958523200859</v>
      </c>
      <c r="Q68" s="96" t="s">
        <v>248</v>
      </c>
      <c r="S68" s="17"/>
    </row>
    <row r="69" spans="1:19" ht="14.65" customHeight="1">
      <c r="A69" t="s">
        <v>245</v>
      </c>
      <c r="B69" t="s">
        <v>249</v>
      </c>
      <c r="C69" s="19">
        <v>43353</v>
      </c>
      <c r="D69" s="16">
        <v>24614.48</v>
      </c>
      <c r="E69">
        <v>11</v>
      </c>
      <c r="F69" s="16">
        <f>(D69+H69)/E69</f>
        <v>2246.63</v>
      </c>
      <c r="G69" s="16">
        <f>D69/E69</f>
        <v>2237.6799999999998</v>
      </c>
      <c r="H69">
        <v>98.45</v>
      </c>
      <c r="I69" s="17">
        <v>5.8599999999999999E-2</v>
      </c>
      <c r="J69" s="16">
        <f t="shared" si="16"/>
        <v>24712.93</v>
      </c>
      <c r="K69" s="19">
        <v>45519</v>
      </c>
      <c r="L69" s="19">
        <f>L68</f>
        <v>43928</v>
      </c>
      <c r="M69" s="16">
        <f>31833.67/11</f>
        <v>2893.97</v>
      </c>
      <c r="N69" s="16">
        <f t="shared" si="14"/>
        <v>31833.67</v>
      </c>
      <c r="O69">
        <f>N69-J69</f>
        <v>7120.739999999998</v>
      </c>
      <c r="P69" s="17">
        <f t="shared" si="15"/>
        <v>0.28813823371004565</v>
      </c>
      <c r="S69" s="17"/>
    </row>
    <row r="70" spans="1:19" ht="14.65" customHeight="1">
      <c r="A70" t="s">
        <v>250</v>
      </c>
      <c r="B70" t="s">
        <v>251</v>
      </c>
      <c r="C70" s="19"/>
      <c r="D70" s="16">
        <v>136432.6</v>
      </c>
      <c r="E70">
        <v>1</v>
      </c>
      <c r="F70" s="16"/>
      <c r="G70" s="16"/>
      <c r="I70" s="17"/>
      <c r="J70" s="16">
        <f t="shared" si="16"/>
        <v>136432.6</v>
      </c>
      <c r="K70" s="19"/>
      <c r="L70" s="19">
        <f>L69</f>
        <v>43928</v>
      </c>
      <c r="M70" s="16">
        <f>51193.1+53783.65+47758.3</f>
        <v>152735.04999999999</v>
      </c>
      <c r="N70" s="16">
        <f t="shared" si="14"/>
        <v>152735.04999999999</v>
      </c>
      <c r="O70">
        <f>N70-J70</f>
        <v>16302.449999999983</v>
      </c>
      <c r="P70" s="17">
        <f t="shared" si="15"/>
        <v>0.11949086948427269</v>
      </c>
    </row>
    <row r="71" spans="1:19" ht="14.65" customHeight="1">
      <c r="A71" t="s">
        <v>250</v>
      </c>
      <c r="B71" t="s">
        <v>252</v>
      </c>
      <c r="C71" s="19"/>
      <c r="D71" s="16">
        <v>100000</v>
      </c>
      <c r="E71">
        <v>1</v>
      </c>
      <c r="F71" s="16"/>
      <c r="G71" s="16"/>
      <c r="I71" s="17"/>
      <c r="J71" s="16">
        <f t="shared" si="16"/>
        <v>100000</v>
      </c>
      <c r="K71" s="19"/>
      <c r="L71" s="19">
        <f>L70</f>
        <v>43928</v>
      </c>
      <c r="M71" s="16">
        <v>112947.08</v>
      </c>
      <c r="N71" s="16">
        <f t="shared" si="14"/>
        <v>112947.08</v>
      </c>
      <c r="O71">
        <f>N71-J71</f>
        <v>12947.080000000002</v>
      </c>
      <c r="P71" s="17">
        <f t="shared" si="15"/>
        <v>0.12947080000000002</v>
      </c>
    </row>
    <row r="72" spans="1:19" ht="14.65" customHeight="1">
      <c r="A72" t="s">
        <v>250</v>
      </c>
      <c r="B72" t="s">
        <v>253</v>
      </c>
      <c r="C72" s="19"/>
      <c r="D72" s="16">
        <f>4173.15+4552.57</f>
        <v>8725.7199999999993</v>
      </c>
      <c r="E72">
        <v>1</v>
      </c>
      <c r="F72" s="16"/>
      <c r="G72" s="16"/>
      <c r="I72" s="17"/>
      <c r="J72" s="16">
        <f t="shared" si="16"/>
        <v>8725.7199999999993</v>
      </c>
      <c r="K72" s="19"/>
      <c r="L72" s="19">
        <v>43723</v>
      </c>
      <c r="M72" s="16">
        <v>0</v>
      </c>
      <c r="N72" s="16">
        <f t="shared" si="14"/>
        <v>0</v>
      </c>
      <c r="O72">
        <v>0</v>
      </c>
      <c r="P72" s="17">
        <f t="shared" si="15"/>
        <v>0</v>
      </c>
    </row>
    <row r="73" spans="1:19" ht="14.65" customHeight="1">
      <c r="A73" t="s">
        <v>250</v>
      </c>
      <c r="B73" t="s">
        <v>254</v>
      </c>
      <c r="C73" s="19"/>
      <c r="D73" s="16">
        <v>37864.050000000003</v>
      </c>
      <c r="E73">
        <v>1</v>
      </c>
      <c r="F73" s="16"/>
      <c r="G73" s="16"/>
      <c r="I73" s="17"/>
      <c r="J73" s="16">
        <f t="shared" si="16"/>
        <v>37864.050000000003</v>
      </c>
      <c r="K73" s="19"/>
      <c r="L73" s="19">
        <f>L70</f>
        <v>43928</v>
      </c>
      <c r="M73" s="16">
        <v>37864.050000000003</v>
      </c>
      <c r="N73" s="16">
        <f t="shared" si="14"/>
        <v>37864.050000000003</v>
      </c>
      <c r="O73">
        <f>N73-J73</f>
        <v>0</v>
      </c>
      <c r="P73" s="17">
        <f t="shared" si="15"/>
        <v>0</v>
      </c>
    </row>
    <row r="74" spans="1:19" ht="14.65" customHeight="1">
      <c r="A74" t="s">
        <v>255</v>
      </c>
      <c r="B74" t="s">
        <v>256</v>
      </c>
      <c r="C74" s="19">
        <v>43508</v>
      </c>
      <c r="D74" s="16">
        <v>2000</v>
      </c>
      <c r="E74">
        <v>1</v>
      </c>
      <c r="F74" s="16"/>
      <c r="G74" s="16"/>
      <c r="I74" s="17"/>
      <c r="J74" s="16">
        <f>E74*D74</f>
        <v>2000</v>
      </c>
      <c r="K74" s="19"/>
      <c r="L74" s="19">
        <f>L73</f>
        <v>43928</v>
      </c>
      <c r="M74" s="16">
        <v>890</v>
      </c>
      <c r="N74" s="16">
        <f>E74*M74</f>
        <v>890</v>
      </c>
      <c r="O74">
        <f>N74-J74</f>
        <v>-1110</v>
      </c>
      <c r="P74" s="17">
        <f t="shared" si="15"/>
        <v>-0.55500000000000005</v>
      </c>
    </row>
    <row r="75" spans="1:19" ht="14.65" customHeight="1">
      <c r="A75" t="s">
        <v>225</v>
      </c>
      <c r="B75" t="s">
        <v>257</v>
      </c>
      <c r="C75" s="19"/>
      <c r="D75" s="16">
        <f>Resumo!H49</f>
        <v>111397.52959999999</v>
      </c>
      <c r="E75">
        <v>1</v>
      </c>
      <c r="J75" s="16">
        <f>E75*D75</f>
        <v>111397.52959999999</v>
      </c>
      <c r="M75" s="16">
        <f>Resumo!L49</f>
        <v>83412.73</v>
      </c>
      <c r="N75" s="16">
        <f>M75*E75</f>
        <v>83412.73</v>
      </c>
      <c r="O75" s="16">
        <f>N75-J75</f>
        <v>-27984.799599999998</v>
      </c>
      <c r="P75" s="17">
        <f t="shared" si="15"/>
        <v>-0.25121562121248331</v>
      </c>
    </row>
    <row r="76" spans="1:19" ht="14.65" customHeight="1">
      <c r="A76" t="s">
        <v>258</v>
      </c>
      <c r="B76" t="s">
        <v>259</v>
      </c>
      <c r="C76" s="19"/>
      <c r="D76" s="16">
        <f>SUM(I32:I35)</f>
        <v>11234.35</v>
      </c>
      <c r="J76" s="16"/>
    </row>
    <row r="77" spans="1:19" ht="14.65" customHeight="1">
      <c r="A77" t="s">
        <v>225</v>
      </c>
      <c r="B77" t="s">
        <v>260</v>
      </c>
      <c r="C77" s="19"/>
      <c r="D77" s="16">
        <f>4700*IF(A77="-",-1,1)</f>
        <v>-4700</v>
      </c>
      <c r="J77" s="16"/>
    </row>
    <row r="78" spans="1:19" ht="14.65" customHeight="1">
      <c r="A78" t="s">
        <v>225</v>
      </c>
      <c r="B78" t="s">
        <v>261</v>
      </c>
      <c r="C78" s="16">
        <v>1000</v>
      </c>
      <c r="D78" s="16">
        <f>C78*IF(A78="-",-1,1)</f>
        <v>-1000</v>
      </c>
      <c r="J78" s="16"/>
    </row>
    <row r="79" spans="1:19" ht="14.65" customHeight="1">
      <c r="A79" t="s">
        <v>225</v>
      </c>
      <c r="B79" t="s">
        <v>262</v>
      </c>
      <c r="C79" s="16">
        <v>2000</v>
      </c>
      <c r="D79" s="16">
        <f>C79*4*IF(A79="-",-1,1)</f>
        <v>-8000</v>
      </c>
      <c r="J79" s="16"/>
    </row>
    <row r="80" spans="1:19" ht="14.65" customHeight="1">
      <c r="A80" s="27" t="s">
        <v>263</v>
      </c>
      <c r="B80" s="97" t="s">
        <v>254</v>
      </c>
      <c r="C80" s="27">
        <f>D65-SUM(J66:J75)</f>
        <v>-321742.53960000002</v>
      </c>
      <c r="D80" s="27">
        <f>SUM(D75:D79)</f>
        <v>108931.8796</v>
      </c>
      <c r="E80" s="27"/>
      <c r="F80" s="27"/>
      <c r="G80" s="27"/>
      <c r="H80" s="27"/>
      <c r="I80" s="27"/>
      <c r="J80" s="27">
        <f>SUM(J67:J75)</f>
        <v>496420.44959999999</v>
      </c>
      <c r="K80" s="27"/>
      <c r="L80" s="27"/>
      <c r="M80" s="27"/>
      <c r="N80" s="27">
        <f>SUM(N67:N75)</f>
        <v>517963.33999999997</v>
      </c>
      <c r="O80" s="27">
        <f>SUM(O67:O75)</f>
        <v>30268.61039999999</v>
      </c>
      <c r="P80" s="28">
        <f>O80/J80</f>
        <v>6.0973737936036852E-2</v>
      </c>
    </row>
    <row r="82" spans="1:7" ht="14.65" customHeight="1">
      <c r="C82" s="16">
        <v>69576</v>
      </c>
    </row>
    <row r="84" spans="1:7" ht="12.75" customHeight="1">
      <c r="A84" t="s">
        <v>264</v>
      </c>
      <c r="C84" t="s">
        <v>265</v>
      </c>
      <c r="D84" t="s">
        <v>9</v>
      </c>
      <c r="E84" t="s">
        <v>6</v>
      </c>
      <c r="F84" t="s">
        <v>266</v>
      </c>
      <c r="G84" t="s">
        <v>11</v>
      </c>
    </row>
    <row r="85" spans="1:7" ht="14.65" customHeight="1">
      <c r="A85" t="s">
        <v>267</v>
      </c>
      <c r="B85" t="s">
        <v>268</v>
      </c>
      <c r="C85">
        <v>117920</v>
      </c>
      <c r="D85">
        <v>64000</v>
      </c>
      <c r="E85" s="19">
        <v>37822</v>
      </c>
      <c r="F85" s="98">
        <v>1</v>
      </c>
      <c r="G85" s="99">
        <f>D85*(1+F85)</f>
        <v>128000</v>
      </c>
    </row>
    <row r="86" spans="1:7" ht="14.65" customHeight="1">
      <c r="A86" t="s">
        <v>269</v>
      </c>
      <c r="B86" t="s">
        <v>270</v>
      </c>
      <c r="C86">
        <v>275822</v>
      </c>
      <c r="D86">
        <v>220000</v>
      </c>
      <c r="E86" s="19">
        <v>40744</v>
      </c>
      <c r="F86" s="98">
        <v>0.8</v>
      </c>
      <c r="G86" s="99">
        <f>D86*(1+F86)</f>
        <v>396000</v>
      </c>
    </row>
    <row r="87" spans="1:7" ht="14.65" customHeight="1">
      <c r="A87" t="s">
        <v>271</v>
      </c>
      <c r="B87" t="s">
        <v>272</v>
      </c>
      <c r="C87">
        <v>2882</v>
      </c>
      <c r="D87">
        <v>23000</v>
      </c>
      <c r="E87" s="19">
        <v>42114</v>
      </c>
      <c r="F87" s="98">
        <v>0.3</v>
      </c>
      <c r="G87" s="99">
        <f>D87*(1+F87)</f>
        <v>29900</v>
      </c>
    </row>
    <row r="88" spans="1:7" ht="14.65" customHeight="1">
      <c r="A88" t="s">
        <v>271</v>
      </c>
      <c r="B88" t="s">
        <v>273</v>
      </c>
      <c r="D88">
        <v>38000</v>
      </c>
      <c r="E88" s="19">
        <v>43605</v>
      </c>
      <c r="F88" s="98">
        <v>0.1</v>
      </c>
      <c r="G88" s="99">
        <f>D88*(1+F88)</f>
        <v>41800</v>
      </c>
    </row>
    <row r="89" spans="1:7" ht="14.65" customHeight="1">
      <c r="D89">
        <f>SUM(D85:D88)</f>
        <v>345000</v>
      </c>
      <c r="F89" s="98">
        <f>(G89-D89)/D89</f>
        <v>0.72666666666666668</v>
      </c>
      <c r="G89" s="100">
        <f>SUM(G85:G88)</f>
        <v>595700</v>
      </c>
    </row>
    <row r="95" spans="1:7" ht="12.75" customHeight="1">
      <c r="A95" t="s">
        <v>274</v>
      </c>
      <c r="B95">
        <v>142</v>
      </c>
      <c r="C95">
        <v>0.6</v>
      </c>
      <c r="D95" s="35">
        <f>C95/B95</f>
        <v>4.2253521126760559E-3</v>
      </c>
    </row>
    <row r="100" spans="6:6" ht="12.75" customHeight="1">
      <c r="F100">
        <f>142*0.42/100</f>
        <v>0.59640000000000004</v>
      </c>
    </row>
  </sheetData>
  <mergeCells count="9">
    <mergeCell ref="A42:C42"/>
    <mergeCell ref="A44:B44"/>
    <mergeCell ref="L63:O63"/>
    <mergeCell ref="G10:J10"/>
    <mergeCell ref="K10:N10"/>
    <mergeCell ref="A27:C27"/>
    <mergeCell ref="C30:F30"/>
    <mergeCell ref="G30:K30"/>
    <mergeCell ref="L30:O30"/>
  </mergeCells>
  <hyperlinks>
    <hyperlink ref="G5" r:id="rId1"/>
    <hyperlink ref="Q68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25701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Resumo</vt:lpstr>
      <vt:lpstr>Lançamentos</vt:lpstr>
      <vt:lpstr>Dividendos</vt:lpstr>
      <vt:lpstr>Cadastro</vt:lpstr>
      <vt:lpstr>Planilha1</vt:lpstr>
      <vt:lpstr>Dividendos!Excel_BuiltIn__FilterDatabase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ewerton</dc:creator>
  <dc:description/>
  <cp:lastModifiedBy>ewerton</cp:lastModifiedBy>
  <cp:revision>31</cp:revision>
  <dcterms:created xsi:type="dcterms:W3CDTF">2019-11-05T20:54:17Z</dcterms:created>
  <dcterms:modified xsi:type="dcterms:W3CDTF">2020-04-09T15:24:50Z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