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Nova Viagem" sheetId="1" r:id="rId1"/>
    <sheet name="Fat Cartão" sheetId="2" r:id="rId2"/>
    <sheet name="Orcamento" sheetId="3" r:id="rId3"/>
    <sheet name="Cartao" sheetId="4" r:id="rId4"/>
    <sheet name="Programacao" sheetId="5" r:id="rId5"/>
    <sheet name="Plan2" sheetId="6" r:id="rId6"/>
    <sheet name="Compras" sheetId="7" r:id="rId7"/>
    <sheet name="Nova_Viagem" sheetId="8" r:id="rId8"/>
  </sheets>
  <calcPr calcId="125725"/>
</workbook>
</file>

<file path=xl/calcChain.xml><?xml version="1.0" encoding="utf-8"?>
<calcChain xmlns="http://schemas.openxmlformats.org/spreadsheetml/2006/main">
  <c r="K6" i="1"/>
  <c r="K7"/>
  <c r="K8"/>
  <c r="K9"/>
  <c r="K10"/>
  <c r="K11"/>
  <c r="K12"/>
  <c r="K13"/>
  <c r="K14"/>
  <c r="K15"/>
  <c r="K16"/>
  <c r="K17"/>
  <c r="K18"/>
  <c r="K19"/>
  <c r="K20"/>
  <c r="K21"/>
  <c r="K22"/>
  <c r="K4"/>
  <c r="K5"/>
  <c r="K3"/>
  <c r="C14" i="3"/>
  <c r="B38" i="1"/>
  <c r="B15" i="2"/>
  <c r="C14"/>
  <c r="F13"/>
  <c r="F12"/>
  <c r="F11"/>
  <c r="G10"/>
  <c r="F10"/>
  <c r="G9"/>
  <c r="F9"/>
  <c r="G8"/>
  <c r="F8"/>
  <c r="G7"/>
  <c r="F7"/>
  <c r="G6"/>
  <c r="G14" s="1"/>
  <c r="F6"/>
  <c r="F5"/>
  <c r="F4"/>
  <c r="F3"/>
  <c r="B1"/>
  <c r="G28" i="1"/>
  <c r="G38"/>
  <c r="B8"/>
  <c r="I29" s="1"/>
  <c r="C15"/>
  <c r="B15" s="1"/>
  <c r="H36" s="1"/>
  <c r="C16"/>
  <c r="C14"/>
  <c r="B14" s="1"/>
  <c r="H35" s="1"/>
  <c r="C13"/>
  <c r="B13" s="1"/>
  <c r="H34" s="1"/>
  <c r="H27"/>
  <c r="E32"/>
  <c r="G32"/>
  <c r="C31"/>
  <c r="C33"/>
  <c r="C12"/>
  <c r="C10"/>
  <c r="B6"/>
  <c r="E27" s="1"/>
  <c r="I10"/>
  <c r="I12"/>
  <c r="B48" i="8"/>
  <c r="A47"/>
  <c r="E44"/>
  <c r="G42"/>
  <c r="E42"/>
  <c r="E45" s="1"/>
  <c r="B40"/>
  <c r="A40"/>
  <c r="A39"/>
  <c r="A38"/>
  <c r="A37"/>
  <c r="A36"/>
  <c r="A35"/>
  <c r="O33"/>
  <c r="B33"/>
  <c r="D33" s="1"/>
  <c r="F33" s="1"/>
  <c r="H33" s="1"/>
  <c r="I33" s="1"/>
  <c r="J33" s="1"/>
  <c r="K33" s="1"/>
  <c r="L33" s="1"/>
  <c r="M33" s="1"/>
  <c r="N33" s="1"/>
  <c r="A33"/>
  <c r="O32"/>
  <c r="B32"/>
  <c r="D32" s="1"/>
  <c r="F32" s="1"/>
  <c r="H32" s="1"/>
  <c r="I32" s="1"/>
  <c r="A32"/>
  <c r="O31"/>
  <c r="D31" s="1"/>
  <c r="B31"/>
  <c r="A31"/>
  <c r="I23"/>
  <c r="C22"/>
  <c r="C21"/>
  <c r="C20"/>
  <c r="C19"/>
  <c r="C18"/>
  <c r="C17"/>
  <c r="C16"/>
  <c r="B15"/>
  <c r="O40" s="1"/>
  <c r="D40" s="1"/>
  <c r="C14"/>
  <c r="B14"/>
  <c r="O39" s="1"/>
  <c r="D39" s="1"/>
  <c r="C13"/>
  <c r="C23" s="1"/>
  <c r="B13"/>
  <c r="O38" s="1"/>
  <c r="D38" s="1"/>
  <c r="B12"/>
  <c r="O37" s="1"/>
  <c r="B11"/>
  <c r="D11" s="1"/>
  <c r="F11" s="1"/>
  <c r="N10"/>
  <c r="B10"/>
  <c r="D10" s="1"/>
  <c r="F10" s="1"/>
  <c r="D9"/>
  <c r="F9" s="1"/>
  <c r="B9"/>
  <c r="B8"/>
  <c r="O34" s="1"/>
  <c r="B34" s="1"/>
  <c r="D7"/>
  <c r="F7" s="1"/>
  <c r="D6"/>
  <c r="F6" s="1"/>
  <c r="D5"/>
  <c r="F5" s="1"/>
  <c r="F26" i="7"/>
  <c r="F27" s="1"/>
  <c r="O12"/>
  <c r="O13" s="1"/>
  <c r="K12"/>
  <c r="K13" s="1"/>
  <c r="G12"/>
  <c r="G13" s="1"/>
  <c r="C12"/>
  <c r="O11"/>
  <c r="N11"/>
  <c r="N12" s="1"/>
  <c r="N13" s="1"/>
  <c r="M11"/>
  <c r="M12" s="1"/>
  <c r="M13" s="1"/>
  <c r="L11"/>
  <c r="L12" s="1"/>
  <c r="L13" s="1"/>
  <c r="K11"/>
  <c r="J11"/>
  <c r="J12" s="1"/>
  <c r="J13" s="1"/>
  <c r="I11"/>
  <c r="I12" s="1"/>
  <c r="I13" s="1"/>
  <c r="H11"/>
  <c r="H12" s="1"/>
  <c r="H13" s="1"/>
  <c r="G11"/>
  <c r="F11"/>
  <c r="F12" s="1"/>
  <c r="F13" s="1"/>
  <c r="E11"/>
  <c r="E12" s="1"/>
  <c r="E13" s="1"/>
  <c r="D11"/>
  <c r="D12" s="1"/>
  <c r="D13" s="1"/>
  <c r="C11"/>
  <c r="AC9"/>
  <c r="Y9"/>
  <c r="U9"/>
  <c r="AF8"/>
  <c r="AB8"/>
  <c r="X8"/>
  <c r="T8"/>
  <c r="AF7"/>
  <c r="AE7"/>
  <c r="AB7"/>
  <c r="AA7"/>
  <c r="X7"/>
  <c r="W7"/>
  <c r="T7"/>
  <c r="O4"/>
  <c r="AF9" s="1"/>
  <c r="N4"/>
  <c r="AE8" s="1"/>
  <c r="M4"/>
  <c r="AD7" s="1"/>
  <c r="L4"/>
  <c r="AC10" s="1"/>
  <c r="K4"/>
  <c r="AB9" s="1"/>
  <c r="J4"/>
  <c r="AA8" s="1"/>
  <c r="I4"/>
  <c r="Z7" s="1"/>
  <c r="H4"/>
  <c r="Y10" s="1"/>
  <c r="G4"/>
  <c r="X9" s="1"/>
  <c r="F4"/>
  <c r="W8" s="1"/>
  <c r="E4"/>
  <c r="V7" s="1"/>
  <c r="D4"/>
  <c r="U10" s="1"/>
  <c r="C4"/>
  <c r="T9" s="1"/>
  <c r="D11" i="6"/>
  <c r="F10"/>
  <c r="F9"/>
  <c r="G8"/>
  <c r="H8" s="1"/>
  <c r="F8"/>
  <c r="G7"/>
  <c r="G9" s="1"/>
  <c r="H9" s="1"/>
  <c r="F7"/>
  <c r="F11" s="1"/>
  <c r="D16" s="1"/>
  <c r="F16" s="1"/>
  <c r="B37" i="5"/>
  <c r="B36"/>
  <c r="B35"/>
  <c r="B33"/>
  <c r="B32"/>
  <c r="B29"/>
  <c r="B28"/>
  <c r="B27"/>
  <c r="B24"/>
  <c r="B23"/>
  <c r="B20"/>
  <c r="B18"/>
  <c r="B17"/>
  <c r="B16"/>
  <c r="B12"/>
  <c r="B6"/>
  <c r="C98" i="4"/>
  <c r="B54" i="8" s="1"/>
  <c r="G92" i="4"/>
  <c r="F92"/>
  <c r="E92"/>
  <c r="C92"/>
  <c r="C94" s="1"/>
  <c r="E91"/>
  <c r="E90"/>
  <c r="F89"/>
  <c r="E89"/>
  <c r="F88"/>
  <c r="E88"/>
  <c r="F87"/>
  <c r="E87"/>
  <c r="F86"/>
  <c r="E86"/>
  <c r="F85"/>
  <c r="F94" s="1"/>
  <c r="C95" s="1"/>
  <c r="E85"/>
  <c r="F84"/>
  <c r="E84"/>
  <c r="E83"/>
  <c r="E94" s="1"/>
  <c r="E75"/>
  <c r="C69"/>
  <c r="E69" s="1"/>
  <c r="B69"/>
  <c r="K67"/>
  <c r="M66"/>
  <c r="L66"/>
  <c r="L65"/>
  <c r="L67" s="1"/>
  <c r="E65"/>
  <c r="M64"/>
  <c r="E56"/>
  <c r="C52"/>
  <c r="E52" s="1"/>
  <c r="C49"/>
  <c r="E49" s="1"/>
  <c r="B49"/>
  <c r="E45"/>
  <c r="E34"/>
  <c r="C30"/>
  <c r="F30" s="1"/>
  <c r="C27"/>
  <c r="F27" s="1"/>
  <c r="B27"/>
  <c r="E23"/>
  <c r="E14"/>
  <c r="B13"/>
  <c r="B12"/>
  <c r="B11"/>
  <c r="C10"/>
  <c r="E10" s="1"/>
  <c r="B10"/>
  <c r="C9"/>
  <c r="E9" s="1"/>
  <c r="B9"/>
  <c r="B8"/>
  <c r="C7"/>
  <c r="E7" s="1"/>
  <c r="B7"/>
  <c r="B6"/>
  <c r="B5"/>
  <c r="C4"/>
  <c r="B4"/>
  <c r="E3"/>
  <c r="B48" i="3"/>
  <c r="B42"/>
  <c r="A41"/>
  <c r="D38"/>
  <c r="F36"/>
  <c r="F38" s="1"/>
  <c r="D36"/>
  <c r="D39" s="1"/>
  <c r="B34"/>
  <c r="A34"/>
  <c r="B74" i="4" s="1"/>
  <c r="A33" i="3"/>
  <c r="B73" i="4" s="1"/>
  <c r="A32" i="3"/>
  <c r="B72" i="4" s="1"/>
  <c r="A31" i="3"/>
  <c r="B30" i="4" s="1"/>
  <c r="A30" i="3"/>
  <c r="B71" i="4" s="1"/>
  <c r="A29" i="3"/>
  <c r="B70" i="4" s="1"/>
  <c r="N27" i="3"/>
  <c r="B27"/>
  <c r="C27" s="1"/>
  <c r="A27"/>
  <c r="B68" i="4" s="1"/>
  <c r="N26" i="3"/>
  <c r="B26"/>
  <c r="C26" s="1"/>
  <c r="A26"/>
  <c r="B67" i="4" s="1"/>
  <c r="N25" i="3"/>
  <c r="E25"/>
  <c r="C25"/>
  <c r="C66" i="4" s="1"/>
  <c r="B25" i="3"/>
  <c r="A25"/>
  <c r="B24" i="4" s="1"/>
  <c r="H17" i="3"/>
  <c r="B15"/>
  <c r="N34" s="1"/>
  <c r="C34" s="1"/>
  <c r="B14"/>
  <c r="E14" s="1"/>
  <c r="E13"/>
  <c r="C13"/>
  <c r="B13"/>
  <c r="N32" s="1"/>
  <c r="C32" s="1"/>
  <c r="C12"/>
  <c r="B12"/>
  <c r="E12" s="1"/>
  <c r="B11"/>
  <c r="N30" s="1"/>
  <c r="C30" s="1"/>
  <c r="B10"/>
  <c r="N29" s="1"/>
  <c r="C29" s="1"/>
  <c r="E9"/>
  <c r="C9"/>
  <c r="B9"/>
  <c r="C8"/>
  <c r="B8"/>
  <c r="N28" s="1"/>
  <c r="B28" s="1"/>
  <c r="C7"/>
  <c r="E7" s="1"/>
  <c r="E6"/>
  <c r="C6"/>
  <c r="C5"/>
  <c r="E5" s="1"/>
  <c r="B48" i="2"/>
  <c r="F46"/>
  <c r="F45"/>
  <c r="C44"/>
  <c r="F44" s="1"/>
  <c r="F43"/>
  <c r="F42"/>
  <c r="C42"/>
  <c r="C47" s="1"/>
  <c r="F41"/>
  <c r="G40"/>
  <c r="G47" s="1"/>
  <c r="F40"/>
  <c r="G39"/>
  <c r="F39"/>
  <c r="F38"/>
  <c r="F37"/>
  <c r="F36"/>
  <c r="F47" s="1"/>
  <c r="B34"/>
  <c r="B31"/>
  <c r="C30"/>
  <c r="F29"/>
  <c r="F28"/>
  <c r="F27"/>
  <c r="G26"/>
  <c r="F26"/>
  <c r="G25"/>
  <c r="F25"/>
  <c r="G24"/>
  <c r="F24"/>
  <c r="G23"/>
  <c r="G30" s="1"/>
  <c r="F23"/>
  <c r="G22"/>
  <c r="F22"/>
  <c r="F21"/>
  <c r="F20"/>
  <c r="F19"/>
  <c r="F30" s="1"/>
  <c r="B17"/>
  <c r="M46" i="1"/>
  <c r="L46"/>
  <c r="K46"/>
  <c r="J46"/>
  <c r="I46"/>
  <c r="H46"/>
  <c r="F39"/>
  <c r="D39"/>
  <c r="C38"/>
  <c r="A38"/>
  <c r="A37"/>
  <c r="A36"/>
  <c r="A35"/>
  <c r="A34"/>
  <c r="A33"/>
  <c r="A32"/>
  <c r="A31"/>
  <c r="A30"/>
  <c r="A29"/>
  <c r="A28"/>
  <c r="A27"/>
  <c r="C26"/>
  <c r="C41" s="1"/>
  <c r="B26"/>
  <c r="B41" s="1"/>
  <c r="A26"/>
  <c r="F18"/>
  <c r="B16"/>
  <c r="H37" s="1"/>
  <c r="B9"/>
  <c r="J30" s="1"/>
  <c r="N30" s="1"/>
  <c r="C7"/>
  <c r="C5"/>
  <c r="B17" l="1"/>
  <c r="H17" s="1"/>
  <c r="C43"/>
  <c r="C46" s="1"/>
  <c r="C6"/>
  <c r="E26"/>
  <c r="G26" s="1"/>
  <c r="G41" s="1"/>
  <c r="G43" s="1"/>
  <c r="G46" s="1"/>
  <c r="B43"/>
  <c r="B46" s="1"/>
  <c r="F14" i="2"/>
  <c r="N37" i="1"/>
  <c r="N36"/>
  <c r="N34"/>
  <c r="F49" i="4"/>
  <c r="B18" i="1"/>
  <c r="F52" i="4"/>
  <c r="N31" i="1"/>
  <c r="N35"/>
  <c r="H26"/>
  <c r="C70" i="4"/>
  <c r="C28"/>
  <c r="C50"/>
  <c r="E29" i="3"/>
  <c r="G29" s="1"/>
  <c r="H29" s="1"/>
  <c r="H32"/>
  <c r="C11" i="4" s="1"/>
  <c r="C72"/>
  <c r="I32" i="3"/>
  <c r="C31" i="4"/>
  <c r="J32" i="3"/>
  <c r="E32"/>
  <c r="C53" i="4"/>
  <c r="G32" i="3"/>
  <c r="G34"/>
  <c r="C74" i="4"/>
  <c r="H34" i="3"/>
  <c r="C13" i="4" s="1"/>
  <c r="C33"/>
  <c r="I34" i="3"/>
  <c r="C55" i="4"/>
  <c r="J34" i="3"/>
  <c r="E34"/>
  <c r="E66" i="4"/>
  <c r="F66"/>
  <c r="C67"/>
  <c r="C25"/>
  <c r="E26" i="3"/>
  <c r="G26" s="1"/>
  <c r="H26" s="1"/>
  <c r="C47" i="4"/>
  <c r="J32" i="8"/>
  <c r="P12" i="7"/>
  <c r="B39" i="1"/>
  <c r="B42" s="1"/>
  <c r="N38"/>
  <c r="C68" i="4"/>
  <c r="C26"/>
  <c r="E27" i="3"/>
  <c r="G27" s="1"/>
  <c r="H27" s="1"/>
  <c r="C48" i="4"/>
  <c r="H38" i="8"/>
  <c r="I38"/>
  <c r="J38"/>
  <c r="K38"/>
  <c r="F38"/>
  <c r="K40"/>
  <c r="F40"/>
  <c r="H40"/>
  <c r="I40"/>
  <c r="J40"/>
  <c r="B36" i="3"/>
  <c r="F31" i="8"/>
  <c r="H32" i="1"/>
  <c r="C71" i="4"/>
  <c r="C29"/>
  <c r="C51"/>
  <c r="B47" i="3"/>
  <c r="B53" i="8"/>
  <c r="H39"/>
  <c r="I39"/>
  <c r="J39"/>
  <c r="K39"/>
  <c r="F39"/>
  <c r="B42"/>
  <c r="E39" i="1"/>
  <c r="E41" s="1"/>
  <c r="E43" s="1"/>
  <c r="E46" s="1"/>
  <c r="B17" i="3"/>
  <c r="N31"/>
  <c r="N36" s="1"/>
  <c r="N33"/>
  <c r="C33" s="1"/>
  <c r="F39"/>
  <c r="F4" i="4"/>
  <c r="F7"/>
  <c r="F9"/>
  <c r="F10"/>
  <c r="E27"/>
  <c r="E30"/>
  <c r="C46"/>
  <c r="B66"/>
  <c r="F69"/>
  <c r="H7" i="6"/>
  <c r="U7" i="7"/>
  <c r="P7" s="1"/>
  <c r="Q7" s="1"/>
  <c r="Y7"/>
  <c r="AC7"/>
  <c r="V8"/>
  <c r="Z8"/>
  <c r="AD8"/>
  <c r="W9"/>
  <c r="AA9"/>
  <c r="AE9"/>
  <c r="T10"/>
  <c r="X10"/>
  <c r="AB10"/>
  <c r="AF10"/>
  <c r="C13"/>
  <c r="P13" s="1"/>
  <c r="D12" i="8"/>
  <c r="D13"/>
  <c r="D14"/>
  <c r="B23"/>
  <c r="O35"/>
  <c r="D35" s="1"/>
  <c r="F35" s="1"/>
  <c r="H35" s="1"/>
  <c r="I35" s="1"/>
  <c r="J35" s="1"/>
  <c r="K35" s="1"/>
  <c r="L35" s="1"/>
  <c r="M35" s="1"/>
  <c r="G44"/>
  <c r="G45" s="1"/>
  <c r="C10" i="3"/>
  <c r="E10" s="1"/>
  <c r="C36"/>
  <c r="E4" i="4"/>
  <c r="C24"/>
  <c r="B46"/>
  <c r="B47"/>
  <c r="B48"/>
  <c r="B50"/>
  <c r="B51"/>
  <c r="B52"/>
  <c r="B53"/>
  <c r="B54"/>
  <c r="B55"/>
  <c r="M65"/>
  <c r="M67" s="1"/>
  <c r="U8" i="7"/>
  <c r="P8" s="1"/>
  <c r="Q8" s="1"/>
  <c r="Y8"/>
  <c r="AC8"/>
  <c r="V9"/>
  <c r="P9" s="1"/>
  <c r="Q9" s="1"/>
  <c r="Z9"/>
  <c r="AD9"/>
  <c r="W10"/>
  <c r="AA10"/>
  <c r="AE10"/>
  <c r="D8" i="8"/>
  <c r="F8" s="1"/>
  <c r="D15"/>
  <c r="D23" s="1"/>
  <c r="O36"/>
  <c r="D36" s="1"/>
  <c r="O42"/>
  <c r="N28" i="1"/>
  <c r="E8" i="3"/>
  <c r="E17" s="1"/>
  <c r="C11"/>
  <c r="E11" s="1"/>
  <c r="C15"/>
  <c r="E15" s="1"/>
  <c r="G25"/>
  <c r="B25" i="4"/>
  <c r="B26"/>
  <c r="B28"/>
  <c r="B29"/>
  <c r="B31"/>
  <c r="B32"/>
  <c r="B33"/>
  <c r="V10" i="7"/>
  <c r="Z10"/>
  <c r="AD10"/>
  <c r="F12" i="8"/>
  <c r="F13"/>
  <c r="F14"/>
  <c r="N26" i="1" l="1"/>
  <c r="I32"/>
  <c r="B20"/>
  <c r="B22" s="1"/>
  <c r="N38" i="3"/>
  <c r="F23" i="8"/>
  <c r="C39" i="3"/>
  <c r="C38"/>
  <c r="B38"/>
  <c r="B39"/>
  <c r="E68" i="4"/>
  <c r="F68"/>
  <c r="J42" i="8"/>
  <c r="K32"/>
  <c r="F25" i="4"/>
  <c r="E25"/>
  <c r="E11"/>
  <c r="F11"/>
  <c r="E70"/>
  <c r="F70"/>
  <c r="P10" i="7"/>
  <c r="Q10" s="1"/>
  <c r="O45" i="8"/>
  <c r="O44"/>
  <c r="H33" i="3"/>
  <c r="C12" i="4" s="1"/>
  <c r="C73"/>
  <c r="I33" i="3"/>
  <c r="C32" i="4"/>
  <c r="J33" i="3"/>
  <c r="E33"/>
  <c r="E36" s="1"/>
  <c r="C54" i="4"/>
  <c r="G33" i="3"/>
  <c r="G36" s="1"/>
  <c r="E71" i="4"/>
  <c r="F71"/>
  <c r="F26"/>
  <c r="E26"/>
  <c r="C5"/>
  <c r="I26" i="3"/>
  <c r="H36"/>
  <c r="E55" i="4"/>
  <c r="F55"/>
  <c r="E74"/>
  <c r="F74"/>
  <c r="E72"/>
  <c r="F72"/>
  <c r="F28"/>
  <c r="E28"/>
  <c r="F15" i="8"/>
  <c r="C17" i="3"/>
  <c r="C18" i="1"/>
  <c r="F24" i="4"/>
  <c r="E24"/>
  <c r="F29"/>
  <c r="E29"/>
  <c r="F42" i="8"/>
  <c r="H31"/>
  <c r="H42" s="1"/>
  <c r="C6" i="4"/>
  <c r="I27" i="3"/>
  <c r="J27" s="1"/>
  <c r="K27" s="1"/>
  <c r="L27" s="1"/>
  <c r="M27" s="1"/>
  <c r="E47" i="4"/>
  <c r="F47"/>
  <c r="E13"/>
  <c r="F13"/>
  <c r="E53"/>
  <c r="F53"/>
  <c r="E50"/>
  <c r="F50"/>
  <c r="N29" i="1"/>
  <c r="G39"/>
  <c r="E46" i="4"/>
  <c r="F46"/>
  <c r="B45" i="8"/>
  <c r="B44"/>
  <c r="E51" i="4"/>
  <c r="F51"/>
  <c r="E48"/>
  <c r="F48"/>
  <c r="F67"/>
  <c r="E67"/>
  <c r="F33"/>
  <c r="E33"/>
  <c r="F31"/>
  <c r="E31"/>
  <c r="C8"/>
  <c r="I29" i="3"/>
  <c r="J29" s="1"/>
  <c r="K29" s="1"/>
  <c r="L29" s="1"/>
  <c r="D42" i="8"/>
  <c r="I42"/>
  <c r="H39" i="1"/>
  <c r="I39" l="1"/>
  <c r="N32"/>
  <c r="G39" i="3"/>
  <c r="G47"/>
  <c r="G38"/>
  <c r="E8" i="4"/>
  <c r="F8"/>
  <c r="L32" i="8"/>
  <c r="K42"/>
  <c r="E6" i="4"/>
  <c r="F6"/>
  <c r="J39" i="1"/>
  <c r="F32" i="4"/>
  <c r="F37" s="1"/>
  <c r="E32"/>
  <c r="E37" s="1"/>
  <c r="E5"/>
  <c r="F5"/>
  <c r="C17"/>
  <c r="E12"/>
  <c r="F12"/>
  <c r="D44" i="8"/>
  <c r="D45"/>
  <c r="D48"/>
  <c r="B49"/>
  <c r="H53"/>
  <c r="H44"/>
  <c r="H45"/>
  <c r="H47" i="3"/>
  <c r="H38"/>
  <c r="H39"/>
  <c r="E54" i="4"/>
  <c r="F54"/>
  <c r="F59" s="1"/>
  <c r="C60" s="1"/>
  <c r="B43" i="3"/>
  <c r="C42"/>
  <c r="I53" i="8"/>
  <c r="I44"/>
  <c r="I45" s="1"/>
  <c r="F44"/>
  <c r="F45"/>
  <c r="I36" i="3"/>
  <c r="J26"/>
  <c r="E38"/>
  <c r="N47" s="1"/>
  <c r="E39"/>
  <c r="E73" i="4"/>
  <c r="E78" s="1"/>
  <c r="F73"/>
  <c r="F78" s="1"/>
  <c r="C79" s="1"/>
  <c r="J44" i="8"/>
  <c r="J45"/>
  <c r="E59" i="4"/>
  <c r="O53" i="8"/>
  <c r="C59" i="4"/>
  <c r="C37"/>
  <c r="C78"/>
  <c r="N39" i="3"/>
  <c r="F17" i="4" l="1"/>
  <c r="E47" i="3"/>
  <c r="F53" i="8"/>
  <c r="C47" i="3"/>
  <c r="D53" i="8"/>
  <c r="D49"/>
  <c r="D50" s="1"/>
  <c r="I38" i="3"/>
  <c r="I39"/>
  <c r="J36"/>
  <c r="K26"/>
  <c r="M32" i="8"/>
  <c r="L42"/>
  <c r="K48"/>
  <c r="J49"/>
  <c r="C43" i="3"/>
  <c r="C44" s="1"/>
  <c r="K39" i="1"/>
  <c r="K45" i="8"/>
  <c r="K49" s="1"/>
  <c r="K44"/>
  <c r="E17" i="4"/>
  <c r="M42" i="8" l="1"/>
  <c r="N32"/>
  <c r="N42" s="1"/>
  <c r="I43" i="3"/>
  <c r="J42"/>
  <c r="L44" i="8"/>
  <c r="L45" s="1"/>
  <c r="L49" s="1"/>
  <c r="E48"/>
  <c r="M39" i="1"/>
  <c r="L39"/>
  <c r="B19" i="3"/>
  <c r="B21" s="1"/>
  <c r="J38"/>
  <c r="J39" s="1"/>
  <c r="J43" s="1"/>
  <c r="L26"/>
  <c r="K36"/>
  <c r="E42"/>
  <c r="D42"/>
  <c r="L48" i="8"/>
  <c r="F48"/>
  <c r="B25"/>
  <c r="B27" s="1"/>
  <c r="F49" l="1"/>
  <c r="F50" s="1"/>
  <c r="O50" s="1"/>
  <c r="M44"/>
  <c r="M45" s="1"/>
  <c r="M49" s="1"/>
  <c r="K38" i="3"/>
  <c r="K39" s="1"/>
  <c r="K43" s="1"/>
  <c r="G42"/>
  <c r="E43"/>
  <c r="E44" s="1"/>
  <c r="N44" s="1"/>
  <c r="N44" i="8"/>
  <c r="N45"/>
  <c r="N27" i="1"/>
  <c r="M26" i="3"/>
  <c r="M36" s="1"/>
  <c r="L36"/>
  <c r="M48" i="8"/>
  <c r="K42" i="3"/>
  <c r="L38" l="1"/>
  <c r="L39" s="1"/>
  <c r="L43" s="1"/>
  <c r="H48" i="8"/>
  <c r="L42" i="3"/>
  <c r="H42"/>
  <c r="H43" s="1"/>
  <c r="G43"/>
  <c r="M38"/>
  <c r="M39"/>
  <c r="N48" i="8"/>
  <c r="N49" s="1"/>
  <c r="M42" i="3" l="1"/>
  <c r="M43" s="1"/>
  <c r="I48" i="8"/>
  <c r="I49" s="1"/>
  <c r="H49"/>
  <c r="N33" i="1"/>
  <c r="N39" s="1"/>
  <c r="C39"/>
  <c r="C42" s="1"/>
  <c r="E42" s="1"/>
  <c r="G42" s="1"/>
  <c r="H42" s="1"/>
  <c r="I42" s="1"/>
  <c r="J42" s="1"/>
  <c r="K42" s="1"/>
  <c r="L42" s="1"/>
  <c r="M42" s="1"/>
</calcChain>
</file>

<file path=xl/sharedStrings.xml><?xml version="1.0" encoding="utf-8"?>
<sst xmlns="http://schemas.openxmlformats.org/spreadsheetml/2006/main" count="442" uniqueCount="223">
  <si>
    <t>Dolar</t>
  </si>
  <si>
    <t>TOTAL</t>
  </si>
  <si>
    <t>Valor por pessoa</t>
  </si>
  <si>
    <t>Parcelas</t>
  </si>
  <si>
    <t>Cotação Dolar</t>
  </si>
  <si>
    <t>Passagens              (4p)</t>
  </si>
  <si>
    <t>Hospedagem        (18d)</t>
  </si>
  <si>
    <t>Seguro Viagem    (4p)</t>
  </si>
  <si>
    <t>Aluguel Carro (19d)</t>
  </si>
  <si>
    <t>U$</t>
  </si>
  <si>
    <t>Chip CELULAR</t>
  </si>
  <si>
    <t>Disney                     (2d)</t>
  </si>
  <si>
    <t>Universal                (3d)</t>
  </si>
  <si>
    <t>Busch Gardens     (3d)</t>
  </si>
  <si>
    <t>wonder works (1d)</t>
  </si>
  <si>
    <t>nasa (1d)</t>
  </si>
  <si>
    <t>Ripley's believe it or not (1d)</t>
  </si>
  <si>
    <t>Aquário Orlando (1d)</t>
  </si>
  <si>
    <t>COMPRA DOLAR</t>
  </si>
  <si>
    <t>TOTAIS</t>
  </si>
  <si>
    <t>VALOR PAGO</t>
  </si>
  <si>
    <t>SALDO RESTANTE</t>
  </si>
  <si>
    <t>Fatura Cartão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</si>
  <si>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</si>
  <si>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</si>
  <si>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</si>
  <si>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</si>
  <si>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</si>
  <si>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</si>
  <si>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</si>
  <si>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</si>
  <si>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</si>
  <si>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</si>
  <si>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Total</t>
  </si>
  <si>
    <t>Fatura do Cartão Crédito</t>
  </si>
  <si>
    <t>Valor da Viagem</t>
  </si>
  <si>
    <t>Valor pago da viagem</t>
  </si>
  <si>
    <t>PAGTO EM CARTÃO</t>
  </si>
  <si>
    <t>Valor</t>
  </si>
  <si>
    <t>Nº Parcela</t>
  </si>
  <si>
    <t>Total parcela</t>
  </si>
  <si>
    <t>Viagem</t>
  </si>
  <si>
    <t>Centauro Basqueteira Hellen</t>
  </si>
  <si>
    <t>Bom Preco Maquina de Lavar</t>
  </si>
  <si>
    <t>SMILE</t>
  </si>
  <si>
    <t>GOL passagem</t>
  </si>
  <si>
    <t>Ingresso wonder works (1d)</t>
  </si>
  <si>
    <t>Ingreso NASA</t>
  </si>
  <si>
    <t>Ingresso Ripley's believe it or not (1d)</t>
  </si>
  <si>
    <t>Ingresso Aquário Orlando (1d)</t>
  </si>
  <si>
    <t>Vinicius</t>
  </si>
  <si>
    <t>Katiane (Natal)</t>
  </si>
  <si>
    <t>1</t>
  </si>
  <si>
    <t>Taxa de Embarque</t>
  </si>
  <si>
    <t>Braservice Servico Carro</t>
  </si>
  <si>
    <t>Abastecimento Maragogi</t>
  </si>
  <si>
    <t>Saida Noturna</t>
  </si>
  <si>
    <t>OK</t>
  </si>
  <si>
    <t>Familia LIMA</t>
  </si>
  <si>
    <t>Familia SOUZA</t>
  </si>
  <si>
    <t>Passagens              (6p)</t>
  </si>
  <si>
    <t>Hospedagem        (15d)</t>
  </si>
  <si>
    <t>Seguro Viagem    (6p)</t>
  </si>
  <si>
    <t>Jogo NBA                (6p)</t>
  </si>
  <si>
    <t>Jogo NBA -&gt; IOF   (6,38%)</t>
  </si>
  <si>
    <t>Aluguel Carro</t>
  </si>
  <si>
    <t>Estacionamento Jogo NBA</t>
  </si>
  <si>
    <t>Disney                     (5d)</t>
  </si>
  <si>
    <t>Universal                (2d)</t>
  </si>
  <si>
    <t>Busch Gardens     (2d)</t>
  </si>
  <si>
    <t>Agosto</t>
  </si>
  <si>
    <t>Setembro</t>
  </si>
  <si>
    <t>Jogo NBA + IOF</t>
  </si>
  <si>
    <t>Crédito</t>
  </si>
  <si>
    <t>Valor a pagar</t>
  </si>
  <si>
    <t>Valor Pago</t>
  </si>
  <si>
    <t>PAGTO EM BOLETO</t>
  </si>
  <si>
    <t>Banco Brasil</t>
  </si>
  <si>
    <t>20.03</t>
  </si>
  <si>
    <t>Academia</t>
  </si>
  <si>
    <t>Banco Itau</t>
  </si>
  <si>
    <t>09.03</t>
  </si>
  <si>
    <t>NuBank</t>
  </si>
  <si>
    <t>25.03</t>
  </si>
  <si>
    <t>Cirurgia</t>
  </si>
  <si>
    <t>PAGO Maio/2017</t>
  </si>
  <si>
    <t>PAGO Abr/2017</t>
  </si>
  <si>
    <t>Marco</t>
  </si>
  <si>
    <t>PAGO Mar/2017</t>
  </si>
  <si>
    <t>Passagem</t>
  </si>
  <si>
    <t>Hospedagem</t>
  </si>
  <si>
    <t>Seguro</t>
  </si>
  <si>
    <t>Peixe</t>
  </si>
  <si>
    <t>Jogo</t>
  </si>
  <si>
    <t>PAGO Jan/2017</t>
  </si>
  <si>
    <t>Boleto Parque</t>
  </si>
  <si>
    <t>PAGO Fev/2017</t>
  </si>
  <si>
    <t>PROGRAMAÇÃO VIAGEM</t>
  </si>
  <si>
    <t>Dia</t>
  </si>
  <si>
    <t>Sem</t>
  </si>
  <si>
    <t>Programação</t>
  </si>
  <si>
    <t>Horario</t>
  </si>
  <si>
    <t>Saindo de Casa</t>
  </si>
  <si>
    <t>Voo Mcz - Gua</t>
  </si>
  <si>
    <t>Voo Gua - Mia</t>
  </si>
  <si>
    <t>Alfandega</t>
  </si>
  <si>
    <t>Hotel Miami - Comprar Comida</t>
  </si>
  <si>
    <t>Passeio Miami</t>
  </si>
  <si>
    <t>Viagem a Orlando</t>
  </si>
  <si>
    <t>Exposição Carro</t>
  </si>
  <si>
    <t>Walmart</t>
  </si>
  <si>
    <t>Parque Disney - Epcot</t>
  </si>
  <si>
    <t>Spaceship Earth</t>
  </si>
  <si>
    <t>09:35 a 10:35</t>
  </si>
  <si>
    <t>Mission Space</t>
  </si>
  <si>
    <t>13:15 a 14:15</t>
  </si>
  <si>
    <t>Soarin</t>
  </si>
  <si>
    <t>18:15 a 19:15</t>
  </si>
  <si>
    <t>Parque Disney - Hollywood</t>
  </si>
  <si>
    <t>Indiana Jones</t>
  </si>
  <si>
    <t>11:35 a 11:50</t>
  </si>
  <si>
    <t>Rock 'n' Roller</t>
  </si>
  <si>
    <t>15:45 a 16:45</t>
  </si>
  <si>
    <t>Tower of Terror</t>
  </si>
  <si>
    <t>16:50 a 17:50</t>
  </si>
  <si>
    <t>Parque Disney - Animal</t>
  </si>
  <si>
    <t>Kali River</t>
  </si>
  <si>
    <t>10:40 a 11:40</t>
  </si>
  <si>
    <t>Everest</t>
  </si>
  <si>
    <t>12:20 a 13:20</t>
  </si>
  <si>
    <t>Primeval Whirl</t>
  </si>
  <si>
    <t>14:00 a 15:00</t>
  </si>
  <si>
    <t>Compras em Kissime</t>
  </si>
  <si>
    <t>Outlet - Disney</t>
  </si>
  <si>
    <t>Hotel Banho e Janta</t>
  </si>
  <si>
    <t>Parque Disney - Magic Kingdom</t>
  </si>
  <si>
    <t>Big Thunder</t>
  </si>
  <si>
    <t>08:50 a 09:50</t>
  </si>
  <si>
    <t>Splash Mountain</t>
  </si>
  <si>
    <t>14:55 a 15:55</t>
  </si>
  <si>
    <t>Haunted Mansion</t>
  </si>
  <si>
    <t>17:50 a 18:50</t>
  </si>
  <si>
    <t>Parque SeaWorld - Aquático</t>
  </si>
  <si>
    <t>Passeio - Hotel</t>
  </si>
  <si>
    <t>Parque Universal - Adventure</t>
  </si>
  <si>
    <t>Parque Tampa - Busch gardens</t>
  </si>
  <si>
    <t>Compras - Best Buy</t>
  </si>
  <si>
    <t>Outlet - Kissime</t>
  </si>
  <si>
    <t>Shopping -Florida Mall</t>
  </si>
  <si>
    <t>Parque Universal - Studios</t>
  </si>
  <si>
    <t>Outlet - Universal</t>
  </si>
  <si>
    <t>Shopping Millenia</t>
  </si>
  <si>
    <t>Parque Disney - Despedida</t>
  </si>
  <si>
    <t>Peter Pan</t>
  </si>
  <si>
    <t>08:40 a 09:40</t>
  </si>
  <si>
    <t>Buz'z Lightyear</t>
  </si>
  <si>
    <t>16:15 a 17:15</t>
  </si>
  <si>
    <t>Space Mountain</t>
  </si>
  <si>
    <t>17:40 a 18:40</t>
  </si>
  <si>
    <t>Viagem Miami</t>
  </si>
  <si>
    <t>Visita a Miami Beach</t>
  </si>
  <si>
    <t>Voo Mia - Gua</t>
  </si>
  <si>
    <t>Voo Gua - Mcz</t>
  </si>
  <si>
    <t>Parque Universal</t>
  </si>
  <si>
    <t>2-Park 2-Day Park-to-Park Ticket</t>
  </si>
  <si>
    <t>https://portuguese.universalorlando.com//Ingressos/Ingressos-Para-Os-Parques.aspx?__source=ct.google.BrazilTicketsRemPOR&amp;s_kwcid=AL!4228!3!165192014782!c!!g!!__content__7963858594&amp;ef_id=V9l8vwAAACKS-CQl:20170130125116:s</t>
  </si>
  <si>
    <t>Parque Disney</t>
  </si>
  <si>
    <t>Busch Gardens</t>
  </si>
  <si>
    <t>2 Dias 2 parques</t>
  </si>
  <si>
    <t>Taxas</t>
  </si>
  <si>
    <t xml:space="preserve">R$ </t>
  </si>
  <si>
    <t>COTACAO</t>
  </si>
  <si>
    <t>iphone (7, 6Plus)</t>
  </si>
  <si>
    <t>tenis</t>
  </si>
  <si>
    <t>camisa</t>
  </si>
  <si>
    <t>calca</t>
  </si>
  <si>
    <t>short</t>
  </si>
  <si>
    <t>moleton</t>
  </si>
  <si>
    <t>Relogio</t>
  </si>
  <si>
    <t>Mala</t>
  </si>
  <si>
    <t>Bolsa</t>
  </si>
  <si>
    <t>Mochila</t>
  </si>
  <si>
    <t>Brinquedo</t>
  </si>
  <si>
    <t>Perfume/Cosmetico</t>
  </si>
  <si>
    <t>Lembrança</t>
  </si>
  <si>
    <t>ewerton</t>
  </si>
  <si>
    <t>katiane</t>
  </si>
  <si>
    <t>vinicius</t>
  </si>
  <si>
    <t>hellen</t>
  </si>
  <si>
    <t>Quant.</t>
  </si>
  <si>
    <t>R$</t>
  </si>
  <si>
    <t>ida</t>
  </si>
  <si>
    <t>volta</t>
  </si>
  <si>
    <t>SEA WORLD</t>
  </si>
  <si>
    <t>ORLANDO EYE</t>
  </si>
  <si>
    <t>SIMULADOR DE VOO</t>
  </si>
  <si>
    <t>AQUARIO FLORIDA</t>
  </si>
  <si>
    <t>RIPLEYS BELIEVE IT OR NOT</t>
  </si>
  <si>
    <t>CASA VIRADA</t>
  </si>
  <si>
    <t>NASA</t>
  </si>
  <si>
    <t>PROGRAMAÇÃO ORLANDO</t>
  </si>
  <si>
    <t>Magic Kingdom</t>
  </si>
  <si>
    <t>Hollywood Studios</t>
  </si>
  <si>
    <t>Bush Gardens Tampa</t>
  </si>
  <si>
    <t>Sea World</t>
  </si>
  <si>
    <t>Island of Adeventure</t>
  </si>
  <si>
    <t>Volcano Bay</t>
  </si>
  <si>
    <t>Universal Studios</t>
  </si>
  <si>
    <t>Retorno a Miami</t>
  </si>
  <si>
    <t>Hospedagem Orlando</t>
  </si>
  <si>
    <t>Chegada em Miami e Viagem a Orlando</t>
  </si>
  <si>
    <t>Celebration + Shopping + Casa + Walmart</t>
  </si>
  <si>
    <t>Compras das 10:00 as 22:00</t>
  </si>
  <si>
    <t>Aquatica + Noite Livre</t>
  </si>
  <si>
    <t>NASA + Noite Livre</t>
  </si>
  <si>
    <t>DIA</t>
  </si>
  <si>
    <t>EWERTON</t>
  </si>
  <si>
    <t>CESAR</t>
  </si>
  <si>
    <t>IDEM</t>
  </si>
  <si>
    <t>EPCOT</t>
  </si>
  <si>
    <t>Stand de Tiro + Luta (WWE)</t>
  </si>
  <si>
    <t>Wonderworks + Aquario + (Museu Cera, Boliche)</t>
  </si>
  <si>
    <t>LIVRE + Passeio Kissimme</t>
  </si>
</sst>
</file>

<file path=xl/styles.xml><?xml version="1.0" encoding="utf-8"?>
<styleSheet xmlns="http://schemas.openxmlformats.org/spreadsheetml/2006/main">
  <numFmts count="6">
    <numFmt numFmtId="164" formatCode="_-* #,##0.00_-;\-* #,##0.00_-;_-* \-??_-;_-@_-"/>
    <numFmt numFmtId="165" formatCode="d/mmm"/>
    <numFmt numFmtId="166" formatCode="mmmm"/>
    <numFmt numFmtId="167" formatCode="ddd"/>
    <numFmt numFmtId="168" formatCode="_-* #,##0.000_-;\-* #,##0.000_-;_-* \-??_-;_-@_-"/>
    <numFmt numFmtId="169" formatCode="dd"/>
  </numFmts>
  <fonts count="18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FF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17375E"/>
      <name val="Calibri"/>
      <family val="2"/>
      <charset val="1"/>
    </font>
    <font>
      <sz val="12.1"/>
      <color rgb="FF000000"/>
      <name val="Calibri"/>
      <family val="2"/>
      <charset val="1"/>
    </font>
    <font>
      <sz val="12.1"/>
      <color rgb="FF000000"/>
      <name val="Arial"/>
      <family val="2"/>
      <charset val="1"/>
    </font>
    <font>
      <b/>
      <sz val="12.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B05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DDDDD"/>
        <bgColor rgb="FFC6D9F1"/>
      </patternFill>
    </fill>
    <fill>
      <patternFill patternType="solid">
        <fgColor rgb="FFEBF1DE"/>
        <bgColor rgb="FFEEECE1"/>
      </patternFill>
    </fill>
    <fill>
      <patternFill patternType="solid">
        <fgColor rgb="FFFDEADA"/>
        <bgColor rgb="FFEEECE1"/>
      </patternFill>
    </fill>
    <fill>
      <patternFill patternType="solid">
        <fgColor rgb="FFC6D9F1"/>
        <bgColor rgb="FFDDDDDD"/>
      </patternFill>
    </fill>
    <fill>
      <patternFill patternType="solid">
        <fgColor rgb="FFDBEEF4"/>
        <bgColor rgb="FFEBF1DE"/>
      </patternFill>
    </fill>
    <fill>
      <patternFill patternType="solid">
        <fgColor rgb="FFFFFFFF"/>
        <bgColor rgb="FFFFFFCC"/>
      </patternFill>
    </fill>
    <fill>
      <patternFill patternType="solid">
        <fgColor rgb="FFEEECE1"/>
        <bgColor rgb="FFEBF1DE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4" fontId="15" fillId="0" borderId="0" applyBorder="0" applyProtection="0"/>
    <xf numFmtId="0" fontId="3" fillId="0" borderId="0" applyBorder="0" applyProtection="0"/>
    <xf numFmtId="0" fontId="1" fillId="2" borderId="0" applyBorder="0" applyProtection="0"/>
  </cellStyleXfs>
  <cellXfs count="92">
    <xf numFmtId="0" fontId="0" fillId="0" borderId="0" xfId="0"/>
    <xf numFmtId="0" fontId="0" fillId="0" borderId="0" xfId="0" applyFont="1" applyAlignment="1">
      <alignment horizontal="right"/>
    </xf>
    <xf numFmtId="0" fontId="2" fillId="3" borderId="1" xfId="0" applyFont="1" applyFill="1" applyBorder="1"/>
    <xf numFmtId="164" fontId="0" fillId="0" borderId="0" xfId="1" applyFont="1" applyBorder="1" applyAlignment="1" applyProtection="1"/>
    <xf numFmtId="0" fontId="3" fillId="0" borderId="0" xfId="2" applyFont="1" applyBorder="1" applyAlignment="1" applyProtection="1"/>
    <xf numFmtId="0" fontId="0" fillId="0" borderId="0" xfId="0" applyFont="1"/>
    <xf numFmtId="0" fontId="2" fillId="4" borderId="0" xfId="0" applyFont="1" applyFill="1"/>
    <xf numFmtId="164" fontId="2" fillId="4" borderId="0" xfId="1" applyFont="1" applyFill="1" applyBorder="1" applyAlignment="1" applyProtection="1"/>
    <xf numFmtId="0" fontId="2" fillId="4" borderId="0" xfId="0" applyFont="1" applyFill="1" applyAlignment="1">
      <alignment horizontal="right"/>
    </xf>
    <xf numFmtId="0" fontId="0" fillId="0" borderId="1" xfId="0" applyFont="1" applyBorder="1"/>
    <xf numFmtId="4" fontId="0" fillId="0" borderId="1" xfId="0" applyNumberFormat="1" applyBorder="1"/>
    <xf numFmtId="0" fontId="0" fillId="0" borderId="1" xfId="0" applyFont="1" applyBorder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5" borderId="0" xfId="0" applyFont="1" applyFill="1"/>
    <xf numFmtId="164" fontId="2" fillId="5" borderId="0" xfId="1" applyFont="1" applyFill="1" applyBorder="1" applyAlignment="1" applyProtection="1"/>
    <xf numFmtId="164" fontId="0" fillId="0" borderId="0" xfId="0" applyNumberFormat="1"/>
    <xf numFmtId="164" fontId="0" fillId="0" borderId="0" xfId="0" applyNumberFormat="1" applyFont="1"/>
    <xf numFmtId="4" fontId="0" fillId="0" borderId="1" xfId="0" applyNumberFormat="1" applyFont="1" applyBorder="1"/>
    <xf numFmtId="0" fontId="2" fillId="0" borderId="0" xfId="0" applyFont="1" applyBorder="1" applyAlignment="1">
      <alignment horizontal="right" indent="1"/>
    </xf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5" fillId="5" borderId="0" xfId="0" applyFont="1" applyFill="1" applyBorder="1" applyAlignment="1">
      <alignment horizontal="right" indent="1"/>
    </xf>
    <xf numFmtId="164" fontId="5" fillId="5" borderId="0" xfId="0" applyNumberFormat="1" applyFont="1" applyFill="1"/>
    <xf numFmtId="0" fontId="5" fillId="5" borderId="0" xfId="0" applyFont="1" applyFill="1"/>
    <xf numFmtId="165" fontId="2" fillId="0" borderId="0" xfId="0" applyNumberFormat="1" applyFont="1"/>
    <xf numFmtId="166" fontId="2" fillId="0" borderId="0" xfId="0" applyNumberFormat="1" applyFont="1"/>
    <xf numFmtId="3" fontId="0" fillId="0" borderId="0" xfId="1" applyNumberFormat="1" applyFont="1" applyBorder="1" applyAlignment="1" applyProtection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Alignment="1"/>
    <xf numFmtId="164" fontId="0" fillId="0" borderId="0" xfId="0" applyNumberFormat="1" applyAlignment="1"/>
    <xf numFmtId="0" fontId="2" fillId="4" borderId="0" xfId="0" applyFont="1" applyFill="1" applyBorder="1"/>
    <xf numFmtId="164" fontId="2" fillId="4" borderId="0" xfId="0" applyNumberFormat="1" applyFont="1" applyFill="1"/>
    <xf numFmtId="0" fontId="2" fillId="3" borderId="0" xfId="0" applyFont="1" applyFill="1" applyBorder="1"/>
    <xf numFmtId="0" fontId="2" fillId="0" borderId="0" xfId="0" applyFont="1" applyBorder="1"/>
    <xf numFmtId="0" fontId="6" fillId="5" borderId="0" xfId="0" applyFont="1" applyFill="1"/>
    <xf numFmtId="164" fontId="5" fillId="5" borderId="0" xfId="1" applyFont="1" applyFill="1" applyBorder="1" applyAlignment="1" applyProtection="1"/>
    <xf numFmtId="165" fontId="0" fillId="0" borderId="0" xfId="0" applyNumberFormat="1"/>
    <xf numFmtId="0" fontId="0" fillId="0" borderId="0" xfId="0" applyAlignment="1">
      <alignment horizontal="center"/>
    </xf>
    <xf numFmtId="0" fontId="2" fillId="6" borderId="2" xfId="0" applyFont="1" applyFill="1" applyBorder="1"/>
    <xf numFmtId="167" fontId="0" fillId="0" borderId="0" xfId="0" applyNumberFormat="1"/>
    <xf numFmtId="20" fontId="0" fillId="0" borderId="0" xfId="0" applyNumberFormat="1" applyAlignment="1">
      <alignment horizontal="center"/>
    </xf>
    <xf numFmtId="20" fontId="0" fillId="0" borderId="0" xfId="0" applyNumberFormat="1"/>
    <xf numFmtId="2" fontId="0" fillId="0" borderId="0" xfId="0" applyNumberFormat="1"/>
    <xf numFmtId="0" fontId="8" fillId="0" borderId="0" xfId="0" applyFont="1"/>
    <xf numFmtId="20" fontId="8" fillId="0" borderId="0" xfId="0" applyNumberFormat="1" applyFont="1" applyAlignment="1">
      <alignment horizontal="center"/>
    </xf>
    <xf numFmtId="165" fontId="0" fillId="7" borderId="0" xfId="0" applyNumberFormat="1" applyFill="1"/>
    <xf numFmtId="167" fontId="0" fillId="7" borderId="0" xfId="0" applyNumberFormat="1" applyFill="1"/>
    <xf numFmtId="20" fontId="8" fillId="7" borderId="0" xfId="0" applyNumberFormat="1" applyFont="1" applyFill="1" applyAlignment="1">
      <alignment horizontal="center"/>
    </xf>
    <xf numFmtId="0" fontId="0" fillId="7" borderId="0" xfId="0" applyFill="1"/>
    <xf numFmtId="20" fontId="0" fillId="7" borderId="0" xfId="0" applyNumberFormat="1" applyFill="1" applyAlignment="1">
      <alignment horizontal="center"/>
    </xf>
    <xf numFmtId="0" fontId="2" fillId="7" borderId="0" xfId="0" applyFont="1" applyFill="1"/>
    <xf numFmtId="20" fontId="2" fillId="7" borderId="0" xfId="0" applyNumberFormat="1" applyFont="1" applyFill="1" applyAlignment="1">
      <alignment horizontal="center"/>
    </xf>
    <xf numFmtId="165" fontId="0" fillId="6" borderId="0" xfId="0" applyNumberFormat="1" applyFill="1"/>
    <xf numFmtId="167" fontId="0" fillId="6" borderId="0" xfId="0" applyNumberFormat="1" applyFill="1"/>
    <xf numFmtId="0" fontId="0" fillId="6" borderId="0" xfId="0" applyFont="1" applyFill="1"/>
    <xf numFmtId="20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0" fillId="0" borderId="0" xfId="1" applyFont="1" applyBorder="1" applyAlignment="1" applyProtection="1">
      <alignment horizontal="right"/>
    </xf>
    <xf numFmtId="0" fontId="9" fillId="0" borderId="0" xfId="0" applyFont="1" applyBorder="1"/>
    <xf numFmtId="0" fontId="9" fillId="0" borderId="0" xfId="0" applyFont="1" applyBorder="1" applyAlignment="1">
      <alignment horizontal="right"/>
    </xf>
    <xf numFmtId="0" fontId="10" fillId="0" borderId="0" xfId="0" applyFont="1" applyBorder="1" applyAlignment="1">
      <alignment wrapText="1"/>
    </xf>
    <xf numFmtId="0" fontId="10" fillId="8" borderId="2" xfId="0" applyFont="1" applyFill="1" applyBorder="1" applyAlignment="1">
      <alignment wrapText="1"/>
    </xf>
    <xf numFmtId="0" fontId="11" fillId="8" borderId="2" xfId="0" applyFont="1" applyFill="1" applyBorder="1"/>
    <xf numFmtId="0" fontId="12" fillId="0" borderId="0" xfId="0" applyFont="1" applyBorder="1" applyAlignment="1">
      <alignment wrapText="1"/>
    </xf>
    <xf numFmtId="0" fontId="13" fillId="0" borderId="0" xfId="0" applyFont="1" applyBorder="1" applyAlignment="1">
      <alignment horizontal="right"/>
    </xf>
    <xf numFmtId="164" fontId="14" fillId="0" borderId="0" xfId="1" applyFont="1" applyBorder="1" applyAlignment="1" applyProtection="1">
      <alignment wrapText="1"/>
    </xf>
    <xf numFmtId="0" fontId="9" fillId="0" borderId="1" xfId="0" applyFont="1" applyBorder="1"/>
    <xf numFmtId="0" fontId="13" fillId="0" borderId="1" xfId="0" applyFont="1" applyBorder="1" applyAlignment="1">
      <alignment horizontal="right"/>
    </xf>
    <xf numFmtId="164" fontId="14" fillId="0" borderId="1" xfId="1" applyFont="1" applyBorder="1" applyAlignment="1" applyProtection="1">
      <alignment horizontal="right"/>
    </xf>
    <xf numFmtId="0" fontId="12" fillId="0" borderId="0" xfId="0" applyFont="1" applyBorder="1" applyAlignment="1">
      <alignment horizontal="right"/>
    </xf>
    <xf numFmtId="164" fontId="12" fillId="0" borderId="0" xfId="1" applyFont="1" applyBorder="1" applyAlignment="1" applyProtection="1">
      <alignment horizontal="right"/>
    </xf>
    <xf numFmtId="164" fontId="12" fillId="0" borderId="0" xfId="0" applyNumberFormat="1" applyFont="1"/>
    <xf numFmtId="164" fontId="0" fillId="0" borderId="1" xfId="1" applyFont="1" applyBorder="1" applyAlignment="1" applyProtection="1"/>
    <xf numFmtId="164" fontId="16" fillId="0" borderId="0" xfId="1" applyFont="1" applyBorder="1" applyAlignment="1" applyProtection="1"/>
    <xf numFmtId="164" fontId="15" fillId="0" borderId="1" xfId="1" applyBorder="1"/>
    <xf numFmtId="168" fontId="15" fillId="0" borderId="0" xfId="1" applyNumberFormat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14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 indent="1"/>
    </xf>
    <xf numFmtId="0" fontId="17" fillId="0" borderId="0" xfId="0" applyFont="1"/>
    <xf numFmtId="0" fontId="2" fillId="3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</cellXfs>
  <cellStyles count="4">
    <cellStyle name="Hyperlink" xfId="2" builtinId="8"/>
    <cellStyle name="Normal" xfId="0" builtinId="0"/>
    <cellStyle name="Separador de milhares" xfId="1" builtinId="3"/>
    <cellStyle name="Texto Explicativo" xfId="3" builtinId="53" customBuiltin="1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EEECE1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portuguese.universalorlando.com/Ingressos/Ingressos-Para-Os-Parques.aspx?__source=ct.google.BrazilTicketsRemPOR&amp;s_kwcid=AL!4228!3!165192014782!c!!g!!__content__7963858594&amp;ef_id=V9l8vwAAACKS-CQl:20170130125116: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6"/>
  <sheetViews>
    <sheetView tabSelected="1" topLeftCell="B1" zoomScaleNormal="100" workbookViewId="0">
      <selection activeCell="K7" sqref="K7"/>
    </sheetView>
  </sheetViews>
  <sheetFormatPr defaultRowHeight="15"/>
  <cols>
    <col min="1" max="1" width="26.28515625" customWidth="1"/>
    <col min="2" max="2" width="12" customWidth="1"/>
    <col min="3" max="3" width="13.7109375" customWidth="1"/>
    <col min="4" max="4" width="6.5703125" hidden="1" customWidth="1"/>
    <col min="5" max="5" width="13.85546875" customWidth="1"/>
    <col min="6" max="6" width="6.7109375" hidden="1" customWidth="1"/>
    <col min="7" max="7" width="11" customWidth="1"/>
    <col min="8" max="8" width="12.42578125" customWidth="1"/>
    <col min="9" max="9" width="11.7109375" customWidth="1"/>
    <col min="10" max="10" width="11.28515625" customWidth="1"/>
    <col min="11" max="11" width="14" customWidth="1"/>
    <col min="12" max="12" width="13.85546875" customWidth="1"/>
    <col min="13" max="13" width="18.140625" customWidth="1"/>
    <col min="14" max="14" width="12.42578125" customWidth="1"/>
    <col min="15" max="15" width="9.5703125" customWidth="1"/>
    <col min="16" max="1024" width="8.7109375" customWidth="1"/>
  </cols>
  <sheetData>
    <row r="1" spans="1:17">
      <c r="J1" s="87" t="s">
        <v>200</v>
      </c>
      <c r="K1" s="87"/>
      <c r="L1" s="87"/>
      <c r="M1" s="87"/>
      <c r="N1" s="87"/>
    </row>
    <row r="2" spans="1:17" ht="15.75" thickBot="1">
      <c r="E2" s="1" t="s">
        <v>0</v>
      </c>
      <c r="J2" s="82" t="s">
        <v>215</v>
      </c>
      <c r="K2" s="88" t="s">
        <v>216</v>
      </c>
      <c r="L2" s="88"/>
      <c r="M2" s="88"/>
      <c r="N2" s="81" t="s">
        <v>217</v>
      </c>
    </row>
    <row r="3" spans="1:17" ht="15.75" thickTop="1">
      <c r="J3" s="84">
        <v>43568</v>
      </c>
      <c r="K3" s="44">
        <f t="shared" ref="K3:K22" si="0">J3</f>
        <v>43568</v>
      </c>
      <c r="L3" s="85" t="s">
        <v>210</v>
      </c>
      <c r="N3" t="s">
        <v>218</v>
      </c>
    </row>
    <row r="4" spans="1:17" ht="15.75" thickBot="1">
      <c r="A4" s="2"/>
      <c r="B4" s="2" t="s">
        <v>1</v>
      </c>
      <c r="C4" s="2" t="s">
        <v>2</v>
      </c>
      <c r="D4" s="2">
        <v>4</v>
      </c>
      <c r="E4" s="2"/>
      <c r="F4" s="2"/>
      <c r="G4" s="2" t="s">
        <v>3</v>
      </c>
      <c r="H4" s="2" t="s">
        <v>4</v>
      </c>
      <c r="J4" s="84">
        <v>43569</v>
      </c>
      <c r="K4" s="44">
        <f t="shared" si="0"/>
        <v>43569</v>
      </c>
      <c r="L4" s="85" t="s">
        <v>211</v>
      </c>
      <c r="N4" t="s">
        <v>218</v>
      </c>
    </row>
    <row r="5" spans="1:17" ht="15.75" thickTop="1">
      <c r="A5" t="s">
        <v>5</v>
      </c>
      <c r="B5" s="78">
        <v>6312</v>
      </c>
      <c r="C5" s="3">
        <f>B5/4</f>
        <v>1578</v>
      </c>
      <c r="D5" s="3"/>
      <c r="G5">
        <v>5</v>
      </c>
      <c r="J5" s="84">
        <v>43570</v>
      </c>
      <c r="K5" s="44">
        <f t="shared" si="0"/>
        <v>43570</v>
      </c>
      <c r="L5" s="85" t="s">
        <v>212</v>
      </c>
      <c r="N5" t="s">
        <v>218</v>
      </c>
    </row>
    <row r="6" spans="1:17">
      <c r="A6" t="s">
        <v>6</v>
      </c>
      <c r="B6" s="78">
        <f>4000+500</f>
        <v>4500</v>
      </c>
      <c r="C6" s="3">
        <f>B6/4</f>
        <v>1125</v>
      </c>
      <c r="D6" s="3"/>
      <c r="E6">
        <v>8000</v>
      </c>
      <c r="G6">
        <v>8</v>
      </c>
      <c r="J6" s="84">
        <v>43571</v>
      </c>
      <c r="K6" s="44">
        <f t="shared" si="0"/>
        <v>43571</v>
      </c>
      <c r="L6" s="85" t="s">
        <v>202</v>
      </c>
      <c r="N6" t="s">
        <v>218</v>
      </c>
    </row>
    <row r="7" spans="1:17">
      <c r="A7" t="s">
        <v>7</v>
      </c>
      <c r="B7" s="78">
        <v>742</v>
      </c>
      <c r="C7" s="3">
        <f>B7/4</f>
        <v>185.5</v>
      </c>
      <c r="D7" s="3"/>
      <c r="G7">
        <v>5</v>
      </c>
      <c r="J7" s="84">
        <v>43572</v>
      </c>
      <c r="K7" s="44">
        <f t="shared" si="0"/>
        <v>43572</v>
      </c>
      <c r="L7" s="85" t="s">
        <v>213</v>
      </c>
      <c r="N7" t="s">
        <v>218</v>
      </c>
    </row>
    <row r="8" spans="1:17">
      <c r="A8" s="5" t="s">
        <v>8</v>
      </c>
      <c r="B8" s="3">
        <f>E8*4</f>
        <v>3600</v>
      </c>
      <c r="C8" s="3">
        <v>145</v>
      </c>
      <c r="D8" s="5"/>
      <c r="E8" s="1">
        <v>900</v>
      </c>
      <c r="F8" s="5">
        <v>968</v>
      </c>
      <c r="G8">
        <v>8</v>
      </c>
      <c r="H8">
        <v>3.22</v>
      </c>
      <c r="J8" s="84">
        <v>43573</v>
      </c>
      <c r="K8" s="44">
        <f t="shared" si="0"/>
        <v>43573</v>
      </c>
      <c r="L8" s="85" t="s">
        <v>201</v>
      </c>
      <c r="N8" t="s">
        <v>218</v>
      </c>
    </row>
    <row r="9" spans="1:17">
      <c r="A9" s="6" t="s">
        <v>10</v>
      </c>
      <c r="B9" s="7">
        <f>C9*H9</f>
        <v>62.250000000000007</v>
      </c>
      <c r="C9" s="7">
        <v>15</v>
      </c>
      <c r="D9" s="7"/>
      <c r="E9" s="8" t="s">
        <v>9</v>
      </c>
      <c r="F9" s="6">
        <v>100</v>
      </c>
      <c r="G9">
        <v>1</v>
      </c>
      <c r="H9">
        <v>4.1500000000000004</v>
      </c>
      <c r="J9" s="84">
        <v>43574</v>
      </c>
      <c r="K9" s="44">
        <f t="shared" si="0"/>
        <v>43574</v>
      </c>
      <c r="L9" s="85" t="s">
        <v>212</v>
      </c>
      <c r="N9" t="s">
        <v>218</v>
      </c>
      <c r="Q9" s="83"/>
    </row>
    <row r="10" spans="1:17">
      <c r="A10" s="5" t="s">
        <v>11</v>
      </c>
      <c r="B10" s="78">
        <v>3983.56</v>
      </c>
      <c r="C10" s="3">
        <f>B10/4</f>
        <v>995.89</v>
      </c>
      <c r="D10" s="3"/>
      <c r="E10" s="1">
        <v>992.12</v>
      </c>
      <c r="F10" s="5">
        <v>360.04</v>
      </c>
      <c r="G10">
        <v>4</v>
      </c>
      <c r="H10">
        <v>4.0149999999999997</v>
      </c>
      <c r="I10">
        <f>E10*H10</f>
        <v>3983.3617999999997</v>
      </c>
      <c r="J10" s="84">
        <v>43575</v>
      </c>
      <c r="K10" s="44">
        <f t="shared" si="0"/>
        <v>43575</v>
      </c>
      <c r="L10" s="85" t="s">
        <v>221</v>
      </c>
      <c r="N10" t="s">
        <v>218</v>
      </c>
    </row>
    <row r="11" spans="1:17">
      <c r="A11" s="5" t="s">
        <v>12</v>
      </c>
      <c r="B11" s="78">
        <v>4416</v>
      </c>
      <c r="C11" s="3">
        <v>1290</v>
      </c>
      <c r="D11" s="3"/>
      <c r="E11" s="1">
        <v>1300</v>
      </c>
      <c r="F11" s="5">
        <v>245.25</v>
      </c>
      <c r="G11">
        <v>4</v>
      </c>
      <c r="H11">
        <v>3.31</v>
      </c>
      <c r="J11" s="84">
        <v>43576</v>
      </c>
      <c r="K11" s="44">
        <f t="shared" si="0"/>
        <v>43576</v>
      </c>
      <c r="L11" s="85" t="s">
        <v>222</v>
      </c>
      <c r="N11" t="s">
        <v>218</v>
      </c>
    </row>
    <row r="12" spans="1:17">
      <c r="A12" s="5" t="s">
        <v>13</v>
      </c>
      <c r="B12" s="78">
        <v>1757.85</v>
      </c>
      <c r="C12" s="3">
        <f>B12/4</f>
        <v>439.46249999999998</v>
      </c>
      <c r="D12" s="3"/>
      <c r="E12" s="1">
        <v>440</v>
      </c>
      <c r="F12" s="5">
        <v>117.21</v>
      </c>
      <c r="G12">
        <v>5</v>
      </c>
      <c r="H12">
        <v>3.31</v>
      </c>
      <c r="I12">
        <f>E12*4</f>
        <v>1760</v>
      </c>
      <c r="J12" s="84">
        <v>43577</v>
      </c>
      <c r="K12" s="44">
        <f t="shared" si="0"/>
        <v>43577</v>
      </c>
      <c r="L12" s="85" t="s">
        <v>214</v>
      </c>
      <c r="N12" t="s">
        <v>218</v>
      </c>
    </row>
    <row r="13" spans="1:17">
      <c r="A13" s="5" t="s">
        <v>14</v>
      </c>
      <c r="B13" s="3">
        <f>C13*4</f>
        <v>512</v>
      </c>
      <c r="C13" s="3">
        <f>E13*4</f>
        <v>128</v>
      </c>
      <c r="D13" s="3"/>
      <c r="E13" s="1">
        <v>32</v>
      </c>
      <c r="F13" s="5"/>
      <c r="G13">
        <v>1</v>
      </c>
      <c r="J13" s="84">
        <v>43578</v>
      </c>
      <c r="K13" s="44">
        <f t="shared" si="0"/>
        <v>43578</v>
      </c>
      <c r="L13" s="85" t="s">
        <v>212</v>
      </c>
      <c r="N13" t="s">
        <v>218</v>
      </c>
    </row>
    <row r="14" spans="1:17">
      <c r="A14" s="5" t="s">
        <v>15</v>
      </c>
      <c r="B14" s="3">
        <f>C14*4</f>
        <v>992</v>
      </c>
      <c r="C14" s="3">
        <f>E14*4</f>
        <v>248</v>
      </c>
      <c r="D14" s="3"/>
      <c r="E14" s="1">
        <v>62</v>
      </c>
      <c r="F14" s="5"/>
      <c r="G14">
        <v>2</v>
      </c>
      <c r="J14" s="84">
        <v>43579</v>
      </c>
      <c r="K14" s="44">
        <f t="shared" si="0"/>
        <v>43579</v>
      </c>
      <c r="L14" s="85" t="s">
        <v>203</v>
      </c>
      <c r="N14" t="s">
        <v>218</v>
      </c>
    </row>
    <row r="15" spans="1:17">
      <c r="A15" s="5" t="s">
        <v>16</v>
      </c>
      <c r="B15" s="3">
        <f>C15*4</f>
        <v>400</v>
      </c>
      <c r="C15" s="3">
        <f>E15*4</f>
        <v>100</v>
      </c>
      <c r="D15" s="3"/>
      <c r="E15" s="1">
        <v>25</v>
      </c>
      <c r="F15" s="5"/>
      <c r="G15">
        <v>1</v>
      </c>
      <c r="J15" s="84">
        <v>43580</v>
      </c>
      <c r="K15" s="44">
        <f t="shared" si="0"/>
        <v>43580</v>
      </c>
      <c r="L15" s="85" t="s">
        <v>204</v>
      </c>
      <c r="N15" t="s">
        <v>218</v>
      </c>
    </row>
    <row r="16" spans="1:17">
      <c r="A16" s="5" t="s">
        <v>17</v>
      </c>
      <c r="B16" s="3">
        <f>C16*4</f>
        <v>480</v>
      </c>
      <c r="C16" s="3">
        <f>E16*4</f>
        <v>120</v>
      </c>
      <c r="D16" s="3"/>
      <c r="E16" s="1">
        <v>30</v>
      </c>
      <c r="F16" s="5"/>
      <c r="G16">
        <v>1</v>
      </c>
      <c r="J16" s="84">
        <v>43581</v>
      </c>
      <c r="K16" s="44">
        <f t="shared" si="0"/>
        <v>43581</v>
      </c>
      <c r="L16" s="85" t="s">
        <v>220</v>
      </c>
      <c r="N16" t="s">
        <v>218</v>
      </c>
    </row>
    <row r="17" spans="1:15" ht="15.75" thickBot="1">
      <c r="A17" s="9" t="s">
        <v>18</v>
      </c>
      <c r="B17" s="10">
        <f>SUM(B38:M38)</f>
        <v>11725</v>
      </c>
      <c r="C17" s="9">
        <v>3000</v>
      </c>
      <c r="D17" s="9"/>
      <c r="E17" s="11" t="s">
        <v>9</v>
      </c>
      <c r="F17" s="9"/>
      <c r="G17">
        <v>1</v>
      </c>
      <c r="H17" s="80">
        <f>B17/C17</f>
        <v>3.9083333333333332</v>
      </c>
      <c r="J17" s="84">
        <v>43582</v>
      </c>
      <c r="K17" s="44">
        <f t="shared" si="0"/>
        <v>43582</v>
      </c>
      <c r="L17" s="85" t="s">
        <v>205</v>
      </c>
      <c r="N17" t="s">
        <v>218</v>
      </c>
    </row>
    <row r="18" spans="1:15" ht="15.75" thickTop="1">
      <c r="A18" s="12" t="s">
        <v>19</v>
      </c>
      <c r="B18" s="13">
        <f>SUM(B5:B17)</f>
        <v>39482.660000000003</v>
      </c>
      <c r="C18" s="13">
        <f>B18/4</f>
        <v>9870.6650000000009</v>
      </c>
      <c r="D18" s="13"/>
      <c r="E18" s="14" t="s">
        <v>9</v>
      </c>
      <c r="F18" s="13">
        <f>SUM(F5:F17)</f>
        <v>1790.5</v>
      </c>
      <c r="J18" s="84">
        <v>43583</v>
      </c>
      <c r="K18" s="44">
        <f t="shared" si="0"/>
        <v>43583</v>
      </c>
      <c r="L18" s="85" t="s">
        <v>212</v>
      </c>
      <c r="N18" t="s">
        <v>218</v>
      </c>
    </row>
    <row r="19" spans="1:15">
      <c r="A19" s="15"/>
      <c r="B19" s="16"/>
      <c r="C19" s="16"/>
      <c r="D19" s="16"/>
      <c r="E19" s="16"/>
      <c r="F19" s="5"/>
      <c r="G19" s="17"/>
      <c r="J19" s="84">
        <v>43584</v>
      </c>
      <c r="K19" s="44">
        <f t="shared" si="0"/>
        <v>43584</v>
      </c>
      <c r="L19" s="85" t="s">
        <v>206</v>
      </c>
      <c r="N19" s="86" t="s">
        <v>219</v>
      </c>
    </row>
    <row r="20" spans="1:15">
      <c r="A20" s="18" t="s">
        <v>20</v>
      </c>
      <c r="B20" s="19">
        <f>SUM(B46:M46)</f>
        <v>29809.97</v>
      </c>
      <c r="C20" s="15"/>
      <c r="D20" s="15"/>
      <c r="E20" s="15"/>
      <c r="F20" s="15"/>
      <c r="G20" s="15"/>
      <c r="I20" s="15"/>
      <c r="J20" s="84">
        <v>43585</v>
      </c>
      <c r="K20" s="44">
        <f t="shared" si="0"/>
        <v>43585</v>
      </c>
      <c r="L20" s="85" t="s">
        <v>207</v>
      </c>
      <c r="M20" s="15"/>
      <c r="N20" t="s">
        <v>218</v>
      </c>
    </row>
    <row r="21" spans="1:15">
      <c r="J21" s="84">
        <v>43586</v>
      </c>
      <c r="K21" s="44">
        <f t="shared" si="0"/>
        <v>43586</v>
      </c>
      <c r="L21" s="85" t="s">
        <v>212</v>
      </c>
      <c r="N21" t="s">
        <v>218</v>
      </c>
    </row>
    <row r="22" spans="1:15">
      <c r="A22" t="s">
        <v>21</v>
      </c>
      <c r="B22" s="20">
        <f>B18-B20</f>
        <v>9672.6900000000023</v>
      </c>
      <c r="E22" s="15"/>
      <c r="J22" s="84">
        <v>43587</v>
      </c>
      <c r="K22" s="44">
        <f t="shared" si="0"/>
        <v>43587</v>
      </c>
      <c r="L22" s="85" t="s">
        <v>208</v>
      </c>
      <c r="N22" t="s">
        <v>218</v>
      </c>
    </row>
    <row r="24" spans="1:15">
      <c r="A24" s="15" t="s">
        <v>22</v>
      </c>
    </row>
    <row r="25" spans="1:15" ht="15.75" thickBot="1">
      <c r="A25" s="2"/>
      <c r="B25" s="2" t="s">
        <v>23</v>
      </c>
      <c r="C25" s="2" t="s">
        <v>24</v>
      </c>
      <c r="D25" s="9"/>
      <c r="E25" s="2" t="s">
        <v>25</v>
      </c>
      <c r="F25" s="9"/>
      <c r="G25" s="2" t="s">
        <v>26</v>
      </c>
      <c r="H25" s="2" t="s">
        <v>27</v>
      </c>
      <c r="I25" s="2" t="s">
        <v>28</v>
      </c>
      <c r="J25" s="2" t="s">
        <v>29</v>
      </c>
      <c r="K25" s="2" t="s">
        <v>30</v>
      </c>
      <c r="L25" s="2" t="s">
        <v>31</v>
      </c>
      <c r="M25" s="2" t="s">
        <v>32</v>
      </c>
      <c r="N25" s="2" t="s">
        <v>33</v>
      </c>
    </row>
    <row r="26" spans="1:15" ht="15.75" thickTop="1">
      <c r="A26" t="str">
        <f t="shared" ref="A26:A38" si="1">A5</f>
        <v>Passagens              (4p)</v>
      </c>
      <c r="B26" s="20">
        <f>1719.8+(B5-1719.8)/G5</f>
        <v>2638.24</v>
      </c>
      <c r="C26" s="21">
        <f>(B5-1719.8)/G5</f>
        <v>918.43999999999994</v>
      </c>
      <c r="E26" s="20">
        <f>C26</f>
        <v>918.43999999999994</v>
      </c>
      <c r="G26" s="20">
        <f>E26</f>
        <v>918.43999999999994</v>
      </c>
      <c r="H26" s="20">
        <f>G26</f>
        <v>918.43999999999994</v>
      </c>
      <c r="I26" s="20"/>
      <c r="J26" s="20"/>
      <c r="K26" s="20"/>
      <c r="L26" s="20"/>
      <c r="M26" s="20"/>
      <c r="N26" s="20">
        <f t="shared" ref="N26:N38" si="2">SUM(B26:M26)</f>
        <v>6311.9999999999991</v>
      </c>
    </row>
    <row r="27" spans="1:15">
      <c r="A27" t="str">
        <f t="shared" si="1"/>
        <v>Hospedagem        (18d)</v>
      </c>
      <c r="B27" s="20"/>
      <c r="E27" s="20">
        <f>B6-500</f>
        <v>4000</v>
      </c>
      <c r="G27" s="20"/>
      <c r="H27" s="20">
        <f>500</f>
        <v>500</v>
      </c>
      <c r="I27" s="20"/>
      <c r="J27" s="20"/>
      <c r="K27" s="20"/>
      <c r="L27" s="20"/>
      <c r="M27" s="20"/>
      <c r="N27" s="20">
        <f t="shared" si="2"/>
        <v>4500</v>
      </c>
    </row>
    <row r="28" spans="1:15">
      <c r="A28" t="str">
        <f t="shared" si="1"/>
        <v>Seguro Viagem    (4p)</v>
      </c>
      <c r="B28" s="20"/>
      <c r="C28" s="20"/>
      <c r="E28" s="20"/>
      <c r="G28" s="20">
        <f>B7</f>
        <v>742</v>
      </c>
      <c r="H28" s="20"/>
      <c r="I28" s="20"/>
      <c r="J28" s="20"/>
      <c r="K28" s="20"/>
      <c r="L28" s="20"/>
      <c r="M28" s="20"/>
      <c r="N28" s="21">
        <f t="shared" si="2"/>
        <v>742</v>
      </c>
    </row>
    <row r="29" spans="1:15">
      <c r="A29" t="str">
        <f t="shared" si="1"/>
        <v>Aluguel Carro (19d)</v>
      </c>
      <c r="B29" s="20"/>
      <c r="C29" s="20"/>
      <c r="E29" s="20"/>
      <c r="G29" s="20"/>
      <c r="H29" s="20"/>
      <c r="I29" s="20">
        <f>B8</f>
        <v>3600</v>
      </c>
      <c r="J29" s="20"/>
      <c r="K29" s="20"/>
      <c r="L29" s="20"/>
      <c r="M29" s="20"/>
      <c r="N29" s="20">
        <f t="shared" si="2"/>
        <v>3600</v>
      </c>
    </row>
    <row r="30" spans="1:15">
      <c r="A30" t="str">
        <f t="shared" si="1"/>
        <v>Chip CELULAR</v>
      </c>
      <c r="B30" s="20"/>
      <c r="J30" s="20">
        <f>B9/G9</f>
        <v>62.250000000000007</v>
      </c>
      <c r="N30" s="20">
        <f t="shared" si="2"/>
        <v>62.250000000000007</v>
      </c>
    </row>
    <row r="31" spans="1:15">
      <c r="A31" t="str">
        <f t="shared" si="1"/>
        <v>Disney                     (2d)</v>
      </c>
      <c r="B31" s="20"/>
      <c r="C31" s="20">
        <f>B10</f>
        <v>3983.56</v>
      </c>
      <c r="E31" s="20"/>
      <c r="G31" s="20"/>
      <c r="H31" s="20"/>
      <c r="I31" s="20"/>
      <c r="J31" s="20"/>
      <c r="N31" s="20">
        <f t="shared" si="2"/>
        <v>3983.56</v>
      </c>
      <c r="O31" s="20"/>
    </row>
    <row r="32" spans="1:15">
      <c r="A32" t="str">
        <f t="shared" si="1"/>
        <v>Universal                (3d)</v>
      </c>
      <c r="B32" s="20"/>
      <c r="C32" s="20"/>
      <c r="E32" s="20">
        <f>B11/G11</f>
        <v>1104</v>
      </c>
      <c r="G32" s="20">
        <f>B11/G11</f>
        <v>1104</v>
      </c>
      <c r="H32" s="20">
        <f>G32</f>
        <v>1104</v>
      </c>
      <c r="I32" s="20">
        <f>H32</f>
        <v>1104</v>
      </c>
      <c r="J32" s="16"/>
      <c r="K32" s="20"/>
      <c r="L32" s="20"/>
      <c r="N32" s="20">
        <f>SUM(B32:M32)</f>
        <v>4416</v>
      </c>
      <c r="O32" s="20"/>
    </row>
    <row r="33" spans="1:15">
      <c r="A33" t="str">
        <f t="shared" si="1"/>
        <v>Busch Gardens     (3d)</v>
      </c>
      <c r="B33" s="20"/>
      <c r="C33" s="20">
        <f>B12</f>
        <v>1757.85</v>
      </c>
      <c r="E33" s="20"/>
      <c r="G33" s="20"/>
      <c r="H33" s="20"/>
      <c r="I33" s="20"/>
      <c r="J33" s="20"/>
      <c r="K33" s="20"/>
      <c r="N33" s="20">
        <f t="shared" si="2"/>
        <v>1757.85</v>
      </c>
      <c r="O33" s="20"/>
    </row>
    <row r="34" spans="1:15">
      <c r="A34" t="str">
        <f t="shared" si="1"/>
        <v>wonder works (1d)</v>
      </c>
      <c r="B34" s="20"/>
      <c r="G34" s="21"/>
      <c r="H34" s="20">
        <f>B13</f>
        <v>512</v>
      </c>
      <c r="I34" s="20"/>
      <c r="J34" s="20"/>
      <c r="K34" s="20"/>
      <c r="N34" s="20">
        <f t="shared" si="2"/>
        <v>512</v>
      </c>
      <c r="O34" s="20"/>
    </row>
    <row r="35" spans="1:15">
      <c r="A35" t="str">
        <f t="shared" si="1"/>
        <v>nasa (1d)</v>
      </c>
      <c r="B35" s="20"/>
      <c r="G35" s="21"/>
      <c r="H35" s="21">
        <f>B14</f>
        <v>992</v>
      </c>
      <c r="I35" s="20"/>
      <c r="J35" s="20"/>
      <c r="K35" s="20"/>
      <c r="N35" s="20">
        <f t="shared" si="2"/>
        <v>992</v>
      </c>
      <c r="O35" s="20"/>
    </row>
    <row r="36" spans="1:15">
      <c r="A36" t="str">
        <f t="shared" si="1"/>
        <v>Ripley's believe it or not (1d)</v>
      </c>
      <c r="B36" s="20"/>
      <c r="G36" s="20"/>
      <c r="H36" s="20">
        <f>B15</f>
        <v>400</v>
      </c>
      <c r="I36" s="20"/>
      <c r="J36" s="20"/>
      <c r="K36" s="20"/>
      <c r="L36" s="15"/>
      <c r="N36" s="20">
        <f t="shared" si="2"/>
        <v>400</v>
      </c>
      <c r="O36" s="20"/>
    </row>
    <row r="37" spans="1:15">
      <c r="A37" t="str">
        <f t="shared" si="1"/>
        <v>Aquário Orlando (1d)</v>
      </c>
      <c r="B37" s="20"/>
      <c r="G37" s="20"/>
      <c r="H37" s="20">
        <f>B16</f>
        <v>480</v>
      </c>
      <c r="I37" s="20"/>
      <c r="J37" s="20"/>
      <c r="K37" s="20"/>
      <c r="N37" s="21">
        <f t="shared" si="2"/>
        <v>480</v>
      </c>
      <c r="O37" s="20"/>
    </row>
    <row r="38" spans="1:15" ht="15.75" thickBot="1">
      <c r="A38" s="9" t="str">
        <f t="shared" si="1"/>
        <v>COMPRA DOLAR</v>
      </c>
      <c r="B38" s="10">
        <f>3.96*1000</f>
        <v>3960</v>
      </c>
      <c r="C38" s="22">
        <f>3.835*1000</f>
        <v>3835</v>
      </c>
      <c r="D38" s="9"/>
      <c r="E38" s="9"/>
      <c r="F38" s="9"/>
      <c r="G38" s="79">
        <f>1000*3.93</f>
        <v>3930</v>
      </c>
      <c r="H38" s="9"/>
      <c r="I38" s="9"/>
      <c r="J38" s="9"/>
      <c r="K38" s="9"/>
      <c r="L38" s="9"/>
      <c r="M38" s="9"/>
      <c r="N38" s="79">
        <f t="shared" si="2"/>
        <v>11725</v>
      </c>
      <c r="O38" s="20"/>
    </row>
    <row r="39" spans="1:15" ht="15.75" thickTop="1">
      <c r="A39" s="12" t="s">
        <v>19</v>
      </c>
      <c r="B39" s="13">
        <f t="shared" ref="B39:N39" si="3">SUM(B26:B38)</f>
        <v>6598.24</v>
      </c>
      <c r="C39" s="13">
        <f t="shared" si="3"/>
        <v>10494.85</v>
      </c>
      <c r="D39" s="13">
        <f t="shared" si="3"/>
        <v>0</v>
      </c>
      <c r="E39" s="13">
        <f t="shared" si="3"/>
        <v>6022.44</v>
      </c>
      <c r="F39" s="13">
        <f t="shared" si="3"/>
        <v>0</v>
      </c>
      <c r="G39" s="13">
        <f t="shared" si="3"/>
        <v>6694.4400000000005</v>
      </c>
      <c r="H39" s="13">
        <f t="shared" si="3"/>
        <v>4906.4400000000005</v>
      </c>
      <c r="I39" s="13">
        <f t="shared" si="3"/>
        <v>4704</v>
      </c>
      <c r="J39" s="13">
        <f t="shared" si="3"/>
        <v>62.250000000000007</v>
      </c>
      <c r="K39" s="13">
        <f t="shared" si="3"/>
        <v>0</v>
      </c>
      <c r="L39" s="13">
        <f t="shared" si="3"/>
        <v>0</v>
      </c>
      <c r="M39" s="13">
        <f t="shared" si="3"/>
        <v>0</v>
      </c>
      <c r="N39" s="13">
        <f t="shared" si="3"/>
        <v>39482.660000000003</v>
      </c>
      <c r="O39" s="20"/>
    </row>
    <row r="41" spans="1:15" s="5" customFormat="1">
      <c r="A41" s="23" t="s">
        <v>34</v>
      </c>
      <c r="B41" s="16">
        <f>B26</f>
        <v>2638.24</v>
      </c>
      <c r="C41" s="16">
        <f>C26</f>
        <v>918.43999999999994</v>
      </c>
      <c r="D41" s="16"/>
      <c r="E41" s="16">
        <f>E39</f>
        <v>6022.44</v>
      </c>
      <c r="F41" s="16"/>
      <c r="G41" s="16">
        <f>G32+G26</f>
        <v>2022.44</v>
      </c>
      <c r="H41" s="16"/>
      <c r="I41" s="16"/>
      <c r="J41" s="16"/>
      <c r="K41" s="16"/>
      <c r="L41" s="16"/>
      <c r="M41" s="16"/>
      <c r="N41" s="16"/>
    </row>
    <row r="42" spans="1:15" s="5" customFormat="1">
      <c r="A42" s="23" t="s">
        <v>35</v>
      </c>
      <c r="B42" s="16">
        <f>B39</f>
        <v>6598.24</v>
      </c>
      <c r="C42" s="16">
        <f>C39+(B42-B43)</f>
        <v>10494.85</v>
      </c>
      <c r="D42" s="16"/>
      <c r="E42" s="16">
        <f>E39+(C42-C43)</f>
        <v>6022.44</v>
      </c>
      <c r="F42" s="16"/>
      <c r="G42" s="16">
        <f>G39+(E42-E43)</f>
        <v>6694.4400000000005</v>
      </c>
      <c r="H42" s="16">
        <f t="shared" ref="H42:M42" si="4">H39+(G42-G43)</f>
        <v>4906.4400000000005</v>
      </c>
      <c r="I42" s="16">
        <f t="shared" si="4"/>
        <v>9610.44</v>
      </c>
      <c r="J42" s="16">
        <f t="shared" si="4"/>
        <v>9672.69</v>
      </c>
      <c r="K42" s="16">
        <f>K39+(J42-J43)</f>
        <v>9672.69</v>
      </c>
      <c r="L42" s="16">
        <f t="shared" si="4"/>
        <v>9672.69</v>
      </c>
      <c r="M42" s="16">
        <f t="shared" si="4"/>
        <v>9672.69</v>
      </c>
      <c r="N42" s="16"/>
    </row>
    <row r="43" spans="1:15" s="5" customFormat="1">
      <c r="A43" s="23" t="s">
        <v>36</v>
      </c>
      <c r="B43" s="24">
        <f>B26+B38</f>
        <v>6598.24</v>
      </c>
      <c r="C43" s="25">
        <f>C41+C38+C31+C33</f>
        <v>10494.85</v>
      </c>
      <c r="D43" s="21"/>
      <c r="E43" s="25">
        <f>E41</f>
        <v>6022.44</v>
      </c>
      <c r="F43" s="25"/>
      <c r="G43" s="25">
        <f>G41+G28+G38</f>
        <v>6694.4400000000005</v>
      </c>
      <c r="H43" s="25"/>
      <c r="I43" s="25"/>
      <c r="J43" s="25"/>
      <c r="K43" s="25"/>
      <c r="L43" s="25"/>
      <c r="M43" s="25"/>
      <c r="N43" s="16"/>
      <c r="O43" s="20"/>
    </row>
    <row r="44" spans="1:15">
      <c r="B44" s="15"/>
      <c r="C44" s="16"/>
      <c r="N44" s="15"/>
    </row>
    <row r="46" spans="1:15">
      <c r="A46" s="26" t="s">
        <v>37</v>
      </c>
      <c r="B46" s="27">
        <f>B43</f>
        <v>6598.24</v>
      </c>
      <c r="C46" s="27">
        <f>C43</f>
        <v>10494.85</v>
      </c>
      <c r="D46" s="28"/>
      <c r="E46" s="27">
        <f>E43</f>
        <v>6022.44</v>
      </c>
      <c r="F46" s="28"/>
      <c r="G46" s="27">
        <f t="shared" ref="G46:M46" si="5">G43</f>
        <v>6694.4400000000005</v>
      </c>
      <c r="H46" s="27">
        <f t="shared" si="5"/>
        <v>0</v>
      </c>
      <c r="I46" s="27">
        <f t="shared" si="5"/>
        <v>0</v>
      </c>
      <c r="J46" s="27">
        <f t="shared" si="5"/>
        <v>0</v>
      </c>
      <c r="K46" s="27">
        <f t="shared" si="5"/>
        <v>0</v>
      </c>
      <c r="L46" s="27">
        <f t="shared" si="5"/>
        <v>0</v>
      </c>
      <c r="M46" s="27">
        <f t="shared" si="5"/>
        <v>0</v>
      </c>
      <c r="N46" s="20"/>
    </row>
  </sheetData>
  <mergeCells count="2">
    <mergeCell ref="J1:N1"/>
    <mergeCell ref="K2:M2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8"/>
  <sheetViews>
    <sheetView topLeftCell="A13" zoomScale="90" zoomScaleNormal="90" workbookViewId="0">
      <selection activeCell="K20" sqref="K20"/>
    </sheetView>
  </sheetViews>
  <sheetFormatPr defaultRowHeight="15"/>
  <cols>
    <col min="1" max="1" width="8.7109375" customWidth="1"/>
    <col min="2" max="2" width="25.28515625" customWidth="1"/>
    <col min="3" max="3" width="10" customWidth="1"/>
    <col min="4" max="5" width="8.7109375" customWidth="1"/>
    <col min="6" max="7" width="10" customWidth="1"/>
    <col min="8" max="1025" width="8.7109375" customWidth="1"/>
  </cols>
  <sheetData>
    <row r="1" spans="1:7">
      <c r="A1" s="29">
        <v>43808</v>
      </c>
      <c r="B1" s="30">
        <f>A1</f>
        <v>43808</v>
      </c>
    </row>
    <row r="2" spans="1:7">
      <c r="A2" s="29"/>
      <c r="C2" t="s">
        <v>38</v>
      </c>
      <c r="D2" t="s">
        <v>39</v>
      </c>
      <c r="E2" t="s">
        <v>40</v>
      </c>
      <c r="F2" t="s">
        <v>33</v>
      </c>
      <c r="G2" t="s">
        <v>41</v>
      </c>
    </row>
    <row r="3" spans="1:7">
      <c r="A3" s="29"/>
      <c r="B3" t="s">
        <v>42</v>
      </c>
      <c r="C3" s="3">
        <v>75.02</v>
      </c>
      <c r="D3" s="31">
        <v>4</v>
      </c>
      <c r="E3" s="31">
        <v>4</v>
      </c>
      <c r="F3" s="3">
        <f t="shared" ref="F3:F13" si="0">C3*(E3-D3+1)</f>
        <v>75.02</v>
      </c>
    </row>
    <row r="4" spans="1:7">
      <c r="A4" s="29"/>
      <c r="B4" t="s">
        <v>43</v>
      </c>
      <c r="C4" s="3">
        <v>159.9</v>
      </c>
      <c r="D4" s="31">
        <v>3</v>
      </c>
      <c r="E4" s="31">
        <v>10</v>
      </c>
      <c r="F4" s="3">
        <f t="shared" si="0"/>
        <v>1279.2</v>
      </c>
      <c r="G4" s="20"/>
    </row>
    <row r="5" spans="1:7">
      <c r="A5" s="29"/>
      <c r="B5" t="s">
        <v>44</v>
      </c>
      <c r="C5" s="3">
        <v>960.59</v>
      </c>
      <c r="D5" s="31">
        <v>1</v>
      </c>
      <c r="E5" s="31">
        <v>1</v>
      </c>
      <c r="F5" s="3">
        <f t="shared" si="0"/>
        <v>960.59</v>
      </c>
      <c r="G5" s="20"/>
    </row>
    <row r="6" spans="1:7">
      <c r="A6" s="29"/>
      <c r="B6" t="s">
        <v>45</v>
      </c>
      <c r="C6" s="3">
        <v>918.36</v>
      </c>
      <c r="D6" s="31">
        <v>3</v>
      </c>
      <c r="E6" s="31">
        <v>5</v>
      </c>
      <c r="F6" s="3">
        <f t="shared" si="0"/>
        <v>2755.08</v>
      </c>
      <c r="G6" s="20">
        <f>C6</f>
        <v>918.36</v>
      </c>
    </row>
    <row r="7" spans="1:7">
      <c r="A7" s="29"/>
      <c r="B7" t="s">
        <v>209</v>
      </c>
      <c r="C7" s="3">
        <v>4000</v>
      </c>
      <c r="D7" s="31">
        <v>1</v>
      </c>
      <c r="E7" s="31">
        <v>1</v>
      </c>
      <c r="F7" s="3">
        <f t="shared" si="0"/>
        <v>4000</v>
      </c>
      <c r="G7" s="20">
        <f>C7</f>
        <v>4000</v>
      </c>
    </row>
    <row r="8" spans="1:7">
      <c r="A8" s="29"/>
      <c r="B8" t="s">
        <v>47</v>
      </c>
      <c r="C8" s="3">
        <v>510</v>
      </c>
      <c r="D8" s="31">
        <v>0</v>
      </c>
      <c r="E8" s="31">
        <v>2</v>
      </c>
      <c r="F8" s="3">
        <f t="shared" si="0"/>
        <v>1530</v>
      </c>
      <c r="G8" s="20">
        <f>C8</f>
        <v>510</v>
      </c>
    </row>
    <row r="9" spans="1:7">
      <c r="A9" s="29"/>
      <c r="B9" t="s">
        <v>48</v>
      </c>
      <c r="C9" s="3">
        <v>420</v>
      </c>
      <c r="D9" s="31">
        <v>0</v>
      </c>
      <c r="E9" s="31">
        <v>1</v>
      </c>
      <c r="F9" s="3">
        <f t="shared" si="0"/>
        <v>840</v>
      </c>
      <c r="G9" s="20">
        <f>C9</f>
        <v>420</v>
      </c>
    </row>
    <row r="10" spans="1:7">
      <c r="A10" s="29"/>
      <c r="B10" t="s">
        <v>49</v>
      </c>
      <c r="C10" s="3">
        <v>432</v>
      </c>
      <c r="D10" s="31">
        <v>0</v>
      </c>
      <c r="E10" s="31">
        <v>1</v>
      </c>
      <c r="F10" s="3">
        <f t="shared" si="0"/>
        <v>864</v>
      </c>
      <c r="G10" s="20">
        <f>C10</f>
        <v>432</v>
      </c>
    </row>
    <row r="11" spans="1:7">
      <c r="A11" s="29"/>
      <c r="B11" t="s">
        <v>50</v>
      </c>
      <c r="D11" s="32">
        <v>1</v>
      </c>
      <c r="E11" s="32">
        <v>1</v>
      </c>
      <c r="F11" s="3">
        <f t="shared" si="0"/>
        <v>0</v>
      </c>
    </row>
    <row r="12" spans="1:7">
      <c r="A12" s="29"/>
      <c r="B12" t="s">
        <v>51</v>
      </c>
      <c r="D12" s="32" t="s">
        <v>52</v>
      </c>
      <c r="E12" s="32">
        <v>1</v>
      </c>
      <c r="F12" s="3">
        <f t="shared" si="0"/>
        <v>0</v>
      </c>
    </row>
    <row r="13" spans="1:7">
      <c r="A13" s="29"/>
      <c r="C13" s="3"/>
      <c r="D13" s="3"/>
      <c r="E13" s="3"/>
      <c r="F13" s="3">
        <f t="shared" si="0"/>
        <v>0</v>
      </c>
    </row>
    <row r="14" spans="1:7">
      <c r="A14" s="29"/>
      <c r="B14" s="33" t="s">
        <v>1</v>
      </c>
      <c r="C14" s="34">
        <f>SUM(C3:C13)</f>
        <v>7475.87</v>
      </c>
      <c r="D14" s="33"/>
      <c r="E14" s="33"/>
      <c r="F14" s="3">
        <f>SUM(F3:F13)</f>
        <v>12303.89</v>
      </c>
      <c r="G14">
        <f>SUM(G3:G12)</f>
        <v>6280.36</v>
      </c>
    </row>
    <row r="15" spans="1:7">
      <c r="A15" s="29"/>
      <c r="B15" s="33" t="str">
        <f>CONCATENATE("PAGTO em ",TEXT(A1,"dd/mmm"))</f>
        <v>PAGTO em 09/dez</v>
      </c>
      <c r="C15" s="34" t="s">
        <v>57</v>
      </c>
      <c r="D15" s="33"/>
      <c r="E15" s="33"/>
      <c r="F15" s="3"/>
    </row>
    <row r="17" spans="1:7">
      <c r="A17" s="29">
        <v>43413</v>
      </c>
      <c r="B17" s="30">
        <f>A17</f>
        <v>43413</v>
      </c>
    </row>
    <row r="18" spans="1:7">
      <c r="A18" s="29"/>
      <c r="C18" t="s">
        <v>38</v>
      </c>
      <c r="D18" t="s">
        <v>39</v>
      </c>
      <c r="E18" t="s">
        <v>40</v>
      </c>
      <c r="F18" t="s">
        <v>33</v>
      </c>
      <c r="G18" t="s">
        <v>41</v>
      </c>
    </row>
    <row r="19" spans="1:7">
      <c r="A19" s="29"/>
      <c r="B19" t="s">
        <v>42</v>
      </c>
      <c r="C19" s="3">
        <v>75.02</v>
      </c>
      <c r="D19" s="31">
        <v>3</v>
      </c>
      <c r="E19" s="31">
        <v>4</v>
      </c>
      <c r="F19" s="3">
        <f t="shared" ref="F19:F29" si="1">C19*(E19-D19+1)</f>
        <v>150.04</v>
      </c>
    </row>
    <row r="20" spans="1:7">
      <c r="A20" s="29"/>
      <c r="B20" t="s">
        <v>43</v>
      </c>
      <c r="C20" s="3">
        <v>159.9</v>
      </c>
      <c r="D20" s="31">
        <v>2</v>
      </c>
      <c r="E20" s="31">
        <v>10</v>
      </c>
      <c r="F20" s="3">
        <f t="shared" si="1"/>
        <v>1439.1000000000001</v>
      </c>
      <c r="G20" s="20"/>
    </row>
    <row r="21" spans="1:7">
      <c r="A21" s="29"/>
      <c r="B21" t="s">
        <v>44</v>
      </c>
      <c r="C21" s="3">
        <v>960.59</v>
      </c>
      <c r="D21" s="31">
        <v>1</v>
      </c>
      <c r="E21" s="31">
        <v>1</v>
      </c>
      <c r="F21" s="3">
        <f t="shared" si="1"/>
        <v>960.59</v>
      </c>
      <c r="G21" s="20"/>
    </row>
    <row r="22" spans="1:7">
      <c r="A22" s="29"/>
      <c r="B22" t="s">
        <v>45</v>
      </c>
      <c r="C22" s="3">
        <v>918.36</v>
      </c>
      <c r="D22" s="31">
        <v>2</v>
      </c>
      <c r="E22" s="31">
        <v>5</v>
      </c>
      <c r="F22" s="3">
        <f t="shared" si="1"/>
        <v>3673.44</v>
      </c>
      <c r="G22" s="20">
        <f>C22</f>
        <v>918.36</v>
      </c>
    </row>
    <row r="23" spans="1:7">
      <c r="A23" s="29"/>
      <c r="B23" t="s">
        <v>46</v>
      </c>
      <c r="C23" s="3">
        <v>552</v>
      </c>
      <c r="D23" s="31">
        <v>0</v>
      </c>
      <c r="E23" s="31">
        <v>1</v>
      </c>
      <c r="F23" s="3">
        <f t="shared" si="1"/>
        <v>1104</v>
      </c>
      <c r="G23" s="20">
        <f>C23</f>
        <v>552</v>
      </c>
    </row>
    <row r="24" spans="1:7">
      <c r="A24" s="29"/>
      <c r="B24" t="s">
        <v>47</v>
      </c>
      <c r="C24" s="3">
        <v>510</v>
      </c>
      <c r="D24" s="31">
        <v>0</v>
      </c>
      <c r="E24" s="31">
        <v>2</v>
      </c>
      <c r="F24" s="3">
        <f t="shared" si="1"/>
        <v>1530</v>
      </c>
      <c r="G24" s="20">
        <f>C24</f>
        <v>510</v>
      </c>
    </row>
    <row r="25" spans="1:7">
      <c r="A25" s="29"/>
      <c r="B25" t="s">
        <v>48</v>
      </c>
      <c r="C25" s="3">
        <v>420</v>
      </c>
      <c r="D25" s="31">
        <v>0</v>
      </c>
      <c r="E25" s="31">
        <v>1</v>
      </c>
      <c r="F25" s="3">
        <f t="shared" si="1"/>
        <v>840</v>
      </c>
      <c r="G25" s="20">
        <f>C25</f>
        <v>420</v>
      </c>
    </row>
    <row r="26" spans="1:7">
      <c r="A26" s="29"/>
      <c r="B26" t="s">
        <v>49</v>
      </c>
      <c r="C26" s="3">
        <v>432</v>
      </c>
      <c r="D26" s="31">
        <v>0</v>
      </c>
      <c r="E26" s="31">
        <v>1</v>
      </c>
      <c r="F26" s="3">
        <f t="shared" si="1"/>
        <v>864</v>
      </c>
      <c r="G26" s="20">
        <f>C26</f>
        <v>432</v>
      </c>
    </row>
    <row r="27" spans="1:7">
      <c r="A27" s="29"/>
      <c r="B27" t="s">
        <v>50</v>
      </c>
      <c r="D27" s="32">
        <v>1</v>
      </c>
      <c r="E27" s="32">
        <v>1</v>
      </c>
      <c r="F27" s="3">
        <f t="shared" si="1"/>
        <v>0</v>
      </c>
    </row>
    <row r="28" spans="1:7">
      <c r="A28" s="29"/>
      <c r="B28" t="s">
        <v>51</v>
      </c>
      <c r="D28" s="32" t="s">
        <v>52</v>
      </c>
      <c r="E28" s="32">
        <v>1</v>
      </c>
      <c r="F28" s="3">
        <f t="shared" si="1"/>
        <v>0</v>
      </c>
    </row>
    <row r="29" spans="1:7">
      <c r="A29" s="29"/>
      <c r="C29" s="3"/>
      <c r="D29" s="3"/>
      <c r="E29" s="3"/>
      <c r="F29" s="3">
        <f t="shared" si="1"/>
        <v>0</v>
      </c>
    </row>
    <row r="30" spans="1:7">
      <c r="A30" s="29"/>
      <c r="B30" s="33" t="s">
        <v>1</v>
      </c>
      <c r="C30" s="34">
        <f>SUM(C19:C29)</f>
        <v>4027.87</v>
      </c>
      <c r="D30" s="33"/>
      <c r="E30" s="33"/>
      <c r="F30" s="3">
        <f>SUM(F19:F29)</f>
        <v>10561.17</v>
      </c>
      <c r="G30">
        <f>SUM(G19:G28)</f>
        <v>2832.36</v>
      </c>
    </row>
    <row r="31" spans="1:7">
      <c r="A31" s="29"/>
      <c r="B31" s="33" t="str">
        <f>CONCATENATE("PAGTO em ",TEXT(A17,"dd/mmm"))</f>
        <v>PAGTO em 09/nov</v>
      </c>
      <c r="C31" s="34" t="s">
        <v>57</v>
      </c>
      <c r="D31" s="33"/>
      <c r="E31" s="33"/>
      <c r="F31" s="3"/>
    </row>
    <row r="32" spans="1:7">
      <c r="A32" s="29"/>
      <c r="B32" s="30"/>
    </row>
    <row r="33" spans="1:7">
      <c r="A33" s="29"/>
      <c r="B33" s="30"/>
    </row>
    <row r="34" spans="1:7">
      <c r="A34" s="29">
        <v>43382</v>
      </c>
      <c r="B34" s="30">
        <f>A34</f>
        <v>43382</v>
      </c>
    </row>
    <row r="35" spans="1:7">
      <c r="C35" t="s">
        <v>38</v>
      </c>
      <c r="D35" t="s">
        <v>39</v>
      </c>
      <c r="E35" t="s">
        <v>40</v>
      </c>
      <c r="F35" t="s">
        <v>33</v>
      </c>
      <c r="G35" t="s">
        <v>41</v>
      </c>
    </row>
    <row r="36" spans="1:7">
      <c r="B36" t="s">
        <v>42</v>
      </c>
      <c r="C36" s="3">
        <v>75.02</v>
      </c>
      <c r="D36" s="31">
        <v>2</v>
      </c>
      <c r="E36" s="31">
        <v>4</v>
      </c>
      <c r="F36" s="3">
        <f t="shared" ref="F36:F46" si="2">C36*(E36-D36+1)</f>
        <v>225.06</v>
      </c>
    </row>
    <row r="37" spans="1:7">
      <c r="B37" t="s">
        <v>43</v>
      </c>
      <c r="C37" s="3">
        <v>159.9</v>
      </c>
      <c r="D37" s="31">
        <v>1</v>
      </c>
      <c r="E37" s="31">
        <v>10</v>
      </c>
      <c r="F37" s="3">
        <f t="shared" si="2"/>
        <v>1599</v>
      </c>
      <c r="G37" s="20"/>
    </row>
    <row r="38" spans="1:7">
      <c r="B38" t="s">
        <v>44</v>
      </c>
      <c r="C38" s="3">
        <v>960.59</v>
      </c>
      <c r="D38" s="31">
        <v>1</v>
      </c>
      <c r="E38" s="31">
        <v>1</v>
      </c>
      <c r="F38" s="3">
        <f t="shared" si="2"/>
        <v>960.59</v>
      </c>
      <c r="G38" s="20"/>
    </row>
    <row r="39" spans="1:7">
      <c r="B39" t="s">
        <v>53</v>
      </c>
      <c r="C39" s="3">
        <v>1719.8</v>
      </c>
      <c r="D39" s="31">
        <v>1</v>
      </c>
      <c r="E39" s="31">
        <v>1</v>
      </c>
      <c r="F39" s="3">
        <f t="shared" si="2"/>
        <v>1719.8</v>
      </c>
      <c r="G39" s="20">
        <f>C39</f>
        <v>1719.8</v>
      </c>
    </row>
    <row r="40" spans="1:7">
      <c r="B40" t="s">
        <v>45</v>
      </c>
      <c r="C40" s="3">
        <v>918.36</v>
      </c>
      <c r="D40" s="31">
        <v>1</v>
      </c>
      <c r="E40" s="31">
        <v>5</v>
      </c>
      <c r="F40" s="3">
        <f t="shared" si="2"/>
        <v>4591.8</v>
      </c>
      <c r="G40" s="20">
        <f>C40</f>
        <v>918.36</v>
      </c>
    </row>
    <row r="41" spans="1:7">
      <c r="B41" t="s">
        <v>54</v>
      </c>
      <c r="C41" s="3">
        <v>90</v>
      </c>
      <c r="D41" s="31">
        <v>3</v>
      </c>
      <c r="E41" s="31">
        <v>3</v>
      </c>
      <c r="F41" s="3">
        <f t="shared" si="2"/>
        <v>90</v>
      </c>
      <c r="G41" s="20"/>
    </row>
    <row r="42" spans="1:7">
      <c r="B42" t="s">
        <v>55</v>
      </c>
      <c r="C42" s="3">
        <f>100.88+132.15</f>
        <v>233.03</v>
      </c>
      <c r="D42" s="31">
        <v>1</v>
      </c>
      <c r="E42" s="31">
        <v>1</v>
      </c>
      <c r="F42" s="3">
        <f t="shared" si="2"/>
        <v>233.03</v>
      </c>
      <c r="G42" s="20"/>
    </row>
    <row r="43" spans="1:7">
      <c r="B43" t="s">
        <v>56</v>
      </c>
      <c r="C43">
        <v>100.72</v>
      </c>
      <c r="D43" s="32">
        <v>1</v>
      </c>
      <c r="E43" s="32">
        <v>1</v>
      </c>
      <c r="F43" s="3">
        <f t="shared" si="2"/>
        <v>100.72</v>
      </c>
    </row>
    <row r="44" spans="1:7">
      <c r="B44" t="s">
        <v>50</v>
      </c>
      <c r="C44">
        <f>13+39.9+13.98</f>
        <v>66.88</v>
      </c>
      <c r="D44" s="32">
        <v>1</v>
      </c>
      <c r="E44" s="32">
        <v>1</v>
      </c>
      <c r="F44" s="3">
        <f t="shared" si="2"/>
        <v>66.88</v>
      </c>
    </row>
    <row r="45" spans="1:7">
      <c r="B45" t="s">
        <v>51</v>
      </c>
      <c r="C45">
        <v>308.91000000000003</v>
      </c>
      <c r="D45" s="32" t="s">
        <v>52</v>
      </c>
      <c r="E45" s="32">
        <v>1</v>
      </c>
      <c r="F45" s="3">
        <f t="shared" si="2"/>
        <v>308.91000000000003</v>
      </c>
    </row>
    <row r="46" spans="1:7">
      <c r="C46" s="3"/>
      <c r="D46" s="3"/>
      <c r="E46" s="3"/>
      <c r="F46" s="3">
        <f t="shared" si="2"/>
        <v>0</v>
      </c>
    </row>
    <row r="47" spans="1:7">
      <c r="B47" s="33" t="s">
        <v>1</v>
      </c>
      <c r="C47" s="34">
        <f>SUM(C36:C46)</f>
        <v>4633.21</v>
      </c>
      <c r="D47" s="33"/>
      <c r="E47" s="33"/>
      <c r="F47" s="3">
        <f>SUM(F36:F46)</f>
        <v>9895.7899999999991</v>
      </c>
      <c r="G47">
        <f>SUM(G36:G40)</f>
        <v>2638.16</v>
      </c>
    </row>
    <row r="48" spans="1:7">
      <c r="B48" s="33" t="str">
        <f>CONCATENATE("PAGTO em ",TEXT(A34,"dd/mmm"))</f>
        <v>PAGTO em 09/out</v>
      </c>
      <c r="C48" s="34" t="s">
        <v>57</v>
      </c>
      <c r="D48" s="33"/>
      <c r="E48" s="33"/>
      <c r="F48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2:P48"/>
  <sheetViews>
    <sheetView zoomScaleNormal="100" workbookViewId="0">
      <selection activeCell="L5" sqref="L5:O15"/>
    </sheetView>
  </sheetViews>
  <sheetFormatPr defaultRowHeight="15"/>
  <cols>
    <col min="1" max="1" width="26.28515625" customWidth="1"/>
    <col min="2" max="2" width="12" customWidth="1"/>
    <col min="3" max="3" width="13.7109375" customWidth="1"/>
    <col min="4" max="4" width="6.5703125" hidden="1" customWidth="1"/>
    <col min="5" max="5" width="13.85546875" customWidth="1"/>
    <col min="6" max="6" width="6.7109375" hidden="1" customWidth="1"/>
    <col min="7" max="7" width="11" customWidth="1"/>
    <col min="8" max="8" width="12.42578125" customWidth="1"/>
    <col min="9" max="13" width="11.7109375" customWidth="1"/>
    <col min="14" max="14" width="12.42578125" customWidth="1"/>
    <col min="15" max="15" width="11.5703125" customWidth="1"/>
    <col min="16" max="16" width="9.5703125" customWidth="1"/>
    <col min="17" max="1025" width="8.7109375" customWidth="1"/>
  </cols>
  <sheetData>
    <row r="2" spans="1:10">
      <c r="E2" s="1" t="s">
        <v>0</v>
      </c>
    </row>
    <row r="4" spans="1:10">
      <c r="A4" s="2"/>
      <c r="B4" s="2" t="s">
        <v>1</v>
      </c>
      <c r="C4" s="2" t="s">
        <v>58</v>
      </c>
      <c r="D4" s="2">
        <v>4</v>
      </c>
      <c r="E4" s="2" t="s">
        <v>59</v>
      </c>
      <c r="F4" s="2">
        <v>2</v>
      </c>
      <c r="G4" s="2"/>
      <c r="H4" s="2"/>
      <c r="I4" s="2" t="s">
        <v>3</v>
      </c>
      <c r="J4" s="2" t="s">
        <v>4</v>
      </c>
    </row>
    <row r="5" spans="1:10">
      <c r="A5" t="s">
        <v>60</v>
      </c>
      <c r="B5" s="3">
        <v>18295.939999999999</v>
      </c>
      <c r="C5" s="3">
        <f t="shared" ref="C5:C15" si="0">B5/($D$4+$F$4)*$D$4</f>
        <v>12197.293333333333</v>
      </c>
      <c r="D5" s="3"/>
      <c r="E5" s="3">
        <f t="shared" ref="E5:E15" si="1">B5-C5</f>
        <v>6098.6466666666656</v>
      </c>
      <c r="I5">
        <v>4</v>
      </c>
    </row>
    <row r="6" spans="1:10">
      <c r="A6" t="s">
        <v>61</v>
      </c>
      <c r="B6" s="3">
        <v>4588.8999999999996</v>
      </c>
      <c r="C6" s="3">
        <f t="shared" si="0"/>
        <v>3059.2666666666664</v>
      </c>
      <c r="D6" s="3"/>
      <c r="E6" s="3">
        <f t="shared" si="1"/>
        <v>1529.6333333333332</v>
      </c>
      <c r="I6">
        <v>10</v>
      </c>
    </row>
    <row r="7" spans="1:10">
      <c r="A7" t="s">
        <v>62</v>
      </c>
      <c r="B7" s="3">
        <v>1431.4</v>
      </c>
      <c r="C7" s="3">
        <f t="shared" si="0"/>
        <v>954.26666666666677</v>
      </c>
      <c r="D7" s="3"/>
      <c r="E7" s="3">
        <f t="shared" si="1"/>
        <v>477.13333333333333</v>
      </c>
      <c r="I7">
        <v>10</v>
      </c>
    </row>
    <row r="8" spans="1:10">
      <c r="A8" t="s">
        <v>63</v>
      </c>
      <c r="B8" s="3">
        <f>H8*$J$8</f>
        <v>2145.3764999999999</v>
      </c>
      <c r="C8" s="3">
        <f t="shared" si="0"/>
        <v>1430.251</v>
      </c>
      <c r="D8" s="3"/>
      <c r="E8" s="3">
        <f t="shared" si="1"/>
        <v>715.12549999999987</v>
      </c>
      <c r="G8" s="1" t="s">
        <v>9</v>
      </c>
      <c r="H8">
        <v>648.15</v>
      </c>
      <c r="I8">
        <v>1</v>
      </c>
      <c r="J8">
        <v>3.31</v>
      </c>
    </row>
    <row r="9" spans="1:10">
      <c r="A9" t="s">
        <v>64</v>
      </c>
      <c r="B9" s="3">
        <f>H9*$J$8</f>
        <v>136.86850000000001</v>
      </c>
      <c r="C9" s="3">
        <f t="shared" si="0"/>
        <v>91.245666666666679</v>
      </c>
      <c r="D9" s="3"/>
      <c r="E9" s="3">
        <f t="shared" si="1"/>
        <v>45.622833333333332</v>
      </c>
      <c r="G9" s="1" t="s">
        <v>9</v>
      </c>
      <c r="H9">
        <v>41.35</v>
      </c>
    </row>
    <row r="10" spans="1:10">
      <c r="A10" s="5" t="s">
        <v>65</v>
      </c>
      <c r="B10" s="3">
        <f>H10*J10</f>
        <v>3116.96</v>
      </c>
      <c r="C10" s="3">
        <f t="shared" si="0"/>
        <v>2077.9733333333334</v>
      </c>
      <c r="D10" s="5"/>
      <c r="E10" s="3">
        <f t="shared" si="1"/>
        <v>1038.9866666666667</v>
      </c>
      <c r="F10" s="5"/>
      <c r="G10" s="1" t="s">
        <v>9</v>
      </c>
      <c r="H10" s="5">
        <v>968</v>
      </c>
      <c r="I10">
        <v>8</v>
      </c>
      <c r="J10">
        <v>3.22</v>
      </c>
    </row>
    <row r="11" spans="1:10">
      <c r="A11" s="6" t="s">
        <v>10</v>
      </c>
      <c r="B11" s="7">
        <f>H11*J11*I11</f>
        <v>0</v>
      </c>
      <c r="C11" s="7">
        <f t="shared" si="0"/>
        <v>0</v>
      </c>
      <c r="D11" s="7"/>
      <c r="E11" s="7">
        <f t="shared" si="1"/>
        <v>0</v>
      </c>
      <c r="F11" s="8"/>
      <c r="G11" s="8" t="s">
        <v>9</v>
      </c>
      <c r="H11" s="6">
        <v>100</v>
      </c>
      <c r="I11">
        <v>1</v>
      </c>
      <c r="J11">
        <v>0</v>
      </c>
    </row>
    <row r="12" spans="1:10">
      <c r="A12" s="6" t="s">
        <v>66</v>
      </c>
      <c r="B12" s="7">
        <f>H12*J12*I12</f>
        <v>0</v>
      </c>
      <c r="C12" s="7">
        <f t="shared" si="0"/>
        <v>0</v>
      </c>
      <c r="D12" s="7"/>
      <c r="E12" s="7">
        <f t="shared" si="1"/>
        <v>0</v>
      </c>
      <c r="F12" s="8"/>
      <c r="G12" s="8" t="s">
        <v>9</v>
      </c>
      <c r="H12" s="6">
        <v>30</v>
      </c>
      <c r="I12">
        <v>1</v>
      </c>
      <c r="J12">
        <v>0</v>
      </c>
    </row>
    <row r="13" spans="1:10">
      <c r="A13" s="5" t="s">
        <v>67</v>
      </c>
      <c r="B13" s="3">
        <f>H13*J13*I13</f>
        <v>7150.394400000001</v>
      </c>
      <c r="C13" s="3">
        <f t="shared" si="0"/>
        <v>4766.9296000000004</v>
      </c>
      <c r="D13" s="3"/>
      <c r="E13" s="3">
        <f t="shared" si="1"/>
        <v>2383.4648000000007</v>
      </c>
      <c r="F13" s="1"/>
      <c r="G13" s="1" t="s">
        <v>9</v>
      </c>
      <c r="H13" s="5">
        <v>360.04</v>
      </c>
      <c r="I13">
        <v>6</v>
      </c>
      <c r="J13">
        <v>3.31</v>
      </c>
    </row>
    <row r="14" spans="1:10">
      <c r="A14" s="5" t="s">
        <v>68</v>
      </c>
      <c r="B14" s="3">
        <f>H14*J14*I14</f>
        <v>4870.665</v>
      </c>
      <c r="C14" s="3">
        <f t="shared" si="0"/>
        <v>3247.11</v>
      </c>
      <c r="D14" s="3"/>
      <c r="E14" s="3">
        <f t="shared" si="1"/>
        <v>1623.5549999999998</v>
      </c>
      <c r="F14" s="1"/>
      <c r="G14" s="1" t="s">
        <v>9</v>
      </c>
      <c r="H14" s="5">
        <v>245.25</v>
      </c>
      <c r="I14">
        <v>6</v>
      </c>
      <c r="J14">
        <v>3.31</v>
      </c>
    </row>
    <row r="15" spans="1:10">
      <c r="A15" s="5" t="s">
        <v>69</v>
      </c>
      <c r="B15" s="3">
        <f>H15*J15*I15</f>
        <v>2327.7906000000003</v>
      </c>
      <c r="C15" s="3">
        <f t="shared" si="0"/>
        <v>1551.8604000000003</v>
      </c>
      <c r="D15" s="3"/>
      <c r="E15" s="3">
        <f t="shared" si="1"/>
        <v>775.93020000000001</v>
      </c>
      <c r="F15" s="5"/>
      <c r="G15" s="1" t="s">
        <v>9</v>
      </c>
      <c r="H15" s="5">
        <v>117.21</v>
      </c>
      <c r="I15">
        <v>6</v>
      </c>
      <c r="J15">
        <v>3.31</v>
      </c>
    </row>
    <row r="16" spans="1:10">
      <c r="A16" s="9"/>
      <c r="B16" s="9"/>
      <c r="C16" s="9"/>
      <c r="D16" s="9"/>
      <c r="E16" s="9"/>
      <c r="F16" s="9"/>
      <c r="G16" s="9"/>
      <c r="H16" s="9"/>
    </row>
    <row r="17" spans="1:16">
      <c r="A17" s="12" t="s">
        <v>19</v>
      </c>
      <c r="B17" s="13">
        <f>SUM(B5:B16)</f>
        <v>44064.294999999998</v>
      </c>
      <c r="C17" s="13">
        <f>SUM(C5:C16)</f>
        <v>29376.196666666663</v>
      </c>
      <c r="D17" s="13"/>
      <c r="E17" s="13">
        <f>SUM(E5:E16)</f>
        <v>14688.098333333333</v>
      </c>
      <c r="G17" s="14" t="s">
        <v>9</v>
      </c>
      <c r="H17" s="13">
        <f>SUM(H5:H16)</f>
        <v>2510</v>
      </c>
    </row>
    <row r="18" spans="1:16">
      <c r="A18" s="15"/>
      <c r="B18" s="16"/>
      <c r="C18" s="16"/>
      <c r="D18" s="16"/>
      <c r="E18" s="16"/>
      <c r="F18" s="5"/>
      <c r="G18" s="17"/>
      <c r="H18" s="16"/>
    </row>
    <row r="19" spans="1:16">
      <c r="A19" s="18" t="s">
        <v>20</v>
      </c>
      <c r="B19" s="19">
        <f>SUM(B47:M48)</f>
        <v>37161.231666666667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1" spans="1:16">
      <c r="A21" t="s">
        <v>21</v>
      </c>
      <c r="B21" s="20">
        <f>B17-B19</f>
        <v>6903.0633333333317</v>
      </c>
    </row>
    <row r="23" spans="1:16">
      <c r="A23" s="15" t="s">
        <v>22</v>
      </c>
    </row>
    <row r="24" spans="1:16">
      <c r="A24" s="2"/>
      <c r="B24" s="2" t="s">
        <v>27</v>
      </c>
      <c r="C24" s="2" t="s">
        <v>28</v>
      </c>
      <c r="D24" s="9"/>
      <c r="E24" s="2" t="s">
        <v>29</v>
      </c>
      <c r="F24" s="9"/>
      <c r="G24" s="2" t="s">
        <v>30</v>
      </c>
      <c r="H24" s="2" t="s">
        <v>31</v>
      </c>
      <c r="I24" s="2" t="s">
        <v>32</v>
      </c>
      <c r="J24" s="2" t="s">
        <v>70</v>
      </c>
      <c r="K24" s="2" t="s">
        <v>71</v>
      </c>
      <c r="L24" s="2" t="s">
        <v>23</v>
      </c>
      <c r="M24" s="2" t="s">
        <v>24</v>
      </c>
      <c r="N24" s="2" t="s">
        <v>33</v>
      </c>
    </row>
    <row r="25" spans="1:16">
      <c r="A25" t="str">
        <f>A5</f>
        <v>Passagens              (6p)</v>
      </c>
      <c r="B25" s="20">
        <f>3265.78+3757.54</f>
        <v>7023.32</v>
      </c>
      <c r="C25" s="20">
        <f>(N25-3265.78)/4</f>
        <v>3757.5399999999995</v>
      </c>
      <c r="E25" s="20">
        <f>C25</f>
        <v>3757.5399999999995</v>
      </c>
      <c r="G25" s="20">
        <f>E25</f>
        <v>3757.5399999999995</v>
      </c>
      <c r="H25" s="20"/>
      <c r="I25" s="20"/>
      <c r="J25" s="20"/>
      <c r="K25" s="20"/>
      <c r="L25" s="20"/>
      <c r="M25" s="20"/>
      <c r="N25" s="20">
        <f>B5</f>
        <v>18295.939999999999</v>
      </c>
    </row>
    <row r="26" spans="1:16">
      <c r="A26" t="str">
        <f>A6</f>
        <v>Hospedagem        (15d)</v>
      </c>
      <c r="B26" s="20">
        <f>N26/I6</f>
        <v>458.89</v>
      </c>
      <c r="C26" s="20">
        <f>B26</f>
        <v>458.89</v>
      </c>
      <c r="E26" s="20">
        <f>C26</f>
        <v>458.89</v>
      </c>
      <c r="G26" s="20">
        <f>E26</f>
        <v>458.89</v>
      </c>
      <c r="H26" s="20">
        <f t="shared" ref="H26:M27" si="2">G26</f>
        <v>458.89</v>
      </c>
      <c r="I26" s="20">
        <f t="shared" si="2"/>
        <v>458.89</v>
      </c>
      <c r="J26" s="20">
        <f t="shared" si="2"/>
        <v>458.89</v>
      </c>
      <c r="K26" s="20">
        <f t="shared" si="2"/>
        <v>458.89</v>
      </c>
      <c r="L26" s="20">
        <f t="shared" si="2"/>
        <v>458.89</v>
      </c>
      <c r="M26" s="20">
        <f t="shared" si="2"/>
        <v>458.89</v>
      </c>
      <c r="N26" s="20">
        <f>B6</f>
        <v>4588.8999999999996</v>
      </c>
    </row>
    <row r="27" spans="1:16">
      <c r="A27" t="str">
        <f>A7</f>
        <v>Seguro Viagem    (6p)</v>
      </c>
      <c r="B27" s="20">
        <f>N27/I7</f>
        <v>143.14000000000001</v>
      </c>
      <c r="C27" s="20">
        <f>B27</f>
        <v>143.14000000000001</v>
      </c>
      <c r="E27" s="20">
        <f>C27</f>
        <v>143.14000000000001</v>
      </c>
      <c r="G27" s="20">
        <f>E27</f>
        <v>143.14000000000001</v>
      </c>
      <c r="H27" s="20">
        <f t="shared" si="2"/>
        <v>143.14000000000001</v>
      </c>
      <c r="I27" s="20">
        <f t="shared" si="2"/>
        <v>143.14000000000001</v>
      </c>
      <c r="J27" s="20">
        <f t="shared" si="2"/>
        <v>143.14000000000001</v>
      </c>
      <c r="K27" s="20">
        <f t="shared" si="2"/>
        <v>143.14000000000001</v>
      </c>
      <c r="L27" s="20">
        <f t="shared" si="2"/>
        <v>143.14000000000001</v>
      </c>
      <c r="M27" s="20">
        <f t="shared" si="2"/>
        <v>143.14000000000001</v>
      </c>
      <c r="N27" s="20">
        <f>B7</f>
        <v>1431.4</v>
      </c>
    </row>
    <row r="28" spans="1:16">
      <c r="A28" t="s">
        <v>72</v>
      </c>
      <c r="B28" s="20">
        <f>N28/I8</f>
        <v>2282.2449999999999</v>
      </c>
      <c r="N28" s="20">
        <f>B8+B9</f>
        <v>2282.2449999999999</v>
      </c>
    </row>
    <row r="29" spans="1:16">
      <c r="A29" t="str">
        <f t="shared" ref="A29:A34" si="3">A10</f>
        <v>Aluguel Carro</v>
      </c>
      <c r="B29" s="20"/>
      <c r="C29" s="20">
        <f>N29/I10</f>
        <v>389.62</v>
      </c>
      <c r="E29" s="20">
        <f>C29</f>
        <v>389.62</v>
      </c>
      <c r="G29" s="20">
        <f>E29</f>
        <v>389.62</v>
      </c>
      <c r="H29" s="20">
        <f>G29</f>
        <v>389.62</v>
      </c>
      <c r="I29" s="20">
        <f>H29</f>
        <v>389.62</v>
      </c>
      <c r="J29" s="20">
        <f>I29</f>
        <v>389.62</v>
      </c>
      <c r="K29" s="20">
        <f>J29</f>
        <v>389.62</v>
      </c>
      <c r="L29" s="20">
        <f>K29</f>
        <v>389.62</v>
      </c>
      <c r="N29" s="20">
        <f t="shared" ref="N29:N34" si="4">B10</f>
        <v>3116.96</v>
      </c>
    </row>
    <row r="30" spans="1:16">
      <c r="A30" t="str">
        <f t="shared" si="3"/>
        <v>Chip CELULAR</v>
      </c>
      <c r="B30" s="20"/>
      <c r="C30" s="20">
        <f>N30</f>
        <v>0</v>
      </c>
      <c r="N30" s="20">
        <f t="shared" si="4"/>
        <v>0</v>
      </c>
    </row>
    <row r="31" spans="1:16">
      <c r="A31" t="str">
        <f t="shared" si="3"/>
        <v>Estacionamento Jogo NBA</v>
      </c>
      <c r="B31" s="20"/>
      <c r="C31" s="20"/>
      <c r="N31" s="20">
        <f t="shared" si="4"/>
        <v>0</v>
      </c>
    </row>
    <row r="32" spans="1:16">
      <c r="A32" t="str">
        <f t="shared" si="3"/>
        <v>Disney                     (5d)</v>
      </c>
      <c r="B32" s="20">
        <v>3810.26</v>
      </c>
      <c r="C32" s="20">
        <f>IF(I13=0,0,(N32-B32)/I13)</f>
        <v>556.6890666666668</v>
      </c>
      <c r="E32" s="20">
        <f>C32</f>
        <v>556.6890666666668</v>
      </c>
      <c r="G32" s="20">
        <f>C32</f>
        <v>556.6890666666668</v>
      </c>
      <c r="H32" s="20">
        <f>C32</f>
        <v>556.6890666666668</v>
      </c>
      <c r="I32" s="20">
        <f>C32</f>
        <v>556.6890666666668</v>
      </c>
      <c r="J32" s="20">
        <f>C32</f>
        <v>556.6890666666668</v>
      </c>
      <c r="N32" s="20">
        <f t="shared" si="4"/>
        <v>7150.394400000001</v>
      </c>
      <c r="O32" s="20"/>
      <c r="P32" s="20"/>
    </row>
    <row r="33" spans="1:16">
      <c r="A33" t="str">
        <f t="shared" si="3"/>
        <v>Universal                (2d)</v>
      </c>
      <c r="B33" s="20">
        <v>2604.27</v>
      </c>
      <c r="C33" s="20">
        <f>IF(I14=0,0,(N33-B33)/I14)</f>
        <v>377.73250000000002</v>
      </c>
      <c r="E33" s="20">
        <f>C33</f>
        <v>377.73250000000002</v>
      </c>
      <c r="G33" s="20">
        <f>C33</f>
        <v>377.73250000000002</v>
      </c>
      <c r="H33" s="20">
        <f>C33</f>
        <v>377.73250000000002</v>
      </c>
      <c r="I33" s="20">
        <f>C33</f>
        <v>377.73250000000002</v>
      </c>
      <c r="J33" s="20">
        <f>C33</f>
        <v>377.73250000000002</v>
      </c>
      <c r="N33" s="20">
        <f t="shared" si="4"/>
        <v>4870.665</v>
      </c>
      <c r="O33" s="20"/>
      <c r="P33" s="20"/>
    </row>
    <row r="34" spans="1:16">
      <c r="A34" t="str">
        <f t="shared" si="3"/>
        <v>Busch Gardens     (2d)</v>
      </c>
      <c r="B34" s="20">
        <f>7348.55-B32-B33</f>
        <v>934.02</v>
      </c>
      <c r="C34" s="20">
        <f>IF(I15=0,0,(N34-B34)/I15)</f>
        <v>232.29510000000005</v>
      </c>
      <c r="E34" s="20">
        <f>C34</f>
        <v>232.29510000000005</v>
      </c>
      <c r="G34" s="20">
        <f>C34</f>
        <v>232.29510000000005</v>
      </c>
      <c r="H34" s="20">
        <f>C34</f>
        <v>232.29510000000005</v>
      </c>
      <c r="I34" s="20">
        <f>C34</f>
        <v>232.29510000000005</v>
      </c>
      <c r="J34" s="20">
        <f>C34</f>
        <v>232.29510000000005</v>
      </c>
      <c r="N34" s="20">
        <f t="shared" si="4"/>
        <v>2327.7906000000003</v>
      </c>
      <c r="O34" s="20"/>
      <c r="P34" s="20"/>
    </row>
    <row r="35" spans="1:16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P35" s="20"/>
    </row>
    <row r="36" spans="1:16">
      <c r="A36" s="12" t="s">
        <v>19</v>
      </c>
      <c r="B36" s="13">
        <f t="shared" ref="B36:N36" si="5">SUM(B25:B35)</f>
        <v>17256.145</v>
      </c>
      <c r="C36" s="13">
        <f t="shared" si="5"/>
        <v>5915.9066666666668</v>
      </c>
      <c r="D36" s="13">
        <f t="shared" si="5"/>
        <v>0</v>
      </c>
      <c r="E36" s="13">
        <f t="shared" si="5"/>
        <v>5915.9066666666668</v>
      </c>
      <c r="F36" s="13">
        <f t="shared" si="5"/>
        <v>0</v>
      </c>
      <c r="G36" s="13">
        <f t="shared" si="5"/>
        <v>5915.9066666666668</v>
      </c>
      <c r="H36" s="13">
        <f t="shared" si="5"/>
        <v>2158.3666666666668</v>
      </c>
      <c r="I36" s="13">
        <f t="shared" si="5"/>
        <v>2158.3666666666668</v>
      </c>
      <c r="J36" s="13">
        <f t="shared" si="5"/>
        <v>2158.3666666666668</v>
      </c>
      <c r="K36" s="13">
        <f t="shared" si="5"/>
        <v>991.65</v>
      </c>
      <c r="L36" s="13">
        <f t="shared" si="5"/>
        <v>991.65</v>
      </c>
      <c r="M36" s="13">
        <f t="shared" si="5"/>
        <v>602.03</v>
      </c>
      <c r="N36" s="13">
        <f t="shared" si="5"/>
        <v>44064.294999999998</v>
      </c>
      <c r="P36" s="20"/>
    </row>
    <row r="38" spans="1:16">
      <c r="A38" s="35" t="s">
        <v>58</v>
      </c>
      <c r="B38" s="36">
        <f>B36/($D$4+$F$4)*$D$4</f>
        <v>11504.096666666666</v>
      </c>
      <c r="C38" s="36">
        <f>C36/($D$4+$F$4)*$D$4</f>
        <v>3943.9377777777777</v>
      </c>
      <c r="D38" s="36" t="e">
        <f>(D36+#REF!)/($D$4+$F$4)*$D$4</f>
        <v>#REF!</v>
      </c>
      <c r="E38" s="36">
        <f>E36/($D$4+$F$4)*$D$4</f>
        <v>3943.9377777777777</v>
      </c>
      <c r="F38" s="36" t="e">
        <f>(F36+#REF!)/($D$4+$F$4)*$D$4</f>
        <v>#REF!</v>
      </c>
      <c r="G38" s="36">
        <f t="shared" ref="G38:N38" si="6">G36/($D$4+$F$4)*$D$4</f>
        <v>3943.9377777777777</v>
      </c>
      <c r="H38" s="36">
        <f t="shared" si="6"/>
        <v>1438.9111111111113</v>
      </c>
      <c r="I38" s="36">
        <f t="shared" si="6"/>
        <v>1438.9111111111113</v>
      </c>
      <c r="J38" s="36">
        <f t="shared" si="6"/>
        <v>1438.9111111111113</v>
      </c>
      <c r="K38" s="36">
        <f t="shared" si="6"/>
        <v>661.1</v>
      </c>
      <c r="L38" s="36">
        <f t="shared" si="6"/>
        <v>661.1</v>
      </c>
      <c r="M38" s="36">
        <f t="shared" si="6"/>
        <v>401.3533333333333</v>
      </c>
      <c r="N38" s="36">
        <f t="shared" si="6"/>
        <v>29376.196666666667</v>
      </c>
      <c r="O38" s="20"/>
    </row>
    <row r="39" spans="1:16">
      <c r="A39" s="37" t="s">
        <v>59</v>
      </c>
      <c r="B39" s="13">
        <f>B36-B38</f>
        <v>5752.0483333333341</v>
      </c>
      <c r="C39" s="13">
        <f>C36-C38</f>
        <v>1971.9688888888891</v>
      </c>
      <c r="D39" s="13" t="e">
        <f>D36+#REF!-D38</f>
        <v>#REF!</v>
      </c>
      <c r="E39" s="13">
        <f>E36-E38</f>
        <v>1971.9688888888891</v>
      </c>
      <c r="F39" s="13" t="e">
        <f>F36+#REF!-F38</f>
        <v>#REF!</v>
      </c>
      <c r="G39" s="13">
        <f t="shared" ref="G39:N39" si="7">G36-G38</f>
        <v>1971.9688888888891</v>
      </c>
      <c r="H39" s="13">
        <f t="shared" si="7"/>
        <v>719.45555555555552</v>
      </c>
      <c r="I39" s="13">
        <f t="shared" si="7"/>
        <v>719.45555555555552</v>
      </c>
      <c r="J39" s="13">
        <f t="shared" si="7"/>
        <v>719.45555555555552</v>
      </c>
      <c r="K39" s="13">
        <f t="shared" si="7"/>
        <v>330.54999999999995</v>
      </c>
      <c r="L39" s="13">
        <f t="shared" si="7"/>
        <v>330.54999999999995</v>
      </c>
      <c r="M39" s="13">
        <f t="shared" si="7"/>
        <v>200.67666666666668</v>
      </c>
      <c r="N39" s="13">
        <f t="shared" si="7"/>
        <v>14688.098333333332</v>
      </c>
    </row>
    <row r="40" spans="1:16" s="5" customFormat="1">
      <c r="A40" s="38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0"/>
    </row>
    <row r="41" spans="1:16" s="5" customFormat="1">
      <c r="A41" s="38" t="str">
        <f>A39</f>
        <v>Familia SOUZA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6" s="5" customFormat="1">
      <c r="A42" s="23" t="s">
        <v>73</v>
      </c>
      <c r="B42" s="16">
        <f>6670+180</f>
        <v>6850</v>
      </c>
      <c r="C42" s="16">
        <f>B42-B39+B44</f>
        <v>1097.9516666666659</v>
      </c>
      <c r="D42" s="16">
        <f>C42-C39+C43</f>
        <v>0</v>
      </c>
      <c r="E42" s="16">
        <f>IF((C42-C39+C44)&lt;=0,0,C42-C39+C44)</f>
        <v>0</v>
      </c>
      <c r="F42" s="16"/>
      <c r="G42" s="16">
        <f>IF((E42-E39+E44)&lt;=0,0,E42-E39+E44)</f>
        <v>0</v>
      </c>
      <c r="H42" s="16">
        <f>IF((G42-G39+G44)&lt;=0,0,G42-G39+G44)</f>
        <v>0</v>
      </c>
      <c r="I42" s="16">
        <v>1252.51</v>
      </c>
      <c r="J42" s="16">
        <f>IF((I42-I39+I44)&lt;=0,0,I42-I39+I44)</f>
        <v>533.05444444444447</v>
      </c>
      <c r="K42" s="16">
        <f>IF((J42-J39+J44)&lt;=0,0,J42-J39+J44)</f>
        <v>0</v>
      </c>
      <c r="L42" s="16">
        <f>IF((K42-K39+K44)&lt;=0,0,K42-K39+K44)</f>
        <v>0</v>
      </c>
      <c r="M42" s="16">
        <f>IF((L42-L39+L44)&lt;=0,0,L42-L39+L44)</f>
        <v>0</v>
      </c>
      <c r="N42" s="16"/>
    </row>
    <row r="43" spans="1:16" s="5" customFormat="1">
      <c r="A43" s="23" t="s">
        <v>74</v>
      </c>
      <c r="B43" s="16">
        <f>IF(B42&gt;B39,0,B39-B42)</f>
        <v>0</v>
      </c>
      <c r="C43" s="16">
        <f>IF(C42&gt;C39,0,C39-C42)</f>
        <v>874.01722222222315</v>
      </c>
      <c r="D43" s="16"/>
      <c r="E43" s="16">
        <f>IF(E39&lt;E42,0,E39-E42)</f>
        <v>1971.9688888888891</v>
      </c>
      <c r="F43" s="16"/>
      <c r="G43" s="16">
        <f t="shared" ref="G43:M43" si="8">IF(G39&lt;G42,0,G39-G42)</f>
        <v>1971.9688888888891</v>
      </c>
      <c r="H43" s="16">
        <f t="shared" si="8"/>
        <v>719.45555555555552</v>
      </c>
      <c r="I43" s="16">
        <f t="shared" si="8"/>
        <v>0</v>
      </c>
      <c r="J43" s="16">
        <f t="shared" si="8"/>
        <v>186.40111111111105</v>
      </c>
      <c r="K43" s="16">
        <f t="shared" si="8"/>
        <v>330.54999999999995</v>
      </c>
      <c r="L43" s="16">
        <f t="shared" si="8"/>
        <v>330.54999999999995</v>
      </c>
      <c r="M43" s="16">
        <f t="shared" si="8"/>
        <v>200.67666666666668</v>
      </c>
      <c r="N43" s="16"/>
    </row>
    <row r="44" spans="1:16" s="5" customFormat="1">
      <c r="A44" s="23" t="s">
        <v>75</v>
      </c>
      <c r="B44" s="16">
        <v>0</v>
      </c>
      <c r="C44" s="16">
        <f>C43</f>
        <v>874.01722222222315</v>
      </c>
      <c r="D44" s="16"/>
      <c r="E44" s="16">
        <f>E43</f>
        <v>1971.9688888888891</v>
      </c>
      <c r="F44" s="16"/>
      <c r="G44" s="16"/>
      <c r="H44" s="16"/>
      <c r="I44" s="16"/>
      <c r="J44" s="16"/>
      <c r="K44" s="16"/>
      <c r="L44" s="16"/>
      <c r="M44" s="16"/>
      <c r="N44" s="16">
        <f>B42+SUM(B44:M44)</f>
        <v>9695.9861111111131</v>
      </c>
      <c r="O44" s="20"/>
      <c r="P44" s="20"/>
    </row>
    <row r="45" spans="1:16">
      <c r="C45" s="20"/>
    </row>
    <row r="47" spans="1:16">
      <c r="A47" s="26" t="s">
        <v>37</v>
      </c>
      <c r="B47" s="27">
        <f>Cartao!C95</f>
        <v>9907.5949999999993</v>
      </c>
      <c r="C47" s="27">
        <f>Cartao!C79</f>
        <v>5915.9066666666668</v>
      </c>
      <c r="D47" s="39"/>
      <c r="E47" s="27">
        <f>Cartao!C60</f>
        <v>5915.9066666666668</v>
      </c>
      <c r="F47" s="28"/>
      <c r="G47" s="27">
        <f>G36</f>
        <v>5915.9066666666668</v>
      </c>
      <c r="H47" s="27">
        <f>H36</f>
        <v>2158.3666666666668</v>
      </c>
      <c r="I47" s="28"/>
      <c r="J47" s="28"/>
      <c r="K47" s="28"/>
      <c r="L47" s="28"/>
      <c r="M47" s="28"/>
      <c r="N47" s="20">
        <f>N38-B38-C38-E38</f>
        <v>9984.2244444444441</v>
      </c>
    </row>
    <row r="48" spans="1:16">
      <c r="A48" s="26" t="s">
        <v>76</v>
      </c>
      <c r="B48" s="40">
        <f>Cartao!C98</f>
        <v>7347.55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98"/>
  <sheetViews>
    <sheetView zoomScaleNormal="100" workbookViewId="0"/>
  </sheetViews>
  <sheetFormatPr defaultRowHeight="15"/>
  <cols>
    <col min="1" max="1" width="7.28515625" customWidth="1"/>
    <col min="2" max="2" width="20" customWidth="1"/>
    <col min="3" max="3" width="10.5703125" customWidth="1"/>
    <col min="4" max="4" width="10.140625" customWidth="1"/>
    <col min="5" max="5" width="11" customWidth="1"/>
    <col min="6" max="6" width="9.5703125" customWidth="1"/>
    <col min="7" max="10" width="8.7109375" customWidth="1"/>
    <col min="11" max="13" width="9.5703125" customWidth="1"/>
    <col min="14" max="1025" width="8.7109375" customWidth="1"/>
  </cols>
  <sheetData>
    <row r="1" spans="1:12">
      <c r="A1" s="29">
        <v>42895</v>
      </c>
      <c r="B1" s="15" t="s">
        <v>31</v>
      </c>
      <c r="K1" t="s">
        <v>29</v>
      </c>
      <c r="L1" t="s">
        <v>30</v>
      </c>
    </row>
    <row r="2" spans="1:12">
      <c r="C2" t="s">
        <v>38</v>
      </c>
      <c r="D2" t="s">
        <v>39</v>
      </c>
      <c r="E2" t="s">
        <v>33</v>
      </c>
      <c r="F2" t="s">
        <v>41</v>
      </c>
      <c r="I2" t="s">
        <v>77</v>
      </c>
      <c r="J2" t="s">
        <v>78</v>
      </c>
      <c r="K2">
        <v>780</v>
      </c>
      <c r="L2">
        <v>780</v>
      </c>
    </row>
    <row r="3" spans="1:12">
      <c r="B3" t="s">
        <v>79</v>
      </c>
      <c r="C3" s="3">
        <v>69.900000000000006</v>
      </c>
      <c r="D3" s="3">
        <v>1</v>
      </c>
      <c r="E3" s="3">
        <f t="shared" ref="E3:E14" si="0">C3*D3</f>
        <v>69.900000000000006</v>
      </c>
      <c r="I3" t="s">
        <v>80</v>
      </c>
      <c r="J3" t="s">
        <v>81</v>
      </c>
      <c r="K3" s="20">
        <v>6172.53</v>
      </c>
      <c r="L3" s="20">
        <v>6172.53</v>
      </c>
    </row>
    <row r="4" spans="1:12">
      <c r="B4" t="str">
        <f>Orcamento!A5</f>
        <v>Passagens              (6p)</v>
      </c>
      <c r="C4" s="3">
        <f>Orcamento!H25</f>
        <v>0</v>
      </c>
      <c r="D4" s="3">
        <v>1</v>
      </c>
      <c r="E4" s="3">
        <f t="shared" si="0"/>
        <v>0</v>
      </c>
      <c r="F4" s="20">
        <f t="shared" ref="F4:F13" si="1">C4</f>
        <v>0</v>
      </c>
      <c r="I4" t="s">
        <v>82</v>
      </c>
      <c r="J4" t="s">
        <v>83</v>
      </c>
      <c r="K4">
        <v>494.2</v>
      </c>
      <c r="L4">
        <v>494.2</v>
      </c>
    </row>
    <row r="5" spans="1:12">
      <c r="B5" t="str">
        <f>Orcamento!A6</f>
        <v>Hospedagem        (15d)</v>
      </c>
      <c r="C5" s="3">
        <f>Orcamento!H26</f>
        <v>458.89</v>
      </c>
      <c r="D5" s="3">
        <v>6</v>
      </c>
      <c r="E5" s="3">
        <f t="shared" si="0"/>
        <v>2753.34</v>
      </c>
      <c r="F5" s="20">
        <f t="shared" si="1"/>
        <v>458.89</v>
      </c>
      <c r="I5" s="89" t="s">
        <v>1</v>
      </c>
      <c r="J5" s="89"/>
      <c r="K5">
        <v>7446.73</v>
      </c>
      <c r="L5">
        <v>7446.73</v>
      </c>
    </row>
    <row r="6" spans="1:12">
      <c r="B6" t="str">
        <f>Orcamento!A7</f>
        <v>Seguro Viagem    (6p)</v>
      </c>
      <c r="C6" s="3">
        <f>Orcamento!H27</f>
        <v>143.14000000000001</v>
      </c>
      <c r="D6" s="3">
        <v>6</v>
      </c>
      <c r="E6" s="3">
        <f t="shared" si="0"/>
        <v>858.84000000000015</v>
      </c>
      <c r="F6" s="20">
        <f t="shared" si="1"/>
        <v>143.14000000000001</v>
      </c>
    </row>
    <row r="7" spans="1:12">
      <c r="B7" t="str">
        <f>Orcamento!A8</f>
        <v>Jogo NBA                (6p)</v>
      </c>
      <c r="C7" s="3">
        <f>Orcamento!H28</f>
        <v>0</v>
      </c>
      <c r="D7" s="3">
        <v>0</v>
      </c>
      <c r="E7" s="3">
        <f t="shared" si="0"/>
        <v>0</v>
      </c>
      <c r="F7" s="20">
        <f t="shared" si="1"/>
        <v>0</v>
      </c>
    </row>
    <row r="8" spans="1:12">
      <c r="B8" t="str">
        <f>Orcamento!A9</f>
        <v>Jogo NBA -&gt; IOF   (6,38%)</v>
      </c>
      <c r="C8" s="3">
        <f>Orcamento!H29</f>
        <v>389.62</v>
      </c>
      <c r="D8" s="3">
        <v>5</v>
      </c>
      <c r="E8" s="3">
        <f t="shared" si="0"/>
        <v>1948.1</v>
      </c>
      <c r="F8" s="20">
        <f t="shared" si="1"/>
        <v>389.62</v>
      </c>
    </row>
    <row r="9" spans="1:12">
      <c r="B9" t="str">
        <f>Orcamento!A10</f>
        <v>Aluguel Carro</v>
      </c>
      <c r="C9" s="3">
        <f>Orcamento!H30</f>
        <v>0</v>
      </c>
      <c r="D9" s="3">
        <v>0</v>
      </c>
      <c r="E9" s="3">
        <f t="shared" si="0"/>
        <v>0</v>
      </c>
      <c r="F9" s="20">
        <f t="shared" si="1"/>
        <v>0</v>
      </c>
    </row>
    <row r="10" spans="1:12">
      <c r="B10" t="str">
        <f>Orcamento!A11</f>
        <v>Chip CELULAR</v>
      </c>
      <c r="C10" s="3">
        <f>Orcamento!H31</f>
        <v>0</v>
      </c>
      <c r="D10" s="3">
        <v>3</v>
      </c>
      <c r="E10" s="3">
        <f t="shared" si="0"/>
        <v>0</v>
      </c>
      <c r="F10" s="20">
        <f t="shared" si="1"/>
        <v>0</v>
      </c>
    </row>
    <row r="11" spans="1:12">
      <c r="B11" t="str">
        <f>Orcamento!A12</f>
        <v>Estacionamento Jogo NBA</v>
      </c>
      <c r="C11" s="3">
        <f>Orcamento!H32</f>
        <v>556.6890666666668</v>
      </c>
      <c r="D11" s="3">
        <v>3</v>
      </c>
      <c r="E11" s="3">
        <f t="shared" si="0"/>
        <v>1670.0672000000004</v>
      </c>
      <c r="F11" s="20">
        <f t="shared" si="1"/>
        <v>556.6890666666668</v>
      </c>
    </row>
    <row r="12" spans="1:12">
      <c r="B12" t="str">
        <f>Orcamento!A13</f>
        <v>Disney                     (5d)</v>
      </c>
      <c r="C12" s="3">
        <f>Orcamento!H33</f>
        <v>377.73250000000002</v>
      </c>
      <c r="D12" s="3">
        <v>3</v>
      </c>
      <c r="E12" s="3">
        <f t="shared" si="0"/>
        <v>1133.1975</v>
      </c>
      <c r="F12" s="20">
        <f t="shared" si="1"/>
        <v>377.73250000000002</v>
      </c>
    </row>
    <row r="13" spans="1:12">
      <c r="B13" t="str">
        <f>Orcamento!A14</f>
        <v>Universal                (2d)</v>
      </c>
      <c r="C13" s="3">
        <f>Orcamento!H34</f>
        <v>232.29510000000005</v>
      </c>
      <c r="D13" s="3">
        <v>3</v>
      </c>
      <c r="E13" s="3">
        <f t="shared" si="0"/>
        <v>696.88530000000014</v>
      </c>
      <c r="F13" s="20">
        <f t="shared" si="1"/>
        <v>232.29510000000005</v>
      </c>
      <c r="K13" s="15"/>
    </row>
    <row r="14" spans="1:12">
      <c r="B14" t="s">
        <v>84</v>
      </c>
      <c r="C14" s="3">
        <v>583.35</v>
      </c>
      <c r="D14" s="3">
        <v>2</v>
      </c>
      <c r="E14" s="3">
        <f t="shared" si="0"/>
        <v>1166.7</v>
      </c>
      <c r="K14" s="16"/>
    </row>
    <row r="15" spans="1:12">
      <c r="K15" s="16"/>
    </row>
    <row r="16" spans="1:12">
      <c r="C16" s="3"/>
      <c r="D16" s="3"/>
      <c r="E16" s="3"/>
      <c r="K16" s="16"/>
    </row>
    <row r="17" spans="1:12">
      <c r="B17" s="33" t="s">
        <v>1</v>
      </c>
      <c r="C17" s="34">
        <f>SUM(C3:C16)</f>
        <v>2811.6166666666668</v>
      </c>
      <c r="D17" s="33"/>
      <c r="E17" s="3">
        <f>SUM(E3:E16)</f>
        <v>10297.030000000001</v>
      </c>
      <c r="F17">
        <f>SUM(F3:F14)</f>
        <v>2158.3666666666668</v>
      </c>
    </row>
    <row r="18" spans="1:12">
      <c r="B18" s="33" t="s">
        <v>85</v>
      </c>
      <c r="C18" s="34"/>
      <c r="D18" s="33"/>
      <c r="E18" s="3"/>
    </row>
    <row r="21" spans="1:12">
      <c r="A21" s="29">
        <v>42864</v>
      </c>
      <c r="B21" s="15" t="s">
        <v>30</v>
      </c>
      <c r="K21" t="s">
        <v>29</v>
      </c>
      <c r="L21" t="s">
        <v>30</v>
      </c>
    </row>
    <row r="22" spans="1:12">
      <c r="C22" t="s">
        <v>38</v>
      </c>
      <c r="D22" t="s">
        <v>39</v>
      </c>
      <c r="E22" t="s">
        <v>33</v>
      </c>
      <c r="F22" t="s">
        <v>41</v>
      </c>
      <c r="I22" t="s">
        <v>77</v>
      </c>
      <c r="J22" t="s">
        <v>78</v>
      </c>
      <c r="K22">
        <v>780</v>
      </c>
      <c r="L22">
        <v>780</v>
      </c>
    </row>
    <row r="23" spans="1:12">
      <c r="B23" t="s">
        <v>79</v>
      </c>
      <c r="C23" s="3">
        <v>69.900000000000006</v>
      </c>
      <c r="D23" s="3">
        <v>1</v>
      </c>
      <c r="E23" s="3">
        <f t="shared" ref="E23:E34" si="2">C23*D23</f>
        <v>69.900000000000006</v>
      </c>
      <c r="I23" t="s">
        <v>80</v>
      </c>
      <c r="J23" t="s">
        <v>81</v>
      </c>
      <c r="K23" s="20">
        <v>6172.53</v>
      </c>
      <c r="L23" s="20">
        <v>6172.53</v>
      </c>
    </row>
    <row r="24" spans="1:12">
      <c r="B24" t="str">
        <f>Orcamento!A25</f>
        <v>Passagens              (6p)</v>
      </c>
      <c r="C24" s="3">
        <f>Orcamento!C25</f>
        <v>3757.5399999999995</v>
      </c>
      <c r="D24" s="3">
        <v>1</v>
      </c>
      <c r="E24" s="3">
        <f t="shared" si="2"/>
        <v>3757.5399999999995</v>
      </c>
      <c r="F24" s="20">
        <f t="shared" ref="F24:F33" si="3">C24</f>
        <v>3757.5399999999995</v>
      </c>
      <c r="I24" t="s">
        <v>82</v>
      </c>
      <c r="J24" t="s">
        <v>83</v>
      </c>
      <c r="K24">
        <v>494.2</v>
      </c>
      <c r="L24">
        <v>494.2</v>
      </c>
    </row>
    <row r="25" spans="1:12">
      <c r="B25" t="str">
        <f>Orcamento!A26</f>
        <v>Hospedagem        (15d)</v>
      </c>
      <c r="C25" s="3">
        <f>Orcamento!C26</f>
        <v>458.89</v>
      </c>
      <c r="D25" s="3">
        <v>7</v>
      </c>
      <c r="E25" s="3">
        <f t="shared" si="2"/>
        <v>3212.23</v>
      </c>
      <c r="F25" s="20">
        <f t="shared" si="3"/>
        <v>458.89</v>
      </c>
      <c r="I25" s="89" t="s">
        <v>1</v>
      </c>
      <c r="J25" s="89"/>
      <c r="K25">
        <v>7446.73</v>
      </c>
      <c r="L25">
        <v>7446.73</v>
      </c>
    </row>
    <row r="26" spans="1:12">
      <c r="B26" t="str">
        <f>Orcamento!A27</f>
        <v>Seguro Viagem    (6p)</v>
      </c>
      <c r="C26" s="3">
        <f>Orcamento!C27</f>
        <v>143.14000000000001</v>
      </c>
      <c r="D26" s="3">
        <v>7</v>
      </c>
      <c r="E26" s="3">
        <f t="shared" si="2"/>
        <v>1001.9800000000001</v>
      </c>
      <c r="F26" s="20">
        <f t="shared" si="3"/>
        <v>143.14000000000001</v>
      </c>
    </row>
    <row r="27" spans="1:12">
      <c r="B27" t="str">
        <f>Orcamento!A28</f>
        <v>Jogo NBA + IOF</v>
      </c>
      <c r="C27" s="3">
        <f>Orcamento!C28</f>
        <v>0</v>
      </c>
      <c r="D27" s="3">
        <v>0</v>
      </c>
      <c r="E27" s="3">
        <f t="shared" si="2"/>
        <v>0</v>
      </c>
      <c r="F27" s="20">
        <f t="shared" si="3"/>
        <v>0</v>
      </c>
    </row>
    <row r="28" spans="1:12">
      <c r="B28" t="str">
        <f>Orcamento!A29</f>
        <v>Aluguel Carro</v>
      </c>
      <c r="C28" s="3">
        <f>Orcamento!C29</f>
        <v>389.62</v>
      </c>
      <c r="D28" s="3">
        <v>6</v>
      </c>
      <c r="E28" s="3">
        <f t="shared" si="2"/>
        <v>2337.7200000000003</v>
      </c>
      <c r="F28" s="20">
        <f t="shared" si="3"/>
        <v>389.62</v>
      </c>
    </row>
    <row r="29" spans="1:12">
      <c r="B29" t="str">
        <f>Orcamento!A30</f>
        <v>Chip CELULAR</v>
      </c>
      <c r="C29" s="3">
        <f>Orcamento!C30</f>
        <v>0</v>
      </c>
      <c r="D29" s="3">
        <v>0</v>
      </c>
      <c r="E29" s="3">
        <f t="shared" si="2"/>
        <v>0</v>
      </c>
      <c r="F29" s="20">
        <f t="shared" si="3"/>
        <v>0</v>
      </c>
    </row>
    <row r="30" spans="1:12">
      <c r="B30" t="str">
        <f>Orcamento!A31</f>
        <v>Estacionamento Jogo NBA</v>
      </c>
      <c r="C30" s="3">
        <f>Orcamento!C31</f>
        <v>0</v>
      </c>
      <c r="D30" s="3">
        <v>4</v>
      </c>
      <c r="E30" s="3">
        <f t="shared" si="2"/>
        <v>0</v>
      </c>
      <c r="F30" s="20">
        <f t="shared" si="3"/>
        <v>0</v>
      </c>
    </row>
    <row r="31" spans="1:12">
      <c r="B31" t="str">
        <f>Orcamento!A32</f>
        <v>Disney                     (5d)</v>
      </c>
      <c r="C31" s="3">
        <f>Orcamento!C32</f>
        <v>556.6890666666668</v>
      </c>
      <c r="D31" s="3">
        <v>4</v>
      </c>
      <c r="E31" s="3">
        <f t="shared" si="2"/>
        <v>2226.7562666666672</v>
      </c>
      <c r="F31" s="20">
        <f t="shared" si="3"/>
        <v>556.6890666666668</v>
      </c>
    </row>
    <row r="32" spans="1:12">
      <c r="B32" t="str">
        <f>Orcamento!A33</f>
        <v>Universal                (2d)</v>
      </c>
      <c r="C32" s="3">
        <f>Orcamento!C33</f>
        <v>377.73250000000002</v>
      </c>
      <c r="D32" s="3">
        <v>4</v>
      </c>
      <c r="E32" s="3">
        <f t="shared" si="2"/>
        <v>1510.93</v>
      </c>
      <c r="F32" s="20">
        <f t="shared" si="3"/>
        <v>377.73250000000002</v>
      </c>
    </row>
    <row r="33" spans="1:12">
      <c r="B33" t="str">
        <f>Orcamento!A34</f>
        <v>Busch Gardens     (2d)</v>
      </c>
      <c r="C33" s="3">
        <f>Orcamento!C34</f>
        <v>232.29510000000005</v>
      </c>
      <c r="D33" s="3">
        <v>4</v>
      </c>
      <c r="E33" s="3">
        <f t="shared" si="2"/>
        <v>929.18040000000019</v>
      </c>
      <c r="F33" s="20">
        <f t="shared" si="3"/>
        <v>232.29510000000005</v>
      </c>
      <c r="K33" s="15"/>
    </row>
    <row r="34" spans="1:12">
      <c r="B34" t="s">
        <v>84</v>
      </c>
      <c r="C34" s="3">
        <v>583.35</v>
      </c>
      <c r="D34" s="3">
        <v>3</v>
      </c>
      <c r="E34" s="3">
        <f t="shared" si="2"/>
        <v>1750.0500000000002</v>
      </c>
      <c r="K34" s="16"/>
    </row>
    <row r="35" spans="1:12">
      <c r="K35" s="16"/>
    </row>
    <row r="36" spans="1:12">
      <c r="C36" s="3"/>
      <c r="D36" s="3"/>
      <c r="E36" s="3"/>
      <c r="K36" s="16"/>
    </row>
    <row r="37" spans="1:12">
      <c r="B37" s="33" t="s">
        <v>1</v>
      </c>
      <c r="C37" s="34">
        <f>SUM(C23:C36)</f>
        <v>6569.1566666666677</v>
      </c>
      <c r="D37" s="33"/>
      <c r="E37" s="3">
        <f>SUM(E23:E36)</f>
        <v>16796.286666666667</v>
      </c>
      <c r="F37">
        <f>SUM(F23:F34)</f>
        <v>5915.9066666666668</v>
      </c>
    </row>
    <row r="38" spans="1:12">
      <c r="B38" s="33" t="s">
        <v>85</v>
      </c>
      <c r="C38" s="34"/>
      <c r="D38" s="33"/>
      <c r="E38" s="3"/>
    </row>
    <row r="43" spans="1:12">
      <c r="A43" s="29">
        <v>42834</v>
      </c>
      <c r="B43" s="15" t="s">
        <v>29</v>
      </c>
      <c r="K43" t="s">
        <v>29</v>
      </c>
      <c r="L43" t="s">
        <v>30</v>
      </c>
    </row>
    <row r="44" spans="1:12">
      <c r="C44" t="s">
        <v>38</v>
      </c>
      <c r="D44" t="s">
        <v>39</v>
      </c>
      <c r="E44" t="s">
        <v>33</v>
      </c>
      <c r="F44" t="s">
        <v>41</v>
      </c>
      <c r="I44" t="s">
        <v>77</v>
      </c>
      <c r="J44" t="s">
        <v>78</v>
      </c>
      <c r="K44">
        <v>780</v>
      </c>
      <c r="L44">
        <v>780</v>
      </c>
    </row>
    <row r="45" spans="1:12">
      <c r="B45" t="s">
        <v>79</v>
      </c>
      <c r="C45" s="3">
        <v>69.900000000000006</v>
      </c>
      <c r="D45" s="3">
        <v>1</v>
      </c>
      <c r="E45" s="3">
        <f t="shared" ref="E45:E56" si="4">C45*D45</f>
        <v>69.900000000000006</v>
      </c>
      <c r="I45" t="s">
        <v>80</v>
      </c>
      <c r="J45" t="s">
        <v>81</v>
      </c>
      <c r="K45" s="20">
        <v>6172.53</v>
      </c>
      <c r="L45" s="20">
        <v>6172.53</v>
      </c>
    </row>
    <row r="46" spans="1:12">
      <c r="B46" t="str">
        <f>Orcamento!A25</f>
        <v>Passagens              (6p)</v>
      </c>
      <c r="C46" s="3">
        <f>Orcamento!C25</f>
        <v>3757.5399999999995</v>
      </c>
      <c r="D46" s="3">
        <v>2</v>
      </c>
      <c r="E46" s="3">
        <f t="shared" si="4"/>
        <v>7515.079999999999</v>
      </c>
      <c r="F46" s="20">
        <f t="shared" ref="F46:F55" si="5">C46</f>
        <v>3757.5399999999995</v>
      </c>
      <c r="I46" t="s">
        <v>82</v>
      </c>
      <c r="J46" t="s">
        <v>83</v>
      </c>
      <c r="K46">
        <v>494.2</v>
      </c>
      <c r="L46">
        <v>494.2</v>
      </c>
    </row>
    <row r="47" spans="1:12">
      <c r="B47" t="str">
        <f>Orcamento!A26</f>
        <v>Hospedagem        (15d)</v>
      </c>
      <c r="C47" s="3">
        <f>Orcamento!C26</f>
        <v>458.89</v>
      </c>
      <c r="D47" s="3">
        <v>8</v>
      </c>
      <c r="E47" s="3">
        <f t="shared" si="4"/>
        <v>3671.12</v>
      </c>
      <c r="F47" s="20">
        <f t="shared" si="5"/>
        <v>458.89</v>
      </c>
      <c r="I47" s="89" t="s">
        <v>1</v>
      </c>
      <c r="J47" s="89"/>
      <c r="K47">
        <v>7446.73</v>
      </c>
      <c r="L47">
        <v>7446.73</v>
      </c>
    </row>
    <row r="48" spans="1:12">
      <c r="B48" t="str">
        <f>Orcamento!A27</f>
        <v>Seguro Viagem    (6p)</v>
      </c>
      <c r="C48" s="3">
        <f>Orcamento!C27</f>
        <v>143.14000000000001</v>
      </c>
      <c r="D48" s="3">
        <v>8</v>
      </c>
      <c r="E48" s="3">
        <f t="shared" si="4"/>
        <v>1145.1200000000001</v>
      </c>
      <c r="F48" s="20">
        <f t="shared" si="5"/>
        <v>143.14000000000001</v>
      </c>
    </row>
    <row r="49" spans="1:13">
      <c r="B49" t="str">
        <f>Orcamento!A28</f>
        <v>Jogo NBA + IOF</v>
      </c>
      <c r="C49" s="3">
        <f>Orcamento!C28</f>
        <v>0</v>
      </c>
      <c r="D49" s="3">
        <v>0</v>
      </c>
      <c r="E49" s="3">
        <f t="shared" si="4"/>
        <v>0</v>
      </c>
      <c r="F49" s="20">
        <f t="shared" si="5"/>
        <v>0</v>
      </c>
    </row>
    <row r="50" spans="1:13">
      <c r="B50" t="str">
        <f>Orcamento!A29</f>
        <v>Aluguel Carro</v>
      </c>
      <c r="C50" s="3">
        <f>Orcamento!C29</f>
        <v>389.62</v>
      </c>
      <c r="D50" s="3">
        <v>7</v>
      </c>
      <c r="E50" s="3">
        <f t="shared" si="4"/>
        <v>2727.34</v>
      </c>
      <c r="F50" s="20">
        <f t="shared" si="5"/>
        <v>389.62</v>
      </c>
    </row>
    <row r="51" spans="1:13">
      <c r="B51" t="str">
        <f>Orcamento!A30</f>
        <v>Chip CELULAR</v>
      </c>
      <c r="C51" s="3">
        <f>Orcamento!C30</f>
        <v>0</v>
      </c>
      <c r="D51" s="3">
        <v>0</v>
      </c>
      <c r="E51" s="3">
        <f t="shared" si="4"/>
        <v>0</v>
      </c>
      <c r="F51" s="20">
        <f t="shared" si="5"/>
        <v>0</v>
      </c>
    </row>
    <row r="52" spans="1:13">
      <c r="B52" t="str">
        <f>Orcamento!A31</f>
        <v>Estacionamento Jogo NBA</v>
      </c>
      <c r="C52" s="3">
        <f>Orcamento!C31</f>
        <v>0</v>
      </c>
      <c r="D52" s="3"/>
      <c r="E52" s="3">
        <f t="shared" si="4"/>
        <v>0</v>
      </c>
      <c r="F52" s="20">
        <f t="shared" si="5"/>
        <v>0</v>
      </c>
    </row>
    <row r="53" spans="1:13">
      <c r="B53" t="str">
        <f>Orcamento!A32</f>
        <v>Disney                     (5d)</v>
      </c>
      <c r="C53" s="3">
        <f>Orcamento!C32</f>
        <v>556.6890666666668</v>
      </c>
      <c r="D53" s="3">
        <v>5</v>
      </c>
      <c r="E53" s="3">
        <f t="shared" si="4"/>
        <v>2783.445333333334</v>
      </c>
      <c r="F53" s="20">
        <f t="shared" si="5"/>
        <v>556.6890666666668</v>
      </c>
    </row>
    <row r="54" spans="1:13">
      <c r="B54" t="str">
        <f>Orcamento!A33</f>
        <v>Universal                (2d)</v>
      </c>
      <c r="C54" s="3">
        <f>Orcamento!C33</f>
        <v>377.73250000000002</v>
      </c>
      <c r="D54" s="3">
        <v>5</v>
      </c>
      <c r="E54" s="3">
        <f t="shared" si="4"/>
        <v>1888.6625000000001</v>
      </c>
      <c r="F54" s="20">
        <f t="shared" si="5"/>
        <v>377.73250000000002</v>
      </c>
    </row>
    <row r="55" spans="1:13">
      <c r="B55" t="str">
        <f>Orcamento!A34</f>
        <v>Busch Gardens     (2d)</v>
      </c>
      <c r="C55" s="3">
        <f>Orcamento!C34</f>
        <v>232.29510000000005</v>
      </c>
      <c r="D55" s="3">
        <v>5</v>
      </c>
      <c r="E55" s="3">
        <f t="shared" si="4"/>
        <v>1161.4755000000002</v>
      </c>
      <c r="F55" s="20">
        <f t="shared" si="5"/>
        <v>232.29510000000005</v>
      </c>
      <c r="K55" s="15"/>
    </row>
    <row r="56" spans="1:13">
      <c r="B56" t="s">
        <v>84</v>
      </c>
      <c r="C56" s="3">
        <v>583.35</v>
      </c>
      <c r="D56" s="3">
        <v>4</v>
      </c>
      <c r="E56" s="3">
        <f t="shared" si="4"/>
        <v>2333.4</v>
      </c>
      <c r="K56" s="16"/>
    </row>
    <row r="57" spans="1:13">
      <c r="K57" s="16"/>
    </row>
    <row r="58" spans="1:13">
      <c r="C58" s="3"/>
      <c r="D58" s="3"/>
      <c r="E58" s="3"/>
      <c r="K58" s="16"/>
    </row>
    <row r="59" spans="1:13">
      <c r="B59" s="33" t="s">
        <v>1</v>
      </c>
      <c r="C59" s="34">
        <f>SUM(C45:C58)</f>
        <v>6569.1566666666677</v>
      </c>
      <c r="D59" s="33"/>
      <c r="E59" s="3">
        <f>SUM(E45:E58)</f>
        <v>23295.543333333335</v>
      </c>
      <c r="F59">
        <f>SUM(F45:F56)</f>
        <v>5915.9066666666668</v>
      </c>
    </row>
    <row r="60" spans="1:13">
      <c r="B60" s="33" t="s">
        <v>86</v>
      </c>
      <c r="C60" s="34">
        <f>F59</f>
        <v>5915.9066666666668</v>
      </c>
      <c r="D60" s="33"/>
      <c r="E60" s="3"/>
    </row>
    <row r="63" spans="1:13">
      <c r="A63" s="29">
        <v>42803</v>
      </c>
      <c r="B63" s="15" t="s">
        <v>28</v>
      </c>
      <c r="K63" t="s">
        <v>87</v>
      </c>
      <c r="L63" t="s">
        <v>29</v>
      </c>
      <c r="M63" t="s">
        <v>30</v>
      </c>
    </row>
    <row r="64" spans="1:13">
      <c r="C64" t="s">
        <v>38</v>
      </c>
      <c r="D64" t="s">
        <v>39</v>
      </c>
      <c r="E64" t="s">
        <v>33</v>
      </c>
      <c r="F64" t="s">
        <v>41</v>
      </c>
      <c r="I64" t="s">
        <v>77</v>
      </c>
      <c r="J64" t="s">
        <v>78</v>
      </c>
      <c r="K64">
        <v>1090</v>
      </c>
      <c r="L64">
        <v>780</v>
      </c>
      <c r="M64">
        <f>L64</f>
        <v>780</v>
      </c>
    </row>
    <row r="65" spans="2:13">
      <c r="B65" t="s">
        <v>79</v>
      </c>
      <c r="C65" s="3">
        <v>69.900000000000006</v>
      </c>
      <c r="D65" s="3">
        <v>1</v>
      </c>
      <c r="E65" s="3">
        <f t="shared" ref="E65:E75" si="6">C65*D65</f>
        <v>69.900000000000006</v>
      </c>
      <c r="I65" t="s">
        <v>80</v>
      </c>
      <c r="J65" t="s">
        <v>81</v>
      </c>
      <c r="K65" s="20">
        <v>6172.53</v>
      </c>
      <c r="L65" s="20">
        <f>K65</f>
        <v>6172.53</v>
      </c>
      <c r="M65" s="20">
        <f>L65</f>
        <v>6172.53</v>
      </c>
    </row>
    <row r="66" spans="2:13">
      <c r="B66" t="str">
        <f>Orcamento!A25</f>
        <v>Passagens              (6p)</v>
      </c>
      <c r="C66" s="3">
        <f>Orcamento!C25</f>
        <v>3757.5399999999995</v>
      </c>
      <c r="D66" s="3">
        <v>3</v>
      </c>
      <c r="E66" s="3">
        <f t="shared" si="6"/>
        <v>11272.619999999999</v>
      </c>
      <c r="F66" s="20">
        <f t="shared" ref="F66:F74" si="7">C66</f>
        <v>3757.5399999999995</v>
      </c>
      <c r="I66" t="s">
        <v>82</v>
      </c>
      <c r="J66" t="s">
        <v>83</v>
      </c>
      <c r="K66">
        <v>494.2</v>
      </c>
      <c r="L66">
        <f>K66</f>
        <v>494.2</v>
      </c>
      <c r="M66">
        <f>L66</f>
        <v>494.2</v>
      </c>
    </row>
    <row r="67" spans="2:13">
      <c r="B67" t="str">
        <f>Orcamento!A26</f>
        <v>Hospedagem        (15d)</v>
      </c>
      <c r="C67" s="3">
        <f>Orcamento!C26</f>
        <v>458.89</v>
      </c>
      <c r="D67" s="3">
        <v>9</v>
      </c>
      <c r="E67" s="3">
        <f t="shared" si="6"/>
        <v>4130.01</v>
      </c>
      <c r="F67" s="20">
        <f t="shared" si="7"/>
        <v>458.89</v>
      </c>
      <c r="I67" s="89" t="s">
        <v>1</v>
      </c>
      <c r="J67" s="89"/>
      <c r="K67">
        <f>SUM(K64:K66)</f>
        <v>7756.73</v>
      </c>
      <c r="L67">
        <f>SUM(L64:L66)</f>
        <v>7446.73</v>
      </c>
      <c r="M67">
        <f>SUM(M64:M66)</f>
        <v>7446.73</v>
      </c>
    </row>
    <row r="68" spans="2:13">
      <c r="B68" t="str">
        <f>Orcamento!A27</f>
        <v>Seguro Viagem    (6p)</v>
      </c>
      <c r="C68" s="3">
        <f>Orcamento!C27</f>
        <v>143.14000000000001</v>
      </c>
      <c r="D68" s="3">
        <v>9</v>
      </c>
      <c r="E68" s="3">
        <f t="shared" si="6"/>
        <v>1288.2600000000002</v>
      </c>
      <c r="F68" s="20">
        <f t="shared" si="7"/>
        <v>143.14000000000001</v>
      </c>
    </row>
    <row r="69" spans="2:13">
      <c r="B69" t="str">
        <f>Orcamento!A28</f>
        <v>Jogo NBA + IOF</v>
      </c>
      <c r="C69" s="3">
        <f>Orcamento!C28</f>
        <v>0</v>
      </c>
      <c r="D69" s="3">
        <v>0</v>
      </c>
      <c r="E69" s="3">
        <f t="shared" si="6"/>
        <v>0</v>
      </c>
      <c r="F69" s="20">
        <f t="shared" si="7"/>
        <v>0</v>
      </c>
    </row>
    <row r="70" spans="2:13">
      <c r="B70" t="str">
        <f>Orcamento!A29</f>
        <v>Aluguel Carro</v>
      </c>
      <c r="C70" s="3">
        <f>Orcamento!C29</f>
        <v>389.62</v>
      </c>
      <c r="D70" s="3">
        <v>8</v>
      </c>
      <c r="E70" s="3">
        <f t="shared" si="6"/>
        <v>3116.96</v>
      </c>
      <c r="F70" s="20">
        <f t="shared" si="7"/>
        <v>389.62</v>
      </c>
    </row>
    <row r="71" spans="2:13">
      <c r="B71" t="str">
        <f>Orcamento!A30</f>
        <v>Chip CELULAR</v>
      </c>
      <c r="C71" s="3">
        <f>Orcamento!C30</f>
        <v>0</v>
      </c>
      <c r="D71" s="3">
        <v>0</v>
      </c>
      <c r="E71" s="3">
        <f t="shared" si="6"/>
        <v>0</v>
      </c>
      <c r="F71" s="20">
        <f t="shared" si="7"/>
        <v>0</v>
      </c>
    </row>
    <row r="72" spans="2:13">
      <c r="B72" t="str">
        <f>Orcamento!A32</f>
        <v>Disney                     (5d)</v>
      </c>
      <c r="C72" s="3">
        <f>Orcamento!C32</f>
        <v>556.6890666666668</v>
      </c>
      <c r="D72" s="3">
        <v>6</v>
      </c>
      <c r="E72" s="3">
        <f t="shared" si="6"/>
        <v>3340.1344000000008</v>
      </c>
      <c r="F72" s="20">
        <f t="shared" si="7"/>
        <v>556.6890666666668</v>
      </c>
    </row>
    <row r="73" spans="2:13">
      <c r="B73" t="str">
        <f>Orcamento!A33</f>
        <v>Universal                (2d)</v>
      </c>
      <c r="C73" s="3">
        <f>Orcamento!C33</f>
        <v>377.73250000000002</v>
      </c>
      <c r="D73" s="3">
        <v>6</v>
      </c>
      <c r="E73" s="3">
        <f t="shared" si="6"/>
        <v>2266.395</v>
      </c>
      <c r="F73" s="20">
        <f t="shared" si="7"/>
        <v>377.73250000000002</v>
      </c>
    </row>
    <row r="74" spans="2:13">
      <c r="B74" t="str">
        <f>Orcamento!A34</f>
        <v>Busch Gardens     (2d)</v>
      </c>
      <c r="C74" s="3">
        <f>Orcamento!C34</f>
        <v>232.29510000000005</v>
      </c>
      <c r="D74" s="3">
        <v>6</v>
      </c>
      <c r="E74" s="3">
        <f t="shared" si="6"/>
        <v>1393.7706000000003</v>
      </c>
      <c r="F74" s="20">
        <f t="shared" si="7"/>
        <v>232.29510000000005</v>
      </c>
    </row>
    <row r="75" spans="2:13">
      <c r="B75" t="s">
        <v>84</v>
      </c>
      <c r="C75" s="3">
        <v>583.35</v>
      </c>
      <c r="D75" s="3">
        <v>5</v>
      </c>
      <c r="E75" s="3">
        <f t="shared" si="6"/>
        <v>2916.75</v>
      </c>
      <c r="K75" s="15"/>
    </row>
    <row r="76" spans="2:13">
      <c r="K76" s="16"/>
    </row>
    <row r="77" spans="2:13">
      <c r="C77" s="3"/>
      <c r="D77" s="3"/>
      <c r="E77" s="3"/>
      <c r="K77" s="16"/>
    </row>
    <row r="78" spans="2:13">
      <c r="B78" s="33" t="s">
        <v>1</v>
      </c>
      <c r="C78" s="34">
        <f>SUM(C65:C77)</f>
        <v>6569.1566666666677</v>
      </c>
      <c r="D78" s="33"/>
      <c r="E78" s="3">
        <f>SUM(E65:E77)</f>
        <v>29794.800000000003</v>
      </c>
      <c r="F78">
        <f>SUM(F65:F76)</f>
        <v>5915.9066666666668</v>
      </c>
    </row>
    <row r="79" spans="2:13">
      <c r="B79" s="33" t="s">
        <v>88</v>
      </c>
      <c r="C79" s="34">
        <f>F78</f>
        <v>5915.9066666666668</v>
      </c>
      <c r="D79" s="33"/>
      <c r="E79" s="3"/>
    </row>
    <row r="81" spans="1:8">
      <c r="A81" s="29">
        <v>42775</v>
      </c>
      <c r="B81" s="15" t="s">
        <v>27</v>
      </c>
    </row>
    <row r="82" spans="1:8">
      <c r="C82" t="s">
        <v>38</v>
      </c>
      <c r="D82" t="s">
        <v>39</v>
      </c>
      <c r="E82" t="s">
        <v>33</v>
      </c>
      <c r="F82" t="s">
        <v>41</v>
      </c>
      <c r="G82" t="s">
        <v>0</v>
      </c>
    </row>
    <row r="83" spans="1:8">
      <c r="B83" t="s">
        <v>79</v>
      </c>
      <c r="C83" s="3">
        <v>69.900000000000006</v>
      </c>
      <c r="D83" s="3">
        <v>1</v>
      </c>
      <c r="E83" s="3">
        <f t="shared" ref="E83:E92" si="8">C83*D83</f>
        <v>69.900000000000006</v>
      </c>
      <c r="G83" s="41">
        <v>43097</v>
      </c>
      <c r="H83">
        <v>3.44</v>
      </c>
    </row>
    <row r="84" spans="1:8">
      <c r="B84" t="s">
        <v>89</v>
      </c>
      <c r="C84" s="3">
        <v>3265.78</v>
      </c>
      <c r="D84" s="3">
        <v>1</v>
      </c>
      <c r="E84" s="3">
        <f t="shared" si="8"/>
        <v>3265.78</v>
      </c>
      <c r="F84" s="20">
        <f t="shared" ref="F84:F89" si="9">C84</f>
        <v>3265.78</v>
      </c>
      <c r="G84" s="41">
        <v>42759</v>
      </c>
      <c r="H84">
        <v>3.31</v>
      </c>
    </row>
    <row r="85" spans="1:8">
      <c r="B85" t="s">
        <v>89</v>
      </c>
      <c r="C85" s="3">
        <v>3757.54</v>
      </c>
      <c r="D85" s="3">
        <v>4</v>
      </c>
      <c r="E85" s="3">
        <f t="shared" si="8"/>
        <v>15030.16</v>
      </c>
      <c r="F85" s="20">
        <f t="shared" si="9"/>
        <v>3757.54</v>
      </c>
      <c r="G85" s="41">
        <v>42764</v>
      </c>
      <c r="H85" s="3">
        <v>3.31</v>
      </c>
    </row>
    <row r="86" spans="1:8">
      <c r="B86" t="s">
        <v>90</v>
      </c>
      <c r="C86" s="3">
        <v>296.58</v>
      </c>
      <c r="D86" s="3">
        <v>10</v>
      </c>
      <c r="E86" s="3">
        <f t="shared" si="8"/>
        <v>2965.7999999999997</v>
      </c>
      <c r="F86" s="20">
        <f t="shared" si="9"/>
        <v>296.58</v>
      </c>
    </row>
    <row r="87" spans="1:8">
      <c r="B87" t="s">
        <v>90</v>
      </c>
      <c r="C87" s="3">
        <v>81.150000000000006</v>
      </c>
      <c r="D87" s="3">
        <v>10</v>
      </c>
      <c r="E87" s="3">
        <f t="shared" si="8"/>
        <v>811.5</v>
      </c>
      <c r="F87" s="20">
        <f t="shared" si="9"/>
        <v>81.150000000000006</v>
      </c>
    </row>
    <row r="88" spans="1:8">
      <c r="B88" t="s">
        <v>90</v>
      </c>
      <c r="C88" s="3">
        <v>81.16</v>
      </c>
      <c r="D88" s="3">
        <v>10</v>
      </c>
      <c r="E88" s="3">
        <f t="shared" si="8"/>
        <v>811.59999999999991</v>
      </c>
      <c r="F88" s="20">
        <f t="shared" si="9"/>
        <v>81.16</v>
      </c>
    </row>
    <row r="89" spans="1:8">
      <c r="B89" t="s">
        <v>91</v>
      </c>
      <c r="C89" s="3">
        <v>143.13999999999999</v>
      </c>
      <c r="D89" s="3">
        <v>10</v>
      </c>
      <c r="E89" s="3">
        <f t="shared" si="8"/>
        <v>1431.3999999999999</v>
      </c>
      <c r="F89" s="20">
        <f t="shared" si="9"/>
        <v>143.13999999999999</v>
      </c>
    </row>
    <row r="90" spans="1:8">
      <c r="B90" t="s">
        <v>92</v>
      </c>
      <c r="C90" s="3">
        <v>73</v>
      </c>
      <c r="D90" s="3">
        <v>1</v>
      </c>
      <c r="E90" s="3">
        <f t="shared" si="8"/>
        <v>73</v>
      </c>
    </row>
    <row r="91" spans="1:8">
      <c r="B91" t="s">
        <v>84</v>
      </c>
      <c r="C91" s="3">
        <v>583.35</v>
      </c>
      <c r="D91" s="3">
        <v>6</v>
      </c>
      <c r="E91" s="3">
        <f t="shared" si="8"/>
        <v>3500.1000000000004</v>
      </c>
    </row>
    <row r="92" spans="1:8">
      <c r="B92" t="s">
        <v>93</v>
      </c>
      <c r="C92" s="3">
        <f>G92*H85</f>
        <v>2282.2449999999999</v>
      </c>
      <c r="D92" s="3">
        <v>1</v>
      </c>
      <c r="E92" s="3">
        <f t="shared" si="8"/>
        <v>2282.2449999999999</v>
      </c>
      <c r="F92" s="20">
        <f>C92</f>
        <v>2282.2449999999999</v>
      </c>
      <c r="G92">
        <f>648.15+41.35</f>
        <v>689.5</v>
      </c>
    </row>
    <row r="94" spans="1:8">
      <c r="B94" s="33" t="s">
        <v>1</v>
      </c>
      <c r="C94" s="34">
        <f>SUM(C83:C93)</f>
        <v>10633.845000000001</v>
      </c>
      <c r="D94" s="33"/>
      <c r="E94" s="3">
        <f>SUM(E83:E92)</f>
        <v>30241.484999999997</v>
      </c>
      <c r="F94">
        <f>SUM(F83:F92)</f>
        <v>9907.5949999999993</v>
      </c>
    </row>
    <row r="95" spans="1:8">
      <c r="B95" s="33" t="s">
        <v>94</v>
      </c>
      <c r="C95" s="3">
        <f>F94</f>
        <v>9907.5949999999993</v>
      </c>
    </row>
    <row r="97" spans="2:3">
      <c r="B97" t="s">
        <v>95</v>
      </c>
      <c r="C97">
        <v>7347.55</v>
      </c>
    </row>
    <row r="98" spans="2:3">
      <c r="B98" s="33" t="s">
        <v>96</v>
      </c>
      <c r="C98">
        <f>C97</f>
        <v>7347.55</v>
      </c>
    </row>
  </sheetData>
  <mergeCells count="4">
    <mergeCell ref="I5:J5"/>
    <mergeCell ref="I25:J25"/>
    <mergeCell ref="I47:J47"/>
    <mergeCell ref="I67:J6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2:K39"/>
  <sheetViews>
    <sheetView topLeftCell="A12" zoomScaleNormal="100" workbookViewId="0">
      <selection activeCell="D36" sqref="D36"/>
    </sheetView>
  </sheetViews>
  <sheetFormatPr defaultRowHeight="15"/>
  <cols>
    <col min="1" max="1" width="7" customWidth="1"/>
    <col min="2" max="2" width="6.42578125" customWidth="1"/>
    <col min="3" max="3" width="31.140625" customWidth="1"/>
    <col min="4" max="5" width="9.140625" style="42" customWidth="1"/>
    <col min="6" max="6" width="15" customWidth="1"/>
    <col min="7" max="7" width="12" customWidth="1"/>
    <col min="8" max="8" width="16" customWidth="1"/>
    <col min="9" max="9" width="12" customWidth="1"/>
    <col min="10" max="10" width="12.42578125" customWidth="1"/>
    <col min="11" max="1025" width="8.7109375" customWidth="1"/>
  </cols>
  <sheetData>
    <row r="2" spans="1:11" ht="15" customHeight="1">
      <c r="A2" s="90" t="s">
        <v>97</v>
      </c>
      <c r="B2" s="90"/>
      <c r="C2" s="90"/>
      <c r="D2" s="90"/>
      <c r="E2" s="90"/>
    </row>
    <row r="3" spans="1:11" ht="15" customHeight="1">
      <c r="A3" s="90"/>
      <c r="B3" s="90"/>
      <c r="C3" s="90"/>
      <c r="D3" s="90"/>
      <c r="E3" s="90"/>
    </row>
    <row r="5" spans="1:11">
      <c r="A5" s="43" t="s">
        <v>98</v>
      </c>
      <c r="B5" s="43" t="s">
        <v>99</v>
      </c>
      <c r="C5" s="43" t="s">
        <v>100</v>
      </c>
      <c r="D5" s="91" t="s">
        <v>101</v>
      </c>
      <c r="E5" s="91"/>
    </row>
    <row r="6" spans="1:11">
      <c r="A6" s="41">
        <v>42832</v>
      </c>
      <c r="B6" s="44">
        <f>A6</f>
        <v>42832</v>
      </c>
      <c r="C6" t="s">
        <v>102</v>
      </c>
      <c r="D6" s="45">
        <v>0.8125</v>
      </c>
      <c r="E6" s="45">
        <v>0.875</v>
      </c>
    </row>
    <row r="7" spans="1:11">
      <c r="A7" s="41"/>
      <c r="B7" s="44"/>
      <c r="C7" t="s">
        <v>103</v>
      </c>
      <c r="D7" s="45">
        <v>0.92013888888888895</v>
      </c>
      <c r="E7" s="45">
        <v>4.5138888888888902E-2</v>
      </c>
    </row>
    <row r="8" spans="1:11">
      <c r="A8" s="41"/>
      <c r="B8" s="44"/>
      <c r="C8" t="s">
        <v>104</v>
      </c>
      <c r="D8" s="45">
        <v>0.45833333333333298</v>
      </c>
      <c r="E8" s="45">
        <v>0.76388888888888895</v>
      </c>
    </row>
    <row r="9" spans="1:11">
      <c r="A9" s="41"/>
      <c r="B9" s="44"/>
      <c r="C9" t="s">
        <v>105</v>
      </c>
      <c r="D9" s="45">
        <v>0.77083333333333304</v>
      </c>
      <c r="E9" s="45">
        <v>0.8125</v>
      </c>
    </row>
    <row r="10" spans="1:11">
      <c r="A10" s="41"/>
      <c r="B10" s="44"/>
      <c r="C10" t="s">
        <v>65</v>
      </c>
      <c r="D10" s="45">
        <v>0.83333333333333304</v>
      </c>
      <c r="E10" s="45">
        <v>0.85416666666666696</v>
      </c>
    </row>
    <row r="11" spans="1:11">
      <c r="A11" s="41"/>
      <c r="B11" s="44"/>
      <c r="C11" t="s">
        <v>106</v>
      </c>
      <c r="D11" s="45">
        <v>0.85416666666666696</v>
      </c>
      <c r="E11" s="45">
        <v>0.89583333333333304</v>
      </c>
    </row>
    <row r="12" spans="1:11">
      <c r="A12" s="41">
        <v>42833</v>
      </c>
      <c r="B12" s="44">
        <f>A12</f>
        <v>42833</v>
      </c>
      <c r="C12" t="s">
        <v>107</v>
      </c>
      <c r="D12" s="45">
        <v>0.35416666666666702</v>
      </c>
      <c r="E12" s="45">
        <v>0.4375</v>
      </c>
    </row>
    <row r="13" spans="1:11">
      <c r="B13" s="44"/>
      <c r="C13" t="s">
        <v>108</v>
      </c>
      <c r="D13" s="45">
        <v>0.45833333333333298</v>
      </c>
      <c r="E13" s="45">
        <v>0.64583333333333304</v>
      </c>
      <c r="F13" s="46"/>
      <c r="H13" s="47"/>
      <c r="I13" s="47"/>
    </row>
    <row r="14" spans="1:11">
      <c r="B14" s="44"/>
      <c r="C14" t="s">
        <v>109</v>
      </c>
      <c r="D14" s="45">
        <v>0.6875</v>
      </c>
      <c r="E14" s="45">
        <v>0.79166666666666696</v>
      </c>
      <c r="H14" s="47"/>
      <c r="I14" s="47"/>
    </row>
    <row r="15" spans="1:11">
      <c r="B15" s="44"/>
      <c r="C15" s="48" t="s">
        <v>110</v>
      </c>
      <c r="D15" s="49">
        <v>0.8125</v>
      </c>
      <c r="E15" s="49">
        <v>0.95833333333333304</v>
      </c>
    </row>
    <row r="16" spans="1:11">
      <c r="A16" s="41">
        <v>42834</v>
      </c>
      <c r="B16" s="44">
        <f>A16</f>
        <v>42834</v>
      </c>
      <c r="C16" t="s">
        <v>111</v>
      </c>
      <c r="D16" s="45">
        <v>0.375</v>
      </c>
      <c r="E16" s="45">
        <v>0.875</v>
      </c>
      <c r="F16" t="s">
        <v>112</v>
      </c>
      <c r="G16" t="s">
        <v>113</v>
      </c>
      <c r="H16" t="s">
        <v>114</v>
      </c>
      <c r="I16" t="s">
        <v>115</v>
      </c>
      <c r="J16" t="s">
        <v>116</v>
      </c>
      <c r="K16" t="s">
        <v>117</v>
      </c>
    </row>
    <row r="17" spans="1:11">
      <c r="A17" s="41">
        <v>42835</v>
      </c>
      <c r="B17" s="44">
        <f>A17</f>
        <v>42835</v>
      </c>
      <c r="C17" t="s">
        <v>118</v>
      </c>
      <c r="D17" s="45">
        <v>0.375</v>
      </c>
      <c r="E17" s="45">
        <v>0.875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</row>
    <row r="18" spans="1:11">
      <c r="A18" s="41">
        <v>42836</v>
      </c>
      <c r="B18" s="44">
        <f>A18</f>
        <v>42836</v>
      </c>
      <c r="C18" t="s">
        <v>125</v>
      </c>
      <c r="D18" s="45">
        <v>0.375</v>
      </c>
      <c r="E18" s="45">
        <v>0.75</v>
      </c>
      <c r="F18" t="s">
        <v>126</v>
      </c>
      <c r="G18" t="s">
        <v>127</v>
      </c>
      <c r="H18" t="s">
        <v>128</v>
      </c>
      <c r="I18" t="s">
        <v>129</v>
      </c>
      <c r="J18" t="s">
        <v>130</v>
      </c>
      <c r="K18" t="s">
        <v>131</v>
      </c>
    </row>
    <row r="19" spans="1:11">
      <c r="A19" s="41"/>
      <c r="B19" s="44"/>
      <c r="C19" s="48" t="s">
        <v>132</v>
      </c>
      <c r="D19" s="49">
        <v>0.79166666666666696</v>
      </c>
      <c r="E19" s="49">
        <v>0.91666666666666696</v>
      </c>
    </row>
    <row r="20" spans="1:11">
      <c r="A20" s="50">
        <v>42837</v>
      </c>
      <c r="B20" s="51">
        <f>A20</f>
        <v>42837</v>
      </c>
      <c r="C20" s="48" t="s">
        <v>133</v>
      </c>
      <c r="D20" s="52">
        <v>0.41666666666666702</v>
      </c>
      <c r="E20" s="52">
        <v>0.66666666666666696</v>
      </c>
    </row>
    <row r="21" spans="1:11">
      <c r="A21" s="53"/>
      <c r="B21" s="51"/>
      <c r="C21" s="53" t="s">
        <v>134</v>
      </c>
      <c r="D21" s="54">
        <v>0.6875</v>
      </c>
      <c r="E21" s="54">
        <v>0.75</v>
      </c>
    </row>
    <row r="22" spans="1:11">
      <c r="A22" s="53"/>
      <c r="B22" s="51"/>
      <c r="C22" s="55" t="s">
        <v>93</v>
      </c>
      <c r="D22" s="56">
        <v>0.75</v>
      </c>
      <c r="E22" s="56">
        <v>0.91666666666666696</v>
      </c>
    </row>
    <row r="23" spans="1:11">
      <c r="A23" s="41">
        <v>42838</v>
      </c>
      <c r="B23" s="44">
        <f>A23</f>
        <v>42838</v>
      </c>
      <c r="C23" t="s">
        <v>135</v>
      </c>
      <c r="D23" s="45">
        <v>0.33333333333333298</v>
      </c>
      <c r="E23" s="45">
        <v>0.875</v>
      </c>
      <c r="F23" t="s">
        <v>136</v>
      </c>
      <c r="G23" t="s">
        <v>137</v>
      </c>
      <c r="H23" t="s">
        <v>138</v>
      </c>
      <c r="I23" t="s">
        <v>139</v>
      </c>
      <c r="J23" t="s">
        <v>140</v>
      </c>
      <c r="K23" t="s">
        <v>141</v>
      </c>
    </row>
    <row r="24" spans="1:11">
      <c r="A24" s="41">
        <v>42839</v>
      </c>
      <c r="B24" s="44">
        <f>A24</f>
        <v>42839</v>
      </c>
      <c r="C24" t="s">
        <v>142</v>
      </c>
      <c r="D24" s="45">
        <v>0.375</v>
      </c>
      <c r="E24" s="45">
        <v>0.66666666666666696</v>
      </c>
    </row>
    <row r="25" spans="1:11">
      <c r="B25" s="44"/>
      <c r="C25" t="s">
        <v>143</v>
      </c>
    </row>
    <row r="26" spans="1:11">
      <c r="B26" s="44"/>
      <c r="C26" s="48" t="s">
        <v>110</v>
      </c>
      <c r="D26" s="49">
        <v>0.875</v>
      </c>
      <c r="E26" s="49">
        <v>0.95833333333333304</v>
      </c>
    </row>
    <row r="27" spans="1:11">
      <c r="A27" s="41">
        <v>42840</v>
      </c>
      <c r="B27" s="44">
        <f>A27</f>
        <v>42840</v>
      </c>
      <c r="C27" t="s">
        <v>144</v>
      </c>
      <c r="D27" s="45">
        <v>0.39583333333333298</v>
      </c>
      <c r="E27" s="45">
        <v>0.875</v>
      </c>
    </row>
    <row r="28" spans="1:11">
      <c r="A28" s="41">
        <v>42841</v>
      </c>
      <c r="B28" s="44">
        <f>A28</f>
        <v>42841</v>
      </c>
      <c r="C28" t="s">
        <v>145</v>
      </c>
      <c r="D28" s="45">
        <v>0.35416666666666702</v>
      </c>
      <c r="E28" s="45">
        <v>0.70833333333333304</v>
      </c>
    </row>
    <row r="29" spans="1:11">
      <c r="A29" s="50">
        <v>1</v>
      </c>
      <c r="B29" s="51">
        <f>A29</f>
        <v>1</v>
      </c>
      <c r="C29" s="48" t="s">
        <v>146</v>
      </c>
      <c r="D29" s="52">
        <v>0.41666666666666702</v>
      </c>
      <c r="E29" s="52">
        <v>0.5</v>
      </c>
    </row>
    <row r="30" spans="1:11">
      <c r="A30" s="50"/>
      <c r="B30" s="51"/>
      <c r="C30" s="48" t="s">
        <v>147</v>
      </c>
      <c r="D30" s="52">
        <v>0.54166666666666696</v>
      </c>
      <c r="E30" s="52">
        <v>0.70833333333333304</v>
      </c>
    </row>
    <row r="31" spans="1:11">
      <c r="A31" s="50"/>
      <c r="B31" s="51"/>
      <c r="C31" s="48" t="s">
        <v>148</v>
      </c>
      <c r="D31" s="52">
        <v>0.75</v>
      </c>
      <c r="E31" s="52">
        <v>0.91666666666666696</v>
      </c>
    </row>
    <row r="32" spans="1:11">
      <c r="A32" s="41">
        <v>42843</v>
      </c>
      <c r="B32" s="44">
        <f>A32</f>
        <v>42843</v>
      </c>
      <c r="C32" t="s">
        <v>149</v>
      </c>
      <c r="D32" s="45">
        <v>0.39583333333333298</v>
      </c>
      <c r="E32" s="45">
        <v>0.875</v>
      </c>
    </row>
    <row r="33" spans="1:11">
      <c r="A33" s="50">
        <v>42844</v>
      </c>
      <c r="B33" s="51">
        <f>A33</f>
        <v>42844</v>
      </c>
      <c r="C33" s="48" t="s">
        <v>150</v>
      </c>
      <c r="D33" s="52">
        <v>0.41666666666666702</v>
      </c>
      <c r="E33" s="52">
        <v>0.75</v>
      </c>
    </row>
    <row r="34" spans="1:11">
      <c r="A34" s="50"/>
      <c r="B34" s="51"/>
      <c r="C34" s="48" t="s">
        <v>151</v>
      </c>
      <c r="D34" s="52">
        <v>0.8125</v>
      </c>
      <c r="E34" s="52">
        <v>0.875</v>
      </c>
    </row>
    <row r="35" spans="1:11">
      <c r="A35" s="41">
        <v>42845</v>
      </c>
      <c r="B35" s="44">
        <f>A35</f>
        <v>42845</v>
      </c>
      <c r="C35" t="s">
        <v>152</v>
      </c>
      <c r="D35" s="45">
        <v>0.33333333333333298</v>
      </c>
      <c r="E35" s="45">
        <v>0.875</v>
      </c>
      <c r="F35" t="s">
        <v>153</v>
      </c>
      <c r="G35" t="s">
        <v>154</v>
      </c>
      <c r="H35" t="s">
        <v>155</v>
      </c>
      <c r="I35" t="s">
        <v>156</v>
      </c>
      <c r="J35" t="s">
        <v>157</v>
      </c>
      <c r="K35" t="s">
        <v>158</v>
      </c>
    </row>
    <row r="36" spans="1:11">
      <c r="A36" s="57">
        <v>42846</v>
      </c>
      <c r="B36" s="58">
        <f>A36</f>
        <v>42846</v>
      </c>
      <c r="C36" s="59" t="s">
        <v>159</v>
      </c>
      <c r="D36" s="60">
        <v>0.375</v>
      </c>
      <c r="E36" s="61"/>
    </row>
    <row r="37" spans="1:11">
      <c r="A37" s="57">
        <v>42847</v>
      </c>
      <c r="B37" s="58">
        <f>A37</f>
        <v>42847</v>
      </c>
      <c r="C37" s="59" t="s">
        <v>160</v>
      </c>
      <c r="D37" s="61"/>
      <c r="E37" s="61"/>
    </row>
    <row r="38" spans="1:11">
      <c r="A38" s="59"/>
      <c r="B38" s="59"/>
      <c r="C38" s="59" t="s">
        <v>161</v>
      </c>
      <c r="D38" s="61"/>
      <c r="E38" s="61"/>
    </row>
    <row r="39" spans="1:11">
      <c r="A39" s="59"/>
      <c r="B39" s="59"/>
      <c r="C39" s="59" t="s">
        <v>162</v>
      </c>
      <c r="D39" s="61"/>
      <c r="E39" s="61"/>
    </row>
  </sheetData>
  <mergeCells count="2">
    <mergeCell ref="A2:E3"/>
    <mergeCell ref="D5:E5"/>
  </mergeCells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dimension ref="B5:L16"/>
  <sheetViews>
    <sheetView zoomScaleNormal="100" workbookViewId="0">
      <selection activeCell="D11" sqref="D11"/>
    </sheetView>
  </sheetViews>
  <sheetFormatPr defaultRowHeight="15"/>
  <cols>
    <col min="1" max="1025" width="8.7109375" customWidth="1"/>
  </cols>
  <sheetData>
    <row r="5" spans="2:12">
      <c r="B5" t="s">
        <v>0</v>
      </c>
      <c r="C5">
        <v>3.31</v>
      </c>
    </row>
    <row r="7" spans="2:12">
      <c r="B7" t="s">
        <v>163</v>
      </c>
      <c r="D7">
        <v>235</v>
      </c>
      <c r="E7">
        <v>6</v>
      </c>
      <c r="F7">
        <f>D7*$C$5*E7</f>
        <v>4667.1000000000004</v>
      </c>
      <c r="G7" s="47">
        <f>$D$10*100/$D$11*D7/100</f>
        <v>10.24567474048443</v>
      </c>
      <c r="H7" s="47">
        <f>D7+G7</f>
        <v>245.24567474048442</v>
      </c>
      <c r="I7" t="s">
        <v>164</v>
      </c>
      <c r="L7" s="4" t="s">
        <v>165</v>
      </c>
    </row>
    <row r="8" spans="2:12">
      <c r="B8" t="s">
        <v>166</v>
      </c>
      <c r="D8">
        <v>345</v>
      </c>
      <c r="E8">
        <v>6</v>
      </c>
      <c r="F8">
        <f>D8*$C$5*E8</f>
        <v>6851.7000000000007</v>
      </c>
      <c r="G8" s="47">
        <f>$D$10*100/$D$11*D8/100</f>
        <v>15.041522491349481</v>
      </c>
      <c r="H8" s="47">
        <f>D8+G8</f>
        <v>360.0415224913495</v>
      </c>
    </row>
    <row r="9" spans="2:12">
      <c r="B9" t="s">
        <v>167</v>
      </c>
      <c r="D9">
        <v>111</v>
      </c>
      <c r="E9">
        <v>6</v>
      </c>
      <c r="F9">
        <f>D9*$C$5*E9</f>
        <v>2204.46</v>
      </c>
      <c r="G9" s="47">
        <f>D10-G7-G8</f>
        <v>6.2128027681660871</v>
      </c>
      <c r="H9" s="47">
        <f>D9+G9</f>
        <v>117.21280276816609</v>
      </c>
      <c r="I9" t="s">
        <v>168</v>
      </c>
    </row>
    <row r="10" spans="2:12">
      <c r="B10" t="s">
        <v>169</v>
      </c>
      <c r="D10">
        <v>31.5</v>
      </c>
      <c r="E10">
        <v>6</v>
      </c>
      <c r="F10">
        <f>D10*$C$5*E10</f>
        <v>625.59</v>
      </c>
    </row>
    <row r="11" spans="2:12">
      <c r="D11">
        <f>SUM(D7:D10)</f>
        <v>722.5</v>
      </c>
      <c r="F11">
        <f>SUM(F7:F10)</f>
        <v>14348.850000000002</v>
      </c>
    </row>
    <row r="16" spans="2:12">
      <c r="D16">
        <f>F11</f>
        <v>14348.850000000002</v>
      </c>
      <c r="E16">
        <v>6</v>
      </c>
      <c r="F16">
        <f>D16/E16</f>
        <v>2391.4750000000004</v>
      </c>
    </row>
  </sheetData>
  <hyperlinks>
    <hyperlink ref="L7" r:id="rId1"/>
  </hyperlink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B4:AI27"/>
  <sheetViews>
    <sheetView zoomScaleNormal="100" workbookViewId="0">
      <selection activeCell="F27" sqref="F27"/>
    </sheetView>
  </sheetViews>
  <sheetFormatPr defaultRowHeight="15"/>
  <cols>
    <col min="1" max="2" width="8.7109375" customWidth="1"/>
    <col min="3" max="3" width="11.85546875" customWidth="1"/>
    <col min="4" max="4" width="11" customWidth="1"/>
    <col min="5" max="5" width="12.140625" customWidth="1"/>
    <col min="6" max="6" width="12" customWidth="1"/>
    <col min="7" max="7" width="11.42578125"/>
    <col min="8" max="8" width="12.140625" customWidth="1"/>
    <col min="9" max="16" width="11.5703125" customWidth="1"/>
    <col min="17" max="19" width="8.7109375" customWidth="1"/>
    <col min="20" max="21" width="9.5703125" customWidth="1"/>
    <col min="22" max="22" width="10.5703125" customWidth="1"/>
    <col min="23" max="1025" width="8.7109375" customWidth="1"/>
  </cols>
  <sheetData>
    <row r="4" spans="2:35">
      <c r="B4" t="s">
        <v>170</v>
      </c>
      <c r="C4" s="20">
        <f t="shared" ref="C4:O4" si="0">C5*$S$4</f>
        <v>2089.7800000000002</v>
      </c>
      <c r="D4" s="20">
        <f t="shared" si="0"/>
        <v>177.10000000000002</v>
      </c>
      <c r="E4" s="20">
        <f t="shared" si="0"/>
        <v>80.5</v>
      </c>
      <c r="F4" s="20">
        <f t="shared" si="0"/>
        <v>161</v>
      </c>
      <c r="G4" s="20">
        <f t="shared" si="0"/>
        <v>96.600000000000009</v>
      </c>
      <c r="H4" s="20">
        <f t="shared" si="0"/>
        <v>161</v>
      </c>
      <c r="I4" s="20">
        <f t="shared" si="0"/>
        <v>128.80000000000001</v>
      </c>
      <c r="J4" s="20">
        <f t="shared" si="0"/>
        <v>96.600000000000009</v>
      </c>
      <c r="K4" s="20">
        <f t="shared" si="0"/>
        <v>161</v>
      </c>
      <c r="L4" s="20">
        <f t="shared" si="0"/>
        <v>96.600000000000009</v>
      </c>
      <c r="M4" s="20">
        <f t="shared" si="0"/>
        <v>805</v>
      </c>
      <c r="N4" s="20">
        <f t="shared" si="0"/>
        <v>80.5</v>
      </c>
      <c r="O4" s="20">
        <f t="shared" si="0"/>
        <v>48.300000000000004</v>
      </c>
      <c r="R4" t="s">
        <v>171</v>
      </c>
      <c r="S4" s="62">
        <v>3.22</v>
      </c>
    </row>
    <row r="5" spans="2:35" ht="15.75">
      <c r="B5" s="63" t="s">
        <v>9</v>
      </c>
      <c r="C5" s="64">
        <v>649</v>
      </c>
      <c r="D5" s="64">
        <v>55</v>
      </c>
      <c r="E5" s="64">
        <v>25</v>
      </c>
      <c r="F5" s="64">
        <v>50</v>
      </c>
      <c r="G5" s="64">
        <v>30</v>
      </c>
      <c r="H5" s="64">
        <v>50</v>
      </c>
      <c r="I5" s="64">
        <v>40</v>
      </c>
      <c r="J5" s="64">
        <v>30</v>
      </c>
      <c r="K5" s="64">
        <v>50</v>
      </c>
      <c r="L5" s="64">
        <v>30</v>
      </c>
      <c r="M5" s="64">
        <v>250</v>
      </c>
      <c r="N5" s="64">
        <v>25</v>
      </c>
      <c r="O5" s="64">
        <v>15</v>
      </c>
      <c r="P5" s="65"/>
    </row>
    <row r="6" spans="2:35" ht="15.75">
      <c r="B6" s="66"/>
      <c r="C6" s="67" t="s">
        <v>172</v>
      </c>
      <c r="D6" s="67" t="s">
        <v>173</v>
      </c>
      <c r="E6" s="67" t="s">
        <v>174</v>
      </c>
      <c r="F6" s="67" t="s">
        <v>175</v>
      </c>
      <c r="G6" s="67" t="s">
        <v>176</v>
      </c>
      <c r="H6" s="67" t="s">
        <v>177</v>
      </c>
      <c r="I6" s="67" t="s">
        <v>178</v>
      </c>
      <c r="J6" s="67" t="s">
        <v>179</v>
      </c>
      <c r="K6" s="67" t="s">
        <v>180</v>
      </c>
      <c r="L6" s="67" t="s">
        <v>181</v>
      </c>
      <c r="M6" s="67" t="s">
        <v>182</v>
      </c>
      <c r="N6" s="67" t="s">
        <v>183</v>
      </c>
      <c r="O6" s="67" t="s">
        <v>184</v>
      </c>
      <c r="P6" s="67" t="s">
        <v>33</v>
      </c>
      <c r="T6" s="20"/>
    </row>
    <row r="7" spans="2:35" ht="15.75">
      <c r="B7" s="63" t="s">
        <v>185</v>
      </c>
      <c r="C7" s="68"/>
      <c r="D7" s="69">
        <v>2</v>
      </c>
      <c r="E7" s="69">
        <v>6</v>
      </c>
      <c r="F7" s="69"/>
      <c r="G7" s="69">
        <v>3</v>
      </c>
      <c r="H7" s="69"/>
      <c r="I7" s="69">
        <v>3</v>
      </c>
      <c r="J7" s="69">
        <v>1</v>
      </c>
      <c r="K7" s="69"/>
      <c r="L7" s="69">
        <v>1</v>
      </c>
      <c r="M7" s="69">
        <v>1</v>
      </c>
      <c r="N7" s="69">
        <v>2</v>
      </c>
      <c r="O7" s="69">
        <v>5</v>
      </c>
      <c r="P7" s="70">
        <f>SUM(T7:AH7)</f>
        <v>2914.1</v>
      </c>
      <c r="Q7">
        <f>P7/$S$4</f>
        <v>904.99999999999989</v>
      </c>
      <c r="T7" s="20">
        <f t="shared" ref="T7:AF7" si="1">C7*C4</f>
        <v>0</v>
      </c>
      <c r="U7" s="20">
        <f t="shared" si="1"/>
        <v>354.20000000000005</v>
      </c>
      <c r="V7" s="20">
        <f t="shared" si="1"/>
        <v>483</v>
      </c>
      <c r="W7" s="20">
        <f t="shared" si="1"/>
        <v>0</v>
      </c>
      <c r="X7" s="20">
        <f t="shared" si="1"/>
        <v>289.8</v>
      </c>
      <c r="Y7" s="20">
        <f t="shared" si="1"/>
        <v>0</v>
      </c>
      <c r="Z7" s="20">
        <f t="shared" si="1"/>
        <v>386.40000000000003</v>
      </c>
      <c r="AA7" s="20">
        <f t="shared" si="1"/>
        <v>96.600000000000009</v>
      </c>
      <c r="AB7" s="20">
        <f t="shared" si="1"/>
        <v>0</v>
      </c>
      <c r="AC7" s="20">
        <f t="shared" si="1"/>
        <v>96.600000000000009</v>
      </c>
      <c r="AD7" s="20">
        <f t="shared" si="1"/>
        <v>805</v>
      </c>
      <c r="AE7" s="20">
        <f t="shared" si="1"/>
        <v>161</v>
      </c>
      <c r="AF7" s="20">
        <f t="shared" si="1"/>
        <v>241.50000000000003</v>
      </c>
      <c r="AG7" s="20"/>
      <c r="AH7" s="20"/>
    </row>
    <row r="8" spans="2:35" ht="15.75">
      <c r="B8" s="63" t="s">
        <v>186</v>
      </c>
      <c r="C8" s="69">
        <v>1</v>
      </c>
      <c r="D8" s="69">
        <v>2</v>
      </c>
      <c r="E8" s="69">
        <v>5</v>
      </c>
      <c r="F8" s="69"/>
      <c r="G8" s="69">
        <v>3</v>
      </c>
      <c r="H8" s="69"/>
      <c r="I8" s="69">
        <v>1</v>
      </c>
      <c r="J8" s="69">
        <v>1</v>
      </c>
      <c r="K8" s="69">
        <v>1</v>
      </c>
      <c r="L8" s="69"/>
      <c r="M8" s="69"/>
      <c r="N8" s="69">
        <v>5</v>
      </c>
      <c r="O8" s="69">
        <v>3</v>
      </c>
      <c r="P8" s="70">
        <f>SUM(T8:AH8)</f>
        <v>4070.0800000000008</v>
      </c>
      <c r="Q8">
        <f>P8/$S$4</f>
        <v>1264.0000000000002</v>
      </c>
      <c r="T8" s="20">
        <f t="shared" ref="T8:AF8" si="2">C8*C4</f>
        <v>2089.7800000000002</v>
      </c>
      <c r="U8" s="20">
        <f t="shared" si="2"/>
        <v>354.20000000000005</v>
      </c>
      <c r="V8" s="20">
        <f t="shared" si="2"/>
        <v>402.5</v>
      </c>
      <c r="W8" s="20">
        <f t="shared" si="2"/>
        <v>0</v>
      </c>
      <c r="X8" s="20">
        <f t="shared" si="2"/>
        <v>289.8</v>
      </c>
      <c r="Y8" s="20">
        <f t="shared" si="2"/>
        <v>0</v>
      </c>
      <c r="Z8" s="20">
        <f t="shared" si="2"/>
        <v>128.80000000000001</v>
      </c>
      <c r="AA8" s="20">
        <f t="shared" si="2"/>
        <v>96.600000000000009</v>
      </c>
      <c r="AB8" s="20">
        <f t="shared" si="2"/>
        <v>161</v>
      </c>
      <c r="AC8" s="20">
        <f t="shared" si="2"/>
        <v>0</v>
      </c>
      <c r="AD8" s="20">
        <f t="shared" si="2"/>
        <v>0</v>
      </c>
      <c r="AE8" s="20">
        <f t="shared" si="2"/>
        <v>402.5</v>
      </c>
      <c r="AF8" s="20">
        <f t="shared" si="2"/>
        <v>144.9</v>
      </c>
    </row>
    <row r="9" spans="2:35" ht="15.75">
      <c r="B9" s="63" t="s">
        <v>187</v>
      </c>
      <c r="C9" s="68"/>
      <c r="D9" s="69">
        <v>2</v>
      </c>
      <c r="E9" s="69">
        <v>10</v>
      </c>
      <c r="F9" s="69">
        <v>2</v>
      </c>
      <c r="G9" s="69">
        <v>4</v>
      </c>
      <c r="H9" s="69">
        <v>2</v>
      </c>
      <c r="I9" s="69">
        <v>2</v>
      </c>
      <c r="J9" s="69">
        <v>1</v>
      </c>
      <c r="K9" s="69"/>
      <c r="L9" s="69">
        <v>1</v>
      </c>
      <c r="M9" s="69">
        <v>1</v>
      </c>
      <c r="N9" s="69">
        <v>2</v>
      </c>
      <c r="O9" s="69">
        <v>2</v>
      </c>
      <c r="P9" s="70">
        <f>SUM(T9:AH9)</f>
        <v>3703</v>
      </c>
      <c r="Q9">
        <f>P9/$S$4</f>
        <v>1150</v>
      </c>
      <c r="T9" s="20">
        <f t="shared" ref="T9:AF9" si="3">C9*C4</f>
        <v>0</v>
      </c>
      <c r="U9" s="20">
        <f t="shared" si="3"/>
        <v>354.20000000000005</v>
      </c>
      <c r="V9" s="20">
        <f t="shared" si="3"/>
        <v>805</v>
      </c>
      <c r="W9" s="20">
        <f t="shared" si="3"/>
        <v>322</v>
      </c>
      <c r="X9" s="20">
        <f t="shared" si="3"/>
        <v>386.40000000000003</v>
      </c>
      <c r="Y9" s="20">
        <f t="shared" si="3"/>
        <v>322</v>
      </c>
      <c r="Z9" s="20">
        <f t="shared" si="3"/>
        <v>257.60000000000002</v>
      </c>
      <c r="AA9" s="20">
        <f t="shared" si="3"/>
        <v>96.600000000000009</v>
      </c>
      <c r="AB9" s="20">
        <f t="shared" si="3"/>
        <v>0</v>
      </c>
      <c r="AC9" s="20">
        <f t="shared" si="3"/>
        <v>96.600000000000009</v>
      </c>
      <c r="AD9" s="20">
        <f t="shared" si="3"/>
        <v>805</v>
      </c>
      <c r="AE9" s="20">
        <f t="shared" si="3"/>
        <v>161</v>
      </c>
      <c r="AF9" s="20">
        <f t="shared" si="3"/>
        <v>96.600000000000009</v>
      </c>
    </row>
    <row r="10" spans="2:35" ht="15.75">
      <c r="B10" s="71" t="s">
        <v>188</v>
      </c>
      <c r="C10" s="72">
        <v>1</v>
      </c>
      <c r="D10" s="72">
        <v>1</v>
      </c>
      <c r="E10" s="72">
        <v>5</v>
      </c>
      <c r="F10" s="72">
        <v>2</v>
      </c>
      <c r="G10" s="72">
        <v>6</v>
      </c>
      <c r="H10" s="72">
        <v>2</v>
      </c>
      <c r="I10" s="72">
        <v>1</v>
      </c>
      <c r="J10" s="72"/>
      <c r="K10" s="72">
        <v>1</v>
      </c>
      <c r="L10" s="72"/>
      <c r="M10" s="72"/>
      <c r="N10" s="72">
        <v>5</v>
      </c>
      <c r="O10" s="72">
        <v>2</v>
      </c>
      <c r="P10" s="73">
        <f>SUM(T10:AH10)</f>
        <v>4681.880000000001</v>
      </c>
      <c r="Q10">
        <f>P10/$S$4</f>
        <v>1454.0000000000002</v>
      </c>
      <c r="T10" s="20">
        <f t="shared" ref="T10:AF10" si="4">C10*C4</f>
        <v>2089.7800000000002</v>
      </c>
      <c r="U10" s="20">
        <f t="shared" si="4"/>
        <v>177.10000000000002</v>
      </c>
      <c r="V10" s="20">
        <f t="shared" si="4"/>
        <v>402.5</v>
      </c>
      <c r="W10" s="20">
        <f t="shared" si="4"/>
        <v>322</v>
      </c>
      <c r="X10" s="20">
        <f t="shared" si="4"/>
        <v>579.6</v>
      </c>
      <c r="Y10" s="20">
        <f t="shared" si="4"/>
        <v>322</v>
      </c>
      <c r="Z10" s="20">
        <f t="shared" si="4"/>
        <v>128.80000000000001</v>
      </c>
      <c r="AA10" s="20">
        <f t="shared" si="4"/>
        <v>0</v>
      </c>
      <c r="AB10" s="20">
        <f t="shared" si="4"/>
        <v>161</v>
      </c>
      <c r="AC10" s="20">
        <f t="shared" si="4"/>
        <v>0</v>
      </c>
      <c r="AD10" s="20">
        <f t="shared" si="4"/>
        <v>0</v>
      </c>
      <c r="AE10" s="20">
        <f t="shared" si="4"/>
        <v>402.5</v>
      </c>
      <c r="AF10" s="20">
        <f t="shared" si="4"/>
        <v>96.600000000000009</v>
      </c>
      <c r="AG10" s="20"/>
      <c r="AH10" s="20"/>
      <c r="AI10" s="20"/>
    </row>
    <row r="11" spans="2:35" ht="15.75">
      <c r="B11" s="65" t="s">
        <v>189</v>
      </c>
      <c r="C11" s="74">
        <f t="shared" ref="C11:O11" si="5">SUM(C7:C10)</f>
        <v>2</v>
      </c>
      <c r="D11" s="74">
        <f t="shared" si="5"/>
        <v>7</v>
      </c>
      <c r="E11" s="74">
        <f t="shared" si="5"/>
        <v>26</v>
      </c>
      <c r="F11" s="74">
        <f t="shared" si="5"/>
        <v>4</v>
      </c>
      <c r="G11" s="74">
        <f t="shared" si="5"/>
        <v>16</v>
      </c>
      <c r="H11" s="74">
        <f t="shared" si="5"/>
        <v>4</v>
      </c>
      <c r="I11" s="74">
        <f t="shared" si="5"/>
        <v>7</v>
      </c>
      <c r="J11" s="74">
        <f t="shared" si="5"/>
        <v>3</v>
      </c>
      <c r="K11" s="74">
        <f t="shared" si="5"/>
        <v>2</v>
      </c>
      <c r="L11" s="74">
        <f t="shared" si="5"/>
        <v>2</v>
      </c>
      <c r="M11" s="74">
        <f t="shared" si="5"/>
        <v>2</v>
      </c>
      <c r="N11" s="74">
        <f t="shared" si="5"/>
        <v>14</v>
      </c>
      <c r="O11" s="74">
        <f t="shared" si="5"/>
        <v>12</v>
      </c>
      <c r="P11" s="68"/>
    </row>
    <row r="12" spans="2:35" ht="15.75">
      <c r="B12" s="65" t="s">
        <v>9</v>
      </c>
      <c r="C12" s="74">
        <f t="shared" ref="C12:O12" si="6">C11*C5</f>
        <v>1298</v>
      </c>
      <c r="D12" s="74">
        <f t="shared" si="6"/>
        <v>385</v>
      </c>
      <c r="E12" s="74">
        <f t="shared" si="6"/>
        <v>650</v>
      </c>
      <c r="F12" s="74">
        <f t="shared" si="6"/>
        <v>200</v>
      </c>
      <c r="G12" s="74">
        <f t="shared" si="6"/>
        <v>480</v>
      </c>
      <c r="H12" s="74">
        <f t="shared" si="6"/>
        <v>200</v>
      </c>
      <c r="I12" s="74">
        <f t="shared" si="6"/>
        <v>280</v>
      </c>
      <c r="J12" s="74">
        <f t="shared" si="6"/>
        <v>90</v>
      </c>
      <c r="K12" s="74">
        <f t="shared" si="6"/>
        <v>100</v>
      </c>
      <c r="L12" s="74">
        <f t="shared" si="6"/>
        <v>60</v>
      </c>
      <c r="M12" s="74">
        <f t="shared" si="6"/>
        <v>500</v>
      </c>
      <c r="N12" s="74">
        <f t="shared" si="6"/>
        <v>350</v>
      </c>
      <c r="O12" s="74">
        <f t="shared" si="6"/>
        <v>180</v>
      </c>
      <c r="P12" s="75">
        <f>SUM(C12:O12)</f>
        <v>4773</v>
      </c>
    </row>
    <row r="13" spans="2:35" ht="15.75">
      <c r="B13" s="63" t="s">
        <v>190</v>
      </c>
      <c r="C13" s="76">
        <f t="shared" ref="C13:O13" si="7">C12*$S$4</f>
        <v>4179.5600000000004</v>
      </c>
      <c r="D13" s="76">
        <f t="shared" si="7"/>
        <v>1239.7</v>
      </c>
      <c r="E13" s="76">
        <f t="shared" si="7"/>
        <v>2093</v>
      </c>
      <c r="F13" s="76">
        <f t="shared" si="7"/>
        <v>644</v>
      </c>
      <c r="G13" s="76">
        <f t="shared" si="7"/>
        <v>1545.6000000000001</v>
      </c>
      <c r="H13" s="76">
        <f t="shared" si="7"/>
        <v>644</v>
      </c>
      <c r="I13" s="76">
        <f t="shared" si="7"/>
        <v>901.6</v>
      </c>
      <c r="J13" s="76">
        <f t="shared" si="7"/>
        <v>289.8</v>
      </c>
      <c r="K13" s="76">
        <f t="shared" si="7"/>
        <v>322</v>
      </c>
      <c r="L13" s="76">
        <f t="shared" si="7"/>
        <v>193.20000000000002</v>
      </c>
      <c r="M13" s="76">
        <f t="shared" si="7"/>
        <v>1610</v>
      </c>
      <c r="N13" s="76">
        <f t="shared" si="7"/>
        <v>1127</v>
      </c>
      <c r="O13" s="76">
        <f t="shared" si="7"/>
        <v>579.6</v>
      </c>
      <c r="P13" s="75">
        <f>SUM(C13:O13)</f>
        <v>15369.060000000001</v>
      </c>
    </row>
    <row r="18" spans="6:6">
      <c r="F18">
        <v>68.09</v>
      </c>
    </row>
    <row r="19" spans="6:6">
      <c r="F19">
        <v>4.34</v>
      </c>
    </row>
    <row r="20" spans="6:6">
      <c r="F20">
        <v>700.02</v>
      </c>
    </row>
    <row r="21" spans="6:6">
      <c r="F21">
        <v>98.95</v>
      </c>
    </row>
    <row r="22" spans="6:6">
      <c r="F22">
        <v>44.66</v>
      </c>
    </row>
    <row r="23" spans="6:6">
      <c r="F23">
        <v>6.31</v>
      </c>
    </row>
    <row r="24" spans="6:6">
      <c r="F24">
        <v>6.83</v>
      </c>
    </row>
    <row r="25" spans="6:6">
      <c r="F25">
        <v>0.44</v>
      </c>
    </row>
    <row r="26" spans="6:6">
      <c r="F26">
        <f>SUM(F18:F25)</f>
        <v>929.6400000000001</v>
      </c>
    </row>
    <row r="27" spans="6:6">
      <c r="F27">
        <f>F26/3</f>
        <v>309.88000000000005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2:Q54"/>
  <sheetViews>
    <sheetView zoomScaleNormal="100" workbookViewId="0">
      <selection activeCell="N11" sqref="N11"/>
    </sheetView>
  </sheetViews>
  <sheetFormatPr defaultRowHeight="15"/>
  <cols>
    <col min="1" max="1" width="26.28515625" customWidth="1"/>
    <col min="2" max="3" width="12" customWidth="1"/>
    <col min="4" max="4" width="13.7109375" customWidth="1"/>
    <col min="5" max="5" width="6.5703125" hidden="1" customWidth="1"/>
    <col min="6" max="6" width="13.85546875" customWidth="1"/>
    <col min="7" max="7" width="6.7109375" hidden="1" customWidth="1"/>
    <col min="8" max="8" width="11" customWidth="1"/>
    <col min="9" max="9" width="12.42578125" customWidth="1"/>
    <col min="10" max="14" width="11.7109375" customWidth="1"/>
    <col min="15" max="15" width="12.42578125" customWidth="1"/>
    <col min="16" max="16" width="11.5703125" customWidth="1"/>
    <col min="17" max="17" width="9.5703125" customWidth="1"/>
    <col min="18" max="1025" width="8.7109375" customWidth="1"/>
  </cols>
  <sheetData>
    <row r="2" spans="1:14">
      <c r="F2" s="1" t="s">
        <v>0</v>
      </c>
    </row>
    <row r="4" spans="1:14">
      <c r="A4" s="2"/>
      <c r="B4" s="2" t="s">
        <v>1</v>
      </c>
      <c r="C4" s="2"/>
      <c r="D4" s="2" t="s">
        <v>58</v>
      </c>
      <c r="E4" s="2">
        <v>4</v>
      </c>
      <c r="F4" s="2" t="s">
        <v>59</v>
      </c>
      <c r="G4" s="2">
        <v>2</v>
      </c>
      <c r="H4" s="2"/>
      <c r="I4" s="2"/>
      <c r="J4" s="2" t="s">
        <v>3</v>
      </c>
      <c r="K4" s="2" t="s">
        <v>4</v>
      </c>
    </row>
    <row r="5" spans="1:14">
      <c r="A5" t="s">
        <v>60</v>
      </c>
      <c r="B5" s="3">
        <v>18295.939999999999</v>
      </c>
      <c r="C5" s="3">
        <v>12097</v>
      </c>
      <c r="D5" s="3">
        <f t="shared" ref="D5:D15" si="0">B5/($E$4+$G$4)*$E$4</f>
        <v>12197.293333333333</v>
      </c>
      <c r="E5" s="3"/>
      <c r="F5" s="3">
        <f t="shared" ref="F5:F15" si="1">B5-D5</f>
        <v>6098.6466666666656</v>
      </c>
      <c r="J5">
        <v>4</v>
      </c>
    </row>
    <row r="6" spans="1:14">
      <c r="A6" t="s">
        <v>61</v>
      </c>
      <c r="B6" s="3">
        <v>4588.8999999999996</v>
      </c>
      <c r="C6" s="3">
        <v>5470</v>
      </c>
      <c r="D6" s="3">
        <f t="shared" si="0"/>
        <v>3059.2666666666664</v>
      </c>
      <c r="E6" s="3"/>
      <c r="F6" s="3">
        <f t="shared" si="1"/>
        <v>1529.6333333333332</v>
      </c>
      <c r="J6">
        <v>10</v>
      </c>
    </row>
    <row r="7" spans="1:14">
      <c r="A7" t="s">
        <v>62</v>
      </c>
      <c r="B7" s="3">
        <v>1431.4</v>
      </c>
      <c r="C7" s="3">
        <v>1250</v>
      </c>
      <c r="D7" s="3">
        <f t="shared" si="0"/>
        <v>954.26666666666677</v>
      </c>
      <c r="E7" s="3"/>
      <c r="F7" s="3">
        <f t="shared" si="1"/>
        <v>477.13333333333333</v>
      </c>
      <c r="J7">
        <v>10</v>
      </c>
      <c r="M7" t="s">
        <v>191</v>
      </c>
      <c r="N7">
        <v>17</v>
      </c>
    </row>
    <row r="8" spans="1:14">
      <c r="A8" t="s">
        <v>63</v>
      </c>
      <c r="B8" s="3">
        <f>I8*$K$8</f>
        <v>2145.3764999999999</v>
      </c>
      <c r="C8" s="3"/>
      <c r="D8" s="3">
        <f t="shared" si="0"/>
        <v>1430.251</v>
      </c>
      <c r="E8" s="3"/>
      <c r="F8" s="3">
        <f t="shared" si="1"/>
        <v>715.12549999999987</v>
      </c>
      <c r="H8" s="1" t="s">
        <v>9</v>
      </c>
      <c r="I8">
        <v>648.15</v>
      </c>
      <c r="J8">
        <v>1</v>
      </c>
      <c r="K8">
        <v>3.31</v>
      </c>
      <c r="M8" t="s">
        <v>192</v>
      </c>
      <c r="N8">
        <v>3</v>
      </c>
    </row>
    <row r="9" spans="1:14">
      <c r="A9" t="s">
        <v>64</v>
      </c>
      <c r="B9" s="3">
        <f>I9*$K$8</f>
        <v>136.86850000000001</v>
      </c>
      <c r="C9" s="3"/>
      <c r="D9" s="3">
        <f t="shared" si="0"/>
        <v>91.245666666666679</v>
      </c>
      <c r="E9" s="3"/>
      <c r="F9" s="3">
        <f t="shared" si="1"/>
        <v>45.622833333333332</v>
      </c>
      <c r="H9" s="1" t="s">
        <v>9</v>
      </c>
      <c r="I9">
        <v>41.35</v>
      </c>
    </row>
    <row r="10" spans="1:14">
      <c r="A10" s="5" t="s">
        <v>65</v>
      </c>
      <c r="B10" s="3">
        <f>I10*K10</f>
        <v>3116.96</v>
      </c>
      <c r="C10" s="3">
        <v>1400</v>
      </c>
      <c r="D10" s="3">
        <f t="shared" si="0"/>
        <v>2077.9733333333334</v>
      </c>
      <c r="E10" s="5"/>
      <c r="F10" s="3">
        <f t="shared" si="1"/>
        <v>1038.9866666666667</v>
      </c>
      <c r="G10" s="5"/>
      <c r="H10" s="1" t="s">
        <v>9</v>
      </c>
      <c r="I10" s="5">
        <v>968</v>
      </c>
      <c r="J10">
        <v>8</v>
      </c>
      <c r="K10">
        <v>3.22</v>
      </c>
      <c r="N10">
        <f>N8+30-N7+1</f>
        <v>17</v>
      </c>
    </row>
    <row r="11" spans="1:14">
      <c r="A11" s="6" t="s">
        <v>10</v>
      </c>
      <c r="B11" s="7">
        <f>I11*K11*J11</f>
        <v>0</v>
      </c>
      <c r="C11" s="7"/>
      <c r="D11" s="7">
        <f t="shared" si="0"/>
        <v>0</v>
      </c>
      <c r="E11" s="7"/>
      <c r="F11" s="7">
        <f t="shared" si="1"/>
        <v>0</v>
      </c>
      <c r="G11" s="8"/>
      <c r="H11" s="8" t="s">
        <v>9</v>
      </c>
      <c r="I11" s="6">
        <v>100</v>
      </c>
      <c r="J11">
        <v>1</v>
      </c>
      <c r="K11">
        <v>0</v>
      </c>
    </row>
    <row r="12" spans="1:14">
      <c r="A12" s="6" t="s">
        <v>66</v>
      </c>
      <c r="B12" s="7">
        <f>I12*K12*J12</f>
        <v>0</v>
      </c>
      <c r="C12" s="7"/>
      <c r="D12" s="7">
        <f t="shared" si="0"/>
        <v>0</v>
      </c>
      <c r="E12" s="7"/>
      <c r="F12" s="7">
        <f t="shared" si="1"/>
        <v>0</v>
      </c>
      <c r="G12" s="8"/>
      <c r="H12" s="8" t="s">
        <v>9</v>
      </c>
      <c r="I12" s="6">
        <v>30</v>
      </c>
      <c r="J12">
        <v>1</v>
      </c>
      <c r="K12">
        <v>0</v>
      </c>
    </row>
    <row r="13" spans="1:14">
      <c r="A13" s="5" t="s">
        <v>67</v>
      </c>
      <c r="B13" s="3">
        <f>I13*K13*J13</f>
        <v>7150.394400000001</v>
      </c>
      <c r="C13" s="3">
        <f>863*4</f>
        <v>3452</v>
      </c>
      <c r="D13" s="3">
        <f t="shared" si="0"/>
        <v>4766.9296000000004</v>
      </c>
      <c r="E13" s="3"/>
      <c r="F13" s="3">
        <f t="shared" si="1"/>
        <v>2383.4648000000007</v>
      </c>
      <c r="G13" s="1"/>
      <c r="H13" s="1" t="s">
        <v>9</v>
      </c>
      <c r="I13" s="5">
        <v>360.04</v>
      </c>
      <c r="J13">
        <v>6</v>
      </c>
      <c r="K13">
        <v>3.31</v>
      </c>
    </row>
    <row r="14" spans="1:14">
      <c r="A14" s="5" t="s">
        <v>68</v>
      </c>
      <c r="B14" s="3">
        <f>I14*K14*J14</f>
        <v>4870.665</v>
      </c>
      <c r="C14" s="3">
        <f>1140*4</f>
        <v>4560</v>
      </c>
      <c r="D14" s="3">
        <f t="shared" si="0"/>
        <v>3247.11</v>
      </c>
      <c r="E14" s="3"/>
      <c r="F14" s="3">
        <f t="shared" si="1"/>
        <v>1623.5549999999998</v>
      </c>
      <c r="G14" s="1"/>
      <c r="H14" s="1" t="s">
        <v>9</v>
      </c>
      <c r="I14" s="5">
        <v>245.25</v>
      </c>
      <c r="J14">
        <v>6</v>
      </c>
      <c r="K14">
        <v>3.31</v>
      </c>
    </row>
    <row r="15" spans="1:14">
      <c r="A15" s="5" t="s">
        <v>69</v>
      </c>
      <c r="B15" s="3">
        <f>I15*K15*J15</f>
        <v>2327.7906000000003</v>
      </c>
      <c r="C15" s="3"/>
      <c r="D15" s="3">
        <f t="shared" si="0"/>
        <v>1551.8604000000003</v>
      </c>
      <c r="E15" s="3"/>
      <c r="F15" s="3">
        <f t="shared" si="1"/>
        <v>775.93020000000001</v>
      </c>
      <c r="G15" s="5"/>
      <c r="H15" s="1" t="s">
        <v>9</v>
      </c>
      <c r="I15" s="5">
        <v>117.21</v>
      </c>
      <c r="J15">
        <v>6</v>
      </c>
      <c r="K15">
        <v>3.31</v>
      </c>
    </row>
    <row r="16" spans="1:14">
      <c r="A16" s="5" t="s">
        <v>193</v>
      </c>
      <c r="C16" s="3">
        <f>456*4</f>
        <v>1824</v>
      </c>
      <c r="D16" s="3"/>
      <c r="E16" s="3"/>
      <c r="F16" s="3"/>
      <c r="G16" s="5"/>
      <c r="H16" s="1"/>
      <c r="I16" s="5"/>
    </row>
    <row r="17" spans="1:15">
      <c r="A17" s="5" t="s">
        <v>194</v>
      </c>
      <c r="C17" s="3">
        <f>91*4</f>
        <v>364</v>
      </c>
      <c r="D17" s="3"/>
      <c r="E17" s="3"/>
      <c r="F17" s="3"/>
      <c r="G17" s="5"/>
      <c r="H17" s="1"/>
      <c r="I17" s="5"/>
    </row>
    <row r="18" spans="1:15">
      <c r="A18" s="5" t="s">
        <v>195</v>
      </c>
      <c r="C18" s="3">
        <f>202*4</f>
        <v>808</v>
      </c>
      <c r="D18" s="3"/>
      <c r="E18" s="3"/>
      <c r="F18" s="3"/>
      <c r="G18" s="5"/>
      <c r="H18" s="1"/>
      <c r="I18" s="5"/>
    </row>
    <row r="19" spans="1:15">
      <c r="A19" s="5" t="s">
        <v>196</v>
      </c>
      <c r="C19" s="3">
        <f>100*4</f>
        <v>400</v>
      </c>
      <c r="D19" s="3"/>
      <c r="E19" s="3"/>
      <c r="F19" s="3"/>
      <c r="G19" s="5"/>
      <c r="H19" s="1"/>
      <c r="I19" s="5"/>
    </row>
    <row r="20" spans="1:15">
      <c r="A20" s="5" t="s">
        <v>197</v>
      </c>
      <c r="C20" s="3">
        <f>71*4</f>
        <v>284</v>
      </c>
      <c r="D20" s="3"/>
      <c r="E20" s="3"/>
      <c r="F20" s="3"/>
      <c r="G20" s="5"/>
      <c r="H20" s="1"/>
      <c r="I20" s="5"/>
    </row>
    <row r="21" spans="1:15">
      <c r="A21" s="5" t="s">
        <v>198</v>
      </c>
      <c r="C21" s="3">
        <f>112*4</f>
        <v>448</v>
      </c>
      <c r="D21" s="3"/>
      <c r="E21" s="3"/>
      <c r="F21" s="3"/>
      <c r="G21" s="5"/>
      <c r="H21" s="1"/>
      <c r="I21" s="5"/>
    </row>
    <row r="22" spans="1:15">
      <c r="A22" s="9" t="s">
        <v>199</v>
      </c>
      <c r="B22" s="9"/>
      <c r="C22" s="77">
        <f>214*4</f>
        <v>856</v>
      </c>
      <c r="D22" s="9"/>
      <c r="E22" s="9"/>
      <c r="F22" s="9"/>
      <c r="G22" s="9"/>
      <c r="H22" s="9"/>
      <c r="I22" s="9"/>
    </row>
    <row r="23" spans="1:15">
      <c r="A23" s="12" t="s">
        <v>19</v>
      </c>
      <c r="B23" s="13">
        <f>SUM(B5:B22)</f>
        <v>44064.294999999998</v>
      </c>
      <c r="C23" s="13">
        <f>SUM(C5:C22)</f>
        <v>33213</v>
      </c>
      <c r="D23" s="13">
        <f>SUM(D5:D22)</f>
        <v>29376.196666666663</v>
      </c>
      <c r="E23" s="13"/>
      <c r="F23" s="13">
        <f>SUM(F5:F22)</f>
        <v>14688.098333333333</v>
      </c>
      <c r="H23" s="14" t="s">
        <v>9</v>
      </c>
      <c r="I23" s="13">
        <f>SUM(I5:I22)</f>
        <v>2510</v>
      </c>
    </row>
    <row r="24" spans="1:15">
      <c r="A24" s="15"/>
      <c r="B24" s="16"/>
      <c r="C24" s="16"/>
      <c r="D24" s="16"/>
      <c r="E24" s="16"/>
      <c r="F24" s="16"/>
      <c r="G24" s="5"/>
      <c r="H24" s="17"/>
      <c r="I24" s="16"/>
    </row>
    <row r="25" spans="1:15">
      <c r="A25" s="18" t="s">
        <v>20</v>
      </c>
      <c r="B25" s="19">
        <f>SUM(B53:N54)</f>
        <v>37161.231666666667</v>
      </c>
      <c r="C25" s="19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7" spans="1:15">
      <c r="A27" t="s">
        <v>21</v>
      </c>
      <c r="B27" s="20">
        <f>B23-B25</f>
        <v>6903.0633333333317</v>
      </c>
      <c r="C27" s="20"/>
    </row>
    <row r="29" spans="1:15">
      <c r="A29" s="15" t="s">
        <v>22</v>
      </c>
    </row>
    <row r="30" spans="1:15">
      <c r="A30" s="2"/>
      <c r="B30" s="2" t="s">
        <v>27</v>
      </c>
      <c r="C30" s="2"/>
      <c r="D30" s="2" t="s">
        <v>28</v>
      </c>
      <c r="E30" s="9"/>
      <c r="F30" s="2" t="s">
        <v>29</v>
      </c>
      <c r="G30" s="9"/>
      <c r="H30" s="2" t="s">
        <v>30</v>
      </c>
      <c r="I30" s="2" t="s">
        <v>31</v>
      </c>
      <c r="J30" s="2" t="s">
        <v>32</v>
      </c>
      <c r="K30" s="2" t="s">
        <v>70</v>
      </c>
      <c r="L30" s="2" t="s">
        <v>71</v>
      </c>
      <c r="M30" s="2" t="s">
        <v>23</v>
      </c>
      <c r="N30" s="2" t="s">
        <v>24</v>
      </c>
      <c r="O30" s="2" t="s">
        <v>33</v>
      </c>
    </row>
    <row r="31" spans="1:15">
      <c r="A31" t="str">
        <f>A5</f>
        <v>Passagens              (6p)</v>
      </c>
      <c r="B31" s="20">
        <f>3265.78+3757.54</f>
        <v>7023.32</v>
      </c>
      <c r="C31" s="20"/>
      <c r="D31" s="20">
        <f>(O31-3265.78)/4</f>
        <v>3757.5399999999995</v>
      </c>
      <c r="F31" s="20">
        <f>D31</f>
        <v>3757.5399999999995</v>
      </c>
      <c r="H31" s="20">
        <f>F31</f>
        <v>3757.5399999999995</v>
      </c>
      <c r="I31" s="20"/>
      <c r="J31" s="20"/>
      <c r="K31" s="20"/>
      <c r="L31" s="20"/>
      <c r="M31" s="20"/>
      <c r="N31" s="20"/>
      <c r="O31" s="20">
        <f>B5</f>
        <v>18295.939999999999</v>
      </c>
    </row>
    <row r="32" spans="1:15">
      <c r="A32" t="str">
        <f>A6</f>
        <v>Hospedagem        (15d)</v>
      </c>
      <c r="B32" s="20">
        <f>O32/J6</f>
        <v>458.89</v>
      </c>
      <c r="C32" s="20"/>
      <c r="D32" s="20">
        <f>B32</f>
        <v>458.89</v>
      </c>
      <c r="F32" s="20">
        <f>D32</f>
        <v>458.89</v>
      </c>
      <c r="H32" s="20">
        <f>F32</f>
        <v>458.89</v>
      </c>
      <c r="I32" s="20">
        <f t="shared" ref="I32:N33" si="2">H32</f>
        <v>458.89</v>
      </c>
      <c r="J32" s="20">
        <f t="shared" si="2"/>
        <v>458.89</v>
      </c>
      <c r="K32" s="20">
        <f t="shared" si="2"/>
        <v>458.89</v>
      </c>
      <c r="L32" s="20">
        <f t="shared" si="2"/>
        <v>458.89</v>
      </c>
      <c r="M32" s="20">
        <f t="shared" si="2"/>
        <v>458.89</v>
      </c>
      <c r="N32" s="20">
        <f t="shared" si="2"/>
        <v>458.89</v>
      </c>
      <c r="O32" s="20">
        <f>B6</f>
        <v>4588.8999999999996</v>
      </c>
    </row>
    <row r="33" spans="1:17">
      <c r="A33" t="str">
        <f>A7</f>
        <v>Seguro Viagem    (6p)</v>
      </c>
      <c r="B33" s="20">
        <f>O33/J7</f>
        <v>143.14000000000001</v>
      </c>
      <c r="C33" s="20"/>
      <c r="D33" s="20">
        <f>B33</f>
        <v>143.14000000000001</v>
      </c>
      <c r="F33" s="20">
        <f>D33</f>
        <v>143.14000000000001</v>
      </c>
      <c r="H33" s="20">
        <f>F33</f>
        <v>143.14000000000001</v>
      </c>
      <c r="I33" s="20">
        <f t="shared" si="2"/>
        <v>143.14000000000001</v>
      </c>
      <c r="J33" s="20">
        <f t="shared" si="2"/>
        <v>143.14000000000001</v>
      </c>
      <c r="K33" s="20">
        <f t="shared" si="2"/>
        <v>143.14000000000001</v>
      </c>
      <c r="L33" s="20">
        <f t="shared" si="2"/>
        <v>143.14000000000001</v>
      </c>
      <c r="M33" s="20">
        <f t="shared" si="2"/>
        <v>143.14000000000001</v>
      </c>
      <c r="N33" s="20">
        <f t="shared" si="2"/>
        <v>143.14000000000001</v>
      </c>
      <c r="O33" s="20">
        <f>B7</f>
        <v>1431.4</v>
      </c>
    </row>
    <row r="34" spans="1:17">
      <c r="A34" t="s">
        <v>72</v>
      </c>
      <c r="B34" s="20">
        <f>O34/J8</f>
        <v>2282.2449999999999</v>
      </c>
      <c r="C34" s="20"/>
      <c r="O34" s="20">
        <f>B8+B9</f>
        <v>2282.2449999999999</v>
      </c>
    </row>
    <row r="35" spans="1:17">
      <c r="A35" t="str">
        <f t="shared" ref="A35:A40" si="3">A10</f>
        <v>Aluguel Carro</v>
      </c>
      <c r="B35" s="20"/>
      <c r="C35" s="20"/>
      <c r="D35" s="20">
        <f>O35/J10</f>
        <v>389.62</v>
      </c>
      <c r="F35" s="20">
        <f>D35</f>
        <v>389.62</v>
      </c>
      <c r="H35" s="20">
        <f>F35</f>
        <v>389.62</v>
      </c>
      <c r="I35" s="20">
        <f>H35</f>
        <v>389.62</v>
      </c>
      <c r="J35" s="20">
        <f>I35</f>
        <v>389.62</v>
      </c>
      <c r="K35" s="20">
        <f>J35</f>
        <v>389.62</v>
      </c>
      <c r="L35" s="20">
        <f>K35</f>
        <v>389.62</v>
      </c>
      <c r="M35" s="20">
        <f>L35</f>
        <v>389.62</v>
      </c>
      <c r="O35" s="20">
        <f t="shared" ref="O35:O40" si="4">B10</f>
        <v>3116.96</v>
      </c>
    </row>
    <row r="36" spans="1:17">
      <c r="A36" t="str">
        <f t="shared" si="3"/>
        <v>Chip CELULAR</v>
      </c>
      <c r="B36" s="20"/>
      <c r="C36" s="20"/>
      <c r="D36" s="20">
        <f>O36</f>
        <v>0</v>
      </c>
      <c r="O36" s="20">
        <f t="shared" si="4"/>
        <v>0</v>
      </c>
    </row>
    <row r="37" spans="1:17">
      <c r="A37" t="str">
        <f t="shared" si="3"/>
        <v>Estacionamento Jogo NBA</v>
      </c>
      <c r="B37" s="20"/>
      <c r="C37" s="20"/>
      <c r="D37" s="20"/>
      <c r="O37" s="20">
        <f t="shared" si="4"/>
        <v>0</v>
      </c>
    </row>
    <row r="38" spans="1:17">
      <c r="A38" t="str">
        <f t="shared" si="3"/>
        <v>Disney                     (5d)</v>
      </c>
      <c r="B38" s="20">
        <v>3810.26</v>
      </c>
      <c r="C38" s="20"/>
      <c r="D38" s="20">
        <f>IF(J13=0,0,(O38-B38)/J13)</f>
        <v>556.6890666666668</v>
      </c>
      <c r="F38" s="20">
        <f>D38</f>
        <v>556.6890666666668</v>
      </c>
      <c r="H38" s="20">
        <f>D38</f>
        <v>556.6890666666668</v>
      </c>
      <c r="I38" s="20">
        <f>D38</f>
        <v>556.6890666666668</v>
      </c>
      <c r="J38" s="20">
        <f>D38</f>
        <v>556.6890666666668</v>
      </c>
      <c r="K38" s="20">
        <f>D38</f>
        <v>556.6890666666668</v>
      </c>
      <c r="O38" s="20">
        <f t="shared" si="4"/>
        <v>7150.394400000001</v>
      </c>
      <c r="P38" s="20"/>
      <c r="Q38" s="20"/>
    </row>
    <row r="39" spans="1:17">
      <c r="A39" t="str">
        <f t="shared" si="3"/>
        <v>Universal                (2d)</v>
      </c>
      <c r="B39" s="20">
        <v>2604.27</v>
      </c>
      <c r="C39" s="20"/>
      <c r="D39" s="20">
        <f>IF(J14=0,0,(O39-B39)/J14)</f>
        <v>377.73250000000002</v>
      </c>
      <c r="F39" s="20">
        <f>D39</f>
        <v>377.73250000000002</v>
      </c>
      <c r="H39" s="20">
        <f>D39</f>
        <v>377.73250000000002</v>
      </c>
      <c r="I39" s="20">
        <f>D39</f>
        <v>377.73250000000002</v>
      </c>
      <c r="J39" s="20">
        <f>D39</f>
        <v>377.73250000000002</v>
      </c>
      <c r="K39" s="20">
        <f>D39</f>
        <v>377.73250000000002</v>
      </c>
      <c r="O39" s="20">
        <f t="shared" si="4"/>
        <v>4870.665</v>
      </c>
      <c r="P39" s="20"/>
      <c r="Q39" s="20"/>
    </row>
    <row r="40" spans="1:17">
      <c r="A40" t="str">
        <f t="shared" si="3"/>
        <v>Busch Gardens     (2d)</v>
      </c>
      <c r="B40" s="20">
        <f>7348.55-B38-B39</f>
        <v>934.02</v>
      </c>
      <c r="C40" s="20"/>
      <c r="D40" s="20">
        <f>IF(J15=0,0,(O40-B40)/J15)</f>
        <v>232.29510000000005</v>
      </c>
      <c r="F40" s="20">
        <f>D40</f>
        <v>232.29510000000005</v>
      </c>
      <c r="H40" s="20">
        <f>D40</f>
        <v>232.29510000000005</v>
      </c>
      <c r="I40" s="20">
        <f>D40</f>
        <v>232.29510000000005</v>
      </c>
      <c r="J40" s="20">
        <f>D40</f>
        <v>232.29510000000005</v>
      </c>
      <c r="K40" s="20">
        <f>D40</f>
        <v>232.29510000000005</v>
      </c>
      <c r="O40" s="20">
        <f t="shared" si="4"/>
        <v>2327.7906000000003</v>
      </c>
      <c r="P40" s="20"/>
      <c r="Q40" s="20"/>
    </row>
    <row r="41" spans="1:17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Q41" s="20"/>
    </row>
    <row r="42" spans="1:17">
      <c r="A42" s="12" t="s">
        <v>19</v>
      </c>
      <c r="B42" s="13">
        <f>SUM(B31:B41)</f>
        <v>17256.145</v>
      </c>
      <c r="C42" s="13"/>
      <c r="D42" s="13">
        <f t="shared" ref="D42:O42" si="5">SUM(D31:D41)</f>
        <v>5915.9066666666668</v>
      </c>
      <c r="E42" s="13">
        <f t="shared" si="5"/>
        <v>0</v>
      </c>
      <c r="F42" s="13">
        <f t="shared" si="5"/>
        <v>5915.9066666666668</v>
      </c>
      <c r="G42" s="13">
        <f t="shared" si="5"/>
        <v>0</v>
      </c>
      <c r="H42" s="13">
        <f t="shared" si="5"/>
        <v>5915.9066666666668</v>
      </c>
      <c r="I42" s="13">
        <f t="shared" si="5"/>
        <v>2158.3666666666668</v>
      </c>
      <c r="J42" s="13">
        <f t="shared" si="5"/>
        <v>2158.3666666666668</v>
      </c>
      <c r="K42" s="13">
        <f t="shared" si="5"/>
        <v>2158.3666666666668</v>
      </c>
      <c r="L42" s="13">
        <f t="shared" si="5"/>
        <v>991.65</v>
      </c>
      <c r="M42" s="13">
        <f t="shared" si="5"/>
        <v>991.65</v>
      </c>
      <c r="N42" s="13">
        <f t="shared" si="5"/>
        <v>602.03</v>
      </c>
      <c r="O42" s="13">
        <f t="shared" si="5"/>
        <v>44064.294999999998</v>
      </c>
      <c r="Q42" s="20"/>
    </row>
    <row r="44" spans="1:17">
      <c r="A44" s="35" t="s">
        <v>58</v>
      </c>
      <c r="B44" s="36">
        <f>B42/($E$4+$G$4)*$E$4</f>
        <v>11504.096666666666</v>
      </c>
      <c r="C44" s="36"/>
      <c r="D44" s="36">
        <f>D42/($E$4+$G$4)*$E$4</f>
        <v>3943.9377777777777</v>
      </c>
      <c r="E44" s="36" t="e">
        <f>(E42+#REF!)/($E$4+$G$4)*$E$4</f>
        <v>#REF!</v>
      </c>
      <c r="F44" s="36">
        <f>F42/($E$4+$G$4)*$E$4</f>
        <v>3943.9377777777777</v>
      </c>
      <c r="G44" s="36" t="e">
        <f>(G42+#REF!)/($E$4+$G$4)*$E$4</f>
        <v>#REF!</v>
      </c>
      <c r="H44" s="36">
        <f t="shared" ref="H44:O44" si="6">H42/($E$4+$G$4)*$E$4</f>
        <v>3943.9377777777777</v>
      </c>
      <c r="I44" s="36">
        <f t="shared" si="6"/>
        <v>1438.9111111111113</v>
      </c>
      <c r="J44" s="36">
        <f t="shared" si="6"/>
        <v>1438.9111111111113</v>
      </c>
      <c r="K44" s="36">
        <f t="shared" si="6"/>
        <v>1438.9111111111113</v>
      </c>
      <c r="L44" s="36">
        <f t="shared" si="6"/>
        <v>661.1</v>
      </c>
      <c r="M44" s="36">
        <f t="shared" si="6"/>
        <v>661.1</v>
      </c>
      <c r="N44" s="36">
        <f t="shared" si="6"/>
        <v>401.3533333333333</v>
      </c>
      <c r="O44" s="36">
        <f t="shared" si="6"/>
        <v>29376.196666666667</v>
      </c>
      <c r="P44" s="20"/>
    </row>
    <row r="45" spans="1:17">
      <c r="A45" s="37" t="s">
        <v>59</v>
      </c>
      <c r="B45" s="13">
        <f>B42-B44</f>
        <v>5752.0483333333341</v>
      </c>
      <c r="C45" s="13"/>
      <c r="D45" s="13">
        <f>D42-D44</f>
        <v>1971.9688888888891</v>
      </c>
      <c r="E45" s="13" t="e">
        <f>E42+#REF!-E44</f>
        <v>#REF!</v>
      </c>
      <c r="F45" s="13">
        <f>F42-F44</f>
        <v>1971.9688888888891</v>
      </c>
      <c r="G45" s="13" t="e">
        <f>G42+#REF!-G44</f>
        <v>#REF!</v>
      </c>
      <c r="H45" s="13">
        <f t="shared" ref="H45:O45" si="7">H42-H44</f>
        <v>1971.9688888888891</v>
      </c>
      <c r="I45" s="13">
        <f t="shared" si="7"/>
        <v>719.45555555555552</v>
      </c>
      <c r="J45" s="13">
        <f t="shared" si="7"/>
        <v>719.45555555555552</v>
      </c>
      <c r="K45" s="13">
        <f t="shared" si="7"/>
        <v>719.45555555555552</v>
      </c>
      <c r="L45" s="13">
        <f t="shared" si="7"/>
        <v>330.54999999999995</v>
      </c>
      <c r="M45" s="13">
        <f t="shared" si="7"/>
        <v>330.54999999999995</v>
      </c>
      <c r="N45" s="13">
        <f t="shared" si="7"/>
        <v>200.67666666666668</v>
      </c>
      <c r="O45" s="13">
        <f t="shared" si="7"/>
        <v>14688.098333333332</v>
      </c>
    </row>
    <row r="46" spans="1:17" s="5" customFormat="1">
      <c r="A46" s="38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20"/>
    </row>
    <row r="47" spans="1:17" s="5" customFormat="1">
      <c r="A47" s="38" t="str">
        <f>A45</f>
        <v>Familia SOUZA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1:17" s="5" customFormat="1">
      <c r="A48" s="23" t="s">
        <v>73</v>
      </c>
      <c r="B48" s="16">
        <f>6670+180</f>
        <v>6850</v>
      </c>
      <c r="C48" s="16"/>
      <c r="D48" s="16">
        <f>B48-B45+B50</f>
        <v>1097.9516666666659</v>
      </c>
      <c r="E48" s="16">
        <f>D48-D45+D49</f>
        <v>0</v>
      </c>
      <c r="F48" s="16">
        <f>IF((D48-D45+D50)&lt;=0,0,D48-D45+D50)</f>
        <v>0</v>
      </c>
      <c r="G48" s="16"/>
      <c r="H48" s="16">
        <f>IF((F48-F45+F50)&lt;=0,0,F48-F45+F50)</f>
        <v>0</v>
      </c>
      <c r="I48" s="16">
        <f>IF((H48-H45+H50)&lt;=0,0,H48-H45+H50)</f>
        <v>0</v>
      </c>
      <c r="J48" s="16">
        <v>1252.51</v>
      </c>
      <c r="K48" s="16">
        <f>IF((J48-J45+J50)&lt;=0,0,J48-J45+J50)</f>
        <v>533.05444444444447</v>
      </c>
      <c r="L48" s="16">
        <f>IF((K48-K45+K50)&lt;=0,0,K48-K45+K50)</f>
        <v>0</v>
      </c>
      <c r="M48" s="16">
        <f>IF((L48-L45+L50)&lt;=0,0,L48-L45+L50)</f>
        <v>0</v>
      </c>
      <c r="N48" s="16">
        <f>IF((M48-M45+M50)&lt;=0,0,M48-M45+M50)</f>
        <v>0</v>
      </c>
      <c r="O48" s="16"/>
    </row>
    <row r="49" spans="1:17" s="5" customFormat="1">
      <c r="A49" s="23" t="s">
        <v>74</v>
      </c>
      <c r="B49" s="16">
        <f>IF(B48&gt;B45,0,B45-B48)</f>
        <v>0</v>
      </c>
      <c r="C49" s="16"/>
      <c r="D49" s="16">
        <f>IF(D48&gt;D45,0,D45-D48)</f>
        <v>874.01722222222315</v>
      </c>
      <c r="E49" s="16"/>
      <c r="F49" s="16">
        <f>IF(F45&lt;F48,0,F45-F48)</f>
        <v>1971.9688888888891</v>
      </c>
      <c r="G49" s="16"/>
      <c r="H49" s="16">
        <f t="shared" ref="H49:N49" si="8">IF(H45&lt;H48,0,H45-H48)</f>
        <v>1971.9688888888891</v>
      </c>
      <c r="I49" s="16">
        <f t="shared" si="8"/>
        <v>719.45555555555552</v>
      </c>
      <c r="J49" s="16">
        <f t="shared" si="8"/>
        <v>0</v>
      </c>
      <c r="K49" s="16">
        <f t="shared" si="8"/>
        <v>186.40111111111105</v>
      </c>
      <c r="L49" s="16">
        <f t="shared" si="8"/>
        <v>330.54999999999995</v>
      </c>
      <c r="M49" s="16">
        <f t="shared" si="8"/>
        <v>330.54999999999995</v>
      </c>
      <c r="N49" s="16">
        <f t="shared" si="8"/>
        <v>200.67666666666668</v>
      </c>
      <c r="O49" s="16"/>
    </row>
    <row r="50" spans="1:17" s="5" customFormat="1">
      <c r="A50" s="23" t="s">
        <v>75</v>
      </c>
      <c r="B50" s="16">
        <v>0</v>
      </c>
      <c r="C50" s="16"/>
      <c r="D50" s="16">
        <f>D49</f>
        <v>874.01722222222315</v>
      </c>
      <c r="E50" s="16"/>
      <c r="F50" s="16">
        <f>F49</f>
        <v>1971.9688888888891</v>
      </c>
      <c r="G50" s="16"/>
      <c r="H50" s="16"/>
      <c r="I50" s="16"/>
      <c r="J50" s="16"/>
      <c r="K50" s="16"/>
      <c r="L50" s="16"/>
      <c r="M50" s="16"/>
      <c r="N50" s="16"/>
      <c r="O50" s="16">
        <f>B48+SUM(B50:N50)</f>
        <v>9695.9861111111131</v>
      </c>
      <c r="P50" s="20"/>
      <c r="Q50" s="20"/>
    </row>
    <row r="51" spans="1:17">
      <c r="D51" s="20"/>
    </row>
    <row r="53" spans="1:17">
      <c r="A53" s="26" t="s">
        <v>37</v>
      </c>
      <c r="B53" s="27">
        <f>Cartao!C95</f>
        <v>9907.5949999999993</v>
      </c>
      <c r="C53" s="27"/>
      <c r="D53" s="27">
        <f>Cartao!C79</f>
        <v>5915.9066666666668</v>
      </c>
      <c r="E53" s="39"/>
      <c r="F53" s="27">
        <f>Cartao!C60</f>
        <v>5915.9066666666668</v>
      </c>
      <c r="G53" s="28"/>
      <c r="H53" s="27">
        <f>H42</f>
        <v>5915.9066666666668</v>
      </c>
      <c r="I53" s="27">
        <f>I42</f>
        <v>2158.3666666666668</v>
      </c>
      <c r="J53" s="28"/>
      <c r="K53" s="28"/>
      <c r="L53" s="28"/>
      <c r="M53" s="28"/>
      <c r="N53" s="28"/>
      <c r="O53" s="20">
        <f>O44-B44-D44-F44</f>
        <v>9984.2244444444441</v>
      </c>
    </row>
    <row r="54" spans="1:17">
      <c r="A54" s="26" t="s">
        <v>76</v>
      </c>
      <c r="B54" s="40">
        <f>Cartao!C98</f>
        <v>7347.55</v>
      </c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8667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Nova Viagem</vt:lpstr>
      <vt:lpstr>Fat Cartão</vt:lpstr>
      <vt:lpstr>Orcamento</vt:lpstr>
      <vt:lpstr>Cartao</vt:lpstr>
      <vt:lpstr>Programacao</vt:lpstr>
      <vt:lpstr>Plan2</vt:lpstr>
      <vt:lpstr>Compras</vt:lpstr>
      <vt:lpstr>Nova_Viagem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Ewerton</dc:creator>
  <dc:description/>
  <cp:lastModifiedBy>ewerton</cp:lastModifiedBy>
  <cp:revision>18</cp:revision>
  <cp:lastPrinted>2019-03-08T14:26:35Z</cp:lastPrinted>
  <dcterms:created xsi:type="dcterms:W3CDTF">2017-01-10T13:38:44Z</dcterms:created>
  <dcterms:modified xsi:type="dcterms:W3CDTF">2019-03-24T13:54:20Z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