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00"/>
  </bookViews>
  <sheets>
    <sheet name="Resumo" sheetId="1" r:id="rId1"/>
    <sheet name="Lançamentos" sheetId="2" r:id="rId2"/>
    <sheet name="Dividendos" sheetId="3" r:id="rId3"/>
    <sheet name="Cadastro" sheetId="4" r:id="rId4"/>
    <sheet name="Planilha1" sheetId="5" r:id="rId5"/>
    <sheet name="Sheet6" sheetId="6" r:id="rId6"/>
    <sheet name="Sheet7" sheetId="7" r:id="rId7"/>
  </sheets>
  <definedNames>
    <definedName name="_xlnm._FilterDatabase" localSheetId="3" hidden="1">Cadastro!$A$6:$C$24</definedName>
    <definedName name="_xlnm._FilterDatabase" localSheetId="2" hidden="1">Dividendos!$A$6:$G$54</definedName>
    <definedName name="_xlnm._FilterDatabase" localSheetId="1" hidden="1">Lançamentos!$A$6:$P$36</definedName>
    <definedName name="_xlnm._FilterDatabase" localSheetId="0" hidden="1">Resumo!$A$6:$Q$45</definedName>
    <definedName name="Excel_BuiltIn__FilterDatabase" localSheetId="2">Dividendos!$A$6:$G$19</definedName>
  </definedNames>
  <calcPr calcId="1257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36" i="1"/>
  <c r="P36" s="1"/>
  <c r="Q36" s="1"/>
  <c r="O35"/>
  <c r="P35" s="1"/>
  <c r="Q35" s="1"/>
  <c r="K36"/>
  <c r="L36" s="1"/>
  <c r="M36" s="1"/>
  <c r="K35"/>
  <c r="L35" s="1"/>
  <c r="M35" s="1"/>
  <c r="G36"/>
  <c r="G35"/>
  <c r="A35"/>
  <c r="A36"/>
  <c r="C35"/>
  <c r="C36"/>
  <c r="I14" i="7"/>
  <c r="H14"/>
  <c r="G14"/>
  <c r="B14"/>
  <c r="I13"/>
  <c r="H13"/>
  <c r="G13"/>
  <c r="B13"/>
  <c r="I12"/>
  <c r="H12"/>
  <c r="G12"/>
  <c r="B12"/>
  <c r="I11"/>
  <c r="H11"/>
  <c r="G11"/>
  <c r="B11"/>
  <c r="I10"/>
  <c r="H10"/>
  <c r="G10"/>
  <c r="B10"/>
  <c r="I9"/>
  <c r="H9"/>
  <c r="G9"/>
  <c r="B9"/>
  <c r="I8"/>
  <c r="H8"/>
  <c r="G8"/>
  <c r="B8"/>
  <c r="I7"/>
  <c r="H7"/>
  <c r="G7"/>
  <c r="B7"/>
  <c r="F100" i="5"/>
  <c r="D95"/>
  <c r="D89"/>
  <c r="G88"/>
  <c r="G87"/>
  <c r="G86"/>
  <c r="G85"/>
  <c r="G89" s="1"/>
  <c r="F89" s="1"/>
  <c r="D79"/>
  <c r="D78"/>
  <c r="D77"/>
  <c r="N74"/>
  <c r="O74" s="1"/>
  <c r="P74" s="1"/>
  <c r="J74"/>
  <c r="O73"/>
  <c r="P73" s="1"/>
  <c r="N73"/>
  <c r="J73"/>
  <c r="P72"/>
  <c r="N72"/>
  <c r="J72"/>
  <c r="D72"/>
  <c r="N71"/>
  <c r="O71" s="1"/>
  <c r="P71" s="1"/>
  <c r="J71"/>
  <c r="M70"/>
  <c r="N70" s="1"/>
  <c r="O70" s="1"/>
  <c r="P70" s="1"/>
  <c r="J70"/>
  <c r="M69"/>
  <c r="N69" s="1"/>
  <c r="O69" s="1"/>
  <c r="P69" s="1"/>
  <c r="J69"/>
  <c r="G69"/>
  <c r="F69"/>
  <c r="M68"/>
  <c r="N68" s="1"/>
  <c r="O68" s="1"/>
  <c r="P68" s="1"/>
  <c r="L68"/>
  <c r="L69" s="1"/>
  <c r="L70" s="1"/>
  <c r="J68"/>
  <c r="G68"/>
  <c r="F68"/>
  <c r="M67"/>
  <c r="N67" s="1"/>
  <c r="J67"/>
  <c r="F67"/>
  <c r="J66"/>
  <c r="M57"/>
  <c r="M56"/>
  <c r="M55"/>
  <c r="M54"/>
  <c r="M53"/>
  <c r="M52"/>
  <c r="M51"/>
  <c r="M50"/>
  <c r="M49"/>
  <c r="M48"/>
  <c r="M47"/>
  <c r="M39"/>
  <c r="N39" s="1"/>
  <c r="O39" s="1"/>
  <c r="I39"/>
  <c r="F39"/>
  <c r="J39" s="1"/>
  <c r="K39" s="1"/>
  <c r="N38"/>
  <c r="O38" s="1"/>
  <c r="M38"/>
  <c r="I38"/>
  <c r="F38"/>
  <c r="J38" s="1"/>
  <c r="K38" s="1"/>
  <c r="M37"/>
  <c r="N37" s="1"/>
  <c r="O37" s="1"/>
  <c r="I37"/>
  <c r="F37"/>
  <c r="J37" s="1"/>
  <c r="K37" s="1"/>
  <c r="M36"/>
  <c r="N36" s="1"/>
  <c r="O36" s="1"/>
  <c r="I36"/>
  <c r="F36"/>
  <c r="J36" s="1"/>
  <c r="K36" s="1"/>
  <c r="M35"/>
  <c r="N35" s="1"/>
  <c r="O35" s="1"/>
  <c r="I35"/>
  <c r="F35"/>
  <c r="J35" s="1"/>
  <c r="K35" s="1"/>
  <c r="N34"/>
  <c r="O34" s="1"/>
  <c r="M34"/>
  <c r="K34"/>
  <c r="J34"/>
  <c r="I34"/>
  <c r="F34"/>
  <c r="X33"/>
  <c r="V33"/>
  <c r="M33"/>
  <c r="N33" s="1"/>
  <c r="O33" s="1"/>
  <c r="J33"/>
  <c r="K33" s="1"/>
  <c r="I33"/>
  <c r="F33"/>
  <c r="X32"/>
  <c r="V32"/>
  <c r="V34" s="1"/>
  <c r="U35" s="1"/>
  <c r="N32"/>
  <c r="O32" s="1"/>
  <c r="M32"/>
  <c r="M42" s="1"/>
  <c r="I32"/>
  <c r="D76" s="1"/>
  <c r="F32"/>
  <c r="F42" s="1"/>
  <c r="X31"/>
  <c r="X34" s="1"/>
  <c r="V31"/>
  <c r="F22"/>
  <c r="I22" s="1"/>
  <c r="J22" s="1"/>
  <c r="F21"/>
  <c r="L20"/>
  <c r="M20" s="1"/>
  <c r="N20" s="1"/>
  <c r="I20"/>
  <c r="J20" s="1"/>
  <c r="F20"/>
  <c r="M19"/>
  <c r="N19" s="1"/>
  <c r="L19"/>
  <c r="J19"/>
  <c r="I19"/>
  <c r="F19"/>
  <c r="L18"/>
  <c r="M18" s="1"/>
  <c r="N18" s="1"/>
  <c r="F18"/>
  <c r="I18" s="1"/>
  <c r="J18" s="1"/>
  <c r="M17"/>
  <c r="N17" s="1"/>
  <c r="L17"/>
  <c r="F17"/>
  <c r="I17" s="1"/>
  <c r="J17" s="1"/>
  <c r="L16"/>
  <c r="M16" s="1"/>
  <c r="N16" s="1"/>
  <c r="I16"/>
  <c r="J16" s="1"/>
  <c r="F16"/>
  <c r="M15"/>
  <c r="N15" s="1"/>
  <c r="L15"/>
  <c r="J15"/>
  <c r="I15"/>
  <c r="F15"/>
  <c r="T14"/>
  <c r="E14"/>
  <c r="D14"/>
  <c r="L14" s="1"/>
  <c r="T13"/>
  <c r="D13"/>
  <c r="M12"/>
  <c r="N12" s="1"/>
  <c r="L12"/>
  <c r="F12"/>
  <c r="I12" s="1"/>
  <c r="I2"/>
  <c r="G2"/>
  <c r="G20" s="1"/>
  <c r="E43" i="4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C54" i="3"/>
  <c r="A54"/>
  <c r="C53"/>
  <c r="A53"/>
  <c r="C52"/>
  <c r="A52"/>
  <c r="C51"/>
  <c r="A51"/>
  <c r="C50"/>
  <c r="A50"/>
  <c r="C49"/>
  <c r="A49"/>
  <c r="C48"/>
  <c r="A48"/>
  <c r="C47"/>
  <c r="A47"/>
  <c r="C46"/>
  <c r="A46"/>
  <c r="C45"/>
  <c r="A45"/>
  <c r="C44"/>
  <c r="A44"/>
  <c r="C43"/>
  <c r="A43"/>
  <c r="C42"/>
  <c r="A42"/>
  <c r="C41"/>
  <c r="A41"/>
  <c r="C40"/>
  <c r="A40"/>
  <c r="C39"/>
  <c r="A39"/>
  <c r="C38"/>
  <c r="A38"/>
  <c r="C37"/>
  <c r="A37"/>
  <c r="C36"/>
  <c r="A36"/>
  <c r="C35"/>
  <c r="A35"/>
  <c r="C34"/>
  <c r="A34"/>
  <c r="C33"/>
  <c r="A33"/>
  <c r="C32"/>
  <c r="A32"/>
  <c r="C31"/>
  <c r="A31"/>
  <c r="C30"/>
  <c r="A30"/>
  <c r="C29"/>
  <c r="A29"/>
  <c r="O28"/>
  <c r="C28"/>
  <c r="A28"/>
  <c r="C27"/>
  <c r="A27"/>
  <c r="O26"/>
  <c r="C26"/>
  <c r="A26"/>
  <c r="C25"/>
  <c r="A25"/>
  <c r="C24"/>
  <c r="A24"/>
  <c r="C23"/>
  <c r="A23"/>
  <c r="C22"/>
  <c r="A22"/>
  <c r="C21"/>
  <c r="A21"/>
  <c r="C20"/>
  <c r="A20"/>
  <c r="C19"/>
  <c r="A19"/>
  <c r="C18"/>
  <c r="A18"/>
  <c r="C17"/>
  <c r="A17"/>
  <c r="C16"/>
  <c r="A16"/>
  <c r="C15"/>
  <c r="A15"/>
  <c r="C14"/>
  <c r="A14"/>
  <c r="C13"/>
  <c r="A13"/>
  <c r="C12"/>
  <c r="A12"/>
  <c r="C11"/>
  <c r="A11"/>
  <c r="C10"/>
  <c r="A10"/>
  <c r="C9"/>
  <c r="A9"/>
  <c r="C8"/>
  <c r="A8"/>
  <c r="C7"/>
  <c r="A7"/>
  <c r="O36" i="2"/>
  <c r="K36"/>
  <c r="N36" s="1"/>
  <c r="E36"/>
  <c r="A36"/>
  <c r="P35"/>
  <c r="K35"/>
  <c r="O35" s="1"/>
  <c r="E35"/>
  <c r="A35"/>
  <c r="O34"/>
  <c r="K34"/>
  <c r="N34" s="1"/>
  <c r="E34"/>
  <c r="A34"/>
  <c r="O33"/>
  <c r="K33"/>
  <c r="P33" s="1"/>
  <c r="E33"/>
  <c r="A33"/>
  <c r="O32"/>
  <c r="K32"/>
  <c r="N32" s="1"/>
  <c r="E32"/>
  <c r="A32"/>
  <c r="O31"/>
  <c r="K31"/>
  <c r="P31" s="1"/>
  <c r="E31"/>
  <c r="A31"/>
  <c r="O30"/>
  <c r="K30"/>
  <c r="N30" s="1"/>
  <c r="E30"/>
  <c r="A30"/>
  <c r="O29"/>
  <c r="K29"/>
  <c r="P29" s="1"/>
  <c r="E29"/>
  <c r="A29"/>
  <c r="P28"/>
  <c r="O28"/>
  <c r="K28"/>
  <c r="N28" s="1"/>
  <c r="E28"/>
  <c r="A28"/>
  <c r="O27"/>
  <c r="K27"/>
  <c r="P27" s="1"/>
  <c r="E27"/>
  <c r="A27"/>
  <c r="P26"/>
  <c r="O26"/>
  <c r="K26"/>
  <c r="N26" s="1"/>
  <c r="E26"/>
  <c r="A26"/>
  <c r="O25"/>
  <c r="K25"/>
  <c r="P25" s="1"/>
  <c r="E25"/>
  <c r="A25"/>
  <c r="O24"/>
  <c r="K24"/>
  <c r="N24" s="1"/>
  <c r="E24"/>
  <c r="A24"/>
  <c r="O23"/>
  <c r="K23"/>
  <c r="P23" s="1"/>
  <c r="E23"/>
  <c r="A23"/>
  <c r="O22"/>
  <c r="K22"/>
  <c r="N22" s="1"/>
  <c r="E22"/>
  <c r="A22"/>
  <c r="O21"/>
  <c r="K21"/>
  <c r="P21" s="1"/>
  <c r="E21"/>
  <c r="A21"/>
  <c r="O20"/>
  <c r="K20"/>
  <c r="N20" s="1"/>
  <c r="E20"/>
  <c r="A20"/>
  <c r="P19"/>
  <c r="K19"/>
  <c r="O19" s="1"/>
  <c r="E19"/>
  <c r="A19"/>
  <c r="O18"/>
  <c r="K18"/>
  <c r="N18" s="1"/>
  <c r="E18"/>
  <c r="A18"/>
  <c r="O17"/>
  <c r="K17"/>
  <c r="P17" s="1"/>
  <c r="E17"/>
  <c r="A17"/>
  <c r="O16"/>
  <c r="K16"/>
  <c r="N16" s="1"/>
  <c r="E16"/>
  <c r="A16"/>
  <c r="O15"/>
  <c r="K15"/>
  <c r="P15" s="1"/>
  <c r="E15"/>
  <c r="A15"/>
  <c r="O14"/>
  <c r="K14"/>
  <c r="N14" s="1"/>
  <c r="E14"/>
  <c r="A14"/>
  <c r="O13"/>
  <c r="K13"/>
  <c r="P13" s="1"/>
  <c r="E13"/>
  <c r="A13"/>
  <c r="O12"/>
  <c r="K12"/>
  <c r="N12" s="1"/>
  <c r="E12"/>
  <c r="A12"/>
  <c r="P11"/>
  <c r="K11"/>
  <c r="O11" s="1"/>
  <c r="E11"/>
  <c r="A11"/>
  <c r="O10"/>
  <c r="K10"/>
  <c r="N10" s="1"/>
  <c r="E10"/>
  <c r="A10"/>
  <c r="P9"/>
  <c r="K9"/>
  <c r="O9" s="1"/>
  <c r="E9"/>
  <c r="A9"/>
  <c r="P8"/>
  <c r="O8"/>
  <c r="K8"/>
  <c r="N8" s="1"/>
  <c r="E8"/>
  <c r="A8"/>
  <c r="P7"/>
  <c r="K7"/>
  <c r="O7" s="1"/>
  <c r="E7"/>
  <c r="A7"/>
  <c r="F82" i="1"/>
  <c r="H81"/>
  <c r="H82" s="1"/>
  <c r="G84" s="1"/>
  <c r="H80"/>
  <c r="E58"/>
  <c r="J57"/>
  <c r="K57" s="1"/>
  <c r="E57"/>
  <c r="C57"/>
  <c r="J56"/>
  <c r="G56"/>
  <c r="F56" s="1"/>
  <c r="E56"/>
  <c r="B56"/>
  <c r="C56" s="1"/>
  <c r="K54"/>
  <c r="L51"/>
  <c r="M51" s="1"/>
  <c r="K51"/>
  <c r="G51"/>
  <c r="C51"/>
  <c r="A51"/>
  <c r="K50"/>
  <c r="G50"/>
  <c r="L50" s="1"/>
  <c r="M50" s="1"/>
  <c r="C50"/>
  <c r="A50"/>
  <c r="L49"/>
  <c r="M49" s="1"/>
  <c r="K49"/>
  <c r="G49"/>
  <c r="C49"/>
  <c r="A49"/>
  <c r="L48"/>
  <c r="M48" s="1"/>
  <c r="K48"/>
  <c r="F48"/>
  <c r="C48"/>
  <c r="A48"/>
  <c r="L47"/>
  <c r="M47" s="1"/>
  <c r="K47"/>
  <c r="F47"/>
  <c r="C47"/>
  <c r="A47"/>
  <c r="L46"/>
  <c r="M46" s="1"/>
  <c r="K46"/>
  <c r="F46"/>
  <c r="C46"/>
  <c r="A46"/>
  <c r="L45"/>
  <c r="M45" s="1"/>
  <c r="J45"/>
  <c r="F45"/>
  <c r="C45"/>
  <c r="A45"/>
  <c r="J44"/>
  <c r="G44"/>
  <c r="L44" s="1"/>
  <c r="M44" s="1"/>
  <c r="C44"/>
  <c r="A44"/>
  <c r="L43"/>
  <c r="M43" s="1"/>
  <c r="J43"/>
  <c r="G43"/>
  <c r="C43"/>
  <c r="A43"/>
  <c r="J42"/>
  <c r="G42"/>
  <c r="L42" s="1"/>
  <c r="M42" s="1"/>
  <c r="C42"/>
  <c r="A42"/>
  <c r="L41"/>
  <c r="M41" s="1"/>
  <c r="J41"/>
  <c r="G41"/>
  <c r="C41"/>
  <c r="A41"/>
  <c r="J40"/>
  <c r="G40"/>
  <c r="L40" s="1"/>
  <c r="M40" s="1"/>
  <c r="C40"/>
  <c r="A40"/>
  <c r="L39"/>
  <c r="M39" s="1"/>
  <c r="J39"/>
  <c r="G39"/>
  <c r="G54" s="1"/>
  <c r="C39"/>
  <c r="A39"/>
  <c r="L38"/>
  <c r="J38"/>
  <c r="F38"/>
  <c r="C38"/>
  <c r="A38"/>
  <c r="P34"/>
  <c r="Q34" s="1"/>
  <c r="O34"/>
  <c r="K34"/>
  <c r="G34"/>
  <c r="C34"/>
  <c r="A34"/>
  <c r="O33"/>
  <c r="K33"/>
  <c r="L33" s="1"/>
  <c r="M33" s="1"/>
  <c r="G33"/>
  <c r="P33" s="1"/>
  <c r="Q33" s="1"/>
  <c r="C33"/>
  <c r="A33"/>
  <c r="P32"/>
  <c r="Q32" s="1"/>
  <c r="O32"/>
  <c r="K32"/>
  <c r="G32"/>
  <c r="C32"/>
  <c r="A32"/>
  <c r="O31"/>
  <c r="K31"/>
  <c r="L31" s="1"/>
  <c r="M31" s="1"/>
  <c r="G31"/>
  <c r="P31" s="1"/>
  <c r="Q31" s="1"/>
  <c r="C31"/>
  <c r="A31"/>
  <c r="P30"/>
  <c r="Q30" s="1"/>
  <c r="O30"/>
  <c r="K30"/>
  <c r="G30"/>
  <c r="C30"/>
  <c r="A30"/>
  <c r="O29"/>
  <c r="K29"/>
  <c r="L29" s="1"/>
  <c r="M29" s="1"/>
  <c r="G29"/>
  <c r="P29" s="1"/>
  <c r="Q29" s="1"/>
  <c r="C29"/>
  <c r="A29"/>
  <c r="P28"/>
  <c r="Q28" s="1"/>
  <c r="O28"/>
  <c r="K28"/>
  <c r="G28"/>
  <c r="C28"/>
  <c r="A28"/>
  <c r="O27"/>
  <c r="K27"/>
  <c r="L27" s="1"/>
  <c r="M27" s="1"/>
  <c r="G27"/>
  <c r="P27" s="1"/>
  <c r="Q27" s="1"/>
  <c r="C27"/>
  <c r="A27"/>
  <c r="P26"/>
  <c r="Q26" s="1"/>
  <c r="O26"/>
  <c r="K26"/>
  <c r="G26"/>
  <c r="C26"/>
  <c r="A26"/>
  <c r="O25"/>
  <c r="K25"/>
  <c r="L25" s="1"/>
  <c r="M25" s="1"/>
  <c r="G25"/>
  <c r="P25" s="1"/>
  <c r="Q25" s="1"/>
  <c r="C25"/>
  <c r="A25"/>
  <c r="P24"/>
  <c r="Q24" s="1"/>
  <c r="O24"/>
  <c r="K24"/>
  <c r="G24"/>
  <c r="C24"/>
  <c r="A24"/>
  <c r="O23"/>
  <c r="K23"/>
  <c r="L23" s="1"/>
  <c r="M23" s="1"/>
  <c r="G23"/>
  <c r="P23" s="1"/>
  <c r="Q23" s="1"/>
  <c r="C23"/>
  <c r="A23"/>
  <c r="P22"/>
  <c r="Q22" s="1"/>
  <c r="O22"/>
  <c r="K22"/>
  <c r="G22"/>
  <c r="C22"/>
  <c r="A22"/>
  <c r="O21"/>
  <c r="K21"/>
  <c r="L21" s="1"/>
  <c r="M21" s="1"/>
  <c r="G21"/>
  <c r="P21" s="1"/>
  <c r="Q21" s="1"/>
  <c r="C21"/>
  <c r="A21"/>
  <c r="P20"/>
  <c r="Q20" s="1"/>
  <c r="O20"/>
  <c r="K20"/>
  <c r="G20"/>
  <c r="C20"/>
  <c r="A20"/>
  <c r="O19"/>
  <c r="K19"/>
  <c r="L19" s="1"/>
  <c r="M19" s="1"/>
  <c r="G19"/>
  <c r="P19" s="1"/>
  <c r="Q19" s="1"/>
  <c r="C19"/>
  <c r="A19"/>
  <c r="P18"/>
  <c r="Q18" s="1"/>
  <c r="O18"/>
  <c r="K18"/>
  <c r="F18"/>
  <c r="C18"/>
  <c r="A18"/>
  <c r="O17"/>
  <c r="K17"/>
  <c r="L17" s="1"/>
  <c r="M17" s="1"/>
  <c r="G17"/>
  <c r="P17" s="1"/>
  <c r="Q17" s="1"/>
  <c r="C17"/>
  <c r="A17"/>
  <c r="P16"/>
  <c r="Q16" s="1"/>
  <c r="O16"/>
  <c r="K16"/>
  <c r="G16"/>
  <c r="C16"/>
  <c r="A16"/>
  <c r="P15"/>
  <c r="Q15" s="1"/>
  <c r="O15"/>
  <c r="K15"/>
  <c r="L15" s="1"/>
  <c r="M15" s="1"/>
  <c r="F15"/>
  <c r="C15"/>
  <c r="A15"/>
  <c r="P14"/>
  <c r="Q14" s="1"/>
  <c r="O14"/>
  <c r="K14"/>
  <c r="G14"/>
  <c r="G58" s="1"/>
  <c r="F58" s="1"/>
  <c r="C14"/>
  <c r="A14"/>
  <c r="P13"/>
  <c r="Q13" s="1"/>
  <c r="O13"/>
  <c r="K13"/>
  <c r="L13" s="1"/>
  <c r="M13" s="1"/>
  <c r="F13"/>
  <c r="C13"/>
  <c r="A13"/>
  <c r="P12"/>
  <c r="Q12" s="1"/>
  <c r="O12"/>
  <c r="K12"/>
  <c r="F12"/>
  <c r="C12"/>
  <c r="A12"/>
  <c r="A57" s="1"/>
  <c r="P11"/>
  <c r="Q11" s="1"/>
  <c r="O11"/>
  <c r="K11"/>
  <c r="L11" s="1"/>
  <c r="M11" s="1"/>
  <c r="F11"/>
  <c r="C11"/>
  <c r="A11"/>
  <c r="A56" s="1"/>
  <c r="P10"/>
  <c r="Q10" s="1"/>
  <c r="O10"/>
  <c r="K10"/>
  <c r="F10"/>
  <c r="C10"/>
  <c r="A10"/>
  <c r="O9"/>
  <c r="K9"/>
  <c r="L9" s="1"/>
  <c r="M9" s="1"/>
  <c r="G9"/>
  <c r="C9"/>
  <c r="A9"/>
  <c r="P8"/>
  <c r="Q8" s="1"/>
  <c r="O8"/>
  <c r="K8"/>
  <c r="F8"/>
  <c r="C8"/>
  <c r="A8"/>
  <c r="P7"/>
  <c r="O7"/>
  <c r="K7"/>
  <c r="F7"/>
  <c r="C7"/>
  <c r="A7"/>
  <c r="K56" l="1"/>
  <c r="L56" s="1"/>
  <c r="M56" s="1"/>
  <c r="O53"/>
  <c r="K53"/>
  <c r="M75" i="5" s="1"/>
  <c r="N75" s="1"/>
  <c r="N80" s="1"/>
  <c r="G53" i="1"/>
  <c r="D75" i="5" s="1"/>
  <c r="D80" s="1"/>
  <c r="G6"/>
  <c r="G19"/>
  <c r="G12"/>
  <c r="G13"/>
  <c r="G14"/>
  <c r="G17"/>
  <c r="G15"/>
  <c r="L71"/>
  <c r="L73"/>
  <c r="L74" s="1"/>
  <c r="L54" i="1"/>
  <c r="M54" s="1"/>
  <c r="B3" i="2"/>
  <c r="U36" i="5"/>
  <c r="U37" s="1"/>
  <c r="W37"/>
  <c r="O67"/>
  <c r="J12"/>
  <c r="I13"/>
  <c r="J13" s="1"/>
  <c r="L8" i="1"/>
  <c r="M8" s="1"/>
  <c r="L10"/>
  <c r="M10" s="1"/>
  <c r="L12"/>
  <c r="M12" s="1"/>
  <c r="L14"/>
  <c r="M14" s="1"/>
  <c r="L16"/>
  <c r="M16" s="1"/>
  <c r="L18"/>
  <c r="M18" s="1"/>
  <c r="L20"/>
  <c r="M20" s="1"/>
  <c r="L22"/>
  <c r="M22" s="1"/>
  <c r="L24"/>
  <c r="M24" s="1"/>
  <c r="L26"/>
  <c r="M26" s="1"/>
  <c r="L28"/>
  <c r="M28" s="1"/>
  <c r="L30"/>
  <c r="M30" s="1"/>
  <c r="L32"/>
  <c r="M32" s="1"/>
  <c r="L34"/>
  <c r="M34" s="1"/>
  <c r="N7" i="2"/>
  <c r="N9"/>
  <c r="P10"/>
  <c r="N11"/>
  <c r="P12"/>
  <c r="N13"/>
  <c r="P14"/>
  <c r="N15"/>
  <c r="P16"/>
  <c r="N17"/>
  <c r="P18"/>
  <c r="N19"/>
  <c r="P20"/>
  <c r="N21"/>
  <c r="P22"/>
  <c r="N23"/>
  <c r="P24"/>
  <c r="N25"/>
  <c r="N27"/>
  <c r="N29"/>
  <c r="P30"/>
  <c r="N31"/>
  <c r="P32"/>
  <c r="N33"/>
  <c r="P34"/>
  <c r="N35"/>
  <c r="P36"/>
  <c r="F13" i="5"/>
  <c r="L13"/>
  <c r="G18"/>
  <c r="I42"/>
  <c r="N42"/>
  <c r="O42" s="1"/>
  <c r="K58" i="1"/>
  <c r="L7"/>
  <c r="Q7"/>
  <c r="M38"/>
  <c r="G57"/>
  <c r="F57" s="1"/>
  <c r="H4" i="5"/>
  <c r="F14"/>
  <c r="M14" s="1"/>
  <c r="N14" s="1"/>
  <c r="G16"/>
  <c r="J32"/>
  <c r="P9" i="1"/>
  <c r="Q9" s="1"/>
  <c r="I33" l="1"/>
  <c r="I30"/>
  <c r="I21"/>
  <c r="I34"/>
  <c r="I36"/>
  <c r="I29"/>
  <c r="I17"/>
  <c r="I13"/>
  <c r="I14"/>
  <c r="I25"/>
  <c r="I9"/>
  <c r="I16"/>
  <c r="I35"/>
  <c r="I20"/>
  <c r="I31"/>
  <c r="I27"/>
  <c r="I23"/>
  <c r="I19"/>
  <c r="I15"/>
  <c r="I11"/>
  <c r="I7"/>
  <c r="I8"/>
  <c r="I28"/>
  <c r="I18"/>
  <c r="I24"/>
  <c r="I10"/>
  <c r="I22"/>
  <c r="I26"/>
  <c r="I32"/>
  <c r="I12"/>
  <c r="J75" i="5"/>
  <c r="C80" s="1"/>
  <c r="M7" i="1"/>
  <c r="L53"/>
  <c r="M53" s="1"/>
  <c r="M13" i="5"/>
  <c r="L27"/>
  <c r="P67"/>
  <c r="I14"/>
  <c r="J14" s="1"/>
  <c r="L57" i="1"/>
  <c r="M57" s="1"/>
  <c r="I27" i="5"/>
  <c r="B2" i="2"/>
  <c r="P53" i="1"/>
  <c r="Q53" s="1"/>
  <c r="K32" i="5"/>
  <c r="J42"/>
  <c r="K42" s="1"/>
  <c r="J58" i="1"/>
  <c r="L58"/>
  <c r="M58" s="1"/>
  <c r="F27" i="5"/>
  <c r="O75" l="1"/>
  <c r="P75" s="1"/>
  <c r="J80"/>
  <c r="N13"/>
  <c r="M27"/>
  <c r="N27" s="1"/>
  <c r="J27"/>
  <c r="O80" l="1"/>
  <c r="P80" s="1"/>
</calcChain>
</file>

<file path=xl/sharedStrings.xml><?xml version="1.0" encoding="utf-8"?>
<sst xmlns="http://schemas.openxmlformats.org/spreadsheetml/2006/main" count="652" uniqueCount="282">
  <si>
    <t>COMPRA</t>
  </si>
  <si>
    <t>VENDA</t>
  </si>
  <si>
    <t>PROGRAMAÇÃO</t>
  </si>
  <si>
    <t>CNPJ</t>
  </si>
  <si>
    <t>Código</t>
  </si>
  <si>
    <t>Descrição</t>
  </si>
  <si>
    <t>Data</t>
  </si>
  <si>
    <t>Quantidade</t>
  </si>
  <si>
    <t>Preço</t>
  </si>
  <si>
    <t>Valor</t>
  </si>
  <si>
    <t>Representatividade</t>
  </si>
  <si>
    <t>Total</t>
  </si>
  <si>
    <t>Rentabilidade</t>
  </si>
  <si>
    <t>%</t>
  </si>
  <si>
    <t>Lucro</t>
  </si>
  <si>
    <t>PETR4</t>
  </si>
  <si>
    <t>CIEL3</t>
  </si>
  <si>
    <t>OIBR3</t>
  </si>
  <si>
    <t>XPLG11</t>
  </si>
  <si>
    <t>VISC11</t>
  </si>
  <si>
    <t>BBPO11</t>
  </si>
  <si>
    <t>EMBR3</t>
  </si>
  <si>
    <t>ABEV3</t>
  </si>
  <si>
    <t>VLID3</t>
  </si>
  <si>
    <t>ITUB4</t>
  </si>
  <si>
    <t>CMIG4</t>
  </si>
  <si>
    <t>SANB4</t>
  </si>
  <si>
    <t>EQTL3</t>
  </si>
  <si>
    <t>TRPL4</t>
  </si>
  <si>
    <t>NTCO3</t>
  </si>
  <si>
    <t>BRFS3</t>
  </si>
  <si>
    <t>VALE3</t>
  </si>
  <si>
    <t>CCRO3</t>
  </si>
  <si>
    <t>SANB3</t>
  </si>
  <si>
    <t>CSNA3</t>
  </si>
  <si>
    <t>CVCB3</t>
  </si>
  <si>
    <t>VVAR3</t>
  </si>
  <si>
    <t>QGEP3</t>
  </si>
  <si>
    <t>BBDC3</t>
  </si>
  <si>
    <t>ITSA4</t>
  </si>
  <si>
    <t>CMIG3</t>
  </si>
  <si>
    <t>ELET3</t>
  </si>
  <si>
    <t>HYPE3</t>
  </si>
  <si>
    <t>GOAU3</t>
  </si>
  <si>
    <t>ENAT3</t>
  </si>
  <si>
    <t>TOTAL</t>
  </si>
  <si>
    <t>RESUMO DAS VENDAS</t>
  </si>
  <si>
    <t>FII</t>
  </si>
  <si>
    <t>FUNDO IMOBILIARIO</t>
  </si>
  <si>
    <t>Dividendos</t>
  </si>
  <si>
    <t>VIVT3</t>
  </si>
  <si>
    <t>GUAR3</t>
  </si>
  <si>
    <t>ENB3</t>
  </si>
  <si>
    <t>GRND3</t>
  </si>
  <si>
    <t>JHSF3</t>
  </si>
  <si>
    <t>BTOW3</t>
  </si>
  <si>
    <t>BRAP4</t>
  </si>
  <si>
    <t>Total Compra</t>
  </si>
  <si>
    <t>Total Venda</t>
  </si>
  <si>
    <t>Nota</t>
  </si>
  <si>
    <t>Titulo</t>
  </si>
  <si>
    <t>Quant</t>
  </si>
  <si>
    <t>Taxa Liquidacao</t>
  </si>
  <si>
    <t>Emolumentos</t>
  </si>
  <si>
    <t>Corretagem</t>
  </si>
  <si>
    <t>Tipo</t>
  </si>
  <si>
    <t>Data Transação</t>
  </si>
  <si>
    <t>Preço Médio</t>
  </si>
  <si>
    <t>Venda</t>
  </si>
  <si>
    <t>Compra</t>
  </si>
  <si>
    <t>Provento</t>
  </si>
  <si>
    <t>Juros Sobre Capital Proprio</t>
  </si>
  <si>
    <t>Rendimentos</t>
  </si>
  <si>
    <t>ABVE3</t>
  </si>
  <si>
    <t>Cadastro de Titulos</t>
  </si>
  <si>
    <t>Pega CNPJ das Acões</t>
  </si>
  <si>
    <t>https://br.advfn.com/bolsa-de-valores/bovespa/cielo-CIEL3/empresa</t>
  </si>
  <si>
    <t>AMBEV SA ON</t>
  </si>
  <si>
    <t>07.526.557/0001-00</t>
  </si>
  <si>
    <t>BBAS3</t>
  </si>
  <si>
    <t>BANCO DO BRASIL SA ON</t>
  </si>
  <si>
    <t>00.000.000/0001-91</t>
  </si>
  <si>
    <t>http://bvmf.bmfbovespa.com.br/Fundos-Listados/FundosListadosDetalhe.aspx?Sigla=XPLG&amp;tipoFundo=Imobiliario&amp;aba=abaPrincipal&amp;idioma=pt-br</t>
  </si>
  <si>
    <t>BANCO BRADESCO SA ON</t>
  </si>
  <si>
    <t>60.746.948/0001-12</t>
  </si>
  <si>
    <t>http://bvmf.bmfbovespa.com.br/Fundos-Listados/FundosListadosDetalhe.aspx?Sigla=VISC&amp;tipoFundo=Imobiliario&amp;aba=abaPrincipal&amp;idioma=pt-br</t>
  </si>
  <si>
    <t>BBDC4</t>
  </si>
  <si>
    <t>BANCO BRADESCO SA PN</t>
  </si>
  <si>
    <t>BANCO DO BRASIL LOCACAO</t>
  </si>
  <si>
    <t>14.410.722/0001-29</t>
  </si>
  <si>
    <t>BPAN4</t>
  </si>
  <si>
    <t>BANCO PAN S.A.</t>
  </si>
  <si>
    <t>00.000.000/0000-00</t>
  </si>
  <si>
    <t>BRASIL FOODS ON</t>
  </si>
  <si>
    <t>01.838.723/0001-27</t>
  </si>
  <si>
    <t>Validador de CNPJ</t>
  </si>
  <si>
    <t>B2W - COMPANHIA GLOBAL DO VAREJO ON</t>
  </si>
  <si>
    <t>00.776.574/0001-56</t>
  </si>
  <si>
    <t>http://www.validadordecnpj.clevert.com.br/v-cnpj.php</t>
  </si>
  <si>
    <t>GRUPO CCR - RODOVIAS</t>
  </si>
  <si>
    <t>02.846.056/0001-97</t>
  </si>
  <si>
    <t>CIELO SA</t>
  </si>
  <si>
    <t>01.027.058/0001-91</t>
  </si>
  <si>
    <t>CIA DE ENERGIA DE MINAS GERAIS ON</t>
  </si>
  <si>
    <t>17.155.730/0001-64</t>
  </si>
  <si>
    <t>COMPANHIA SIDERURGICA NACIONAL</t>
  </si>
  <si>
    <t>33.042.730/0001-04</t>
  </si>
  <si>
    <t>CVC BRAISL AGENCIA TURISMO</t>
  </si>
  <si>
    <t>10.760.260/0001-19</t>
  </si>
  <si>
    <t>ELETROBRAS ON</t>
  </si>
  <si>
    <t>00.001.180/0001-26</t>
  </si>
  <si>
    <t>EMBRAER SA</t>
  </si>
  <si>
    <t>07.689.002/0001-89</t>
  </si>
  <si>
    <t>Katinane</t>
  </si>
  <si>
    <t>ENAUTA PARTICIPAÇÕES S.A. ON</t>
  </si>
  <si>
    <t>11.669.021/0001-10</t>
  </si>
  <si>
    <t>https://www.meusdividendos.com/687912</t>
  </si>
  <si>
    <t>EQUATORIAL ENERGIA</t>
  </si>
  <si>
    <t>03.220.438/0001-73</t>
  </si>
  <si>
    <t>METALURGICA GERDAU ON</t>
  </si>
  <si>
    <t>92.690.783/0001-09</t>
  </si>
  <si>
    <t>HGBS11</t>
  </si>
  <si>
    <t>CSHG BRASIL SHOPPING - FDO INV IMOB – FII</t>
  </si>
  <si>
    <t>08.431.747/0001-06</t>
  </si>
  <si>
    <t>HTMX11</t>
  </si>
  <si>
    <t>FDO INV IMOB - FII HOTEL MAXINVEST</t>
  </si>
  <si>
    <t>08.706.065/0001-69</t>
  </si>
  <si>
    <t>HYPERMARCAS S/A</t>
  </si>
  <si>
    <t>02.932.074/0001-91</t>
  </si>
  <si>
    <t>https://www.meusdividendos.com/fundo-imobiliario/HGBS</t>
  </si>
  <si>
    <t>ITAU INVESTIMENTOS SA PN</t>
  </si>
  <si>
    <t>61.532.644/0001-15</t>
  </si>
  <si>
    <t>https://www.fundsexplorer.com.br/funds/HTMX11</t>
  </si>
  <si>
    <t>ITUB3</t>
  </si>
  <si>
    <t>ITAU UNIBANCO ON</t>
  </si>
  <si>
    <t>60.872.504/0001-23</t>
  </si>
  <si>
    <t>ITAU UNIBANCO PN</t>
  </si>
  <si>
    <t>ITAÚ UNIBANCO HOLDING S.A.</t>
  </si>
  <si>
    <t>NOTC3</t>
  </si>
  <si>
    <t>NATURA COSMETICO - AVON</t>
  </si>
  <si>
    <t>32.785.497/0001-97</t>
  </si>
  <si>
    <t>OI SA EM RECUPERAÇÃO JUDICIAL</t>
  </si>
  <si>
    <t>76.535.764/0001-43</t>
  </si>
  <si>
    <t>Link para acoes</t>
  </si>
  <si>
    <t>PETRÓLEO BRASILEIRO S.A. PN</t>
  </si>
  <si>
    <t>33.000.167/0001-01</t>
  </si>
  <si>
    <t>http://bvmf.bmfbovespa.com.br/cotacoes2000/FormConsultaCotacoes.asp?strListaCodigos=</t>
  </si>
  <si>
    <t>QUEIROZ GALVAO PART ON</t>
  </si>
  <si>
    <t>Separador</t>
  </si>
  <si>
    <t>BANCO SANTANDER BRON ON</t>
  </si>
  <si>
    <t>90.400.888/0001-42</t>
  </si>
  <si>
    <t>%7C</t>
  </si>
  <si>
    <t>BANCO SANTANDER BRON PN</t>
  </si>
  <si>
    <t>TRANSMISSÃO PAULISTA CTEEP</t>
  </si>
  <si>
    <t>02.998.611/0001-04</t>
  </si>
  <si>
    <t>http://www.itaucorretora.com.br/Finder/Finder/?stock=ciel3&amp;type=stock</t>
  </si>
  <si>
    <t>VALE</t>
  </si>
  <si>
    <t>33.592.510/0001-54</t>
  </si>
  <si>
    <t>VINCI SHOPPING CENTER FII</t>
  </si>
  <si>
    <t>17.554.274/0001-25</t>
  </si>
  <si>
    <t>SOLUÇÕES E SERV. SEGUR.</t>
  </si>
  <si>
    <t>33.113.309/0001-47</t>
  </si>
  <si>
    <t>VIA VAREJO SA ON</t>
  </si>
  <si>
    <t>33.041.260/0652-90</t>
  </si>
  <si>
    <t>*</t>
  </si>
  <si>
    <t>XP LOG FDO INV IMOB – FII</t>
  </si>
  <si>
    <t>26.502.794/0001-85</t>
  </si>
  <si>
    <t>Atualização</t>
  </si>
  <si>
    <t>as</t>
  </si>
  <si>
    <t>ENBR3</t>
  </si>
  <si>
    <t>B3Sa3</t>
  </si>
  <si>
    <t>TAEE11</t>
  </si>
  <si>
    <t>Diretorio</t>
  </si>
  <si>
    <t>F:\Cotacao</t>
  </si>
  <si>
    <t>Arquivo</t>
  </si>
  <si>
    <t>CARTEIRA DE AÇÕES</t>
  </si>
  <si>
    <t>Cotação</t>
  </si>
  <si>
    <t>PETROBRAS PN</t>
  </si>
  <si>
    <t>CIELO AS</t>
  </si>
  <si>
    <t>OI SA em Recuperação Judicial</t>
  </si>
  <si>
    <t>Ambev SA ON</t>
  </si>
  <si>
    <t>Embraer SA</t>
  </si>
  <si>
    <t>Hypefarma</t>
  </si>
  <si>
    <t>Grupo CCR – Rodovias</t>
  </si>
  <si>
    <t>BRML3</t>
  </si>
  <si>
    <t>BR MALLS PARON</t>
  </si>
  <si>
    <t>MRFG3</t>
  </si>
  <si>
    <t>IDA</t>
  </si>
  <si>
    <t>VOLTA</t>
  </si>
  <si>
    <t>coletivo</t>
  </si>
  <si>
    <t>onibus</t>
  </si>
  <si>
    <t>van</t>
  </si>
  <si>
    <t>SEMANA</t>
  </si>
  <si>
    <t>DIA</t>
  </si>
  <si>
    <t>MES</t>
  </si>
  <si>
    <t>FUNDO IMOBILIÁRIO</t>
  </si>
  <si>
    <t>Segmento</t>
  </si>
  <si>
    <t>Data Fundo</t>
  </si>
  <si>
    <t>Data Fim</t>
  </si>
  <si>
    <t>VPA</t>
  </si>
  <si>
    <t>Taxa Adm</t>
  </si>
  <si>
    <t>Cotas</t>
  </si>
  <si>
    <t>Vacancia</t>
  </si>
  <si>
    <t>Ativos</t>
  </si>
  <si>
    <t>HGJH11</t>
  </si>
  <si>
    <t>CSHG JHSF PRIME OFFICES FDO INV IMOB – FII</t>
  </si>
  <si>
    <t>Lajes Corporativas</t>
  </si>
  <si>
    <t>Indeterminada</t>
  </si>
  <si>
    <t>2 predio em SP</t>
  </si>
  <si>
    <t>Hotel</t>
  </si>
  <si>
    <t>24 ativos em SP%</t>
  </si>
  <si>
    <t>RBRD11</t>
  </si>
  <si>
    <t>RB CAPITAL RENDA II FDO INV IMOB – FII</t>
  </si>
  <si>
    <t>Hibrido</t>
  </si>
  <si>
    <t>4 ativos, MG, RJ, RN</t>
  </si>
  <si>
    <t>FEXC11</t>
  </si>
  <si>
    <t>FDO INV IMOB - FII BTG PACTUAL FUNDO DE CRI</t>
  </si>
  <si>
    <t>Titulos</t>
  </si>
  <si>
    <t>MBRF11</t>
  </si>
  <si>
    <t>FDO INV IMOB MERCANTIL DO BRASIL – FII</t>
  </si>
  <si>
    <t>Outros</t>
  </si>
  <si>
    <t>2 Ativos MG RJ</t>
  </si>
  <si>
    <t>HGCR11</t>
  </si>
  <si>
    <t>CSHG RECEBÍVEIS IMOBILIÁRIOS FDO INV IMOB – FII</t>
  </si>
  <si>
    <t>FIIB11</t>
  </si>
  <si>
    <t>FDO INV IMOB INDUSTRIAL DO BRASIL</t>
  </si>
  <si>
    <t>-</t>
  </si>
  <si>
    <t>1 Ativo em SC</t>
  </si>
  <si>
    <t>VINCI SHOPPING CENTERS FDO INVEST IMOB – FII</t>
  </si>
  <si>
    <t>Shopping</t>
  </si>
  <si>
    <t>9 Ativos BA, CE, PA, PE, PR, RI, SP</t>
  </si>
  <si>
    <t>Logistica</t>
  </si>
  <si>
    <t>5 Ativos RS, SP</t>
  </si>
  <si>
    <t>XPML11</t>
  </si>
  <si>
    <t xml:space="preserve">XP MALLS FDO INV IMOB FII </t>
  </si>
  <si>
    <t>7 Ativos AM. BA, PA, RJ, SP</t>
  </si>
  <si>
    <t>FVBI11</t>
  </si>
  <si>
    <t>FDO INV IMOB VBI FL 4440 – FII</t>
  </si>
  <si>
    <t>1 Ativo SP</t>
  </si>
  <si>
    <t>Pago R$</t>
  </si>
  <si>
    <t>Tarifa</t>
  </si>
  <si>
    <t>Taxa</t>
  </si>
  <si>
    <t>Resgate</t>
  </si>
  <si>
    <t>INVESTIMENTO MATERIAL DA CAIXA</t>
  </si>
  <si>
    <t xml:space="preserve">Quitação </t>
  </si>
  <si>
    <t>APTO</t>
  </si>
  <si>
    <t>Tesouro</t>
  </si>
  <si>
    <t>Prefixado 2021</t>
  </si>
  <si>
    <t>Prefixado 2025</t>
  </si>
  <si>
    <t>https://tesourodireto.bmfbovespa.com.br/PortalInvestidor/login.aspx?QS=aD355CXhRV6vA5vBWwgW4lpPlJuzTA0wNGNbNI6JoG3fgJlp1nQFfZGInyuirTp8vJISuS0ehW0wo2oLBEs0dDTcaFcCzYhM%2fkCxYCCjZe4eeAUYBy%2fFscDay0Ykh4iK</t>
  </si>
  <si>
    <t>IPCA+2024</t>
  </si>
  <si>
    <t>ITAU</t>
  </si>
  <si>
    <t>Previdencia Privada PGBL</t>
  </si>
  <si>
    <t>Previdencia Privada PGBL - Kinea</t>
  </si>
  <si>
    <t>Previdencia Privada  - Coruripe</t>
  </si>
  <si>
    <t>POUPANÇA</t>
  </si>
  <si>
    <t>EASYInvest</t>
  </si>
  <si>
    <t>Alaska Black FIC FIA II</t>
  </si>
  <si>
    <t>Compra Ações</t>
  </si>
  <si>
    <t>+</t>
  </si>
  <si>
    <t>Venda Acoes</t>
  </si>
  <si>
    <t>Cartão mês 10/2018</t>
  </si>
  <si>
    <t>Saque (17/09)</t>
  </si>
  <si>
    <t>Compra de Dolar</t>
  </si>
  <si>
    <t>SALDO</t>
  </si>
  <si>
    <t>IMOVEIS</t>
  </si>
  <si>
    <t>Inscrição</t>
  </si>
  <si>
    <t>Valorização</t>
  </si>
  <si>
    <t>Casa</t>
  </si>
  <si>
    <t>Firmino de Vasconcelos</t>
  </si>
  <si>
    <t>Apto</t>
  </si>
  <si>
    <t>De. Jose Lages, ITAPUA</t>
  </si>
  <si>
    <t>Terreno</t>
  </si>
  <si>
    <t>Barra de Santo Antonio</t>
  </si>
  <si>
    <t>Marechal Deodoro</t>
  </si>
  <si>
    <t>xpml11</t>
  </si>
  <si>
    <t>QUINTA</t>
  </si>
  <si>
    <t>SEXTA</t>
  </si>
  <si>
    <t>NORMAL</t>
  </si>
  <si>
    <t>% QUEDA</t>
  </si>
  <si>
    <t>% OSCILACAO</t>
  </si>
  <si>
    <t>%GANHO RAPIDO</t>
  </si>
</sst>
</file>

<file path=xl/styles.xml><?xml version="1.0" encoding="utf-8"?>
<styleSheet xmlns="http://schemas.openxmlformats.org/spreadsheetml/2006/main">
  <numFmts count="10">
    <numFmt numFmtId="164" formatCode="[$-416]d/m/yyyy"/>
    <numFmt numFmtId="165" formatCode="#,##0.0000"/>
    <numFmt numFmtId="166" formatCode="0.0000"/>
    <numFmt numFmtId="167" formatCode="_-* #,##0.00_-;\-* #,##0.00_-;_-* \-??_-;_-@_-"/>
    <numFmt numFmtId="168" formatCode="dd/mm/yy"/>
    <numFmt numFmtId="169" formatCode="#,##0.00000"/>
    <numFmt numFmtId="170" formatCode="dddd/mmm"/>
    <numFmt numFmtId="171" formatCode="[$-416]hh:mm"/>
    <numFmt numFmtId="172" formatCode="#,##0.000"/>
    <numFmt numFmtId="173" formatCode="_-* #,##0_-;\-* #,##0_-;_-* \-??_-;_-@_-"/>
  </numFmts>
  <fonts count="30">
    <font>
      <sz val="10"/>
      <name val="Arial"/>
      <family val="2"/>
      <charset val="1"/>
    </font>
    <font>
      <sz val="10"/>
      <color rgb="FFFFFFFF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/>
      <sz val="10"/>
      <color rgb="FFFFFFFF"/>
      <name val="Arial"/>
      <family val="2"/>
      <charset val="1"/>
    </font>
    <font>
      <i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24"/>
      <color rgb="FF000000"/>
      <name val="Arial"/>
      <family val="2"/>
      <charset val="1"/>
    </font>
    <font>
      <u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b/>
      <i/>
      <sz val="8"/>
      <name val="Arial"/>
      <family val="2"/>
      <charset val="1"/>
    </font>
    <font>
      <sz val="10"/>
      <name val="Arial"/>
      <charset val="1"/>
    </font>
    <font>
      <b/>
      <sz val="10"/>
      <name val="Arial"/>
      <family val="2"/>
      <charset val="1"/>
    </font>
    <font>
      <b/>
      <sz val="10"/>
      <color rgb="FF127622"/>
      <name val="Arial"/>
      <family val="2"/>
      <charset val="1"/>
    </font>
    <font>
      <b/>
      <i/>
      <sz val="10"/>
      <color rgb="FF0000FF"/>
      <name val="Arial"/>
      <family val="2"/>
      <charset val="1"/>
    </font>
    <font>
      <u/>
      <sz val="9"/>
      <color rgb="FF0000FF"/>
      <name val="Arial"/>
      <family val="2"/>
      <charset val="1"/>
    </font>
    <font>
      <b/>
      <i/>
      <sz val="10"/>
      <name val="Arial"/>
      <family val="2"/>
      <charset val="1"/>
    </font>
    <font>
      <sz val="11"/>
      <color rgb="FF333333"/>
      <name val="Arial"/>
      <family val="2"/>
      <charset val="1"/>
    </font>
    <font>
      <sz val="10"/>
      <color rgb="FF0000FF"/>
      <name val="Arial"/>
      <family val="2"/>
      <charset val="1"/>
    </font>
    <font>
      <sz val="9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i/>
      <sz val="10"/>
      <color rgb="FF0000FF"/>
      <name val="Arial"/>
      <family val="2"/>
      <charset val="1"/>
    </font>
    <font>
      <sz val="10"/>
      <color rgb="FF00A853"/>
      <name val="Arial"/>
      <family val="2"/>
      <charset val="1"/>
    </font>
    <font>
      <b/>
      <sz val="10"/>
      <color rgb="FF00A853"/>
      <name val="Arial"/>
      <family val="2"/>
      <charset val="1"/>
    </font>
    <font>
      <b/>
      <sz val="10"/>
      <color rgb="FF0000FF"/>
      <name val="Arial"/>
      <family val="2"/>
      <charset val="1"/>
    </font>
    <font>
      <sz val="10"/>
      <name val="Arial"/>
      <family val="2"/>
    </font>
    <font>
      <sz val="1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EEEEE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D7"/>
      </patternFill>
    </fill>
    <fill>
      <patternFill patternType="solid">
        <fgColor rgb="FFEEEEEE"/>
        <bgColor rgb="FFFFFFFF"/>
      </patternFill>
    </fill>
    <fill>
      <patternFill patternType="solid">
        <fgColor rgb="FFFFFFD7"/>
        <bgColor rgb="FFFFFFCC"/>
      </patternFill>
    </fill>
  </fills>
  <borders count="6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hair">
        <color auto="1"/>
      </right>
      <top/>
      <bottom/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</borders>
  <cellStyleXfs count="37">
    <xf numFmtId="0" fontId="0" fillId="0" borderId="0"/>
    <xf numFmtId="167" fontId="14" fillId="0" borderId="0" applyBorder="0" applyProtection="0"/>
    <xf numFmtId="9" fontId="14" fillId="0" borderId="0" applyBorder="0" applyProtection="0"/>
    <xf numFmtId="0" fontId="18" fillId="0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4" borderId="0" applyBorder="0" applyProtection="0"/>
    <xf numFmtId="0" fontId="2" fillId="0" borderId="0" applyBorder="0" applyProtection="0"/>
    <xf numFmtId="0" fontId="2" fillId="0" borderId="0" applyBorder="0" applyProtection="0"/>
    <xf numFmtId="0" fontId="3" fillId="5" borderId="0" applyBorder="0" applyProtection="0"/>
    <xf numFmtId="0" fontId="3" fillId="5" borderId="0" applyBorder="0" applyProtection="0"/>
    <xf numFmtId="0" fontId="4" fillId="6" borderId="0" applyBorder="0" applyProtection="0"/>
    <xf numFmtId="0" fontId="4" fillId="6" borderId="0" applyBorder="0" applyProtection="0"/>
    <xf numFmtId="0" fontId="5" fillId="0" borderId="0" applyBorder="0" applyProtection="0"/>
    <xf numFmtId="0" fontId="5" fillId="0" borderId="0" applyBorder="0" applyProtection="0"/>
    <xf numFmtId="0" fontId="6" fillId="7" borderId="0" applyBorder="0" applyProtection="0"/>
    <xf numFmtId="0" fontId="6" fillId="7" borderId="0" applyBorder="0" applyProtection="0"/>
    <xf numFmtId="0" fontId="7" fillId="0" borderId="0" applyBorder="0" applyProtection="0"/>
    <xf numFmtId="0" fontId="7" fillId="0" borderId="0" applyBorder="0" applyProtection="0"/>
    <xf numFmtId="0" fontId="8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8" borderId="0" applyBorder="0" applyProtection="0"/>
    <xf numFmtId="0" fontId="11" fillId="8" borderId="0" applyBorder="0" applyProtection="0"/>
    <xf numFmtId="0" fontId="12" fillId="8" borderId="1" applyProtection="0"/>
    <xf numFmtId="0" fontId="12" fillId="8" borderId="1" applyProtection="0"/>
    <xf numFmtId="0" fontId="29" fillId="0" borderId="0" applyBorder="0" applyProtection="0"/>
    <xf numFmtId="0" fontId="29" fillId="0" borderId="0" applyBorder="0" applyProtection="0"/>
    <xf numFmtId="0" fontId="29" fillId="0" borderId="0" applyBorder="0" applyProtection="0"/>
    <xf numFmtId="0" fontId="29" fillId="0" borderId="0" applyBorder="0" applyProtection="0"/>
    <xf numFmtId="0" fontId="3" fillId="0" borderId="0" applyBorder="0" applyProtection="0"/>
    <xf numFmtId="0" fontId="3" fillId="0" borderId="0" applyBorder="0" applyProtection="0"/>
  </cellStyleXfs>
  <cellXfs count="105">
    <xf numFmtId="0" fontId="0" fillId="0" borderId="0" xfId="0"/>
    <xf numFmtId="0" fontId="27" fillId="0" borderId="0" xfId="0" applyFont="1" applyBorder="1" applyAlignment="1">
      <alignment horizontal="left" vertical="center" indent="1"/>
    </xf>
    <xf numFmtId="0" fontId="17" fillId="9" borderId="0" xfId="0" applyFont="1" applyFill="1" applyBorder="1" applyAlignment="1">
      <alignment horizontal="center" vertical="center"/>
    </xf>
    <xf numFmtId="0" fontId="17" fillId="9" borderId="5" xfId="0" applyFont="1" applyFill="1" applyBorder="1" applyAlignment="1">
      <alignment horizontal="center" vertical="center"/>
    </xf>
    <xf numFmtId="0" fontId="13" fillId="9" borderId="0" xfId="0" applyFont="1" applyFill="1" applyBorder="1" applyAlignment="1">
      <alignment horizontal="center" vertical="center"/>
    </xf>
    <xf numFmtId="0" fontId="13" fillId="9" borderId="2" xfId="0" applyFont="1" applyFill="1" applyBorder="1" applyAlignment="1">
      <alignment horizontal="center" vertical="center"/>
    </xf>
    <xf numFmtId="0" fontId="13" fillId="9" borderId="0" xfId="0" applyFont="1" applyFill="1"/>
    <xf numFmtId="0" fontId="13" fillId="9" borderId="3" xfId="0" applyFont="1" applyFill="1" applyBorder="1"/>
    <xf numFmtId="0" fontId="13" fillId="9" borderId="4" xfId="0" applyFont="1" applyFill="1" applyBorder="1"/>
    <xf numFmtId="0" fontId="13" fillId="9" borderId="4" xfId="0" applyFont="1" applyFill="1" applyBorder="1" applyAlignment="1">
      <alignment horizontal="center"/>
    </xf>
    <xf numFmtId="0" fontId="13" fillId="9" borderId="3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/>
    <xf numFmtId="164" fontId="0" fillId="0" borderId="0" xfId="0" applyNumberFormat="1" applyFont="1"/>
    <xf numFmtId="165" fontId="0" fillId="0" borderId="0" xfId="0" applyNumberFormat="1" applyFont="1"/>
    <xf numFmtId="4" fontId="0" fillId="0" borderId="0" xfId="0" applyNumberFormat="1" applyFont="1"/>
    <xf numFmtId="10" fontId="14" fillId="0" borderId="0" xfId="2" applyNumberFormat="1" applyBorder="1" applyAlignment="1" applyProtection="1"/>
    <xf numFmtId="4" fontId="0" fillId="0" borderId="0" xfId="0" applyNumberFormat="1"/>
    <xf numFmtId="10" fontId="0" fillId="0" borderId="0" xfId="0" applyNumberFormat="1"/>
    <xf numFmtId="0" fontId="15" fillId="0" borderId="0" xfId="0" applyFont="1"/>
    <xf numFmtId="0" fontId="15" fillId="0" borderId="0" xfId="0" applyFont="1"/>
    <xf numFmtId="164" fontId="0" fillId="0" borderId="0" xfId="0" applyNumberFormat="1"/>
    <xf numFmtId="0" fontId="16" fillId="0" borderId="0" xfId="0" applyFont="1"/>
    <xf numFmtId="164" fontId="16" fillId="0" borderId="0" xfId="0" applyNumberFormat="1" applyFont="1"/>
    <xf numFmtId="166" fontId="16" fillId="0" borderId="0" xfId="0" applyNumberFormat="1" applyFont="1"/>
    <xf numFmtId="4" fontId="16" fillId="0" borderId="0" xfId="0" applyNumberFormat="1" applyFont="1"/>
    <xf numFmtId="10" fontId="16" fillId="0" borderId="0" xfId="0" applyNumberFormat="1" applyFont="1"/>
    <xf numFmtId="2" fontId="16" fillId="0" borderId="0" xfId="0" applyNumberFormat="1" applyFont="1"/>
    <xf numFmtId="0" fontId="17" fillId="9" borderId="5" xfId="0" applyFont="1" applyFill="1" applyBorder="1"/>
    <xf numFmtId="4" fontId="17" fillId="9" borderId="5" xfId="0" applyNumberFormat="1" applyFont="1" applyFill="1" applyBorder="1"/>
    <xf numFmtId="10" fontId="17" fillId="9" borderId="5" xfId="0" applyNumberFormat="1" applyFont="1" applyFill="1" applyBorder="1"/>
    <xf numFmtId="4" fontId="17" fillId="0" borderId="0" xfId="0" applyNumberFormat="1" applyFont="1"/>
    <xf numFmtId="10" fontId="17" fillId="0" borderId="0" xfId="0" applyNumberFormat="1" applyFont="1"/>
    <xf numFmtId="165" fontId="0" fillId="0" borderId="0" xfId="0" applyNumberFormat="1"/>
    <xf numFmtId="167" fontId="0" fillId="0" borderId="0" xfId="1" applyFont="1" applyBorder="1" applyAlignment="1" applyProtection="1"/>
    <xf numFmtId="168" fontId="0" fillId="0" borderId="0" xfId="0" applyNumberFormat="1"/>
    <xf numFmtId="2" fontId="0" fillId="0" borderId="0" xfId="0" applyNumberFormat="1"/>
    <xf numFmtId="10" fontId="0" fillId="0" borderId="0" xfId="2" applyNumberFormat="1" applyFont="1" applyBorder="1" applyAlignment="1" applyProtection="1"/>
    <xf numFmtId="0" fontId="15" fillId="10" borderId="3" xfId="0" applyFont="1" applyFill="1" applyBorder="1"/>
    <xf numFmtId="4" fontId="15" fillId="10" borderId="3" xfId="0" applyNumberFormat="1" applyFont="1" applyFill="1" applyBorder="1"/>
    <xf numFmtId="0" fontId="0" fillId="0" borderId="0" xfId="0" applyFont="1" applyAlignment="1">
      <alignment wrapText="1"/>
    </xf>
    <xf numFmtId="3" fontId="0" fillId="0" borderId="0" xfId="0" applyNumberFormat="1"/>
    <xf numFmtId="169" fontId="0" fillId="0" borderId="0" xfId="0" applyNumberFormat="1"/>
    <xf numFmtId="0" fontId="15" fillId="10" borderId="5" xfId="0" applyFont="1" applyFill="1" applyBorder="1"/>
    <xf numFmtId="3" fontId="15" fillId="10" borderId="5" xfId="0" applyNumberFormat="1" applyFont="1" applyFill="1" applyBorder="1"/>
    <xf numFmtId="164" fontId="15" fillId="10" borderId="5" xfId="0" applyNumberFormat="1" applyFont="1" applyFill="1" applyBorder="1"/>
    <xf numFmtId="4" fontId="15" fillId="10" borderId="5" xfId="0" applyNumberFormat="1" applyFont="1" applyFill="1" applyBorder="1"/>
    <xf numFmtId="165" fontId="15" fillId="10" borderId="5" xfId="0" applyNumberFormat="1" applyFont="1" applyFill="1" applyBorder="1"/>
    <xf numFmtId="0" fontId="15" fillId="10" borderId="0" xfId="0" applyFont="1" applyFill="1"/>
    <xf numFmtId="3" fontId="15" fillId="10" borderId="0" xfId="0" applyNumberFormat="1" applyFont="1" applyFill="1"/>
    <xf numFmtId="164" fontId="15" fillId="10" borderId="0" xfId="0" applyNumberFormat="1" applyFont="1" applyFill="1"/>
    <xf numFmtId="4" fontId="15" fillId="10" borderId="0" xfId="0" applyNumberFormat="1" applyFont="1" applyFill="1"/>
    <xf numFmtId="165" fontId="15" fillId="10" borderId="0" xfId="0" applyNumberFormat="1" applyFont="1" applyFill="1"/>
    <xf numFmtId="0" fontId="15" fillId="10" borderId="3" xfId="0" applyFont="1" applyFill="1" applyBorder="1"/>
    <xf numFmtId="3" fontId="15" fillId="10" borderId="3" xfId="0" applyNumberFormat="1" applyFont="1" applyFill="1" applyBorder="1"/>
    <xf numFmtId="164" fontId="15" fillId="10" borderId="3" xfId="0" applyNumberFormat="1" applyFont="1" applyFill="1" applyBorder="1"/>
    <xf numFmtId="165" fontId="15" fillId="10" borderId="3" xfId="0" applyNumberFormat="1" applyFont="1" applyFill="1" applyBorder="1"/>
    <xf numFmtId="170" fontId="0" fillId="0" borderId="0" xfId="0" applyNumberFormat="1" applyFont="1"/>
    <xf numFmtId="0" fontId="18" fillId="0" borderId="0" xfId="3" applyFont="1" applyBorder="1" applyAlignment="1" applyProtection="1"/>
    <xf numFmtId="0" fontId="19" fillId="9" borderId="0" xfId="0" applyFont="1" applyFill="1"/>
    <xf numFmtId="0" fontId="0" fillId="0" borderId="0" xfId="0"/>
    <xf numFmtId="0" fontId="20" fillId="0" borderId="0" xfId="0" applyFont="1"/>
    <xf numFmtId="0" fontId="21" fillId="0" borderId="0" xfId="0" applyFont="1"/>
    <xf numFmtId="0" fontId="0" fillId="0" borderId="0" xfId="0" applyFont="1" applyAlignment="1">
      <alignment horizontal="center"/>
    </xf>
    <xf numFmtId="171" fontId="0" fillId="0" borderId="0" xfId="0" applyNumberFormat="1"/>
    <xf numFmtId="168" fontId="0" fillId="0" borderId="0" xfId="0" applyNumberFormat="1" applyFont="1"/>
    <xf numFmtId="10" fontId="0" fillId="0" borderId="0" xfId="0" applyNumberFormat="1" applyFont="1"/>
    <xf numFmtId="0" fontId="22" fillId="0" borderId="0" xfId="0" applyFont="1" applyBorder="1" applyAlignment="1">
      <alignment horizontal="left" vertical="center"/>
    </xf>
    <xf numFmtId="172" fontId="0" fillId="0" borderId="0" xfId="0" applyNumberFormat="1"/>
    <xf numFmtId="0" fontId="23" fillId="0" borderId="0" xfId="0" applyFont="1" applyBorder="1" applyAlignment="1">
      <alignment horizontal="left" vertical="center" wrapText="1"/>
    </xf>
    <xf numFmtId="10" fontId="24" fillId="9" borderId="5" xfId="0" applyNumberFormat="1" applyFont="1" applyFill="1" applyBorder="1"/>
    <xf numFmtId="0" fontId="25" fillId="0" borderId="0" xfId="0" applyFont="1"/>
    <xf numFmtId="164" fontId="25" fillId="0" borderId="0" xfId="0" applyNumberFormat="1" applyFont="1"/>
    <xf numFmtId="4" fontId="25" fillId="0" borderId="0" xfId="0" applyNumberFormat="1" applyFont="1"/>
    <xf numFmtId="168" fontId="25" fillId="0" borderId="0" xfId="0" applyNumberFormat="1" applyFont="1"/>
    <xf numFmtId="10" fontId="25" fillId="0" borderId="0" xfId="0" applyNumberFormat="1" applyFont="1"/>
    <xf numFmtId="4" fontId="26" fillId="0" borderId="0" xfId="0" applyNumberFormat="1" applyFont="1"/>
    <xf numFmtId="10" fontId="26" fillId="0" borderId="0" xfId="0" applyNumberFormat="1" applyFont="1"/>
    <xf numFmtId="0" fontId="21" fillId="0" borderId="0" xfId="0" applyFont="1" applyBorder="1" applyAlignment="1">
      <alignment horizontal="center" vertical="center"/>
    </xf>
    <xf numFmtId="0" fontId="21" fillId="0" borderId="0" xfId="0" applyFont="1" applyBorder="1"/>
    <xf numFmtId="4" fontId="21" fillId="0" borderId="0" xfId="0" applyNumberFormat="1" applyFont="1" applyBorder="1"/>
    <xf numFmtId="10" fontId="21" fillId="0" borderId="0" xfId="0" applyNumberFormat="1" applyFont="1" applyBorder="1"/>
    <xf numFmtId="0" fontId="22" fillId="0" borderId="0" xfId="0" applyFont="1" applyBorder="1" applyAlignment="1">
      <alignment horizontal="center" vertical="center"/>
    </xf>
    <xf numFmtId="168" fontId="22" fillId="0" borderId="0" xfId="0" applyNumberFormat="1" applyFont="1" applyBorder="1"/>
    <xf numFmtId="0" fontId="22" fillId="0" borderId="0" xfId="0" applyFont="1" applyBorder="1"/>
    <xf numFmtId="4" fontId="22" fillId="0" borderId="0" xfId="0" applyNumberFormat="1" applyFont="1" applyBorder="1"/>
    <xf numFmtId="0" fontId="22" fillId="0" borderId="0" xfId="0" applyFont="1"/>
    <xf numFmtId="165" fontId="22" fillId="0" borderId="0" xfId="0" applyNumberFormat="1" applyFont="1" applyBorder="1"/>
    <xf numFmtId="3" fontId="22" fillId="0" borderId="0" xfId="0" applyNumberFormat="1" applyFont="1" applyBorder="1"/>
    <xf numFmtId="10" fontId="22" fillId="0" borderId="0" xfId="0" applyNumberFormat="1" applyFont="1" applyBorder="1"/>
    <xf numFmtId="0" fontId="22" fillId="0" borderId="0" xfId="0" applyFont="1" applyAlignment="1">
      <alignment horizontal="center"/>
    </xf>
    <xf numFmtId="0" fontId="23" fillId="0" borderId="0" xfId="0" applyFont="1" applyAlignment="1">
      <alignment wrapText="1"/>
    </xf>
    <xf numFmtId="0" fontId="22" fillId="0" borderId="0" xfId="0" applyFont="1" applyBorder="1" applyAlignment="1">
      <alignment horizontal="center"/>
    </xf>
    <xf numFmtId="0" fontId="21" fillId="0" borderId="0" xfId="0" applyFont="1" applyBorder="1" applyAlignment="1">
      <alignment horizontal="left" vertical="center"/>
    </xf>
    <xf numFmtId="0" fontId="21" fillId="0" borderId="5" xfId="0" applyFont="1" applyBorder="1" applyAlignment="1">
      <alignment horizontal="center" vertical="center"/>
    </xf>
    <xf numFmtId="0" fontId="21" fillId="0" borderId="5" xfId="0" applyFont="1" applyBorder="1"/>
    <xf numFmtId="4" fontId="21" fillId="0" borderId="5" xfId="0" applyNumberFormat="1" applyFont="1" applyBorder="1"/>
    <xf numFmtId="10" fontId="21" fillId="0" borderId="5" xfId="0" applyNumberFormat="1" applyFont="1" applyBorder="1"/>
    <xf numFmtId="164" fontId="15" fillId="0" borderId="0" xfId="0" applyNumberFormat="1" applyFont="1"/>
    <xf numFmtId="0" fontId="18" fillId="0" borderId="0" xfId="3" applyFont="1" applyBorder="1" applyAlignment="1" applyProtection="1">
      <alignment wrapText="1"/>
    </xf>
    <xf numFmtId="4" fontId="24" fillId="9" borderId="5" xfId="0" applyNumberFormat="1" applyFont="1" applyFill="1" applyBorder="1"/>
    <xf numFmtId="9" fontId="0" fillId="0" borderId="0" xfId="2" applyFont="1" applyBorder="1" applyAlignment="1" applyProtection="1"/>
    <xf numFmtId="173" fontId="0" fillId="0" borderId="0" xfId="1" applyNumberFormat="1" applyFont="1" applyBorder="1" applyAlignment="1" applyProtection="1"/>
    <xf numFmtId="173" fontId="0" fillId="0" borderId="0" xfId="0" applyNumberFormat="1"/>
    <xf numFmtId="0" fontId="28" fillId="0" borderId="0" xfId="0" applyFont="1"/>
  </cellXfs>
  <cellStyles count="37">
    <cellStyle name="Accent 1 1" xfId="4"/>
    <cellStyle name="Accent 1 2" xfId="5"/>
    <cellStyle name="Accent 2 1" xfId="6"/>
    <cellStyle name="Accent 2 2" xfId="7"/>
    <cellStyle name="Accent 3 1" xfId="8"/>
    <cellStyle name="Accent 3 2" xfId="9"/>
    <cellStyle name="Accent 4" xfId="10"/>
    <cellStyle name="Accent 5" xfId="11"/>
    <cellStyle name="Bad 1" xfId="12"/>
    <cellStyle name="Bad 2" xfId="13"/>
    <cellStyle name="Error 1" xfId="14"/>
    <cellStyle name="Error 2" xfId="15"/>
    <cellStyle name="Footnote 1" xfId="16"/>
    <cellStyle name="Footnote 2" xfId="17"/>
    <cellStyle name="Good 1" xfId="18"/>
    <cellStyle name="Good 2" xfId="19"/>
    <cellStyle name="Heading 1 1" xfId="20"/>
    <cellStyle name="Heading 1 2" xfId="21"/>
    <cellStyle name="Heading 2 1" xfId="22"/>
    <cellStyle name="Heading 2 2" xfId="23"/>
    <cellStyle name="Heading 3" xfId="24"/>
    <cellStyle name="Heading 4" xfId="25"/>
    <cellStyle name="Hyperlink" xfId="3" builtinId="8"/>
    <cellStyle name="Hyperlink 1" xfId="26"/>
    <cellStyle name="Neutral 1" xfId="27"/>
    <cellStyle name="Neutral 2" xfId="28"/>
    <cellStyle name="Normal" xfId="0" builtinId="0"/>
    <cellStyle name="Note 1" xfId="29"/>
    <cellStyle name="Note 2" xfId="30"/>
    <cellStyle name="Porcentagem" xfId="2" builtinId="5"/>
    <cellStyle name="Separador de milhares" xfId="1" builtinId="3"/>
    <cellStyle name="Status 1" xfId="31"/>
    <cellStyle name="Status 2" xfId="32"/>
    <cellStyle name="Text 1" xfId="33"/>
    <cellStyle name="Text 2" xfId="34"/>
    <cellStyle name="Warning 1" xfId="35"/>
    <cellStyle name="Warning 2" xfId="36"/>
  </cellStyles>
  <dxfs count="0"/>
  <tableStyles count="0" defaultTableStyle="TableStyleMedium9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EEEEE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EE"/>
      <rgbColor rgb="FF00CCFF"/>
      <rgbColor rgb="FFCCFFFF"/>
      <rgbColor rgb="FFCCFFCC"/>
      <rgbColor rgb="FFFFFFD7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853"/>
      <rgbColor rgb="FF0066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eusdividendos.com/687912" TargetMode="External"/><Relationship Id="rId7" Type="http://schemas.openxmlformats.org/officeDocument/2006/relationships/hyperlink" Target="http://www.itaucorretora.com.br/Finder/Finder/?stock=ciel3&amp;type=stock%00%00%00%00%00%00%00%00%00" TargetMode="External"/><Relationship Id="rId2" Type="http://schemas.openxmlformats.org/officeDocument/2006/relationships/hyperlink" Target="http://www.validadordecnpj.clevert.com.br/v-cnpj.php" TargetMode="External"/><Relationship Id="rId1" Type="http://schemas.openxmlformats.org/officeDocument/2006/relationships/hyperlink" Target="https://br.advfn.com/bolsa-de-valores/bovespa/cielo-CIEL3/empresa" TargetMode="External"/><Relationship Id="rId6" Type="http://schemas.openxmlformats.org/officeDocument/2006/relationships/hyperlink" Target="http://bvmf.bmfbovespa.com.br/cotacoes2000/FormConsultaCotacoes.asp?strListaCodigos%00%00%00%00%00%00%00%00%00" TargetMode="External"/><Relationship Id="rId5" Type="http://schemas.openxmlformats.org/officeDocument/2006/relationships/hyperlink" Target="https://www.fundsexplorer.com.br/funds/HTMX11" TargetMode="External"/><Relationship Id="rId4" Type="http://schemas.openxmlformats.org/officeDocument/2006/relationships/hyperlink" Target="https://www.meusdividendos.com/fundo-imobiliario/HGBS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tesourodireto.bmfbovespa.com.br/PortalInvestidor/login.aspx?QS=aD355CXhRV6vA5vBWwgW4lpPlJuzTA0wNGNbNI6JoG3fgJlp1nQFfZGInyuirTp8vJISuS0ehW0wo2oLBEs0dDTcaFcCzYhM%2FkCxYCCjZe4eeAUYBy%2FFscDay0Ykh4iK" TargetMode="External"/><Relationship Id="rId1" Type="http://schemas.openxmlformats.org/officeDocument/2006/relationships/hyperlink" Target="../../../../../C:/Users/ewerton/AppData/Roaming/Microsoft/Cotaca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Q84"/>
  <sheetViews>
    <sheetView tabSelected="1" topLeftCell="A9" zoomScale="90" zoomScaleNormal="90" workbookViewId="0">
      <pane xSplit="3" topLeftCell="D1" activePane="topRight" state="frozen"/>
      <selection activeCell="A3" sqref="A3"/>
      <selection pane="topRight" activeCell="J37" sqref="J37"/>
    </sheetView>
  </sheetViews>
  <sheetFormatPr defaultRowHeight="12.75"/>
  <cols>
    <col min="1" max="1" width="19.5703125" customWidth="1"/>
    <col min="2" max="2" width="11.42578125" customWidth="1"/>
    <col min="3" max="3" width="36.7109375" customWidth="1"/>
    <col min="4" max="1025" width="11.42578125" customWidth="1"/>
  </cols>
  <sheetData>
    <row r="5" spans="1:17" ht="14.65" customHeight="1">
      <c r="A5" s="6"/>
      <c r="B5" s="6"/>
      <c r="C5" s="6"/>
      <c r="D5" s="5" t="s">
        <v>0</v>
      </c>
      <c r="E5" s="5"/>
      <c r="F5" s="5"/>
      <c r="G5" s="5"/>
      <c r="H5" s="5" t="s">
        <v>1</v>
      </c>
      <c r="I5" s="5"/>
      <c r="J5" s="5"/>
      <c r="K5" s="5"/>
      <c r="L5" s="5"/>
      <c r="M5" s="5"/>
      <c r="N5" s="4" t="s">
        <v>2</v>
      </c>
      <c r="O5" s="4"/>
      <c r="P5" s="4"/>
      <c r="Q5" s="4"/>
    </row>
    <row r="6" spans="1:17" ht="14.65" customHeight="1">
      <c r="A6" s="7" t="s">
        <v>3</v>
      </c>
      <c r="B6" s="7" t="s">
        <v>4</v>
      </c>
      <c r="C6" s="7" t="s">
        <v>5</v>
      </c>
      <c r="D6" s="7" t="s">
        <v>6</v>
      </c>
      <c r="E6" s="7" t="s">
        <v>7</v>
      </c>
      <c r="F6" s="7" t="s">
        <v>8</v>
      </c>
      <c r="G6" s="8" t="s">
        <v>9</v>
      </c>
      <c r="H6" s="7" t="s">
        <v>6</v>
      </c>
      <c r="I6" s="7" t="s">
        <v>10</v>
      </c>
      <c r="J6" s="7" t="s">
        <v>8</v>
      </c>
      <c r="K6" s="7" t="s">
        <v>11</v>
      </c>
      <c r="L6" s="7" t="s">
        <v>12</v>
      </c>
      <c r="M6" s="9" t="s">
        <v>13</v>
      </c>
      <c r="N6" s="10" t="s">
        <v>8</v>
      </c>
      <c r="O6" s="10" t="s">
        <v>11</v>
      </c>
      <c r="P6" s="10" t="s">
        <v>14</v>
      </c>
      <c r="Q6" s="10" t="s">
        <v>13</v>
      </c>
    </row>
    <row r="7" spans="1:17" ht="14.65" customHeight="1">
      <c r="A7" t="str">
        <f>VLOOKUP(B7,Cadastro!$A$7:$C$38,3,1)</f>
        <v>33.000.167/0001-01</v>
      </c>
      <c r="B7" s="11" t="s">
        <v>15</v>
      </c>
      <c r="C7" s="12" t="str">
        <f>VLOOKUP(B7,Cadastro!$A$7:$C$54,2,1)</f>
        <v>PETRÓLEO BRASILEIRO S.A. PN</v>
      </c>
      <c r="D7" s="13">
        <v>43257</v>
      </c>
      <c r="E7" s="12">
        <v>300</v>
      </c>
      <c r="F7" s="14">
        <f>G7/E7</f>
        <v>16.508566666666667</v>
      </c>
      <c r="G7" s="15">
        <v>4952.57</v>
      </c>
      <c r="I7" s="16">
        <f t="shared" ref="I7:I36" si="0">K7/$K$53</f>
        <v>5.6241625413485277E-2</v>
      </c>
      <c r="J7">
        <v>11.06</v>
      </c>
      <c r="K7" s="17">
        <f t="shared" ref="K7:K36" si="1">J7*E7</f>
        <v>3318</v>
      </c>
      <c r="L7" s="17">
        <f t="shared" ref="L7:L36" si="2">K7-G7</f>
        <v>-1634.5699999999997</v>
      </c>
      <c r="M7" s="18">
        <f t="shared" ref="M7:M36" si="3">L7/G7</f>
        <v>-0.33004480502042371</v>
      </c>
      <c r="N7">
        <v>30</v>
      </c>
      <c r="O7" s="17">
        <f t="shared" ref="O7:O36" si="4">E7*N7</f>
        <v>9000</v>
      </c>
      <c r="P7" s="17">
        <f t="shared" ref="P7:P36" si="5">O7-G7</f>
        <v>4047.4300000000003</v>
      </c>
      <c r="Q7" s="18">
        <f t="shared" ref="Q7:Q36" si="6">P7/G7</f>
        <v>0.81723832272941133</v>
      </c>
    </row>
    <row r="8" spans="1:17" ht="14.65" customHeight="1">
      <c r="A8" t="str">
        <f>VLOOKUP(B8,Cadastro!$A$7:$C$38,3,1)</f>
        <v>33.000.167/0001-01</v>
      </c>
      <c r="B8" s="11" t="s">
        <v>15</v>
      </c>
      <c r="C8" s="12" t="str">
        <f>VLOOKUP(B8,Cadastro!$A$7:$C$54,2,1)</f>
        <v>PETRÓLEO BRASILEIRO S.A. PN</v>
      </c>
      <c r="D8" s="13">
        <v>43693</v>
      </c>
      <c r="E8" s="12">
        <v>200</v>
      </c>
      <c r="F8" s="14">
        <f>G8/E8</f>
        <v>23.95</v>
      </c>
      <c r="G8" s="15">
        <v>4790</v>
      </c>
      <c r="I8" s="16">
        <f t="shared" si="0"/>
        <v>3.749441694232352E-2</v>
      </c>
      <c r="J8">
        <v>11.06</v>
      </c>
      <c r="K8" s="17">
        <f t="shared" si="1"/>
        <v>2212</v>
      </c>
      <c r="L8" s="17">
        <f t="shared" si="2"/>
        <v>-2578</v>
      </c>
      <c r="M8" s="18">
        <f t="shared" si="3"/>
        <v>-0.53820459290187894</v>
      </c>
      <c r="N8">
        <v>30</v>
      </c>
      <c r="O8" s="17">
        <f t="shared" si="4"/>
        <v>6000</v>
      </c>
      <c r="P8" s="17">
        <f t="shared" si="5"/>
        <v>1210</v>
      </c>
      <c r="Q8" s="18">
        <f t="shared" si="6"/>
        <v>0.25260960334029225</v>
      </c>
    </row>
    <row r="9" spans="1:17" ht="14.65" customHeight="1">
      <c r="A9" t="str">
        <f>VLOOKUP(B9,Cadastro!$A$7:$C$38,3,1)</f>
        <v>33.000.167/0001-01</v>
      </c>
      <c r="B9" s="11" t="s">
        <v>15</v>
      </c>
      <c r="C9" s="12" t="str">
        <f>VLOOKUP(B9,Cadastro!$A$7:$C$54,2,1)</f>
        <v>PETRÓLEO BRASILEIRO S.A. PN</v>
      </c>
      <c r="D9" s="13">
        <v>43895</v>
      </c>
      <c r="E9" s="12">
        <v>200</v>
      </c>
      <c r="F9" s="14">
        <v>23</v>
      </c>
      <c r="G9" s="15">
        <f>E9*F9</f>
        <v>4600</v>
      </c>
      <c r="I9" s="16">
        <f t="shared" si="0"/>
        <v>3.749441694232352E-2</v>
      </c>
      <c r="J9">
        <v>11.06</v>
      </c>
      <c r="K9" s="17">
        <f t="shared" si="1"/>
        <v>2212</v>
      </c>
      <c r="L9" s="17">
        <f t="shared" si="2"/>
        <v>-2388</v>
      </c>
      <c r="M9" s="18">
        <f t="shared" si="3"/>
        <v>-0.51913043478260867</v>
      </c>
      <c r="N9">
        <v>30</v>
      </c>
      <c r="O9" s="17">
        <f t="shared" si="4"/>
        <v>6000</v>
      </c>
      <c r="P9" s="17">
        <f t="shared" si="5"/>
        <v>1400</v>
      </c>
      <c r="Q9" s="18">
        <f t="shared" si="6"/>
        <v>0.30434782608695654</v>
      </c>
    </row>
    <row r="10" spans="1:17" ht="14.65" customHeight="1">
      <c r="A10" t="str">
        <f>VLOOKUP(B10,Cadastro!$A$7:$C$38,3,1)</f>
        <v>01.027.058/0001-91</v>
      </c>
      <c r="B10" s="19" t="s">
        <v>16</v>
      </c>
      <c r="C10" s="12" t="str">
        <f>VLOOKUP(B10,Cadastro!$A$7:$C$54,2,1)</f>
        <v>CIELO SA</v>
      </c>
      <c r="D10" s="13">
        <v>43412</v>
      </c>
      <c r="E10" s="12">
        <v>600</v>
      </c>
      <c r="F10" s="14">
        <f>G10/E10</f>
        <v>11.027215999999999</v>
      </c>
      <c r="G10" s="15">
        <v>6616.3296</v>
      </c>
      <c r="I10" s="16">
        <f t="shared" si="0"/>
        <v>5.2173515076162656E-2</v>
      </c>
      <c r="J10">
        <v>5.13</v>
      </c>
      <c r="K10" s="17">
        <f t="shared" si="1"/>
        <v>3078</v>
      </c>
      <c r="L10" s="17">
        <f t="shared" si="2"/>
        <v>-3538.3296</v>
      </c>
      <c r="M10" s="18">
        <f t="shared" si="3"/>
        <v>-0.53478738423188588</v>
      </c>
      <c r="N10">
        <v>7.8</v>
      </c>
      <c r="O10" s="17">
        <f t="shared" si="4"/>
        <v>4680</v>
      </c>
      <c r="P10" s="17">
        <f t="shared" si="5"/>
        <v>-1936.3296</v>
      </c>
      <c r="Q10" s="18">
        <f t="shared" si="6"/>
        <v>-0.29265918070345226</v>
      </c>
    </row>
    <row r="11" spans="1:17" ht="14.65" customHeight="1">
      <c r="A11" t="str">
        <f>VLOOKUP(B11,Cadastro!$A$7:$C$38,3,1)</f>
        <v>76.535.764/0001-43</v>
      </c>
      <c r="B11" s="19" t="s">
        <v>17</v>
      </c>
      <c r="C11" s="12" t="str">
        <f>VLOOKUP(B11,Cadastro!$A$7:$C$54,2,1)</f>
        <v>OI SA EM RECUPERAÇÃO JUDICIAL</v>
      </c>
      <c r="D11" s="13">
        <v>43425</v>
      </c>
      <c r="E11" s="12">
        <v>800</v>
      </c>
      <c r="F11" s="14">
        <f>G11/E11</f>
        <v>1.7147999999999999</v>
      </c>
      <c r="G11" s="15">
        <v>1371.84</v>
      </c>
      <c r="I11" s="16">
        <f t="shared" si="0"/>
        <v>6.3733728618054443E-3</v>
      </c>
      <c r="J11">
        <v>0.47</v>
      </c>
      <c r="K11" s="17">
        <f t="shared" si="1"/>
        <v>376</v>
      </c>
      <c r="L11" s="17">
        <f t="shared" si="2"/>
        <v>-995.83999999999992</v>
      </c>
      <c r="M11" s="18">
        <f t="shared" si="3"/>
        <v>-0.72591555866573365</v>
      </c>
      <c r="N11">
        <v>1.05</v>
      </c>
      <c r="O11" s="17">
        <f t="shared" si="4"/>
        <v>840</v>
      </c>
      <c r="P11" s="17">
        <f t="shared" si="5"/>
        <v>-531.83999999999992</v>
      </c>
      <c r="Q11" s="18">
        <f t="shared" si="6"/>
        <v>-0.38768369489153248</v>
      </c>
    </row>
    <row r="12" spans="1:17" ht="14.65" customHeight="1">
      <c r="A12" t="str">
        <f>VLOOKUP(B12,Cadastro!$A$7:$C$38,3,1)</f>
        <v>76.535.764/0001-43</v>
      </c>
      <c r="B12" s="19" t="s">
        <v>17</v>
      </c>
      <c r="C12" s="12" t="str">
        <f>VLOOKUP(B12,Cadastro!$A$7:$C$54,2,1)</f>
        <v>OI SA EM RECUPERAÇÃO JUDICIAL</v>
      </c>
      <c r="D12" s="13">
        <v>43493</v>
      </c>
      <c r="E12" s="12">
        <v>2200</v>
      </c>
      <c r="F12" s="14">
        <f>G12/E12</f>
        <v>1.2638090909090909</v>
      </c>
      <c r="G12" s="15">
        <v>2780.38</v>
      </c>
      <c r="I12" s="16">
        <f t="shared" si="0"/>
        <v>1.7526775369964973E-2</v>
      </c>
      <c r="J12">
        <v>0.47</v>
      </c>
      <c r="K12" s="17">
        <f t="shared" si="1"/>
        <v>1034</v>
      </c>
      <c r="L12" s="17">
        <f t="shared" si="2"/>
        <v>-1746.38</v>
      </c>
      <c r="M12" s="18">
        <f t="shared" si="3"/>
        <v>-0.62810838806206348</v>
      </c>
      <c r="N12">
        <v>1.05</v>
      </c>
      <c r="O12" s="17">
        <f t="shared" si="4"/>
        <v>2310</v>
      </c>
      <c r="P12" s="17">
        <f t="shared" si="5"/>
        <v>-470.38000000000011</v>
      </c>
      <c r="Q12" s="18">
        <f t="shared" si="6"/>
        <v>-0.16917831375567371</v>
      </c>
    </row>
    <row r="13" spans="1:17" ht="14.85" customHeight="1">
      <c r="A13" t="str">
        <f>VLOOKUP(B13,Cadastro!$A$7:$C$38,3,1)</f>
        <v>02.998.611/0001-04</v>
      </c>
      <c r="B13" s="12" t="s">
        <v>18</v>
      </c>
      <c r="C13" s="12" t="str">
        <f>VLOOKUP(B13,Cadastro!$A$7:$C$54,2,1)</f>
        <v>XP LOG FDO INV IMOB – FII</v>
      </c>
      <c r="D13" s="13">
        <v>43493</v>
      </c>
      <c r="E13" s="12">
        <v>1</v>
      </c>
      <c r="F13" s="14">
        <f>G13/E13</f>
        <v>101.4</v>
      </c>
      <c r="G13" s="15">
        <v>101.4</v>
      </c>
      <c r="I13" s="16">
        <f t="shared" si="0"/>
        <v>1.38993769858523E-3</v>
      </c>
      <c r="J13">
        <v>82</v>
      </c>
      <c r="K13" s="17">
        <f t="shared" si="1"/>
        <v>82</v>
      </c>
      <c r="L13" s="17">
        <f t="shared" si="2"/>
        <v>-19.400000000000006</v>
      </c>
      <c r="M13" s="18">
        <f t="shared" si="3"/>
        <v>-0.19132149901380674</v>
      </c>
      <c r="N13">
        <v>145</v>
      </c>
      <c r="O13" s="17">
        <f t="shared" si="4"/>
        <v>145</v>
      </c>
      <c r="P13" s="17">
        <f t="shared" si="5"/>
        <v>43.599999999999994</v>
      </c>
      <c r="Q13" s="18">
        <f t="shared" si="6"/>
        <v>0.42998027613412221</v>
      </c>
    </row>
    <row r="14" spans="1:17" ht="14.85" customHeight="1">
      <c r="A14" t="str">
        <f>VLOOKUP(B14,Cadastro!$A$7:$C$38,3,1)</f>
        <v>02.998.611/0001-04</v>
      </c>
      <c r="B14" s="12" t="s">
        <v>18</v>
      </c>
      <c r="C14" s="12" t="str">
        <f>VLOOKUP(B14,Cadastro!$A$7:$C$54,2,1)</f>
        <v>XP LOG FDO INV IMOB – FII</v>
      </c>
      <c r="D14" s="13">
        <v>43805</v>
      </c>
      <c r="E14" s="12">
        <v>25</v>
      </c>
      <c r="F14" s="14">
        <v>131.49</v>
      </c>
      <c r="G14" s="15">
        <f>F14*E14</f>
        <v>3287.25</v>
      </c>
      <c r="I14" s="16">
        <f t="shared" si="0"/>
        <v>3.4748442464630748E-2</v>
      </c>
      <c r="J14">
        <v>82</v>
      </c>
      <c r="K14" s="17">
        <f t="shared" si="1"/>
        <v>2050</v>
      </c>
      <c r="L14" s="17">
        <f t="shared" si="2"/>
        <v>-1237.25</v>
      </c>
      <c r="M14" s="18">
        <f t="shared" si="3"/>
        <v>-0.37637843181991026</v>
      </c>
      <c r="N14">
        <v>145</v>
      </c>
      <c r="O14" s="17">
        <f t="shared" si="4"/>
        <v>3625</v>
      </c>
      <c r="P14" s="17">
        <f t="shared" si="5"/>
        <v>337.75</v>
      </c>
      <c r="Q14" s="18">
        <f t="shared" si="6"/>
        <v>0.10274545592820747</v>
      </c>
    </row>
    <row r="15" spans="1:17" ht="14.85" customHeight="1">
      <c r="A15" t="str">
        <f>VLOOKUP(B15,Cadastro!$A$7:$C$38,3,1)</f>
        <v>02.998.611/0001-04</v>
      </c>
      <c r="B15" s="12" t="s">
        <v>19</v>
      </c>
      <c r="C15" s="12" t="str">
        <f>VLOOKUP(B15,Cadastro!$A$7:$C$54,2,1)</f>
        <v>VINCI SHOPPING CENTER FII</v>
      </c>
      <c r="D15" s="13">
        <v>43493</v>
      </c>
      <c r="E15" s="12">
        <v>1</v>
      </c>
      <c r="F15" s="14">
        <f>G15/E15</f>
        <v>105.65</v>
      </c>
      <c r="G15" s="15">
        <v>105.65</v>
      </c>
      <c r="I15" s="16">
        <f t="shared" si="0"/>
        <v>1.2772171413219155E-3</v>
      </c>
      <c r="J15">
        <v>75.349999999999994</v>
      </c>
      <c r="K15" s="17">
        <f t="shared" si="1"/>
        <v>75.349999999999994</v>
      </c>
      <c r="L15" s="17">
        <f t="shared" si="2"/>
        <v>-30.300000000000011</v>
      </c>
      <c r="M15" s="18">
        <f t="shared" si="3"/>
        <v>-0.28679602460955994</v>
      </c>
      <c r="N15">
        <v>150</v>
      </c>
      <c r="O15" s="17">
        <f t="shared" si="4"/>
        <v>150</v>
      </c>
      <c r="P15" s="17">
        <f t="shared" si="5"/>
        <v>44.349999999999994</v>
      </c>
      <c r="Q15" s="18">
        <f t="shared" si="6"/>
        <v>0.41978230004732597</v>
      </c>
    </row>
    <row r="16" spans="1:17" ht="14.85" customHeight="1">
      <c r="A16" t="str">
        <f>VLOOKUP(B16,Cadastro!$A$7:$C$38,3,1)</f>
        <v>02.998.611/0001-04</v>
      </c>
      <c r="B16" s="12" t="s">
        <v>19</v>
      </c>
      <c r="C16" s="12" t="str">
        <f>VLOOKUP(B16,Cadastro!$A$7:$C$54,2,1)</f>
        <v>VINCI SHOPPING CENTER FII</v>
      </c>
      <c r="D16" s="13">
        <v>43808</v>
      </c>
      <c r="E16" s="12">
        <v>26</v>
      </c>
      <c r="F16" s="14">
        <v>134.31</v>
      </c>
      <c r="G16" s="15">
        <f>E16*F16</f>
        <v>3492.06</v>
      </c>
      <c r="I16" s="16">
        <f t="shared" si="0"/>
        <v>3.3207645674369804E-2</v>
      </c>
      <c r="J16">
        <v>75.349999999999994</v>
      </c>
      <c r="K16" s="17">
        <f t="shared" si="1"/>
        <v>1959.1</v>
      </c>
      <c r="L16" s="17">
        <f t="shared" si="2"/>
        <v>-1532.96</v>
      </c>
      <c r="M16" s="18">
        <f t="shared" si="3"/>
        <v>-0.43898443898443901</v>
      </c>
      <c r="N16">
        <v>150</v>
      </c>
      <c r="O16" s="17">
        <f t="shared" si="4"/>
        <v>3900</v>
      </c>
      <c r="P16" s="17">
        <f t="shared" si="5"/>
        <v>407.94000000000005</v>
      </c>
      <c r="Q16" s="18">
        <f t="shared" si="6"/>
        <v>0.11681929863748047</v>
      </c>
    </row>
    <row r="17" spans="1:17" ht="14.85" customHeight="1">
      <c r="A17" t="str">
        <f>VLOOKUP(B17,Cadastro!$A$7:$C$38,3,1)</f>
        <v>14.410.722/0001-29</v>
      </c>
      <c r="B17" s="12" t="s">
        <v>20</v>
      </c>
      <c r="C17" s="12" t="str">
        <f>VLOOKUP(B17,Cadastro!$A$7:$C$54,2,1)</f>
        <v>BANCO DO BRASIL LOCACAO</v>
      </c>
      <c r="D17" s="13">
        <v>43805</v>
      </c>
      <c r="E17" s="12">
        <v>20</v>
      </c>
      <c r="F17" s="14">
        <v>157.74</v>
      </c>
      <c r="G17" s="15">
        <f>E17*F17</f>
        <v>3154.8</v>
      </c>
      <c r="I17" s="16">
        <f t="shared" si="0"/>
        <v>4.3393176931441325E-2</v>
      </c>
      <c r="J17">
        <v>128</v>
      </c>
      <c r="K17" s="17">
        <f t="shared" si="1"/>
        <v>2560</v>
      </c>
      <c r="L17" s="17">
        <f t="shared" si="2"/>
        <v>-594.80000000000018</v>
      </c>
      <c r="M17" s="18">
        <f t="shared" si="3"/>
        <v>-0.18853810067199192</v>
      </c>
      <c r="N17">
        <v>175</v>
      </c>
      <c r="O17" s="17">
        <f t="shared" si="4"/>
        <v>3500</v>
      </c>
      <c r="P17" s="17">
        <f t="shared" si="5"/>
        <v>345.19999999999982</v>
      </c>
      <c r="Q17" s="18">
        <f t="shared" si="6"/>
        <v>0.10942056548751103</v>
      </c>
    </row>
    <row r="18" spans="1:17" ht="14.65" customHeight="1">
      <c r="A18" t="str">
        <f>VLOOKUP(B18,Cadastro!$A$7:$C$38,3,1)</f>
        <v>07.689.002/0001-89</v>
      </c>
      <c r="B18" s="19" t="s">
        <v>21</v>
      </c>
      <c r="C18" s="12" t="str">
        <f>VLOOKUP(B18,Cadastro!$A$7:$C$54,2,1)</f>
        <v>EMBRAER SA</v>
      </c>
      <c r="D18" s="13">
        <v>43497</v>
      </c>
      <c r="E18" s="12">
        <v>100</v>
      </c>
      <c r="F18" s="14">
        <f>G18/E18</f>
        <v>19.254000000000001</v>
      </c>
      <c r="G18" s="15">
        <v>1925.4</v>
      </c>
      <c r="I18" s="16">
        <f t="shared" si="0"/>
        <v>1.4746899972794511E-2</v>
      </c>
      <c r="J18">
        <v>8.6999999999999993</v>
      </c>
      <c r="K18" s="17">
        <f t="shared" si="1"/>
        <v>869.99999999999989</v>
      </c>
      <c r="L18" s="17">
        <f t="shared" si="2"/>
        <v>-1055.4000000000001</v>
      </c>
      <c r="M18" s="18">
        <f t="shared" si="3"/>
        <v>-0.54814583982549081</v>
      </c>
      <c r="N18" s="12">
        <v>18</v>
      </c>
      <c r="O18" s="17">
        <f t="shared" si="4"/>
        <v>1800</v>
      </c>
      <c r="P18" s="17">
        <f t="shared" si="5"/>
        <v>-125.40000000000009</v>
      </c>
      <c r="Q18" s="18">
        <f t="shared" si="6"/>
        <v>-6.5129323776877579E-2</v>
      </c>
    </row>
    <row r="19" spans="1:17" ht="14.65" customHeight="1">
      <c r="A19" t="str">
        <f>VLOOKUP(B19,Cadastro!$A$7:$C$38,3,1)</f>
        <v>07.526.557/0001-00</v>
      </c>
      <c r="B19" s="12" t="s">
        <v>22</v>
      </c>
      <c r="C19" s="12" t="str">
        <f>VLOOKUP(B19,Cadastro!$A$7:$C$54,2,1)</f>
        <v>AMBEV SA ON</v>
      </c>
      <c r="D19" s="13">
        <v>43453</v>
      </c>
      <c r="E19" s="12">
        <v>100</v>
      </c>
      <c r="F19" s="14">
        <v>15.82</v>
      </c>
      <c r="G19" s="15">
        <f t="shared" ref="G19:G36" si="7">E19*F19</f>
        <v>1582</v>
      </c>
      <c r="I19" s="16">
        <f t="shared" si="0"/>
        <v>1.8221744219257589E-2</v>
      </c>
      <c r="J19">
        <v>10.75</v>
      </c>
      <c r="K19" s="17">
        <f t="shared" si="1"/>
        <v>1075</v>
      </c>
      <c r="L19" s="17">
        <f t="shared" si="2"/>
        <v>-507</v>
      </c>
      <c r="M19" s="18">
        <f t="shared" si="3"/>
        <v>-0.32048040455120103</v>
      </c>
      <c r="N19" s="12">
        <v>17.5</v>
      </c>
      <c r="O19" s="17">
        <f t="shared" si="4"/>
        <v>1750</v>
      </c>
      <c r="P19" s="17">
        <f t="shared" si="5"/>
        <v>168</v>
      </c>
      <c r="Q19" s="18">
        <f t="shared" si="6"/>
        <v>0.10619469026548672</v>
      </c>
    </row>
    <row r="20" spans="1:17" ht="14.65" customHeight="1">
      <c r="A20" t="str">
        <f>VLOOKUP(B20,Cadastro!$A$7:$C$38,3,1)</f>
        <v>02.998.611/0001-04</v>
      </c>
      <c r="B20" s="11" t="s">
        <v>23</v>
      </c>
      <c r="C20" s="12" t="str">
        <f>VLOOKUP(B20,Cadastro!$A$7:$C$54,2,1)</f>
        <v>SOLUÇÕES E SERV. SEGUR.</v>
      </c>
      <c r="D20" s="13">
        <v>43689</v>
      </c>
      <c r="E20" s="12">
        <v>200</v>
      </c>
      <c r="F20" s="14">
        <v>13.16</v>
      </c>
      <c r="G20" s="15">
        <f t="shared" si="7"/>
        <v>2632</v>
      </c>
      <c r="I20" s="16">
        <f t="shared" si="0"/>
        <v>2.6612221789985499E-2</v>
      </c>
      <c r="J20">
        <v>7.85</v>
      </c>
      <c r="K20" s="17">
        <f t="shared" si="1"/>
        <v>1570</v>
      </c>
      <c r="L20" s="17">
        <f t="shared" si="2"/>
        <v>-1062</v>
      </c>
      <c r="M20" s="18">
        <f t="shared" si="3"/>
        <v>-0.40349544072948329</v>
      </c>
      <c r="N20" s="12">
        <v>19.5</v>
      </c>
      <c r="O20" s="17">
        <f t="shared" si="4"/>
        <v>3900</v>
      </c>
      <c r="P20" s="17">
        <f t="shared" si="5"/>
        <v>1268</v>
      </c>
      <c r="Q20" s="18">
        <f t="shared" si="6"/>
        <v>0.4817629179331307</v>
      </c>
    </row>
    <row r="21" spans="1:17" ht="14.65" customHeight="1">
      <c r="A21" t="str">
        <f>VLOOKUP(B21,Cadastro!$A$7:$C$38,3,1)</f>
        <v>60.872.504/0001-23</v>
      </c>
      <c r="B21" s="11" t="s">
        <v>24</v>
      </c>
      <c r="C21" s="12" t="str">
        <f>VLOOKUP(B21,Cadastro!$A$7:$C$54,2,1)</f>
        <v>ITAÚ UNIBANCO HOLDING S.A.</v>
      </c>
      <c r="D21" s="13">
        <v>43712</v>
      </c>
      <c r="E21" s="12">
        <v>100</v>
      </c>
      <c r="F21" s="14">
        <v>32.9</v>
      </c>
      <c r="G21" s="15">
        <f t="shared" si="7"/>
        <v>3290</v>
      </c>
      <c r="I21" s="16">
        <f t="shared" si="0"/>
        <v>3.6697745334597839E-2</v>
      </c>
      <c r="J21">
        <v>21.65</v>
      </c>
      <c r="K21" s="17">
        <f t="shared" si="1"/>
        <v>2165</v>
      </c>
      <c r="L21" s="17">
        <f t="shared" si="2"/>
        <v>-1125</v>
      </c>
      <c r="M21" s="18">
        <f t="shared" si="3"/>
        <v>-0.34194528875379937</v>
      </c>
      <c r="N21" s="12">
        <v>36</v>
      </c>
      <c r="O21" s="17">
        <f t="shared" si="4"/>
        <v>3600</v>
      </c>
      <c r="P21" s="17">
        <f t="shared" si="5"/>
        <v>310</v>
      </c>
      <c r="Q21" s="18">
        <f t="shared" si="6"/>
        <v>9.4224924012158054E-2</v>
      </c>
    </row>
    <row r="22" spans="1:17" ht="14.65" customHeight="1">
      <c r="A22" t="str">
        <f>VLOOKUP(B22,Cadastro!$A$7:$C$38,3,1)</f>
        <v>60.872.504/0001-23</v>
      </c>
      <c r="B22" s="11" t="s">
        <v>24</v>
      </c>
      <c r="C22" s="12" t="str">
        <f>VLOOKUP(B22,Cadastro!$A$7:$C$54,2,1)</f>
        <v>ITAÚ UNIBANCO HOLDING S.A.</v>
      </c>
      <c r="D22" s="13">
        <v>43888</v>
      </c>
      <c r="E22" s="12">
        <v>100</v>
      </c>
      <c r="F22" s="14">
        <v>31.4</v>
      </c>
      <c r="G22" s="15">
        <f t="shared" si="7"/>
        <v>3140</v>
      </c>
      <c r="I22" s="16">
        <f t="shared" si="0"/>
        <v>3.6697745334597839E-2</v>
      </c>
      <c r="J22">
        <v>21.65</v>
      </c>
      <c r="K22" s="17">
        <f t="shared" si="1"/>
        <v>2165</v>
      </c>
      <c r="L22" s="17">
        <f t="shared" si="2"/>
        <v>-975</v>
      </c>
      <c r="M22" s="18">
        <f t="shared" si="3"/>
        <v>-0.31050955414012738</v>
      </c>
      <c r="N22" s="12">
        <v>36</v>
      </c>
      <c r="O22" s="17">
        <f t="shared" si="4"/>
        <v>3600</v>
      </c>
      <c r="P22" s="17">
        <f t="shared" si="5"/>
        <v>460</v>
      </c>
      <c r="Q22" s="18">
        <f t="shared" si="6"/>
        <v>0.1464968152866242</v>
      </c>
    </row>
    <row r="23" spans="1:17" ht="14.65" customHeight="1">
      <c r="A23" s="12" t="str">
        <f>VLOOKUP(B23,Cadastro!$A$7:$C$38,3,1)</f>
        <v>17.155.730/0001-64</v>
      </c>
      <c r="B23" s="11" t="s">
        <v>25</v>
      </c>
      <c r="C23" s="12" t="str">
        <f>VLOOKUP(B23,Cadastro!$A$7:$C$54,2,1)</f>
        <v>CIA DE ENERGIA DE MINAS GERAIS ON</v>
      </c>
      <c r="D23" s="13">
        <v>43805</v>
      </c>
      <c r="E23" s="12">
        <v>300</v>
      </c>
      <c r="F23" s="14">
        <v>13.17</v>
      </c>
      <c r="G23" s="15">
        <f t="shared" si="7"/>
        <v>3951</v>
      </c>
      <c r="I23" s="16">
        <f t="shared" si="0"/>
        <v>4.5003470606631533E-2</v>
      </c>
      <c r="J23">
        <v>8.85</v>
      </c>
      <c r="K23" s="17">
        <f t="shared" si="1"/>
        <v>2655</v>
      </c>
      <c r="L23" s="17">
        <f t="shared" si="2"/>
        <v>-1296</v>
      </c>
      <c r="M23" s="18">
        <f t="shared" si="3"/>
        <v>-0.32801822323462415</v>
      </c>
      <c r="N23" s="12">
        <v>15</v>
      </c>
      <c r="O23" s="17">
        <f t="shared" si="4"/>
        <v>4500</v>
      </c>
      <c r="P23" s="17">
        <f t="shared" si="5"/>
        <v>549</v>
      </c>
      <c r="Q23" s="18">
        <f t="shared" si="6"/>
        <v>0.13895216400911162</v>
      </c>
    </row>
    <row r="24" spans="1:17" ht="14.65" customHeight="1">
      <c r="A24" s="12" t="str">
        <f>VLOOKUP(B24,Cadastro!$A$7:$C$38,3,1)</f>
        <v>90.400.888/0001-42</v>
      </c>
      <c r="B24" s="11" t="s">
        <v>26</v>
      </c>
      <c r="C24" s="12" t="str">
        <f>VLOOKUP(B24,Cadastro!$A$7:$C$54,2,1)</f>
        <v>BANCO SANTANDER BRON PN</v>
      </c>
      <c r="D24" s="13">
        <v>43811</v>
      </c>
      <c r="E24" s="12">
        <v>200</v>
      </c>
      <c r="F24" s="14">
        <v>20.100000000000001</v>
      </c>
      <c r="G24" s="15">
        <f t="shared" si="7"/>
        <v>4020.0000000000005</v>
      </c>
      <c r="I24" s="16">
        <f t="shared" si="0"/>
        <v>4.4749213710548866E-2</v>
      </c>
      <c r="J24">
        <v>13.2</v>
      </c>
      <c r="K24" s="17">
        <f t="shared" si="1"/>
        <v>2640</v>
      </c>
      <c r="L24" s="17">
        <f t="shared" si="2"/>
        <v>-1380.0000000000005</v>
      </c>
      <c r="M24" s="18">
        <f t="shared" si="3"/>
        <v>-0.34328358208955229</v>
      </c>
      <c r="N24" s="12">
        <v>22.5</v>
      </c>
      <c r="O24" s="17">
        <f t="shared" si="4"/>
        <v>4500</v>
      </c>
      <c r="P24" s="17">
        <f t="shared" si="5"/>
        <v>479.99999999999955</v>
      </c>
      <c r="Q24" s="18">
        <f t="shared" si="6"/>
        <v>0.11940298507462674</v>
      </c>
    </row>
    <row r="25" spans="1:17" ht="14.65" customHeight="1">
      <c r="A25" s="12" t="str">
        <f>VLOOKUP(B25,Cadastro!$A$7:$C$38,3,1)</f>
        <v>03.220.438/0001-73</v>
      </c>
      <c r="B25" s="11" t="s">
        <v>27</v>
      </c>
      <c r="C25" s="12" t="str">
        <f>VLOOKUP(B25,Cadastro!$A$7:$C$54,2,1)</f>
        <v>EQUATORIAL ENERGIA</v>
      </c>
      <c r="D25" s="13">
        <v>43826</v>
      </c>
      <c r="E25" s="12">
        <v>200</v>
      </c>
      <c r="F25" s="14">
        <v>22.51</v>
      </c>
      <c r="G25" s="15">
        <f t="shared" si="7"/>
        <v>4502</v>
      </c>
      <c r="I25" s="16">
        <f t="shared" si="0"/>
        <v>5.4241471164301655E-2</v>
      </c>
      <c r="J25">
        <v>16</v>
      </c>
      <c r="K25" s="17">
        <f t="shared" si="1"/>
        <v>3200</v>
      </c>
      <c r="L25" s="17">
        <f t="shared" si="2"/>
        <v>-1302</v>
      </c>
      <c r="M25" s="18">
        <f t="shared" si="3"/>
        <v>-0.28920479786761438</v>
      </c>
      <c r="N25" s="12">
        <v>25</v>
      </c>
      <c r="O25" s="17">
        <f t="shared" si="4"/>
        <v>5000</v>
      </c>
      <c r="P25" s="17">
        <f t="shared" si="5"/>
        <v>498</v>
      </c>
      <c r="Q25" s="18">
        <f t="shared" si="6"/>
        <v>0.11061750333185251</v>
      </c>
    </row>
    <row r="26" spans="1:17" ht="14.65" customHeight="1">
      <c r="A26" s="12" t="str">
        <f>VLOOKUP(B26,Cadastro!$A$7:$C$38,3,1)</f>
        <v>02.998.611/0001-04</v>
      </c>
      <c r="B26" s="11" t="s">
        <v>28</v>
      </c>
      <c r="C26" s="12" t="str">
        <f>VLOOKUP(B26,Cadastro!$A$7:$C$54,2,1)</f>
        <v>TRANSMISSÃO PAULISTA CTEEP</v>
      </c>
      <c r="D26" s="13">
        <v>43832</v>
      </c>
      <c r="E26" s="12">
        <v>200</v>
      </c>
      <c r="F26" s="14">
        <v>22.58</v>
      </c>
      <c r="G26" s="15">
        <f t="shared" si="7"/>
        <v>4516</v>
      </c>
      <c r="I26" s="16">
        <f t="shared" si="0"/>
        <v>5.932660908595494E-2</v>
      </c>
      <c r="J26">
        <v>17.5</v>
      </c>
      <c r="K26" s="17">
        <f t="shared" si="1"/>
        <v>3500</v>
      </c>
      <c r="L26" s="17">
        <f t="shared" si="2"/>
        <v>-1016</v>
      </c>
      <c r="M26" s="18">
        <f t="shared" si="3"/>
        <v>-0.22497785651018601</v>
      </c>
      <c r="N26" s="12">
        <v>25</v>
      </c>
      <c r="O26" s="17">
        <f t="shared" si="4"/>
        <v>5000</v>
      </c>
      <c r="P26" s="17">
        <f t="shared" si="5"/>
        <v>484</v>
      </c>
      <c r="Q26" s="18">
        <f t="shared" si="6"/>
        <v>0.10717449069973428</v>
      </c>
    </row>
    <row r="27" spans="1:17" ht="14.65" customHeight="1">
      <c r="A27" s="12" t="str">
        <f>VLOOKUP(B27,Cadastro!$A$7:$C$38,3,1)</f>
        <v>32.785.497/0001-97</v>
      </c>
      <c r="B27" s="11" t="s">
        <v>29</v>
      </c>
      <c r="C27" s="12" t="str">
        <f>VLOOKUP(B27,Cadastro!$A$7:$C$54,2,1)</f>
        <v>NATURA COSMETICO - AVON</v>
      </c>
      <c r="D27" s="13">
        <v>43836</v>
      </c>
      <c r="E27" s="12">
        <v>100</v>
      </c>
      <c r="F27" s="14">
        <v>42.2</v>
      </c>
      <c r="G27" s="15">
        <f t="shared" si="7"/>
        <v>4220</v>
      </c>
      <c r="I27" s="16">
        <f t="shared" si="0"/>
        <v>3.6443488438515179E-2</v>
      </c>
      <c r="J27">
        <v>21.5</v>
      </c>
      <c r="K27" s="17">
        <f t="shared" si="1"/>
        <v>2150</v>
      </c>
      <c r="L27" s="17">
        <f t="shared" si="2"/>
        <v>-2070</v>
      </c>
      <c r="M27" s="18">
        <f t="shared" si="3"/>
        <v>-0.49052132701421802</v>
      </c>
      <c r="N27" s="12">
        <v>50</v>
      </c>
      <c r="O27" s="17">
        <f t="shared" si="4"/>
        <v>5000</v>
      </c>
      <c r="P27" s="17">
        <f t="shared" si="5"/>
        <v>780</v>
      </c>
      <c r="Q27" s="18">
        <f t="shared" si="6"/>
        <v>0.18483412322274881</v>
      </c>
    </row>
    <row r="28" spans="1:17" ht="14.65" customHeight="1">
      <c r="A28" s="12" t="str">
        <f>VLOOKUP(B28,Cadastro!$A$7:$C$38,3,1)</f>
        <v>01.838.723/0001-27</v>
      </c>
      <c r="B28" s="20" t="s">
        <v>30</v>
      </c>
      <c r="C28" s="12" t="str">
        <f>VLOOKUP(B28,Cadastro!$A$7:$C$54,2,1)</f>
        <v>BRASIL FOODS ON</v>
      </c>
      <c r="D28" s="13">
        <v>43857</v>
      </c>
      <c r="E28" s="12">
        <v>200</v>
      </c>
      <c r="F28" s="14">
        <v>31.58</v>
      </c>
      <c r="G28" s="15">
        <f t="shared" si="7"/>
        <v>6316</v>
      </c>
      <c r="I28" s="16">
        <f t="shared" si="0"/>
        <v>4.0342094178449354E-2</v>
      </c>
      <c r="J28">
        <v>11.9</v>
      </c>
      <c r="K28" s="17">
        <f t="shared" si="1"/>
        <v>2380</v>
      </c>
      <c r="L28" s="17">
        <f t="shared" si="2"/>
        <v>-3936</v>
      </c>
      <c r="M28" s="18">
        <f t="shared" si="3"/>
        <v>-0.62317922735908804</v>
      </c>
      <c r="N28" s="12">
        <v>25</v>
      </c>
      <c r="O28" s="17">
        <f t="shared" si="4"/>
        <v>5000</v>
      </c>
      <c r="P28" s="17">
        <f t="shared" si="5"/>
        <v>-1316</v>
      </c>
      <c r="Q28" s="18">
        <f t="shared" si="6"/>
        <v>-0.2083597213426219</v>
      </c>
    </row>
    <row r="29" spans="1:17" ht="14.65" customHeight="1">
      <c r="A29" s="12" t="str">
        <f>VLOOKUP(B29,Cadastro!$A$7:$C$38,3,1)</f>
        <v>02.998.611/0001-04</v>
      </c>
      <c r="B29" s="11" t="s">
        <v>31</v>
      </c>
      <c r="C29" s="12" t="str">
        <f>VLOOKUP(B29,Cadastro!$A$7:$C$54,2,1)</f>
        <v>VALE</v>
      </c>
      <c r="D29" s="21">
        <v>43861</v>
      </c>
      <c r="E29" s="12">
        <v>100</v>
      </c>
      <c r="F29" s="14">
        <v>50.4</v>
      </c>
      <c r="G29" s="15">
        <f t="shared" si="7"/>
        <v>5040</v>
      </c>
      <c r="I29" s="16">
        <f t="shared" si="0"/>
        <v>6.2716701033723787E-2</v>
      </c>
      <c r="J29">
        <v>37</v>
      </c>
      <c r="K29" s="17">
        <f t="shared" si="1"/>
        <v>3700</v>
      </c>
      <c r="L29" s="17">
        <f t="shared" si="2"/>
        <v>-1340</v>
      </c>
      <c r="M29" s="18">
        <f t="shared" si="3"/>
        <v>-0.26587301587301587</v>
      </c>
      <c r="N29" s="12">
        <v>52</v>
      </c>
      <c r="O29" s="17">
        <f t="shared" si="4"/>
        <v>5200</v>
      </c>
      <c r="P29" s="17">
        <f t="shared" si="5"/>
        <v>160</v>
      </c>
      <c r="Q29" s="18">
        <f t="shared" si="6"/>
        <v>3.1746031746031744E-2</v>
      </c>
    </row>
    <row r="30" spans="1:17" ht="14.65" customHeight="1">
      <c r="A30" s="12" t="str">
        <f>VLOOKUP(B30,Cadastro!$A$7:$C$38,3,1)</f>
        <v>02.846.056/0001-97</v>
      </c>
      <c r="B30" s="11" t="s">
        <v>32</v>
      </c>
      <c r="C30" s="12" t="str">
        <f>VLOOKUP(B30,Cadastro!$A$7:$C$54,2,1)</f>
        <v>GRUPO CCR - RODOVIAS</v>
      </c>
      <c r="D30" s="21">
        <v>43888</v>
      </c>
      <c r="E30" s="12">
        <v>200</v>
      </c>
      <c r="F30" s="14">
        <v>16.329999999999998</v>
      </c>
      <c r="G30" s="15">
        <f t="shared" si="7"/>
        <v>3265.9999999999995</v>
      </c>
      <c r="I30" s="16">
        <f t="shared" si="0"/>
        <v>3.4917947062019193E-2</v>
      </c>
      <c r="J30">
        <v>10.3</v>
      </c>
      <c r="K30" s="17">
        <f t="shared" si="1"/>
        <v>2060</v>
      </c>
      <c r="L30" s="17">
        <f t="shared" si="2"/>
        <v>-1205.9999999999995</v>
      </c>
      <c r="M30" s="18">
        <f t="shared" si="3"/>
        <v>-0.3692590324556031</v>
      </c>
      <c r="N30" s="12">
        <v>18</v>
      </c>
      <c r="O30" s="17">
        <f t="shared" si="4"/>
        <v>3600</v>
      </c>
      <c r="P30" s="17">
        <f t="shared" si="5"/>
        <v>334.00000000000045</v>
      </c>
      <c r="Q30" s="18">
        <f t="shared" si="6"/>
        <v>0.10226576852418877</v>
      </c>
    </row>
    <row r="31" spans="1:17" ht="14.65" customHeight="1">
      <c r="A31" s="12" t="str">
        <f>VLOOKUP(B31,Cadastro!$A$7:$C$38,3,1)</f>
        <v>90.400.888/0001-42</v>
      </c>
      <c r="B31" s="11" t="s">
        <v>33</v>
      </c>
      <c r="C31" s="12" t="str">
        <f>VLOOKUP(B31,Cadastro!$A$7:$C$54,2,1)</f>
        <v>BANCO SANTANDER BRON ON</v>
      </c>
      <c r="D31" s="21">
        <v>43888</v>
      </c>
      <c r="E31" s="12">
        <v>200</v>
      </c>
      <c r="F31" s="14">
        <v>19.3</v>
      </c>
      <c r="G31" s="15">
        <f t="shared" si="7"/>
        <v>3860</v>
      </c>
      <c r="I31" s="16">
        <f t="shared" si="0"/>
        <v>4.2715158541887552E-2</v>
      </c>
      <c r="J31">
        <v>12.6</v>
      </c>
      <c r="K31" s="17">
        <f t="shared" si="1"/>
        <v>2520</v>
      </c>
      <c r="L31" s="17">
        <f t="shared" si="2"/>
        <v>-1340</v>
      </c>
      <c r="M31" s="18">
        <f t="shared" si="3"/>
        <v>-0.34715025906735753</v>
      </c>
      <c r="N31" s="12">
        <v>22</v>
      </c>
      <c r="O31" s="17">
        <f t="shared" si="4"/>
        <v>4400</v>
      </c>
      <c r="P31" s="17">
        <f t="shared" si="5"/>
        <v>540</v>
      </c>
      <c r="Q31" s="18">
        <f t="shared" si="6"/>
        <v>0.13989637305699482</v>
      </c>
    </row>
    <row r="32" spans="1:17" ht="14.65" customHeight="1">
      <c r="A32" s="12" t="str">
        <f>VLOOKUP(B32,Cadastro!$A$7:$C$38,3,1)</f>
        <v>33.042.730/0001-04</v>
      </c>
      <c r="B32" s="12" t="s">
        <v>34</v>
      </c>
      <c r="C32" s="12" t="str">
        <f>VLOOKUP(B32,Cadastro!$A$7:$C$54,2,1)</f>
        <v>COMPANHIA SIDERURGICA NACIONAL</v>
      </c>
      <c r="D32" s="21">
        <v>43888</v>
      </c>
      <c r="E32" s="12">
        <v>200</v>
      </c>
      <c r="F32" s="14">
        <v>11.52</v>
      </c>
      <c r="G32" s="15">
        <f t="shared" si="7"/>
        <v>2304</v>
      </c>
      <c r="I32" s="16">
        <f t="shared" si="0"/>
        <v>2.203559766049755E-2</v>
      </c>
      <c r="J32">
        <v>6.5</v>
      </c>
      <c r="K32" s="17">
        <f t="shared" si="1"/>
        <v>1300</v>
      </c>
      <c r="L32" s="17">
        <f t="shared" si="2"/>
        <v>-1004</v>
      </c>
      <c r="M32" s="18">
        <f t="shared" si="3"/>
        <v>-0.4357638888888889</v>
      </c>
      <c r="N32" s="12">
        <v>11</v>
      </c>
      <c r="O32" s="17">
        <f t="shared" si="4"/>
        <v>2200</v>
      </c>
      <c r="P32" s="17">
        <f t="shared" si="5"/>
        <v>-104</v>
      </c>
      <c r="Q32" s="18">
        <f t="shared" si="6"/>
        <v>-4.5138888888888888E-2</v>
      </c>
    </row>
    <row r="33" spans="1:17" ht="14.65" customHeight="1">
      <c r="A33" s="12" t="str">
        <f>VLOOKUP(B33,Cadastro!$A$7:$C$38,3,1)</f>
        <v>10.760.260/0001-19</v>
      </c>
      <c r="B33" s="12" t="s">
        <v>35</v>
      </c>
      <c r="C33" s="12" t="str">
        <f>VLOOKUP(B33,Cadastro!$A$7:$C$54,2,1)</f>
        <v>CVC BRAISL AGENCIA TURISMO</v>
      </c>
      <c r="D33" s="21">
        <v>43895</v>
      </c>
      <c r="E33" s="12">
        <v>100</v>
      </c>
      <c r="F33" s="14">
        <v>22.41</v>
      </c>
      <c r="G33" s="15">
        <f t="shared" si="7"/>
        <v>2241</v>
      </c>
      <c r="I33" s="16">
        <f t="shared" si="0"/>
        <v>1.1611064921108324E-2</v>
      </c>
      <c r="J33">
        <v>6.85</v>
      </c>
      <c r="K33" s="17">
        <f t="shared" si="1"/>
        <v>685</v>
      </c>
      <c r="L33" s="17">
        <f t="shared" si="2"/>
        <v>-1556</v>
      </c>
      <c r="M33" s="18">
        <f t="shared" si="3"/>
        <v>-0.69433288710397145</v>
      </c>
      <c r="N33" s="12">
        <v>29</v>
      </c>
      <c r="O33" s="17">
        <f t="shared" si="4"/>
        <v>2900</v>
      </c>
      <c r="P33" s="17">
        <f t="shared" si="5"/>
        <v>659</v>
      </c>
      <c r="Q33" s="18">
        <f t="shared" si="6"/>
        <v>0.29406514948683621</v>
      </c>
    </row>
    <row r="34" spans="1:17" ht="14.65" customHeight="1">
      <c r="A34" s="12" t="str">
        <f>VLOOKUP(B34,Cadastro!$A$7:$C$38,3,1)</f>
        <v>02.998.611/0001-04</v>
      </c>
      <c r="B34" s="12" t="s">
        <v>36</v>
      </c>
      <c r="C34" s="12" t="str">
        <f>VLOOKUP(B34,Cadastro!$A$7:$C$54,2,1)</f>
        <v>VIA VAREJO SA ON</v>
      </c>
      <c r="D34" s="21">
        <v>43907</v>
      </c>
      <c r="E34" s="12">
        <v>200</v>
      </c>
      <c r="F34" s="14">
        <v>7.7</v>
      </c>
      <c r="G34" s="15">
        <f t="shared" si="7"/>
        <v>1540</v>
      </c>
      <c r="I34" s="16">
        <f t="shared" si="0"/>
        <v>1.4577395375406071E-2</v>
      </c>
      <c r="J34">
        <v>4.3</v>
      </c>
      <c r="K34" s="17">
        <f t="shared" si="1"/>
        <v>860</v>
      </c>
      <c r="L34" s="17">
        <f t="shared" si="2"/>
        <v>-680</v>
      </c>
      <c r="M34" s="18">
        <f t="shared" si="3"/>
        <v>-0.44155844155844154</v>
      </c>
      <c r="N34" s="12">
        <v>12</v>
      </c>
      <c r="O34" s="17">
        <f t="shared" si="4"/>
        <v>2400</v>
      </c>
      <c r="P34" s="17">
        <f t="shared" si="5"/>
        <v>860</v>
      </c>
      <c r="Q34" s="18">
        <f t="shared" si="6"/>
        <v>0.55844155844155841</v>
      </c>
    </row>
    <row r="35" spans="1:17" s="60" customFormat="1" ht="14.65" customHeight="1">
      <c r="A35" s="12" t="str">
        <f>VLOOKUP(B35,Cadastro!$A$7:$C$38,3,1)</f>
        <v>00.000.000/0001-91</v>
      </c>
      <c r="B35" s="12" t="s">
        <v>79</v>
      </c>
      <c r="C35" s="12" t="str">
        <f>VLOOKUP(B35,Cadastro!$A$7:$C$54,2,1)</f>
        <v>BANCO DO BRASIL SA ON</v>
      </c>
      <c r="D35" s="21">
        <v>43908</v>
      </c>
      <c r="E35" s="12">
        <v>100</v>
      </c>
      <c r="F35" s="14">
        <v>26.4</v>
      </c>
      <c r="G35" s="15">
        <f t="shared" si="7"/>
        <v>2640</v>
      </c>
      <c r="I35" s="16">
        <f t="shared" si="0"/>
        <v>4.3799987965173585E-2</v>
      </c>
      <c r="J35" s="60">
        <v>25.84</v>
      </c>
      <c r="K35" s="17">
        <f t="shared" si="1"/>
        <v>2584</v>
      </c>
      <c r="L35" s="17">
        <f t="shared" si="2"/>
        <v>-56</v>
      </c>
      <c r="M35" s="18">
        <f t="shared" si="3"/>
        <v>-2.1212121212121213E-2</v>
      </c>
      <c r="N35" s="12">
        <v>31</v>
      </c>
      <c r="O35" s="17">
        <f t="shared" si="4"/>
        <v>3100</v>
      </c>
      <c r="P35" s="17">
        <f t="shared" si="5"/>
        <v>460</v>
      </c>
      <c r="Q35" s="18">
        <f t="shared" si="6"/>
        <v>0.17424242424242425</v>
      </c>
    </row>
    <row r="36" spans="1:17" s="60" customFormat="1" ht="14.65" customHeight="1">
      <c r="A36" s="12" t="str">
        <f>VLOOKUP(B36,Cadastro!$A$7:$C$38,3,1)</f>
        <v>00.001.180/0001-26</v>
      </c>
      <c r="B36" s="12" t="s">
        <v>41</v>
      </c>
      <c r="C36" s="12" t="str">
        <f>VLOOKUP(B36,Cadastro!$A$7:$C$54,2,1)</f>
        <v>ELETROBRAS ON</v>
      </c>
      <c r="D36" s="21">
        <v>43908</v>
      </c>
      <c r="E36" s="12">
        <v>100</v>
      </c>
      <c r="F36" s="14">
        <v>19.7</v>
      </c>
      <c r="G36" s="15">
        <f t="shared" si="7"/>
        <v>1970</v>
      </c>
      <c r="I36" s="16">
        <f t="shared" si="0"/>
        <v>3.3222901088134769E-2</v>
      </c>
      <c r="J36" s="60">
        <v>19.600000000000001</v>
      </c>
      <c r="K36" s="17">
        <f t="shared" si="1"/>
        <v>1960.0000000000002</v>
      </c>
      <c r="L36" s="17">
        <f t="shared" si="2"/>
        <v>-9.9999999999997726</v>
      </c>
      <c r="M36" s="18">
        <f t="shared" si="3"/>
        <v>-5.0761421319795797E-3</v>
      </c>
      <c r="N36" s="12">
        <v>23</v>
      </c>
      <c r="O36" s="17">
        <f t="shared" si="4"/>
        <v>2300</v>
      </c>
      <c r="P36" s="17">
        <f t="shared" si="5"/>
        <v>330</v>
      </c>
      <c r="Q36" s="18">
        <f t="shared" si="6"/>
        <v>0.16751269035532995</v>
      </c>
    </row>
    <row r="37" spans="1:17" ht="14.65" customHeight="1">
      <c r="B37" s="12"/>
      <c r="C37" s="12"/>
      <c r="D37" s="13"/>
      <c r="E37" s="12"/>
      <c r="F37" s="14"/>
      <c r="G37" s="15"/>
      <c r="J37" s="12"/>
      <c r="K37" s="17"/>
      <c r="L37" s="17"/>
      <c r="M37" s="18"/>
      <c r="N37" s="12"/>
      <c r="O37" s="17"/>
      <c r="P37" s="17"/>
      <c r="Q37" s="18"/>
    </row>
    <row r="38" spans="1:17" ht="14.65" customHeight="1">
      <c r="A38" s="22" t="str">
        <f>VLOOKUP(B38,Cadastro!$A$7:$C$38,3,1)</f>
        <v>11.669.021/0001-10</v>
      </c>
      <c r="B38" s="22" t="s">
        <v>37</v>
      </c>
      <c r="C38" s="22" t="str">
        <f>VLOOKUP(B38,Cadastro!$A$7:$C$38,2,1)</f>
        <v>QUEIROZ GALVAO PART ON</v>
      </c>
      <c r="D38" s="23">
        <v>43325</v>
      </c>
      <c r="E38" s="22">
        <v>100</v>
      </c>
      <c r="F38" s="24">
        <f>G38/E38</f>
        <v>12.184200000000001</v>
      </c>
      <c r="G38" s="25">
        <v>1218.42</v>
      </c>
      <c r="H38" s="23">
        <v>43369</v>
      </c>
      <c r="I38" s="23"/>
      <c r="J38" s="24">
        <f t="shared" ref="J38:J45" si="8">K38/E38</f>
        <v>12.793900000000001</v>
      </c>
      <c r="K38" s="25">
        <v>1279.3900000000001</v>
      </c>
      <c r="L38" s="25">
        <f>K38-G38</f>
        <v>60.970000000000027</v>
      </c>
      <c r="M38" s="26">
        <f t="shared" ref="M38:M51" si="9">L38/G38</f>
        <v>5.0040216017465264E-2</v>
      </c>
    </row>
    <row r="39" spans="1:17" ht="14.65" customHeight="1">
      <c r="A39" s="22" t="str">
        <f>VLOOKUP(B39,Cadastro!$A$7:$C$38,3,1)</f>
        <v>60.746.948/0001-12</v>
      </c>
      <c r="B39" s="22" t="s">
        <v>38</v>
      </c>
      <c r="C39" s="22" t="str">
        <f>VLOOKUP(B39,Cadastro!$A$7:$C$38,2,1)</f>
        <v>BANCO BRADESCO SA ON</v>
      </c>
      <c r="D39" s="23">
        <v>43332</v>
      </c>
      <c r="E39" s="22">
        <v>100</v>
      </c>
      <c r="F39" s="27">
        <v>25.070499999999999</v>
      </c>
      <c r="G39" s="25">
        <f t="shared" ref="G39:G44" si="10">E39*F39</f>
        <v>2507.0499999999997</v>
      </c>
      <c r="H39" s="23">
        <v>43376</v>
      </c>
      <c r="I39" s="23"/>
      <c r="J39" s="24">
        <f t="shared" si="8"/>
        <v>28.8185</v>
      </c>
      <c r="K39" s="25">
        <v>2881.85</v>
      </c>
      <c r="L39" s="25">
        <f>E39*J39-G39</f>
        <v>374.80000000000018</v>
      </c>
      <c r="M39" s="26">
        <f t="shared" si="9"/>
        <v>0.14949841447119133</v>
      </c>
    </row>
    <row r="40" spans="1:17" ht="14.65" customHeight="1">
      <c r="A40" s="22" t="str">
        <f>VLOOKUP(B40,Cadastro!$A$7:$C$38,3,1)</f>
        <v>61.532.644/0001-15</v>
      </c>
      <c r="B40" s="22" t="s">
        <v>39</v>
      </c>
      <c r="C40" s="22" t="str">
        <f>VLOOKUP(B40,Cadastro!$A$7:$C$38,2,1)</f>
        <v>ITAU INVESTIMENTOS SA PN</v>
      </c>
      <c r="D40" s="23">
        <v>43333</v>
      </c>
      <c r="E40" s="22">
        <v>300</v>
      </c>
      <c r="F40" s="24">
        <v>9.5267999999999997</v>
      </c>
      <c r="G40" s="25">
        <f t="shared" si="10"/>
        <v>2858.04</v>
      </c>
      <c r="H40" s="23">
        <v>43381</v>
      </c>
      <c r="I40" s="23"/>
      <c r="J40" s="24">
        <f t="shared" si="8"/>
        <v>11.0618</v>
      </c>
      <c r="K40" s="25">
        <v>3318.54</v>
      </c>
      <c r="L40" s="25">
        <f t="shared" ref="L40:L51" si="11">K40-G40</f>
        <v>460.5</v>
      </c>
      <c r="M40" s="26">
        <f t="shared" si="9"/>
        <v>0.16112440693622204</v>
      </c>
    </row>
    <row r="41" spans="1:17" ht="14.65" customHeight="1">
      <c r="A41" s="22" t="str">
        <f>VLOOKUP(B41,Cadastro!$A$7:$C$38,3,1)</f>
        <v>17.155.730/0001-64</v>
      </c>
      <c r="B41" s="22" t="s">
        <v>40</v>
      </c>
      <c r="C41" s="22" t="str">
        <f>VLOOKUP(B41,Cadastro!$A$7:$C$38,2,1)</f>
        <v>CIA DE ENERGIA DE MINAS GERAIS ON</v>
      </c>
      <c r="D41" s="23">
        <v>43356</v>
      </c>
      <c r="E41" s="22">
        <v>400</v>
      </c>
      <c r="F41" s="24">
        <v>6.4055</v>
      </c>
      <c r="G41" s="25">
        <f t="shared" si="10"/>
        <v>2562.1999999999998</v>
      </c>
      <c r="H41" s="23">
        <v>43381</v>
      </c>
      <c r="I41" s="23"/>
      <c r="J41" s="24">
        <f t="shared" si="8"/>
        <v>9.3818000000000001</v>
      </c>
      <c r="K41" s="25">
        <v>3752.72</v>
      </c>
      <c r="L41" s="25">
        <f t="shared" si="11"/>
        <v>1190.52</v>
      </c>
      <c r="M41" s="26">
        <f t="shared" si="9"/>
        <v>0.46464756849582395</v>
      </c>
    </row>
    <row r="42" spans="1:17" ht="14.65" customHeight="1">
      <c r="A42" s="22" t="str">
        <f>VLOOKUP(B42,Cadastro!$A$7:$C$38,3,1)</f>
        <v>01.027.058/0001-91</v>
      </c>
      <c r="B42" s="22" t="s">
        <v>16</v>
      </c>
      <c r="C42" s="22" t="str">
        <f>VLOOKUP(B42,Cadastro!$A$7:$C$38,2,1)</f>
        <v>CIELO SA</v>
      </c>
      <c r="D42" s="23">
        <v>43361</v>
      </c>
      <c r="E42" s="22">
        <v>400</v>
      </c>
      <c r="F42" s="24">
        <v>12.8461</v>
      </c>
      <c r="G42" s="25">
        <f t="shared" si="10"/>
        <v>5138.4399999999996</v>
      </c>
      <c r="H42" s="23">
        <v>43404</v>
      </c>
      <c r="I42" s="23"/>
      <c r="J42" s="24">
        <f t="shared" si="8"/>
        <v>13.319000000000001</v>
      </c>
      <c r="K42" s="25">
        <v>5327.6</v>
      </c>
      <c r="L42" s="25">
        <f t="shared" si="11"/>
        <v>189.16000000000076</v>
      </c>
      <c r="M42" s="26">
        <f t="shared" si="9"/>
        <v>3.6812729155152296E-2</v>
      </c>
    </row>
    <row r="43" spans="1:17" ht="14.65" customHeight="1">
      <c r="A43" s="22" t="str">
        <f>VLOOKUP(B43,Cadastro!$A$7:$C$38,3,1)</f>
        <v>07.689.002/0001-89</v>
      </c>
      <c r="B43" s="22" t="s">
        <v>21</v>
      </c>
      <c r="C43" s="22" t="str">
        <f>VLOOKUP(B43,Cadastro!$A$7:$C$38,2,1)</f>
        <v>EMBRAER SA</v>
      </c>
      <c r="D43" s="23">
        <v>43381</v>
      </c>
      <c r="E43" s="22">
        <v>200</v>
      </c>
      <c r="F43" s="24">
        <v>19.1782</v>
      </c>
      <c r="G43" s="25">
        <f t="shared" si="10"/>
        <v>3835.64</v>
      </c>
      <c r="H43" s="23">
        <v>43411</v>
      </c>
      <c r="I43" s="23"/>
      <c r="J43" s="24">
        <f t="shared" si="8"/>
        <v>21.79945</v>
      </c>
      <c r="K43" s="25">
        <v>4359.8900000000003</v>
      </c>
      <c r="L43" s="25">
        <f t="shared" si="11"/>
        <v>524.25000000000045</v>
      </c>
      <c r="M43" s="26">
        <f t="shared" si="9"/>
        <v>0.13667862468844846</v>
      </c>
    </row>
    <row r="44" spans="1:17" ht="14.65" customHeight="1">
      <c r="A44" s="22" t="str">
        <f>VLOOKUP(B44,Cadastro!$A$7:$C$38,3,1)</f>
        <v>00.001.180/0001-26</v>
      </c>
      <c r="B44" s="22" t="s">
        <v>41</v>
      </c>
      <c r="C44" s="22" t="str">
        <f>VLOOKUP(B44,Cadastro!$A$7:$C$38,2,1)</f>
        <v>ELETROBRAS ON</v>
      </c>
      <c r="D44" s="23">
        <v>43336</v>
      </c>
      <c r="E44" s="22">
        <v>200</v>
      </c>
      <c r="F44" s="24">
        <v>14.791600000000001</v>
      </c>
      <c r="G44" s="25">
        <f t="shared" si="10"/>
        <v>2958.32</v>
      </c>
      <c r="H44" s="23">
        <v>43423</v>
      </c>
      <c r="I44" s="23"/>
      <c r="J44" s="24">
        <f t="shared" si="8"/>
        <v>24.922199999999997</v>
      </c>
      <c r="K44" s="25">
        <v>4984.4399999999996</v>
      </c>
      <c r="L44" s="25">
        <f t="shared" si="11"/>
        <v>2026.1199999999994</v>
      </c>
      <c r="M44" s="26">
        <f t="shared" si="9"/>
        <v>0.68488872062521944</v>
      </c>
    </row>
    <row r="45" spans="1:17" ht="14.65" customHeight="1">
      <c r="A45" s="22" t="str">
        <f>VLOOKUP(B45,Cadastro!$A$7:$C$38,3,1)</f>
        <v>11.669.021/0001-10</v>
      </c>
      <c r="B45" s="22" t="s">
        <v>37</v>
      </c>
      <c r="C45" s="22" t="str">
        <f>VLOOKUP(B45,Cadastro!$A$7:$C$38,2,1)</f>
        <v>QUEIROZ GALVAO PART ON</v>
      </c>
      <c r="D45" s="23">
        <v>43369</v>
      </c>
      <c r="E45" s="22">
        <v>300</v>
      </c>
      <c r="F45" s="24">
        <f>G45/E45</f>
        <v>11.8165</v>
      </c>
      <c r="G45" s="25">
        <v>3544.95</v>
      </c>
      <c r="H45" s="23">
        <v>43509</v>
      </c>
      <c r="I45" s="23"/>
      <c r="J45" s="24">
        <f t="shared" si="8"/>
        <v>12.979933333333333</v>
      </c>
      <c r="K45" s="25">
        <v>3893.98</v>
      </c>
      <c r="L45" s="25">
        <f t="shared" si="11"/>
        <v>349.0300000000002</v>
      </c>
      <c r="M45" s="26">
        <f t="shared" si="9"/>
        <v>9.845837035783303E-2</v>
      </c>
    </row>
    <row r="46" spans="1:17" ht="14.65" customHeight="1">
      <c r="A46" s="22" t="str">
        <f>VLOOKUP(B46,Cadastro!$A$7:$C$38,3,1)</f>
        <v>02.932.074/0001-91</v>
      </c>
      <c r="B46" s="22" t="s">
        <v>42</v>
      </c>
      <c r="C46" s="22" t="str">
        <f>VLOOKUP(B46,Cadastro!$A$7:$C$38,2,1)</f>
        <v>HYPERMARCAS S/A</v>
      </c>
      <c r="D46" s="23">
        <v>43525</v>
      </c>
      <c r="E46" s="22">
        <v>100</v>
      </c>
      <c r="F46" s="24">
        <f>G46/E46</f>
        <v>26.674800000000001</v>
      </c>
      <c r="G46" s="25">
        <v>2667.48</v>
      </c>
      <c r="H46" s="23">
        <v>43614</v>
      </c>
      <c r="I46" s="23"/>
      <c r="J46" s="24">
        <v>31</v>
      </c>
      <c r="K46" s="25">
        <f t="shared" ref="K46:K51" si="12">J46*E46</f>
        <v>3100</v>
      </c>
      <c r="L46" s="25">
        <f t="shared" si="11"/>
        <v>432.52</v>
      </c>
      <c r="M46" s="26">
        <f t="shared" si="9"/>
        <v>0.16214554560858938</v>
      </c>
      <c r="N46" s="12"/>
      <c r="O46" s="17"/>
      <c r="P46" s="17"/>
      <c r="Q46" s="18"/>
    </row>
    <row r="47" spans="1:17" ht="14.65" customHeight="1">
      <c r="A47" s="22" t="str">
        <f>VLOOKUP(B47,Cadastro!$A$7:$C$38,3,1)</f>
        <v>90.400.888/0001-42</v>
      </c>
      <c r="B47" s="22" t="s">
        <v>33</v>
      </c>
      <c r="C47" s="22" t="str">
        <f>VLOOKUP(B47,Cadastro!$A$7:$C$38,2,1)</f>
        <v>BANCO SANTANDER BRON ON</v>
      </c>
      <c r="D47" s="23">
        <v>43551</v>
      </c>
      <c r="E47" s="22">
        <v>100</v>
      </c>
      <c r="F47" s="24">
        <f>G47/E47</f>
        <v>21.01</v>
      </c>
      <c r="G47" s="25">
        <v>2101</v>
      </c>
      <c r="H47" s="23">
        <v>43649</v>
      </c>
      <c r="I47" s="23"/>
      <c r="J47" s="24">
        <v>23.85</v>
      </c>
      <c r="K47" s="25">
        <f t="shared" si="12"/>
        <v>2385</v>
      </c>
      <c r="L47" s="25">
        <f t="shared" si="11"/>
        <v>284</v>
      </c>
      <c r="M47" s="26">
        <f t="shared" si="9"/>
        <v>0.13517372679676345</v>
      </c>
      <c r="N47" s="12"/>
      <c r="O47" s="17"/>
      <c r="P47" s="17"/>
      <c r="Q47" s="18"/>
    </row>
    <row r="48" spans="1:17" ht="14.65" customHeight="1">
      <c r="A48" s="22" t="str">
        <f>VLOOKUP(B48,Cadastro!$A$7:$C$38,3,1)</f>
        <v>02.998.611/0001-04</v>
      </c>
      <c r="B48" s="22" t="s">
        <v>31</v>
      </c>
      <c r="C48" s="22" t="str">
        <f>VLOOKUP(B48,Cadastro!$A$7:$C$38,2,1)</f>
        <v>TRANSMISSÃO PAULISTA CTEEP</v>
      </c>
      <c r="D48" s="23">
        <v>43496</v>
      </c>
      <c r="E48" s="22">
        <v>100</v>
      </c>
      <c r="F48" s="24">
        <f>G48/E48</f>
        <v>47.319399999999995</v>
      </c>
      <c r="G48" s="25">
        <v>4731.9399999999996</v>
      </c>
      <c r="H48" s="23">
        <v>43656</v>
      </c>
      <c r="I48" s="23"/>
      <c r="J48" s="24">
        <v>52.5</v>
      </c>
      <c r="K48" s="25">
        <f t="shared" si="12"/>
        <v>5250</v>
      </c>
      <c r="L48" s="25">
        <f t="shared" si="11"/>
        <v>518.0600000000004</v>
      </c>
      <c r="M48" s="26">
        <f t="shared" si="9"/>
        <v>0.10948152343436317</v>
      </c>
      <c r="N48" s="12"/>
      <c r="O48" s="17"/>
      <c r="P48" s="17"/>
      <c r="Q48" s="18"/>
    </row>
    <row r="49" spans="1:17" ht="14.65" customHeight="1">
      <c r="A49" s="22" t="str">
        <f>VLOOKUP(B49,Cadastro!$A$7:$C$38,3,1)</f>
        <v>07.526.557/0001-00</v>
      </c>
      <c r="B49" s="22" t="s">
        <v>22</v>
      </c>
      <c r="C49" s="22" t="str">
        <f>VLOOKUP(B49,Cadastro!$A$7:$C$38,2,1)</f>
        <v>AMBEV SA ON</v>
      </c>
      <c r="D49" s="23">
        <v>43453</v>
      </c>
      <c r="E49" s="22">
        <v>100</v>
      </c>
      <c r="F49" s="24">
        <v>15.82</v>
      </c>
      <c r="G49" s="25">
        <f>F49*E49</f>
        <v>1582</v>
      </c>
      <c r="H49" s="23">
        <v>43656</v>
      </c>
      <c r="I49" s="23"/>
      <c r="J49" s="24">
        <v>19.100000000000001</v>
      </c>
      <c r="K49" s="25">
        <f t="shared" si="12"/>
        <v>1910.0000000000002</v>
      </c>
      <c r="L49" s="25">
        <f t="shared" si="11"/>
        <v>328.00000000000023</v>
      </c>
      <c r="M49" s="26">
        <f t="shared" si="9"/>
        <v>0.20733249051833136</v>
      </c>
      <c r="N49" s="12"/>
      <c r="O49" s="17"/>
      <c r="P49" s="17"/>
      <c r="Q49" s="18"/>
    </row>
    <row r="50" spans="1:17" ht="14.65" customHeight="1">
      <c r="A50" s="22" t="str">
        <f>VLOOKUP(B50,Cadastro!$A$7:$C$38,3,1)</f>
        <v>92.690.783/0001-09</v>
      </c>
      <c r="B50" s="22" t="s">
        <v>43</v>
      </c>
      <c r="C50" s="22" t="str">
        <f>VLOOKUP(B50,Cadastro!$A$7:$C$54,2,1)</f>
        <v>METALURGICA GERDAU ON</v>
      </c>
      <c r="D50" s="23">
        <v>43689</v>
      </c>
      <c r="E50" s="22">
        <v>200</v>
      </c>
      <c r="F50" s="24">
        <v>6.27</v>
      </c>
      <c r="G50" s="25">
        <f>F50*E50</f>
        <v>1254</v>
      </c>
      <c r="H50" s="23">
        <v>43810</v>
      </c>
      <c r="I50" s="23"/>
      <c r="J50" s="24">
        <v>7.5</v>
      </c>
      <c r="K50" s="25">
        <f t="shared" si="12"/>
        <v>1500</v>
      </c>
      <c r="L50" s="25">
        <f t="shared" si="11"/>
        <v>246</v>
      </c>
      <c r="M50" s="26">
        <f t="shared" si="9"/>
        <v>0.19617224880382775</v>
      </c>
      <c r="N50" s="12"/>
      <c r="O50" s="17"/>
      <c r="P50" s="17"/>
      <c r="Q50" s="18"/>
    </row>
    <row r="51" spans="1:17" ht="14.65" customHeight="1">
      <c r="A51" s="22" t="str">
        <f>VLOOKUP(B51,Cadastro!$A$7:$C$38,3,1)</f>
        <v>11.669.021/0001-10</v>
      </c>
      <c r="B51" s="22" t="s">
        <v>44</v>
      </c>
      <c r="C51" s="22" t="str">
        <f>VLOOKUP(B51,Cadastro!$A$7:$C$54,2,1)</f>
        <v>ENAUTA PARTICIPAÇÕES S.A. ON</v>
      </c>
      <c r="D51" s="23">
        <v>43690</v>
      </c>
      <c r="E51" s="22">
        <v>200</v>
      </c>
      <c r="F51" s="24">
        <v>11.95</v>
      </c>
      <c r="G51" s="25">
        <f>E51*F51</f>
        <v>2390</v>
      </c>
      <c r="H51" s="23">
        <v>43816</v>
      </c>
      <c r="I51" s="23"/>
      <c r="J51" s="24">
        <v>14.2</v>
      </c>
      <c r="K51" s="25">
        <f t="shared" si="12"/>
        <v>2840</v>
      </c>
      <c r="L51" s="25">
        <f t="shared" si="11"/>
        <v>450</v>
      </c>
      <c r="M51" s="26">
        <f t="shared" si="9"/>
        <v>0.18828451882845187</v>
      </c>
      <c r="N51" s="12"/>
      <c r="O51" s="17"/>
      <c r="P51" s="17"/>
      <c r="Q51" s="18"/>
    </row>
    <row r="53" spans="1:17" ht="14.65" customHeight="1">
      <c r="A53" s="28"/>
      <c r="B53" s="3" t="s">
        <v>45</v>
      </c>
      <c r="C53" s="3"/>
      <c r="D53" s="3"/>
      <c r="E53" s="28"/>
      <c r="F53" s="28"/>
      <c r="G53" s="29">
        <f>SUM(G7:G37)</f>
        <v>98207.679600000003</v>
      </c>
      <c r="H53" s="28"/>
      <c r="I53" s="28"/>
      <c r="J53" s="28"/>
      <c r="K53" s="29">
        <f>SUM(K7:K37)</f>
        <v>58995.45</v>
      </c>
      <c r="L53" s="29">
        <f>SUM(L7:L37)</f>
        <v>-39212.229600000006</v>
      </c>
      <c r="M53" s="30">
        <f>L53/G53</f>
        <v>-0.39927864867301077</v>
      </c>
      <c r="N53" s="28"/>
      <c r="O53" s="29">
        <f>SUM(O7:O37)</f>
        <v>109900</v>
      </c>
      <c r="P53" s="29">
        <f>SUM(P7:P37)</f>
        <v>11692.320400000001</v>
      </c>
      <c r="Q53" s="30">
        <f>P53/G53</f>
        <v>0.11905708848455472</v>
      </c>
    </row>
    <row r="54" spans="1:17" ht="14.65" customHeight="1">
      <c r="C54" s="2" t="s">
        <v>46</v>
      </c>
      <c r="D54" s="2"/>
      <c r="G54" s="31">
        <f>SUM(G38:G52)</f>
        <v>39349.479999999996</v>
      </c>
      <c r="K54" s="31">
        <f>SUM(K38:K52)</f>
        <v>46783.409999999996</v>
      </c>
      <c r="L54" s="31">
        <f>SUM(L38:L52)</f>
        <v>7433.9300000000012</v>
      </c>
      <c r="M54" s="32">
        <f>L54/G54</f>
        <v>0.18892066680423736</v>
      </c>
    </row>
    <row r="56" spans="1:17" ht="14.65" customHeight="1">
      <c r="A56" t="str">
        <f>A11</f>
        <v>76.535.764/0001-43</v>
      </c>
      <c r="B56" s="17" t="str">
        <f>B11</f>
        <v>OIBR3</v>
      </c>
      <c r="C56" t="str">
        <f>VLOOKUP(B56,Cadastro!$A$7:$C$38,2,1)</f>
        <v>OI SA EM RECUPERAÇÃO JUDICIAL</v>
      </c>
      <c r="E56">
        <f>E11+E12</f>
        <v>3000</v>
      </c>
      <c r="F56" s="33">
        <f>G56/E56</f>
        <v>1.3840733333333335</v>
      </c>
      <c r="G56">
        <f>G11+G12</f>
        <v>4152.22</v>
      </c>
      <c r="J56">
        <f>J12</f>
        <v>0.47</v>
      </c>
      <c r="K56" s="34">
        <f>J56*E56</f>
        <v>1410</v>
      </c>
      <c r="L56">
        <f>K56-G56</f>
        <v>-2742.2200000000003</v>
      </c>
      <c r="M56" s="18">
        <f>L56/G56</f>
        <v>-0.66042261729869811</v>
      </c>
    </row>
    <row r="57" spans="1:17" ht="14.65" customHeight="1">
      <c r="A57" t="str">
        <f>A12</f>
        <v>76.535.764/0001-43</v>
      </c>
      <c r="B57" t="s">
        <v>15</v>
      </c>
      <c r="C57" t="str">
        <f>VLOOKUP(B57,Cadastro!$A$7:$C$38,2,1)</f>
        <v>PETRÓLEO BRASILEIRO S.A. PN</v>
      </c>
      <c r="D57" s="35"/>
      <c r="E57">
        <f>E7+E8+E9</f>
        <v>700</v>
      </c>
      <c r="F57" s="33">
        <f>G57/E57</f>
        <v>20.489385714285714</v>
      </c>
      <c r="G57">
        <f>G7+G8+G9</f>
        <v>14342.57</v>
      </c>
      <c r="J57">
        <f>J7</f>
        <v>11.06</v>
      </c>
      <c r="K57" s="34">
        <f>J57*E57</f>
        <v>7742</v>
      </c>
      <c r="L57">
        <f>K57-G57</f>
        <v>-6600.57</v>
      </c>
      <c r="M57" s="18">
        <f>L57/G57</f>
        <v>-0.4602083169194921</v>
      </c>
    </row>
    <row r="58" spans="1:17" ht="14.65" customHeight="1">
      <c r="B58" t="s">
        <v>47</v>
      </c>
      <c r="C58" t="s">
        <v>48</v>
      </c>
      <c r="E58">
        <f>SUM(E13:E17)</f>
        <v>73</v>
      </c>
      <c r="F58">
        <f>G58/E58</f>
        <v>138.91999999999999</v>
      </c>
      <c r="G58" s="17">
        <f>SUM(G13:G17)</f>
        <v>10141.16</v>
      </c>
      <c r="J58" s="36">
        <f>K58/E58</f>
        <v>92.143150684931499</v>
      </c>
      <c r="K58" s="34">
        <f>SUM(K13:K17)</f>
        <v>6726.45</v>
      </c>
      <c r="L58" s="17">
        <f>K58-G58</f>
        <v>-3414.71</v>
      </c>
      <c r="M58" s="37">
        <f>L58/G58</f>
        <v>-0.33671789026107468</v>
      </c>
    </row>
    <row r="61" spans="1:17" ht="14.65" customHeight="1">
      <c r="B61" t="s">
        <v>28</v>
      </c>
      <c r="C61" t="s">
        <v>49</v>
      </c>
    </row>
    <row r="62" spans="1:17" ht="14.65" customHeight="1">
      <c r="B62" t="s">
        <v>50</v>
      </c>
      <c r="C62" t="s">
        <v>5</v>
      </c>
      <c r="F62">
        <v>45</v>
      </c>
    </row>
    <row r="63" spans="1:17" ht="14.65" customHeight="1">
      <c r="B63" t="s">
        <v>44</v>
      </c>
      <c r="C63" t="s">
        <v>5</v>
      </c>
      <c r="F63">
        <v>12.25</v>
      </c>
    </row>
    <row r="64" spans="1:17" ht="14.65" customHeight="1">
      <c r="B64" t="s">
        <v>51</v>
      </c>
      <c r="K64" t="s">
        <v>23</v>
      </c>
    </row>
    <row r="65" spans="2:11" ht="14.65" customHeight="1">
      <c r="B65" t="s">
        <v>52</v>
      </c>
      <c r="K65" t="s">
        <v>43</v>
      </c>
    </row>
    <row r="66" spans="2:11" ht="14.65" customHeight="1">
      <c r="B66" t="s">
        <v>53</v>
      </c>
      <c r="K66" t="s">
        <v>31</v>
      </c>
    </row>
    <row r="67" spans="2:11" ht="14.65" customHeight="1">
      <c r="B67" t="s">
        <v>54</v>
      </c>
      <c r="K67" t="s">
        <v>55</v>
      </c>
    </row>
    <row r="68" spans="2:11" ht="14.65" customHeight="1">
      <c r="B68" t="s">
        <v>43</v>
      </c>
      <c r="K68" t="s">
        <v>56</v>
      </c>
    </row>
    <row r="80" spans="2:11" ht="14.65" customHeight="1">
      <c r="F80">
        <v>200</v>
      </c>
      <c r="G80">
        <v>22.58</v>
      </c>
      <c r="H80">
        <f>F80*G80</f>
        <v>4516</v>
      </c>
    </row>
    <row r="81" spans="6:8" ht="14.65" customHeight="1">
      <c r="F81">
        <v>300</v>
      </c>
      <c r="G81">
        <v>22</v>
      </c>
      <c r="H81">
        <f>F81*G81</f>
        <v>6600</v>
      </c>
    </row>
    <row r="82" spans="6:8" ht="14.65" customHeight="1">
      <c r="F82">
        <f>SUM(F80:F81)</f>
        <v>500</v>
      </c>
      <c r="H82">
        <f>SUM(H80:H81)</f>
        <v>11116</v>
      </c>
    </row>
    <row r="84" spans="6:8" ht="14.65" customHeight="1">
      <c r="G84">
        <f>H82/F82</f>
        <v>22.231999999999999</v>
      </c>
    </row>
  </sheetData>
  <autoFilter ref="A6:Q45"/>
  <mergeCells count="5">
    <mergeCell ref="D5:G5"/>
    <mergeCell ref="H5:M5"/>
    <mergeCell ref="N5:Q5"/>
    <mergeCell ref="B53:D53"/>
    <mergeCell ref="C54:D54"/>
  </mergeCells>
  <conditionalFormatting sqref="M7:M36">
    <cfRule type="iconSet" priority="2">
      <iconSet iconSet="3Arrows">
        <cfvo type="percent" val="0"/>
        <cfvo type="percent" val="33"/>
        <cfvo type="percent" val="67"/>
      </iconSet>
    </cfRule>
    <cfRule type="colorScale" priority="3">
      <colorScale>
        <cfvo type="min" val="0"/>
        <cfvo type="percentile" val="20"/>
        <cfvo type="max" val="0"/>
        <color rgb="FFF8696B"/>
        <color rgb="FFFFEB84"/>
        <color rgb="FF558ED5"/>
      </colorScale>
    </cfRule>
  </conditionalFormatting>
  <pageMargins left="0.40416666666666701" right="0.55208333333333304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2:P38"/>
  <sheetViews>
    <sheetView zoomScale="90" zoomScaleNormal="90" workbookViewId="0">
      <selection activeCell="O3" sqref="O3"/>
    </sheetView>
  </sheetViews>
  <sheetFormatPr defaultRowHeight="12.75"/>
  <cols>
    <col min="1" max="1" width="19.5703125" customWidth="1"/>
    <col min="2" max="4" width="11.42578125" customWidth="1"/>
    <col min="5" max="5" width="39.140625" customWidth="1"/>
    <col min="6" max="10" width="11.42578125" customWidth="1"/>
    <col min="11" max="11" width="10.42578125" customWidth="1"/>
    <col min="12" max="1025" width="11.42578125" customWidth="1"/>
  </cols>
  <sheetData>
    <row r="2" spans="1:16" ht="14.65" customHeight="1">
      <c r="A2" t="s">
        <v>57</v>
      </c>
      <c r="B2" s="17">
        <f>SUM(P7:P51)</f>
        <v>53039.380000000005</v>
      </c>
    </row>
    <row r="3" spans="1:16" ht="14.65" customHeight="1">
      <c r="A3" t="s">
        <v>58</v>
      </c>
      <c r="B3" s="17">
        <f>SUM(O7:O49)</f>
        <v>29798.41</v>
      </c>
    </row>
    <row r="4" spans="1:16" ht="14.65" customHeight="1">
      <c r="E4" s="17"/>
    </row>
    <row r="5" spans="1:16" ht="14.65" customHeight="1">
      <c r="H5" s="17"/>
    </row>
    <row r="6" spans="1:16" ht="14.65" customHeight="1">
      <c r="A6" s="38" t="s">
        <v>3</v>
      </c>
      <c r="B6" s="38" t="s">
        <v>59</v>
      </c>
      <c r="C6" s="38" t="s">
        <v>6</v>
      </c>
      <c r="D6" s="38" t="s">
        <v>60</v>
      </c>
      <c r="E6" s="38" t="s">
        <v>5</v>
      </c>
      <c r="F6" s="38" t="s">
        <v>8</v>
      </c>
      <c r="G6" s="38" t="s">
        <v>61</v>
      </c>
      <c r="H6" s="38" t="s">
        <v>62</v>
      </c>
      <c r="I6" s="39" t="s">
        <v>63</v>
      </c>
      <c r="J6" s="38" t="s">
        <v>64</v>
      </c>
      <c r="K6" s="38" t="s">
        <v>11</v>
      </c>
      <c r="L6" s="39" t="s">
        <v>65</v>
      </c>
      <c r="M6" s="39" t="s">
        <v>66</v>
      </c>
      <c r="N6" s="39" t="s">
        <v>67</v>
      </c>
      <c r="O6" s="39" t="s">
        <v>68</v>
      </c>
      <c r="P6" s="39" t="s">
        <v>69</v>
      </c>
    </row>
    <row r="7" spans="1:16" ht="14.65" customHeight="1">
      <c r="A7" s="40" t="str">
        <f>VLOOKUP(D7,Cadastro!$A$7:$C$38,3,1)</f>
        <v>60.746.948/0001-12</v>
      </c>
      <c r="B7" s="41">
        <v>657653</v>
      </c>
      <c r="C7" s="21">
        <v>43376</v>
      </c>
      <c r="D7" t="s">
        <v>38</v>
      </c>
      <c r="E7" t="str">
        <f>VLOOKUP(D7,Cadastro!$A$7:$C$38,2,1)</f>
        <v>BANCO BRADESCO SA ON</v>
      </c>
      <c r="F7" s="17">
        <v>28.9</v>
      </c>
      <c r="G7">
        <v>100</v>
      </c>
      <c r="H7">
        <v>0.79</v>
      </c>
      <c r="I7">
        <v>0.14000000000000001</v>
      </c>
      <c r="J7">
        <v>7.22</v>
      </c>
      <c r="K7" s="17">
        <f>IF(L7="Venda",1,-1)*F7*G7-H7-I7-J7</f>
        <v>2881.8500000000004</v>
      </c>
      <c r="L7" s="17" t="s">
        <v>68</v>
      </c>
      <c r="M7" s="21">
        <v>43381</v>
      </c>
      <c r="N7" s="33">
        <f>K7/G7</f>
        <v>28.818500000000004</v>
      </c>
      <c r="O7" s="17">
        <f t="shared" ref="O7:O36" si="0">IF(L7="Venda",K7,0)</f>
        <v>2881.8500000000004</v>
      </c>
      <c r="P7">
        <f t="shared" ref="P7:P36" si="1">ABS(IF(L7="Compra",K7,0))</f>
        <v>0</v>
      </c>
    </row>
    <row r="8" spans="1:16" ht="14.65" customHeight="1">
      <c r="A8" s="40" t="str">
        <f>VLOOKUP(D8,Cadastro!$A$7:$C$38,3,1)</f>
        <v>07.689.002/0001-89</v>
      </c>
      <c r="B8" s="41">
        <v>675409</v>
      </c>
      <c r="C8" s="21">
        <v>43411</v>
      </c>
      <c r="D8" t="s">
        <v>21</v>
      </c>
      <c r="E8" t="str">
        <f>VLOOKUP(D8,Cadastro!$A$7:$C$38,2,1)</f>
        <v>EMBRAER SA</v>
      </c>
      <c r="F8" s="17">
        <v>21.85</v>
      </c>
      <c r="G8">
        <v>200</v>
      </c>
      <c r="H8">
        <v>1.2</v>
      </c>
      <c r="I8" s="17">
        <v>0.17</v>
      </c>
      <c r="J8" s="17">
        <v>8.74</v>
      </c>
      <c r="K8" s="17">
        <f>IF(L8="Venda",1,-1)*F8*G8-H8-I8-J8</f>
        <v>4359.8900000000003</v>
      </c>
      <c r="L8" t="s">
        <v>68</v>
      </c>
      <c r="M8" s="21">
        <v>43416</v>
      </c>
      <c r="N8" s="42">
        <f>K8/G8</f>
        <v>21.79945</v>
      </c>
      <c r="O8" s="17">
        <f t="shared" si="0"/>
        <v>4359.8900000000003</v>
      </c>
      <c r="P8">
        <f t="shared" si="1"/>
        <v>0</v>
      </c>
    </row>
    <row r="9" spans="1:16" ht="14.65" customHeight="1">
      <c r="A9" s="43" t="str">
        <f>VLOOKUP(D9,Cadastro!$A$7:$C$38,3,1)</f>
        <v>17.155.730/0001-64</v>
      </c>
      <c r="B9" s="44">
        <v>660055</v>
      </c>
      <c r="C9" s="45">
        <v>43381</v>
      </c>
      <c r="D9" s="43" t="s">
        <v>40</v>
      </c>
      <c r="E9" s="43" t="str">
        <f>VLOOKUP(D9,Cadastro!$A$7:$C$38,2,1)</f>
        <v>CIA DE ENERGIA DE MINAS GERAIS ON</v>
      </c>
      <c r="F9" s="46">
        <v>9.41</v>
      </c>
      <c r="G9" s="43">
        <v>400</v>
      </c>
      <c r="H9" s="46">
        <v>1.3333333333333299</v>
      </c>
      <c r="I9" s="46">
        <v>0.24</v>
      </c>
      <c r="J9" s="46">
        <v>9.7066666666666706</v>
      </c>
      <c r="K9" s="46">
        <f>IF(L9="Venda",1,-1)*F9*G9-H9-I9-J9</f>
        <v>3752.7200000000003</v>
      </c>
      <c r="L9" s="43" t="s">
        <v>68</v>
      </c>
      <c r="M9" s="45">
        <v>43384</v>
      </c>
      <c r="N9" s="47">
        <f>K9/G9</f>
        <v>9.3818000000000001</v>
      </c>
      <c r="O9" s="47">
        <f t="shared" si="0"/>
        <v>3752.7200000000003</v>
      </c>
      <c r="P9" s="47">
        <f t="shared" si="1"/>
        <v>0</v>
      </c>
    </row>
    <row r="10" spans="1:16" ht="14.65" customHeight="1">
      <c r="A10" s="48" t="str">
        <f>VLOOKUP(D10,Cadastro!$A$7:$C$38,3,1)</f>
        <v>07.689.002/0001-89</v>
      </c>
      <c r="B10" s="49">
        <v>660055</v>
      </c>
      <c r="C10" s="50">
        <v>43381</v>
      </c>
      <c r="D10" s="48" t="s">
        <v>21</v>
      </c>
      <c r="E10" s="48" t="str">
        <f>VLOOKUP(D10,Cadastro!$A$7:$C$38,2,1)</f>
        <v>EMBRAER SA</v>
      </c>
      <c r="F10" s="51">
        <v>19.149999999999999</v>
      </c>
      <c r="G10" s="48">
        <v>200</v>
      </c>
      <c r="H10" s="51">
        <v>0.66666666666666696</v>
      </c>
      <c r="I10" s="51">
        <v>0.12</v>
      </c>
      <c r="J10" s="51">
        <v>4.8533333333333299</v>
      </c>
      <c r="K10" s="51">
        <f>IF(L10="Venda",1,-1)*F10*G10-H10-I10-J10</f>
        <v>-3835.6399999999994</v>
      </c>
      <c r="L10" s="48" t="s">
        <v>69</v>
      </c>
      <c r="M10" s="50">
        <v>43384</v>
      </c>
      <c r="N10" s="52">
        <f>ABS(K10/G10)</f>
        <v>19.178199999999997</v>
      </c>
      <c r="O10" s="52">
        <f t="shared" si="0"/>
        <v>0</v>
      </c>
      <c r="P10" s="52">
        <f t="shared" si="1"/>
        <v>3835.6399999999994</v>
      </c>
    </row>
    <row r="11" spans="1:16" ht="14.65" customHeight="1">
      <c r="A11" s="53" t="str">
        <f>VLOOKUP(D11,Cadastro!$A$7:$C$38,3,1)</f>
        <v>61.532.644/0001-15</v>
      </c>
      <c r="B11" s="54">
        <v>660055</v>
      </c>
      <c r="C11" s="55">
        <v>43381</v>
      </c>
      <c r="D11" s="53" t="s">
        <v>39</v>
      </c>
      <c r="E11" s="53" t="str">
        <f>VLOOKUP(D11,Cadastro!$A$7:$C$38,2,1)</f>
        <v>ITAU INVESTIMENTOS SA PN</v>
      </c>
      <c r="F11" s="39">
        <v>11.09</v>
      </c>
      <c r="G11" s="53">
        <v>300</v>
      </c>
      <c r="H11" s="39">
        <v>1</v>
      </c>
      <c r="I11" s="39">
        <v>0.18</v>
      </c>
      <c r="J11" s="39">
        <v>7.28</v>
      </c>
      <c r="K11" s="39">
        <f>IF(L11="Venda",1,-1)*F11*G11-H11-I11-J11</f>
        <v>3318.54</v>
      </c>
      <c r="L11" s="53" t="s">
        <v>68</v>
      </c>
      <c r="M11" s="55">
        <v>43384</v>
      </c>
      <c r="N11" s="56">
        <f t="shared" ref="N11:N36" si="2">K11/G11</f>
        <v>11.0618</v>
      </c>
      <c r="O11" s="56">
        <f t="shared" si="0"/>
        <v>3318.54</v>
      </c>
      <c r="P11" s="56">
        <f t="shared" si="1"/>
        <v>0</v>
      </c>
    </row>
    <row r="12" spans="1:16" ht="14.65" customHeight="1">
      <c r="A12" s="40" t="str">
        <f>VLOOKUP(D12,Cadastro!$A$7:$C$38,3,1)</f>
        <v>01.027.058/0001-91</v>
      </c>
      <c r="B12" s="41">
        <v>676187</v>
      </c>
      <c r="C12" s="21">
        <v>43412</v>
      </c>
      <c r="D12" t="s">
        <v>16</v>
      </c>
      <c r="E12" t="str">
        <f>VLOOKUP(D12,Cadastro!$A$7:$C$38,2,1)</f>
        <v>CIELO SA</v>
      </c>
      <c r="F12" s="17">
        <v>11.2</v>
      </c>
      <c r="G12">
        <v>400</v>
      </c>
      <c r="H12">
        <v>1.23</v>
      </c>
      <c r="I12" s="17">
        <v>0.18</v>
      </c>
      <c r="J12" s="17">
        <v>8.9600000000000009</v>
      </c>
      <c r="K12" s="17">
        <f t="shared" ref="K12:K36" si="3">F12*G12+(SUM(H12:J12)*IF(L12="Compra",1,-1))</f>
        <v>4490.37</v>
      </c>
      <c r="L12" t="s">
        <v>69</v>
      </c>
      <c r="M12" s="21">
        <v>43417</v>
      </c>
      <c r="N12" s="17">
        <f t="shared" si="2"/>
        <v>11.225925</v>
      </c>
      <c r="O12" s="17">
        <f t="shared" si="0"/>
        <v>0</v>
      </c>
      <c r="P12">
        <f t="shared" si="1"/>
        <v>4490.37</v>
      </c>
    </row>
    <row r="13" spans="1:16" ht="14.65" customHeight="1">
      <c r="A13" s="40" t="str">
        <f>VLOOKUP(D13,Cadastro!$A$7:$C$38,3,1)</f>
        <v>01.027.058/0001-91</v>
      </c>
      <c r="B13" s="41">
        <v>676895</v>
      </c>
      <c r="C13" s="21">
        <v>43413</v>
      </c>
      <c r="D13" t="s">
        <v>16</v>
      </c>
      <c r="E13" t="str">
        <f>VLOOKUP(D13,Cadastro!$A$7:$C$38,2,1)</f>
        <v>CIELO SA</v>
      </c>
      <c r="F13" s="17">
        <v>10.6</v>
      </c>
      <c r="G13">
        <v>200</v>
      </c>
      <c r="H13">
        <v>0.57999999999999996</v>
      </c>
      <c r="I13" s="17">
        <v>0.08</v>
      </c>
      <c r="J13" s="17">
        <v>5.3</v>
      </c>
      <c r="K13" s="17">
        <f t="shared" si="3"/>
        <v>2125.96</v>
      </c>
      <c r="L13" t="s">
        <v>69</v>
      </c>
      <c r="M13" s="21">
        <v>43418</v>
      </c>
      <c r="N13" s="17">
        <f t="shared" si="2"/>
        <v>10.629799999999999</v>
      </c>
      <c r="O13" s="17">
        <f t="shared" si="0"/>
        <v>0</v>
      </c>
      <c r="P13">
        <f t="shared" si="1"/>
        <v>2125.96</v>
      </c>
    </row>
    <row r="14" spans="1:16" ht="14.65" customHeight="1">
      <c r="A14" s="40" t="str">
        <f>VLOOKUP(D14,Cadastro!$A$7:$C$38,3,1)</f>
        <v>11.669.021/0001-10</v>
      </c>
      <c r="B14" s="41">
        <v>638041</v>
      </c>
      <c r="C14" s="21">
        <v>43325</v>
      </c>
      <c r="D14" t="s">
        <v>37</v>
      </c>
      <c r="E14" t="str">
        <f>VLOOKUP(D14,Cadastro!$A$7:$C$38,2,1)</f>
        <v>QUEIROZ GALVAO PART ON</v>
      </c>
      <c r="F14" s="17">
        <v>12.15</v>
      </c>
      <c r="G14">
        <v>100</v>
      </c>
      <c r="H14">
        <v>0.33</v>
      </c>
      <c r="I14" s="17">
        <v>0.06</v>
      </c>
      <c r="J14" s="17">
        <v>3.03</v>
      </c>
      <c r="K14" s="17">
        <f t="shared" si="3"/>
        <v>1218.42</v>
      </c>
      <c r="L14" t="s">
        <v>69</v>
      </c>
      <c r="M14" s="21">
        <v>43328</v>
      </c>
      <c r="N14" s="33">
        <f t="shared" si="2"/>
        <v>12.184200000000001</v>
      </c>
      <c r="O14" s="17">
        <f t="shared" si="0"/>
        <v>0</v>
      </c>
      <c r="P14">
        <f t="shared" si="1"/>
        <v>1218.42</v>
      </c>
    </row>
    <row r="15" spans="1:16" ht="14.65" customHeight="1">
      <c r="A15" s="43" t="str">
        <f>VLOOKUP(D15,Cadastro!$A$7:$C$38,3,1)</f>
        <v>17.155.730/0001-64</v>
      </c>
      <c r="B15" s="44">
        <v>649361</v>
      </c>
      <c r="C15" s="45">
        <v>43356</v>
      </c>
      <c r="D15" s="43" t="s">
        <v>40</v>
      </c>
      <c r="E15" s="43" t="str">
        <f>VLOOKUP(D15,Cadastro!$A$7:$C$38,2,1)</f>
        <v>CIA DE ENERGIA DE MINAS GERAIS ON</v>
      </c>
      <c r="F15" s="46">
        <v>6.35</v>
      </c>
      <c r="G15" s="43">
        <v>300</v>
      </c>
      <c r="H15" s="43">
        <v>0.52500000000000002</v>
      </c>
      <c r="I15" s="46">
        <v>0.09</v>
      </c>
      <c r="J15" s="46">
        <v>4.7850000000000001</v>
      </c>
      <c r="K15" s="46">
        <f t="shared" si="3"/>
        <v>1910.4</v>
      </c>
      <c r="L15" s="43" t="s">
        <v>69</v>
      </c>
      <c r="M15" s="45">
        <v>43361</v>
      </c>
      <c r="N15" s="46">
        <f t="shared" si="2"/>
        <v>6.3680000000000003</v>
      </c>
      <c r="O15" s="46">
        <f t="shared" si="0"/>
        <v>0</v>
      </c>
      <c r="P15" s="46">
        <f t="shared" si="1"/>
        <v>1910.4</v>
      </c>
    </row>
    <row r="16" spans="1:16" ht="14.65" customHeight="1">
      <c r="A16" s="53" t="str">
        <f>VLOOKUP(D16,Cadastro!$A$7:$C$38,3,1)</f>
        <v>17.155.730/0001-64</v>
      </c>
      <c r="B16" s="54">
        <v>649361</v>
      </c>
      <c r="C16" s="55">
        <v>43356</v>
      </c>
      <c r="D16" s="53" t="s">
        <v>40</v>
      </c>
      <c r="E16" s="53" t="str">
        <f>VLOOKUP(D16,Cadastro!$A$7:$C$38,2,1)</f>
        <v>CIA DE ENERGIA DE MINAS GERAIS ON</v>
      </c>
      <c r="F16" s="39">
        <v>6.5</v>
      </c>
      <c r="G16" s="53">
        <v>100</v>
      </c>
      <c r="H16" s="53">
        <v>0.17499999999999999</v>
      </c>
      <c r="I16" s="39">
        <v>0.03</v>
      </c>
      <c r="J16" s="39">
        <v>1.595</v>
      </c>
      <c r="K16" s="39">
        <f t="shared" si="3"/>
        <v>651.79999999999995</v>
      </c>
      <c r="L16" s="53" t="s">
        <v>69</v>
      </c>
      <c r="M16" s="55">
        <v>43361</v>
      </c>
      <c r="N16" s="39">
        <f t="shared" si="2"/>
        <v>6.5179999999999998</v>
      </c>
      <c r="O16" s="39">
        <f t="shared" si="0"/>
        <v>0</v>
      </c>
      <c r="P16" s="39">
        <f t="shared" si="1"/>
        <v>651.79999999999995</v>
      </c>
    </row>
    <row r="17" spans="1:16" ht="14.65" customHeight="1">
      <c r="A17" s="40" t="str">
        <f>VLOOKUP(D17,Cadastro!$A$7:$C$38,3,1)</f>
        <v>11.669.021/0001-10</v>
      </c>
      <c r="B17" s="41">
        <v>678087</v>
      </c>
      <c r="C17" s="21">
        <v>43417</v>
      </c>
      <c r="D17" t="s">
        <v>37</v>
      </c>
      <c r="E17" t="str">
        <f>VLOOKUP(D17,Cadastro!$A$7:$C$38,2,1)</f>
        <v>QUEIROZ GALVAO PART ON</v>
      </c>
      <c r="F17" s="17">
        <v>11.35</v>
      </c>
      <c r="G17">
        <v>100</v>
      </c>
      <c r="H17">
        <v>0.31</v>
      </c>
      <c r="I17" s="17">
        <v>0.04</v>
      </c>
      <c r="J17" s="17">
        <v>2.83</v>
      </c>
      <c r="K17" s="17">
        <f t="shared" si="3"/>
        <v>1138.18</v>
      </c>
      <c r="L17" t="s">
        <v>69</v>
      </c>
      <c r="M17" s="21">
        <v>43423</v>
      </c>
      <c r="N17" s="17">
        <f t="shared" si="2"/>
        <v>11.3818</v>
      </c>
      <c r="O17" s="17">
        <f t="shared" si="0"/>
        <v>0</v>
      </c>
      <c r="P17">
        <f t="shared" si="1"/>
        <v>1138.18</v>
      </c>
    </row>
    <row r="18" spans="1:16" ht="14.65" customHeight="1">
      <c r="A18" s="40" t="str">
        <f>VLOOKUP(D18,Cadastro!$A$7:$C$38,3,1)</f>
        <v>01.027.058/0001-91</v>
      </c>
      <c r="B18" s="41">
        <v>651017</v>
      </c>
      <c r="C18" s="21">
        <v>43361</v>
      </c>
      <c r="D18" t="s">
        <v>16</v>
      </c>
      <c r="E18" t="str">
        <f>VLOOKUP(D18,Cadastro!$A$7:$C$38,2,1)</f>
        <v>CIELO SA</v>
      </c>
      <c r="F18" s="17">
        <v>13.75</v>
      </c>
      <c r="G18" s="41">
        <v>200</v>
      </c>
      <c r="H18">
        <v>0.75</v>
      </c>
      <c r="I18" s="17">
        <v>0.13</v>
      </c>
      <c r="J18" s="17">
        <v>6.87</v>
      </c>
      <c r="K18" s="17">
        <f t="shared" si="3"/>
        <v>2757.75</v>
      </c>
      <c r="L18" t="s">
        <v>69</v>
      </c>
      <c r="M18" s="21">
        <v>43364</v>
      </c>
      <c r="N18" s="17">
        <f t="shared" si="2"/>
        <v>13.78875</v>
      </c>
      <c r="O18" s="17">
        <f t="shared" si="0"/>
        <v>0</v>
      </c>
      <c r="P18">
        <f t="shared" si="1"/>
        <v>2757.75</v>
      </c>
    </row>
    <row r="19" spans="1:16" ht="14.65" customHeight="1">
      <c r="A19" s="40" t="str">
        <f>VLOOKUP(D19,Cadastro!$A$7:$C$38,3,1)</f>
        <v>00.001.180/0001-26</v>
      </c>
      <c r="B19" s="41">
        <v>680072</v>
      </c>
      <c r="C19" s="21">
        <v>43423</v>
      </c>
      <c r="D19" t="s">
        <v>41</v>
      </c>
      <c r="E19" t="str">
        <f>VLOOKUP(D19,Cadastro!$A$7:$C$38,2,1)</f>
        <v>ELETROBRAS ON</v>
      </c>
      <c r="F19" s="17">
        <v>24.98</v>
      </c>
      <c r="G19">
        <v>200</v>
      </c>
      <c r="H19">
        <v>1.37</v>
      </c>
      <c r="I19" s="17">
        <v>0.2</v>
      </c>
      <c r="J19" s="17">
        <v>9.99</v>
      </c>
      <c r="K19" s="17">
        <f t="shared" si="3"/>
        <v>4984.4399999999996</v>
      </c>
      <c r="L19" t="s">
        <v>68</v>
      </c>
      <c r="M19" s="21">
        <v>43427</v>
      </c>
      <c r="N19" s="33">
        <f t="shared" si="2"/>
        <v>24.922199999999997</v>
      </c>
      <c r="O19" s="17">
        <f t="shared" si="0"/>
        <v>4984.4399999999996</v>
      </c>
      <c r="P19">
        <f t="shared" si="1"/>
        <v>0</v>
      </c>
    </row>
    <row r="20" spans="1:16" ht="14.85" customHeight="1">
      <c r="A20" s="40" t="str">
        <f>VLOOKUP(D20,Cadastro!$A$7:$C$38,3,1)</f>
        <v>07.526.557/0001-00</v>
      </c>
      <c r="B20" s="41">
        <v>692858</v>
      </c>
      <c r="C20" s="21">
        <v>43453</v>
      </c>
      <c r="D20" t="s">
        <v>22</v>
      </c>
      <c r="E20" t="str">
        <f>VLOOKUP(D20,Cadastro!$A$7:$C$38,2,1)</f>
        <v>AMBEV SA ON</v>
      </c>
      <c r="F20" s="17">
        <v>15.78</v>
      </c>
      <c r="G20">
        <v>200</v>
      </c>
      <c r="H20">
        <v>0.86</v>
      </c>
      <c r="I20" s="17">
        <v>0.16</v>
      </c>
      <c r="J20" s="17">
        <v>6.31</v>
      </c>
      <c r="K20" s="17">
        <f t="shared" si="3"/>
        <v>3163.33</v>
      </c>
      <c r="L20" t="s">
        <v>69</v>
      </c>
      <c r="M20" s="21">
        <v>43460</v>
      </c>
      <c r="N20" s="42">
        <f t="shared" si="2"/>
        <v>15.816649999999999</v>
      </c>
      <c r="O20" s="17">
        <f t="shared" si="0"/>
        <v>0</v>
      </c>
      <c r="P20">
        <f t="shared" si="1"/>
        <v>3163.33</v>
      </c>
    </row>
    <row r="21" spans="1:16" ht="14.65" customHeight="1">
      <c r="A21" s="40" t="str">
        <f>VLOOKUP(D21,Cadastro!$A$7:$C$38,3,1)</f>
        <v>60.746.948/0001-12</v>
      </c>
      <c r="B21" s="41">
        <v>640570</v>
      </c>
      <c r="C21" s="21">
        <v>43332</v>
      </c>
      <c r="D21" t="s">
        <v>38</v>
      </c>
      <c r="E21" t="str">
        <f>VLOOKUP(D21,Cadastro!$A$7:$C$38,2,1)</f>
        <v>BANCO BRADESCO SA ON</v>
      </c>
      <c r="F21" s="17">
        <v>25</v>
      </c>
      <c r="G21">
        <v>100</v>
      </c>
      <c r="H21">
        <v>0.68</v>
      </c>
      <c r="I21">
        <v>0.12</v>
      </c>
      <c r="J21">
        <v>6.25</v>
      </c>
      <c r="K21" s="17">
        <f t="shared" si="3"/>
        <v>2507.0500000000002</v>
      </c>
      <c r="L21" t="s">
        <v>69</v>
      </c>
      <c r="M21" s="21">
        <v>43335</v>
      </c>
      <c r="N21" s="33">
        <f t="shared" si="2"/>
        <v>25.070500000000003</v>
      </c>
      <c r="O21" s="17">
        <f t="shared" si="0"/>
        <v>0</v>
      </c>
      <c r="P21">
        <f t="shared" si="1"/>
        <v>2507.0500000000002</v>
      </c>
    </row>
    <row r="22" spans="1:16" ht="14.65" customHeight="1">
      <c r="A22" s="40" t="str">
        <f>VLOOKUP(D22,Cadastro!$A$7:$C$38,3,1)</f>
        <v>61.532.644/0001-15</v>
      </c>
      <c r="B22" s="41">
        <v>641162</v>
      </c>
      <c r="C22" s="21">
        <v>43333</v>
      </c>
      <c r="D22" t="s">
        <v>39</v>
      </c>
      <c r="E22" t="str">
        <f>VLOOKUP(D22,Cadastro!$A$7:$C$38,2,1)</f>
        <v>ITAU INVESTIMENTOS SA PN</v>
      </c>
      <c r="F22" s="17">
        <v>9.5</v>
      </c>
      <c r="G22">
        <v>300</v>
      </c>
      <c r="H22">
        <v>0.78</v>
      </c>
      <c r="I22">
        <v>0.14000000000000001</v>
      </c>
      <c r="J22">
        <v>7.12</v>
      </c>
      <c r="K22" s="17">
        <f t="shared" si="3"/>
        <v>2858.04</v>
      </c>
      <c r="L22" t="s">
        <v>69</v>
      </c>
      <c r="M22" s="21">
        <v>43336</v>
      </c>
      <c r="N22" s="33">
        <f t="shared" si="2"/>
        <v>9.5267999999999997</v>
      </c>
      <c r="O22" s="17">
        <f t="shared" si="0"/>
        <v>0</v>
      </c>
      <c r="P22">
        <f t="shared" si="1"/>
        <v>2858.04</v>
      </c>
    </row>
    <row r="23" spans="1:16" ht="14.65" customHeight="1">
      <c r="A23" s="40" t="str">
        <f>VLOOKUP(D23,Cadastro!$A$7:$C$38,3,1)</f>
        <v>76.535.764/0001-43</v>
      </c>
      <c r="B23" s="41">
        <v>680813</v>
      </c>
      <c r="C23" s="21">
        <v>43425</v>
      </c>
      <c r="D23" t="s">
        <v>17</v>
      </c>
      <c r="E23" t="str">
        <f>VLOOKUP(D23,Cadastro!$A$7:$C$38,2,1)</f>
        <v>OI SA EM RECUPERAÇÃO JUDICIAL</v>
      </c>
      <c r="F23" s="17">
        <v>1.71</v>
      </c>
      <c r="G23">
        <v>800</v>
      </c>
      <c r="H23">
        <v>0.37</v>
      </c>
      <c r="I23">
        <v>0.05</v>
      </c>
      <c r="J23">
        <v>3.42</v>
      </c>
      <c r="K23" s="17">
        <f t="shared" si="3"/>
        <v>1371.84</v>
      </c>
      <c r="L23" t="s">
        <v>69</v>
      </c>
      <c r="M23" s="21">
        <v>43430</v>
      </c>
      <c r="N23" s="33">
        <f t="shared" si="2"/>
        <v>1.7147999999999999</v>
      </c>
      <c r="O23" s="17">
        <f t="shared" si="0"/>
        <v>0</v>
      </c>
      <c r="P23">
        <f t="shared" si="1"/>
        <v>1371.84</v>
      </c>
    </row>
    <row r="24" spans="1:16" ht="14.65" customHeight="1">
      <c r="A24" s="40" t="str">
        <f>VLOOKUP(D24,Cadastro!$A$7:$C$38,3,1)</f>
        <v>00.001.180/0001-26</v>
      </c>
      <c r="B24" s="41">
        <v>642680</v>
      </c>
      <c r="C24" s="21">
        <v>43336</v>
      </c>
      <c r="D24" t="s">
        <v>41</v>
      </c>
      <c r="E24" t="str">
        <f>VLOOKUP(D24,Cadastro!$A$7:$C$38,2,1)</f>
        <v>ELETROBRAS ON</v>
      </c>
      <c r="F24" s="17">
        <v>14.75</v>
      </c>
      <c r="G24">
        <v>200</v>
      </c>
      <c r="H24">
        <v>0.81</v>
      </c>
      <c r="I24">
        <v>0.14000000000000001</v>
      </c>
      <c r="J24">
        <v>7.37</v>
      </c>
      <c r="K24" s="17">
        <f t="shared" si="3"/>
        <v>2958.32</v>
      </c>
      <c r="L24" t="s">
        <v>69</v>
      </c>
      <c r="M24" s="21">
        <v>43341</v>
      </c>
      <c r="N24" s="33">
        <f t="shared" si="2"/>
        <v>14.791600000000001</v>
      </c>
      <c r="O24" s="17">
        <f t="shared" si="0"/>
        <v>0</v>
      </c>
      <c r="P24">
        <f t="shared" si="1"/>
        <v>2958.32</v>
      </c>
    </row>
    <row r="25" spans="1:16" ht="14.65" customHeight="1">
      <c r="A25" s="40" t="str">
        <f>VLOOKUP(D25,Cadastro!$A$7:$C$38,3,1)</f>
        <v>01.027.058/0001-91</v>
      </c>
      <c r="B25" s="41">
        <v>668964</v>
      </c>
      <c r="C25" s="21">
        <v>43398</v>
      </c>
      <c r="D25" t="s">
        <v>16</v>
      </c>
      <c r="E25" t="str">
        <f>VLOOKUP(D25,Cadastro!$A$7:$C$38,2,1)</f>
        <v>CIELO SA</v>
      </c>
      <c r="F25" s="17">
        <v>11.87</v>
      </c>
      <c r="G25">
        <v>200</v>
      </c>
      <c r="H25">
        <v>0.65</v>
      </c>
      <c r="I25">
        <v>0.11</v>
      </c>
      <c r="J25">
        <v>5.93</v>
      </c>
      <c r="K25" s="17">
        <f t="shared" si="3"/>
        <v>2380.69</v>
      </c>
      <c r="L25" t="s">
        <v>69</v>
      </c>
      <c r="M25" s="21">
        <v>43403</v>
      </c>
      <c r="N25" s="17">
        <f t="shared" si="2"/>
        <v>11.903449999999999</v>
      </c>
      <c r="O25" s="17">
        <f t="shared" si="0"/>
        <v>0</v>
      </c>
      <c r="P25">
        <f t="shared" si="1"/>
        <v>2380.69</v>
      </c>
    </row>
    <row r="26" spans="1:16" ht="14.65" customHeight="1">
      <c r="A26" s="40" t="str">
        <f>VLOOKUP(D26,Cadastro!$A$7:$C$38,3,1)</f>
        <v>11.669.021/0001-10</v>
      </c>
      <c r="B26" s="41">
        <v>654261</v>
      </c>
      <c r="C26" s="21">
        <v>43369</v>
      </c>
      <c r="D26" t="s">
        <v>37</v>
      </c>
      <c r="E26" t="str">
        <f>VLOOKUP(D26,Cadastro!$A$7:$C$38,2,1)</f>
        <v>QUEIROZ GALVAO PART ON</v>
      </c>
      <c r="F26" s="17">
        <v>12.83</v>
      </c>
      <c r="G26">
        <v>100</v>
      </c>
      <c r="H26">
        <v>0.35</v>
      </c>
      <c r="I26">
        <v>0.06</v>
      </c>
      <c r="J26">
        <v>3.2</v>
      </c>
      <c r="K26" s="17">
        <f t="shared" si="3"/>
        <v>1279.3900000000001</v>
      </c>
      <c r="L26" t="s">
        <v>68</v>
      </c>
      <c r="M26" s="21">
        <v>43374</v>
      </c>
      <c r="N26" s="17">
        <f t="shared" si="2"/>
        <v>12.793900000000001</v>
      </c>
      <c r="O26" s="17">
        <f t="shared" si="0"/>
        <v>1279.3900000000001</v>
      </c>
      <c r="P26">
        <f t="shared" si="1"/>
        <v>0</v>
      </c>
    </row>
    <row r="27" spans="1:16" ht="14.65" customHeight="1">
      <c r="A27" s="40" t="str">
        <f>VLOOKUP(D27,Cadastro!$A$7:$C$38,3,1)</f>
        <v>11.669.021/0001-10</v>
      </c>
      <c r="B27" s="41">
        <v>671559</v>
      </c>
      <c r="C27" s="21">
        <v>43403</v>
      </c>
      <c r="D27" t="s">
        <v>37</v>
      </c>
      <c r="E27" t="str">
        <f>VLOOKUP(D27,Cadastro!$A$7:$C$38,2,1)</f>
        <v>QUEIROZ GALVAO PART ON</v>
      </c>
      <c r="F27" s="17">
        <v>12</v>
      </c>
      <c r="G27">
        <v>200</v>
      </c>
      <c r="H27">
        <v>0.66</v>
      </c>
      <c r="I27">
        <v>0.11</v>
      </c>
      <c r="J27">
        <v>6</v>
      </c>
      <c r="K27" s="17">
        <f t="shared" si="3"/>
        <v>2406.77</v>
      </c>
      <c r="L27" t="s">
        <v>69</v>
      </c>
      <c r="M27" s="21">
        <v>43409</v>
      </c>
      <c r="N27" s="17">
        <f t="shared" si="2"/>
        <v>12.033849999999999</v>
      </c>
      <c r="O27" s="17">
        <f t="shared" si="0"/>
        <v>0</v>
      </c>
      <c r="P27">
        <f t="shared" si="1"/>
        <v>2406.77</v>
      </c>
    </row>
    <row r="28" spans="1:16" ht="14.65" customHeight="1">
      <c r="A28" s="40" t="str">
        <f>VLOOKUP(D28,Cadastro!$A$7:$C$38,3,1)</f>
        <v>01.027.058/0001-91</v>
      </c>
      <c r="B28">
        <v>672240</v>
      </c>
      <c r="C28" s="21">
        <v>43404</v>
      </c>
      <c r="D28" t="s">
        <v>16</v>
      </c>
      <c r="E28" t="str">
        <f>VLOOKUP(D28,Cadastro!$A$7:$C$38,2,1)</f>
        <v>CIELO SA</v>
      </c>
      <c r="F28">
        <v>13.35</v>
      </c>
      <c r="G28">
        <v>400</v>
      </c>
      <c r="H28">
        <v>1.46</v>
      </c>
      <c r="I28">
        <v>0.26</v>
      </c>
      <c r="J28">
        <v>10.68</v>
      </c>
      <c r="K28" s="17">
        <f t="shared" si="3"/>
        <v>5327.6</v>
      </c>
      <c r="L28" t="s">
        <v>68</v>
      </c>
      <c r="M28" s="21">
        <v>43410</v>
      </c>
      <c r="N28" s="42">
        <f t="shared" si="2"/>
        <v>13.319000000000001</v>
      </c>
      <c r="O28" s="17">
        <f t="shared" si="0"/>
        <v>5327.6</v>
      </c>
      <c r="P28">
        <f t="shared" si="1"/>
        <v>0</v>
      </c>
    </row>
    <row r="29" spans="1:16" ht="14.65" customHeight="1">
      <c r="A29" s="40" t="str">
        <f>VLOOKUP(D29,Cadastro!$A$7:$C$38,3,1)</f>
        <v>33.000.167/0001-01</v>
      </c>
      <c r="B29">
        <v>611917</v>
      </c>
      <c r="C29" s="21">
        <v>43257</v>
      </c>
      <c r="D29" t="s">
        <v>15</v>
      </c>
      <c r="E29" t="str">
        <f>VLOOKUP(D29,Cadastro!$A$7:$C$38,2,1)</f>
        <v>PETRÓLEO BRASILEIRO S.A. PN</v>
      </c>
      <c r="F29">
        <v>16.47</v>
      </c>
      <c r="G29">
        <v>300</v>
      </c>
      <c r="H29">
        <v>1.35</v>
      </c>
      <c r="I29">
        <v>0.34</v>
      </c>
      <c r="J29">
        <v>9.8800000000000008</v>
      </c>
      <c r="K29" s="17">
        <f t="shared" si="3"/>
        <v>4952.57</v>
      </c>
      <c r="L29" t="s">
        <v>69</v>
      </c>
      <c r="M29" s="21">
        <v>43262</v>
      </c>
      <c r="N29" s="17">
        <f t="shared" si="2"/>
        <v>16.508566666666667</v>
      </c>
      <c r="O29" s="17">
        <f t="shared" si="0"/>
        <v>0</v>
      </c>
      <c r="P29">
        <f t="shared" si="1"/>
        <v>4952.57</v>
      </c>
    </row>
    <row r="30" spans="1:16" ht="14.65" customHeight="1">
      <c r="A30" s="40" t="str">
        <f>VLOOKUP(D30,Cadastro!$A$7:$C$38,3,1)</f>
        <v>07.689.002/0001-89</v>
      </c>
      <c r="B30">
        <v>711878</v>
      </c>
      <c r="C30" s="21">
        <v>43497</v>
      </c>
      <c r="D30" t="s">
        <v>21</v>
      </c>
      <c r="E30" t="str">
        <f>VLOOKUP(D30,Cadastro!$A$7:$C$38,2,1)</f>
        <v>EMBRAER SA</v>
      </c>
      <c r="F30">
        <v>19.2</v>
      </c>
      <c r="G30">
        <v>100</v>
      </c>
      <c r="H30">
        <v>0.52</v>
      </c>
      <c r="I30">
        <v>0.08</v>
      </c>
      <c r="J30">
        <v>4.8</v>
      </c>
      <c r="K30" s="17">
        <f t="shared" si="3"/>
        <v>1925.4</v>
      </c>
      <c r="L30" t="s">
        <v>69</v>
      </c>
      <c r="M30" s="21">
        <v>43502</v>
      </c>
      <c r="N30" s="33">
        <f t="shared" si="2"/>
        <v>19.254000000000001</v>
      </c>
      <c r="O30" s="17">
        <f t="shared" si="0"/>
        <v>0</v>
      </c>
      <c r="P30">
        <f t="shared" si="1"/>
        <v>1925.4</v>
      </c>
    </row>
    <row r="31" spans="1:16" ht="14.65" customHeight="1">
      <c r="A31" s="40" t="str">
        <f>VLOOKUP(D31,Cadastro!$A$7:$C$38,3,1)</f>
        <v>02.998.611/0001-04</v>
      </c>
      <c r="B31">
        <v>711129</v>
      </c>
      <c r="C31" s="21">
        <v>43496</v>
      </c>
      <c r="D31" t="s">
        <v>31</v>
      </c>
      <c r="E31" t="str">
        <f>VLOOKUP(D31,Cadastro!$A$7:$C$38,2,1)</f>
        <v>TRANSMISSÃO PAULISTA CTEEP</v>
      </c>
      <c r="F31">
        <v>47.21</v>
      </c>
      <c r="G31">
        <v>100</v>
      </c>
      <c r="H31">
        <v>1.29</v>
      </c>
      <c r="I31">
        <v>0.21</v>
      </c>
      <c r="J31">
        <v>9.44</v>
      </c>
      <c r="K31" s="17">
        <f t="shared" si="3"/>
        <v>4731.9399999999996</v>
      </c>
      <c r="L31" t="s">
        <v>69</v>
      </c>
      <c r="M31" s="21">
        <v>43501</v>
      </c>
      <c r="N31" s="42">
        <f t="shared" si="2"/>
        <v>47.319399999999995</v>
      </c>
      <c r="O31" s="17">
        <f t="shared" si="0"/>
        <v>0</v>
      </c>
      <c r="P31">
        <f t="shared" si="1"/>
        <v>4731.9399999999996</v>
      </c>
    </row>
    <row r="32" spans="1:16" ht="14.65" customHeight="1">
      <c r="A32" s="45" t="str">
        <f>VLOOKUP(D32,Cadastro!$A$7:$C$38,3,1)</f>
        <v>76.535.764/0001-43</v>
      </c>
      <c r="B32" s="44">
        <v>708607</v>
      </c>
      <c r="C32" s="45">
        <v>43493</v>
      </c>
      <c r="D32" s="43" t="s">
        <v>17</v>
      </c>
      <c r="E32" s="43" t="str">
        <f>VLOOKUP(D32,Cadastro!$A$7:$C$38,2,1)</f>
        <v>OI SA EM RECUPERAÇÃO JUDICIAL</v>
      </c>
      <c r="F32" s="46">
        <v>1.26</v>
      </c>
      <c r="G32" s="43">
        <v>2200</v>
      </c>
      <c r="H32" s="46">
        <v>0.81</v>
      </c>
      <c r="I32" s="46">
        <v>0.13</v>
      </c>
      <c r="J32" s="46">
        <v>7.44</v>
      </c>
      <c r="K32" s="46">
        <f t="shared" si="3"/>
        <v>2780.38</v>
      </c>
      <c r="L32" s="43" t="s">
        <v>69</v>
      </c>
      <c r="M32" s="45">
        <v>43496</v>
      </c>
      <c r="N32" s="47">
        <f t="shared" si="2"/>
        <v>1.2638090909090909</v>
      </c>
      <c r="O32" s="47">
        <f t="shared" si="0"/>
        <v>0</v>
      </c>
      <c r="P32" s="47">
        <f t="shared" si="1"/>
        <v>2780.38</v>
      </c>
    </row>
    <row r="33" spans="1:16" ht="14.65" customHeight="1">
      <c r="A33" s="50" t="str">
        <f>VLOOKUP(D33,Cadastro!$A$7:$C$38,3,1)</f>
        <v>02.998.611/0001-04</v>
      </c>
      <c r="B33" s="49">
        <v>708607</v>
      </c>
      <c r="C33" s="50">
        <v>43493</v>
      </c>
      <c r="D33" s="48" t="s">
        <v>19</v>
      </c>
      <c r="E33" s="48" t="str">
        <f>VLOOKUP(D33,Cadastro!$A$7:$C$38,2,1)</f>
        <v>TRANSMISSÃO PAULISTA CTEEP</v>
      </c>
      <c r="F33" s="51">
        <v>105.65</v>
      </c>
      <c r="G33" s="48">
        <v>1</v>
      </c>
      <c r="H33" s="51"/>
      <c r="I33" s="51"/>
      <c r="J33" s="51"/>
      <c r="K33" s="51">
        <f t="shared" si="3"/>
        <v>105.65</v>
      </c>
      <c r="L33" s="48" t="s">
        <v>69</v>
      </c>
      <c r="M33" s="50">
        <v>43496</v>
      </c>
      <c r="N33" s="52">
        <f t="shared" si="2"/>
        <v>105.65</v>
      </c>
      <c r="O33" s="52">
        <f t="shared" si="0"/>
        <v>0</v>
      </c>
      <c r="P33" s="52">
        <f t="shared" si="1"/>
        <v>105.65</v>
      </c>
    </row>
    <row r="34" spans="1:16" ht="14.65" customHeight="1">
      <c r="A34" s="55" t="str">
        <f>VLOOKUP(D34,Cadastro!$A$7:$C$38,3,1)</f>
        <v>02.998.611/0001-04</v>
      </c>
      <c r="B34" s="54">
        <v>708607</v>
      </c>
      <c r="C34" s="55">
        <v>43493</v>
      </c>
      <c r="D34" s="53" t="s">
        <v>18</v>
      </c>
      <c r="E34" s="53" t="str">
        <f>VLOOKUP(D34,Cadastro!$A$7:$C$38,2,1)</f>
        <v>TRANSMISSÃO PAULISTA CTEEP</v>
      </c>
      <c r="F34" s="39">
        <v>101.4</v>
      </c>
      <c r="G34" s="53">
        <v>1</v>
      </c>
      <c r="H34" s="39"/>
      <c r="I34" s="39"/>
      <c r="J34" s="39"/>
      <c r="K34" s="39">
        <f t="shared" si="3"/>
        <v>101.4</v>
      </c>
      <c r="L34" s="53" t="s">
        <v>69</v>
      </c>
      <c r="M34" s="55">
        <v>43496</v>
      </c>
      <c r="N34" s="56">
        <f t="shared" si="2"/>
        <v>101.4</v>
      </c>
      <c r="O34" s="56">
        <f t="shared" si="0"/>
        <v>0</v>
      </c>
      <c r="P34" s="56">
        <f t="shared" si="1"/>
        <v>101.4</v>
      </c>
    </row>
    <row r="35" spans="1:16" ht="14.65" customHeight="1">
      <c r="A35" s="40" t="str">
        <f>VLOOKUP(D35,Cadastro!$A$7:$C$38,3,1)</f>
        <v>11.669.021/0001-10</v>
      </c>
      <c r="B35">
        <v>717450</v>
      </c>
      <c r="C35" s="35">
        <v>43509</v>
      </c>
      <c r="D35" t="s">
        <v>37</v>
      </c>
      <c r="E35" t="str">
        <f>VLOOKUP(D35,Cadastro!$A$7:$C$38,2,1)</f>
        <v>QUEIROZ GALVAO PART ON</v>
      </c>
      <c r="F35">
        <v>13.01</v>
      </c>
      <c r="G35">
        <v>300</v>
      </c>
      <c r="H35">
        <v>1.07</v>
      </c>
      <c r="I35">
        <v>0.15</v>
      </c>
      <c r="J35">
        <v>7.8</v>
      </c>
      <c r="K35" s="17">
        <f t="shared" si="3"/>
        <v>3893.98</v>
      </c>
      <c r="L35" t="s">
        <v>68</v>
      </c>
      <c r="M35" s="21">
        <v>43514</v>
      </c>
      <c r="N35">
        <f t="shared" si="2"/>
        <v>12.979933333333333</v>
      </c>
      <c r="O35" s="17">
        <f t="shared" si="0"/>
        <v>3893.98</v>
      </c>
      <c r="P35">
        <f t="shared" si="1"/>
        <v>0</v>
      </c>
    </row>
    <row r="36" spans="1:16" ht="14.65" customHeight="1">
      <c r="A36" s="40" t="str">
        <f>VLOOKUP(D36,Cadastro!$A$7:$C$38,3,1)</f>
        <v>02.932.074/0001-91</v>
      </c>
      <c r="B36">
        <v>725570</v>
      </c>
      <c r="C36" s="35">
        <v>43525</v>
      </c>
      <c r="D36" t="s">
        <v>42</v>
      </c>
      <c r="E36" t="str">
        <f>VLOOKUP(D36,Cadastro!$A$7:$C$38,2,1)</f>
        <v>HYPERMARCAS S/A</v>
      </c>
      <c r="F36">
        <v>26.6</v>
      </c>
      <c r="G36">
        <v>100</v>
      </c>
      <c r="H36">
        <v>0.73</v>
      </c>
      <c r="I36">
        <v>0.1</v>
      </c>
      <c r="J36">
        <v>6.65</v>
      </c>
      <c r="K36" s="17">
        <f t="shared" si="3"/>
        <v>2667.48</v>
      </c>
      <c r="L36" t="s">
        <v>69</v>
      </c>
      <c r="M36" s="21">
        <v>43532</v>
      </c>
      <c r="N36">
        <f t="shared" si="2"/>
        <v>26.674800000000001</v>
      </c>
      <c r="O36" s="17">
        <f t="shared" si="0"/>
        <v>0</v>
      </c>
      <c r="P36">
        <f t="shared" si="1"/>
        <v>2667.48</v>
      </c>
    </row>
    <row r="37" spans="1:16" ht="14.65" customHeight="1">
      <c r="M37" s="21"/>
    </row>
    <row r="38" spans="1:16" ht="14.65" customHeight="1">
      <c r="M38" s="21"/>
    </row>
  </sheetData>
  <autoFilter ref="A6:P36"/>
  <pageMargins left="0.39374999999999999" right="0.39374999999999999" top="0.65902777777777799" bottom="0.65902777777777799" header="0.39374999999999999" footer="0.39374999999999999"/>
  <pageSetup paperSize="9" firstPageNumber="0" orientation="portrait" horizontalDpi="300" verticalDpi="300"/>
  <headerFooter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O54"/>
  <sheetViews>
    <sheetView topLeftCell="A6" zoomScale="90" zoomScaleNormal="90" workbookViewId="0">
      <selection activeCell="G7" sqref="G7"/>
    </sheetView>
  </sheetViews>
  <sheetFormatPr defaultRowHeight="12.75"/>
  <cols>
    <col min="1" max="1" width="19.42578125" customWidth="1"/>
    <col min="2" max="2" width="8.7109375" customWidth="1"/>
    <col min="3" max="3" width="43.42578125" customWidth="1"/>
    <col min="4" max="4" width="25.140625" customWidth="1"/>
    <col min="5" max="8" width="11.42578125" customWidth="1"/>
    <col min="9" max="9" width="17.42578125" customWidth="1"/>
    <col min="10" max="1025" width="11.42578125" customWidth="1"/>
  </cols>
  <sheetData>
    <row r="1" spans="1:9" ht="12.75" customHeight="1"/>
    <row r="6" spans="1:9" ht="14.65" customHeight="1">
      <c r="A6" s="38" t="s">
        <v>3</v>
      </c>
      <c r="B6" s="38" t="s">
        <v>60</v>
      </c>
      <c r="C6" s="38" t="s">
        <v>5</v>
      </c>
      <c r="D6" s="38" t="s">
        <v>70</v>
      </c>
      <c r="E6" s="38" t="s">
        <v>6</v>
      </c>
      <c r="F6" s="38" t="s">
        <v>61</v>
      </c>
      <c r="G6" s="38" t="s">
        <v>9</v>
      </c>
    </row>
    <row r="7" spans="1:9" ht="14.65" customHeight="1">
      <c r="A7" t="str">
        <f>VLOOKUP(B7,Cadastro!$A$7:$C$54,3,1)</f>
        <v>33.000.167/0001-01</v>
      </c>
      <c r="B7" t="s">
        <v>15</v>
      </c>
      <c r="C7" s="12" t="str">
        <f>VLOOKUP(B7,Cadastro!$A$7:$C$54,2,1)</f>
        <v>PETRÓLEO BRASILEIRO S.A. PN</v>
      </c>
      <c r="D7" s="12" t="s">
        <v>71</v>
      </c>
      <c r="E7" s="21">
        <v>43335</v>
      </c>
      <c r="F7">
        <v>300</v>
      </c>
      <c r="G7">
        <v>12.75</v>
      </c>
    </row>
    <row r="8" spans="1:9" ht="14.65" customHeight="1">
      <c r="A8" t="str">
        <f>VLOOKUP(B8,Cadastro!$A$7:$C$54,3,1)</f>
        <v>60.746.948/0001-12</v>
      </c>
      <c r="B8" t="s">
        <v>38</v>
      </c>
      <c r="C8" s="12" t="str">
        <f>VLOOKUP(B8,Cadastro!$A$7:$C$54,2,1)</f>
        <v>BANCO BRADESCO SA ON</v>
      </c>
      <c r="D8" s="12" t="s">
        <v>71</v>
      </c>
      <c r="E8" s="21">
        <v>43374</v>
      </c>
      <c r="F8">
        <v>100</v>
      </c>
      <c r="G8">
        <v>1.47</v>
      </c>
    </row>
    <row r="9" spans="1:9" ht="14.65" customHeight="1">
      <c r="A9" t="str">
        <f>VLOOKUP(B9,Cadastro!$A$7:$C$54,3,1)</f>
        <v>61.532.644/0001-15</v>
      </c>
      <c r="B9" t="s">
        <v>39</v>
      </c>
      <c r="C9" s="12" t="str">
        <f>VLOOKUP(B9,Cadastro!$A$7:$C$54,2,1)</f>
        <v>ITAU INVESTIMENTOS SA PN</v>
      </c>
      <c r="D9" s="12" t="s">
        <v>49</v>
      </c>
      <c r="E9" s="21">
        <v>43374</v>
      </c>
      <c r="F9">
        <v>300</v>
      </c>
      <c r="G9">
        <v>4.5</v>
      </c>
    </row>
    <row r="10" spans="1:9" ht="14.65" customHeight="1">
      <c r="A10" t="str">
        <f>VLOOKUP(B10,Cadastro!$A$7:$C$54,3,1)</f>
        <v>60.746.948/0001-12</v>
      </c>
      <c r="B10" t="s">
        <v>38</v>
      </c>
      <c r="C10" s="12" t="str">
        <f>VLOOKUP(B10,Cadastro!$A$7:$C$54,2,1)</f>
        <v>BANCO BRADESCO SA ON</v>
      </c>
      <c r="D10" s="12" t="s">
        <v>71</v>
      </c>
      <c r="E10" s="21">
        <v>43405</v>
      </c>
      <c r="F10">
        <v>100</v>
      </c>
      <c r="G10">
        <v>1.47</v>
      </c>
    </row>
    <row r="11" spans="1:9" ht="14.65" customHeight="1">
      <c r="A11" t="str">
        <f>VLOOKUP(B11,Cadastro!$A$7:$C$54,3,1)</f>
        <v>33.000.167/0001-01</v>
      </c>
      <c r="B11" t="s">
        <v>15</v>
      </c>
      <c r="C11" s="12" t="str">
        <f>VLOOKUP(B11,Cadastro!$A$7:$C$54,2,1)</f>
        <v>PETRÓLEO BRASILEIRO S.A. PN</v>
      </c>
      <c r="D11" s="12" t="s">
        <v>71</v>
      </c>
      <c r="E11" s="21">
        <v>43437</v>
      </c>
      <c r="F11">
        <v>300</v>
      </c>
      <c r="G11">
        <v>25.5</v>
      </c>
    </row>
    <row r="12" spans="1:9" ht="14.65" customHeight="1">
      <c r="A12" t="str">
        <f>VLOOKUP(B12,Cadastro!$A$7:$C$54,3,1)</f>
        <v>01.027.058/0001-91</v>
      </c>
      <c r="B12" s="57" t="s">
        <v>16</v>
      </c>
      <c r="C12" s="12" t="str">
        <f>VLOOKUP(B12,Cadastro!$A$7:$C$54,2,1)</f>
        <v>CIELO SA</v>
      </c>
      <c r="D12" s="12" t="s">
        <v>71</v>
      </c>
      <c r="E12" s="21">
        <v>43460</v>
      </c>
      <c r="F12">
        <v>200</v>
      </c>
      <c r="G12">
        <v>9.5500000000000007</v>
      </c>
      <c r="H12" s="35"/>
      <c r="I12" s="57"/>
    </row>
    <row r="13" spans="1:9" ht="14.65" customHeight="1">
      <c r="A13" t="str">
        <f>VLOOKUP(B13,Cadastro!$A$7:$C$54,3,1)</f>
        <v>01.027.058/0001-91</v>
      </c>
      <c r="B13" s="57" t="s">
        <v>16</v>
      </c>
      <c r="C13" s="12" t="str">
        <f>VLOOKUP(B13,Cadastro!$A$7:$C$54,2,1)</f>
        <v>CIELO SA</v>
      </c>
      <c r="D13" s="12" t="s">
        <v>49</v>
      </c>
      <c r="E13" s="21">
        <v>43460</v>
      </c>
      <c r="F13">
        <v>600</v>
      </c>
      <c r="G13">
        <v>159.71</v>
      </c>
      <c r="H13" s="35"/>
      <c r="I13" s="57"/>
    </row>
    <row r="14" spans="1:9" ht="14.65" customHeight="1">
      <c r="A14" t="str">
        <f>VLOOKUP(B14,Cadastro!$A$7:$C$54,3,1)</f>
        <v>17.554.274/0001-25</v>
      </c>
      <c r="B14" s="57" t="s">
        <v>19</v>
      </c>
      <c r="C14" s="12" t="str">
        <f>VLOOKUP(B14,Cadastro!$A$7:$C$54,2,1)</f>
        <v>VINCI SHOPPING CENTER FII</v>
      </c>
      <c r="D14" s="12" t="s">
        <v>72</v>
      </c>
      <c r="E14" s="21">
        <v>43510</v>
      </c>
      <c r="F14">
        <v>1</v>
      </c>
      <c r="G14">
        <v>0.6</v>
      </c>
      <c r="H14" s="35"/>
      <c r="I14" s="57"/>
    </row>
    <row r="15" spans="1:9" ht="14.65" customHeight="1">
      <c r="A15" t="str">
        <f>VLOOKUP(B15,Cadastro!$A$7:$C$54,3,1)</f>
        <v>26.502.794/0001-85</v>
      </c>
      <c r="B15" s="57" t="s">
        <v>18</v>
      </c>
      <c r="C15" s="12" t="str">
        <f>VLOOKUP(B15,Cadastro!$A$7:$C$54,2,1)</f>
        <v>XP LOG FDO INV IMOB – FII</v>
      </c>
      <c r="D15" s="12" t="s">
        <v>72</v>
      </c>
      <c r="E15" s="21">
        <v>43510</v>
      </c>
      <c r="F15">
        <v>1</v>
      </c>
      <c r="G15">
        <v>0.67</v>
      </c>
      <c r="H15" s="35"/>
      <c r="I15" s="57"/>
    </row>
    <row r="16" spans="1:9" ht="14.65" customHeight="1">
      <c r="A16" t="str">
        <f>VLOOKUP(B16,Cadastro!$A$7:$C$54,3,1)</f>
        <v>01.027.058/0001-91</v>
      </c>
      <c r="B16" s="57" t="s">
        <v>16</v>
      </c>
      <c r="C16" s="12" t="str">
        <f>VLOOKUP(B16,Cadastro!$A$7:$C$54,2,1)</f>
        <v>CIELO SA</v>
      </c>
      <c r="D16" s="12" t="s">
        <v>71</v>
      </c>
      <c r="E16" s="21">
        <v>43535</v>
      </c>
      <c r="F16">
        <v>600</v>
      </c>
      <c r="G16">
        <v>31.1</v>
      </c>
      <c r="H16" s="35"/>
      <c r="I16" s="57"/>
    </row>
    <row r="17" spans="1:15" ht="14.65" customHeight="1">
      <c r="A17" t="str">
        <f>VLOOKUP(B17,Cadastro!$A$7:$C$54,3,1)</f>
        <v>01.027.058/0001-91</v>
      </c>
      <c r="B17" s="57" t="s">
        <v>16</v>
      </c>
      <c r="C17" s="12" t="str">
        <f>VLOOKUP(B17,Cadastro!$A$7:$C$54,2,1)</f>
        <v>CIELO SA</v>
      </c>
      <c r="D17" s="12" t="s">
        <v>49</v>
      </c>
      <c r="E17" s="21">
        <v>43535</v>
      </c>
      <c r="F17">
        <v>600</v>
      </c>
      <c r="G17">
        <v>156.83000000000001</v>
      </c>
      <c r="H17" s="35"/>
      <c r="I17" s="57"/>
    </row>
    <row r="18" spans="1:15" ht="14.65" customHeight="1">
      <c r="A18" t="str">
        <f>VLOOKUP(B18,Cadastro!$A$7:$C$54,3,1)</f>
        <v>17.554.274/0001-25</v>
      </c>
      <c r="B18" s="57" t="s">
        <v>19</v>
      </c>
      <c r="C18" s="12" t="str">
        <f>VLOOKUP(B18,Cadastro!$A$7:$C$54,2,1)</f>
        <v>VINCI SHOPPING CENTER FII</v>
      </c>
      <c r="D18" s="12" t="s">
        <v>72</v>
      </c>
      <c r="E18" s="21">
        <v>43542</v>
      </c>
      <c r="F18">
        <v>1</v>
      </c>
      <c r="G18">
        <v>0.6</v>
      </c>
      <c r="H18" s="35"/>
      <c r="I18" s="57"/>
    </row>
    <row r="19" spans="1:15" ht="14.65" customHeight="1">
      <c r="A19" t="str">
        <f>VLOOKUP(B19,Cadastro!$A$7:$C$54,3,1)</f>
        <v>26.502.794/0001-85</v>
      </c>
      <c r="B19" s="57" t="s">
        <v>18</v>
      </c>
      <c r="C19" s="12" t="str">
        <f>VLOOKUP(B19,Cadastro!$A$7:$C$54,2,1)</f>
        <v>XP LOG FDO INV IMOB – FII</v>
      </c>
      <c r="D19" s="12" t="s">
        <v>72</v>
      </c>
      <c r="E19" s="21">
        <v>43542</v>
      </c>
      <c r="F19">
        <v>1</v>
      </c>
      <c r="G19">
        <v>0.67</v>
      </c>
      <c r="H19" s="35"/>
      <c r="I19" s="57"/>
    </row>
    <row r="20" spans="1:15" ht="14.65" customHeight="1">
      <c r="A20" t="str">
        <f>VLOOKUP(B20,Cadastro!$A$7:$C$54,3,1)</f>
        <v>17.554.274/0001-25</v>
      </c>
      <c r="B20" s="57" t="s">
        <v>19</v>
      </c>
      <c r="C20" s="12" t="str">
        <f>VLOOKUP(B20,Cadastro!$A$7:$C$54,2,1)</f>
        <v>VINCI SHOPPING CENTER FII</v>
      </c>
      <c r="D20" t="s">
        <v>72</v>
      </c>
      <c r="E20" s="21">
        <v>43567</v>
      </c>
      <c r="F20">
        <v>1</v>
      </c>
      <c r="G20">
        <v>0.6</v>
      </c>
      <c r="H20" s="35"/>
      <c r="I20" s="57"/>
    </row>
    <row r="21" spans="1:15" ht="14.65" customHeight="1">
      <c r="A21" t="str">
        <f>VLOOKUP(B21,Cadastro!$A$7:$C$54,3,1)</f>
        <v>26.502.794/0001-85</v>
      </c>
      <c r="B21" s="57" t="s">
        <v>18</v>
      </c>
      <c r="C21" s="12" t="str">
        <f>VLOOKUP(B21,Cadastro!$A$7:$C$54,2,1)</f>
        <v>XP LOG FDO INV IMOB – FII</v>
      </c>
      <c r="D21" t="s">
        <v>72</v>
      </c>
      <c r="E21" s="21">
        <v>43567</v>
      </c>
      <c r="F21">
        <v>1</v>
      </c>
      <c r="G21">
        <v>0.68</v>
      </c>
      <c r="H21" s="35"/>
      <c r="I21" s="57"/>
    </row>
    <row r="22" spans="1:15" ht="14.65" customHeight="1">
      <c r="A22" t="str">
        <f>VLOOKUP(B22,Cadastro!$A$7:$C$54,3,1)</f>
        <v>90.400.888/0001-42</v>
      </c>
      <c r="B22" s="57" t="s">
        <v>33</v>
      </c>
      <c r="C22" s="12" t="str">
        <f>VLOOKUP(B22,Cadastro!$A$7:$C$54,2,1)</f>
        <v>BANCO SANTANDER BRON ON</v>
      </c>
      <c r="D22" t="s">
        <v>71</v>
      </c>
      <c r="E22" s="21">
        <v>43584</v>
      </c>
      <c r="F22">
        <v>100</v>
      </c>
      <c r="G22">
        <v>10.84</v>
      </c>
      <c r="H22" s="35"/>
      <c r="I22" s="57"/>
    </row>
    <row r="23" spans="1:15" ht="14.65" customHeight="1">
      <c r="A23" t="str">
        <f>VLOOKUP(B23,Cadastro!$A$7:$C$54,3,1)</f>
        <v>17.554.274/0001-25</v>
      </c>
      <c r="B23" s="57" t="s">
        <v>19</v>
      </c>
      <c r="C23" s="12" t="str">
        <f>VLOOKUP(B23,Cadastro!$A$7:$C$54,2,1)</f>
        <v>VINCI SHOPPING CENTER FII</v>
      </c>
      <c r="D23" t="s">
        <v>72</v>
      </c>
      <c r="E23" s="21">
        <v>43600</v>
      </c>
      <c r="F23">
        <v>1</v>
      </c>
      <c r="G23">
        <v>0.49</v>
      </c>
      <c r="H23" s="35"/>
      <c r="I23" s="57"/>
    </row>
    <row r="24" spans="1:15" ht="14.65" customHeight="1">
      <c r="A24" t="str">
        <f>VLOOKUP(B24,Cadastro!$A$7:$C$54,3,1)</f>
        <v>26.502.794/0001-85</v>
      </c>
      <c r="B24" s="57" t="s">
        <v>18</v>
      </c>
      <c r="C24" s="12" t="str">
        <f>VLOOKUP(B24,Cadastro!$A$7:$C$54,2,1)</f>
        <v>XP LOG FDO INV IMOB – FII</v>
      </c>
      <c r="D24" t="s">
        <v>72</v>
      </c>
      <c r="E24" s="21">
        <v>43600</v>
      </c>
      <c r="F24">
        <v>1</v>
      </c>
      <c r="G24">
        <v>0.68</v>
      </c>
      <c r="H24" s="35"/>
      <c r="I24" s="57"/>
    </row>
    <row r="25" spans="1:15" ht="14.65" customHeight="1">
      <c r="A25" t="str">
        <f>VLOOKUP(B25,Cadastro!$A$7:$C$54,3,1)</f>
        <v>33.000.167/0001-01</v>
      </c>
      <c r="B25" s="57" t="s">
        <v>15</v>
      </c>
      <c r="C25" s="12" t="str">
        <f>VLOOKUP(B25,Cadastro!$A$7:$C$54,2,1)</f>
        <v>PETRÓLEO BRASILEIRO S.A. PN</v>
      </c>
      <c r="D25" t="s">
        <v>71</v>
      </c>
      <c r="E25" s="21">
        <v>43605</v>
      </c>
      <c r="F25">
        <v>300</v>
      </c>
      <c r="G25">
        <v>178.5</v>
      </c>
      <c r="H25" s="35"/>
      <c r="I25" s="57"/>
    </row>
    <row r="26" spans="1:15" ht="14.65" customHeight="1">
      <c r="A26" t="str">
        <f>VLOOKUP(B26,Cadastro!$A$7:$C$54,3,1)</f>
        <v>33.000.167/0001-01</v>
      </c>
      <c r="B26" s="57" t="s">
        <v>15</v>
      </c>
      <c r="C26" s="12" t="str">
        <f>VLOOKUP(B26,Cadastro!$A$7:$C$54,2,1)</f>
        <v>PETRÓLEO BRASILEIRO S.A. PN</v>
      </c>
      <c r="D26" t="s">
        <v>72</v>
      </c>
      <c r="E26" s="21">
        <v>43605</v>
      </c>
      <c r="F26">
        <v>300</v>
      </c>
      <c r="G26">
        <v>3.85</v>
      </c>
      <c r="H26" s="35"/>
      <c r="I26" s="57"/>
      <c r="O26">
        <f>813-160</f>
        <v>653</v>
      </c>
    </row>
    <row r="27" spans="1:15" ht="14.65" customHeight="1">
      <c r="A27" t="str">
        <f>VLOOKUP(B27,Cadastro!$A$7:$C$54,3,1)</f>
        <v>33.000.167/0001-01</v>
      </c>
      <c r="B27" s="57" t="s">
        <v>15</v>
      </c>
      <c r="C27" s="12" t="str">
        <f>VLOOKUP(B27,Cadastro!$A$7:$C$54,2,1)</f>
        <v>PETRÓLEO BRASILEIRO S.A. PN</v>
      </c>
      <c r="D27" t="s">
        <v>49</v>
      </c>
      <c r="E27" s="21">
        <v>43605</v>
      </c>
      <c r="F27">
        <v>300</v>
      </c>
      <c r="G27">
        <v>5.71</v>
      </c>
      <c r="H27" s="35"/>
      <c r="I27" s="57"/>
      <c r="O27">
        <v>697.77</v>
      </c>
    </row>
    <row r="28" spans="1:15" ht="14.65" customHeight="1">
      <c r="A28" t="str">
        <f>VLOOKUP(B28,Cadastro!$A$7:$C$54,3,1)</f>
        <v>33.000.167/0001-01</v>
      </c>
      <c r="B28" s="57" t="s">
        <v>15</v>
      </c>
      <c r="C28" s="12" t="str">
        <f>VLOOKUP(B28,Cadastro!$A$7:$C$54,2,1)</f>
        <v>PETRÓLEO BRASILEIRO S.A. PN</v>
      </c>
      <c r="D28" t="s">
        <v>72</v>
      </c>
      <c r="E28" s="21">
        <v>43605</v>
      </c>
      <c r="F28">
        <v>300</v>
      </c>
      <c r="G28">
        <v>0.11</v>
      </c>
      <c r="H28" s="35"/>
      <c r="I28" s="57"/>
      <c r="O28">
        <f>O27+M11</f>
        <v>697.77</v>
      </c>
    </row>
    <row r="29" spans="1:15" ht="14.65" customHeight="1">
      <c r="A29" t="str">
        <f>VLOOKUP(B29,Cadastro!$A$7:$C$54,3,1)</f>
        <v>17.554.274/0001-25</v>
      </c>
      <c r="B29" s="57" t="s">
        <v>19</v>
      </c>
      <c r="C29" s="12" t="str">
        <f>VLOOKUP(B29,Cadastro!$A$7:$C$54,2,1)</f>
        <v>VINCI SHOPPING CENTER FII</v>
      </c>
      <c r="D29" t="s">
        <v>72</v>
      </c>
      <c r="E29" s="21">
        <v>43630</v>
      </c>
      <c r="F29">
        <v>1</v>
      </c>
      <c r="G29">
        <v>0.56000000000000005</v>
      </c>
      <c r="H29" s="35"/>
      <c r="I29" s="57"/>
    </row>
    <row r="30" spans="1:15" ht="14.65" customHeight="1">
      <c r="A30" t="str">
        <f>VLOOKUP(B30,Cadastro!$A$7:$C$54,3,1)</f>
        <v>26.502.794/0001-85</v>
      </c>
      <c r="B30" s="57" t="s">
        <v>18</v>
      </c>
      <c r="C30" s="12" t="str">
        <f>VLOOKUP(B30,Cadastro!$A$7:$C$54,2,1)</f>
        <v>XP LOG FDO INV IMOB – FII</v>
      </c>
      <c r="D30" t="s">
        <v>72</v>
      </c>
      <c r="E30" s="21">
        <v>43630</v>
      </c>
      <c r="F30">
        <v>1</v>
      </c>
      <c r="G30">
        <v>0.61</v>
      </c>
      <c r="H30" s="35"/>
      <c r="I30" s="57"/>
    </row>
    <row r="31" spans="1:15" ht="14.65" customHeight="1">
      <c r="A31" t="str">
        <f>VLOOKUP(B31,Cadastro!$A$7:$C$54,3,1)</f>
        <v>01.027.058/0001-91</v>
      </c>
      <c r="B31" s="57" t="s">
        <v>16</v>
      </c>
      <c r="C31" s="12" t="str">
        <f>VLOOKUP(B31,Cadastro!$A$7:$C$54,2,1)</f>
        <v>CIELO SA</v>
      </c>
      <c r="D31" t="s">
        <v>71</v>
      </c>
      <c r="E31" s="21">
        <v>43643</v>
      </c>
      <c r="F31">
        <v>600</v>
      </c>
      <c r="G31">
        <v>27.78</v>
      </c>
      <c r="H31" s="35"/>
      <c r="I31" s="57"/>
    </row>
    <row r="32" spans="1:15" ht="14.65" customHeight="1">
      <c r="A32" t="str">
        <f>VLOOKUP(B32,Cadastro!$A$7:$C$54,3,1)</f>
        <v>01.027.058/0001-91</v>
      </c>
      <c r="B32" s="57" t="s">
        <v>16</v>
      </c>
      <c r="C32" s="12" t="str">
        <f>VLOOKUP(B32,Cadastro!$A$7:$C$54,2,1)</f>
        <v>CIELO SA</v>
      </c>
      <c r="D32" t="s">
        <v>49</v>
      </c>
      <c r="E32" s="21">
        <v>43643</v>
      </c>
      <c r="F32">
        <v>600</v>
      </c>
      <c r="G32">
        <v>47.97</v>
      </c>
      <c r="H32" s="35"/>
      <c r="I32" s="57"/>
    </row>
    <row r="33" spans="1:9" ht="14.65" customHeight="1">
      <c r="A33" t="str">
        <f>VLOOKUP(B33,Cadastro!$A$7:$C$54,3,1)</f>
        <v>33.000.167/0001-01</v>
      </c>
      <c r="B33" s="57" t="s">
        <v>15</v>
      </c>
      <c r="C33" s="12" t="str">
        <f>VLOOKUP(B33,Cadastro!$A$7:$C$54,2,1)</f>
        <v>PETRÓLEO BRASILEIRO S.A. PN</v>
      </c>
      <c r="D33" t="s">
        <v>71</v>
      </c>
      <c r="E33" s="21">
        <v>43651</v>
      </c>
      <c r="F33">
        <v>300</v>
      </c>
      <c r="G33">
        <v>25.5</v>
      </c>
      <c r="H33" s="35"/>
      <c r="I33" s="57"/>
    </row>
    <row r="34" spans="1:9" ht="14.65" customHeight="1">
      <c r="A34" t="str">
        <f>VLOOKUP(B34,Cadastro!$A$7:$C$54,3,1)</f>
        <v>26.502.794/0001-85</v>
      </c>
      <c r="B34" s="57" t="s">
        <v>18</v>
      </c>
      <c r="C34" s="12" t="str">
        <f>VLOOKUP(B34,Cadastro!$A$7:$C$54,2,1)</f>
        <v>XP LOG FDO INV IMOB – FII</v>
      </c>
      <c r="D34" t="s">
        <v>72</v>
      </c>
      <c r="E34" s="21">
        <v>43658</v>
      </c>
      <c r="F34">
        <v>1</v>
      </c>
      <c r="G34">
        <v>0.61</v>
      </c>
      <c r="H34" s="35"/>
      <c r="I34" s="57"/>
    </row>
    <row r="35" spans="1:9" ht="14.65" customHeight="1">
      <c r="A35" t="str">
        <f>VLOOKUP(B35,Cadastro!$A$7:$C$54,3,1)</f>
        <v>17.554.274/0001-25</v>
      </c>
      <c r="B35" s="57" t="s">
        <v>19</v>
      </c>
      <c r="C35" s="12" t="str">
        <f>VLOOKUP(B35,Cadastro!$A$7:$C$54,2,1)</f>
        <v>VINCI SHOPPING CENTER FII</v>
      </c>
      <c r="D35" t="s">
        <v>72</v>
      </c>
      <c r="E35" s="21">
        <v>43661</v>
      </c>
      <c r="F35">
        <v>1</v>
      </c>
      <c r="G35">
        <v>0.55000000000000004</v>
      </c>
      <c r="H35" s="35"/>
      <c r="I35" s="57"/>
    </row>
    <row r="36" spans="1:9" ht="14.65" customHeight="1">
      <c r="A36" t="str">
        <f>VLOOKUP(B36,Cadastro!$A$7:$C$54,3,1)</f>
        <v>17.554.274/0001-25</v>
      </c>
      <c r="B36" s="57" t="s">
        <v>19</v>
      </c>
      <c r="C36" s="12" t="str">
        <f>VLOOKUP(B36,Cadastro!$A$7:$C$54,2,1)</f>
        <v>VINCI SHOPPING CENTER FII</v>
      </c>
      <c r="D36" t="s">
        <v>72</v>
      </c>
      <c r="E36" s="21">
        <v>43691</v>
      </c>
      <c r="F36">
        <v>1</v>
      </c>
      <c r="G36">
        <v>0.65</v>
      </c>
      <c r="H36" s="35"/>
      <c r="I36" s="57"/>
    </row>
    <row r="37" spans="1:9" ht="14.65" customHeight="1">
      <c r="A37" t="str">
        <f>VLOOKUP(B37,Cadastro!$A$7:$C$54,3,1)</f>
        <v>26.502.794/0001-85</v>
      </c>
      <c r="B37" s="57" t="s">
        <v>18</v>
      </c>
      <c r="C37" s="12" t="str">
        <f>VLOOKUP(B37,Cadastro!$A$7:$C$54,2,1)</f>
        <v>XP LOG FDO INV IMOB – FII</v>
      </c>
      <c r="D37" t="s">
        <v>72</v>
      </c>
      <c r="E37" s="21">
        <v>43691</v>
      </c>
      <c r="F37">
        <v>1</v>
      </c>
      <c r="G37">
        <v>0.61</v>
      </c>
      <c r="H37" s="35"/>
      <c r="I37" s="57"/>
    </row>
    <row r="38" spans="1:9" ht="14.65" customHeight="1">
      <c r="A38" t="str">
        <f>VLOOKUP(B38,Cadastro!$A$7:$C$54,3,1)</f>
        <v>92.690.783/0001-09</v>
      </c>
      <c r="B38" s="57" t="s">
        <v>43</v>
      </c>
      <c r="C38" s="12" t="str">
        <f>VLOOKUP(B38,Cadastro!$A$7:$C$54,2,1)</f>
        <v>METALURGICA GERDAU ON</v>
      </c>
      <c r="D38" t="s">
        <v>49</v>
      </c>
      <c r="E38" s="21">
        <v>43706</v>
      </c>
      <c r="F38">
        <v>200</v>
      </c>
      <c r="G38">
        <v>8</v>
      </c>
      <c r="H38" s="35"/>
      <c r="I38" s="57"/>
    </row>
    <row r="39" spans="1:9" ht="14.65" customHeight="1">
      <c r="A39" t="str">
        <f>VLOOKUP(B39,Cadastro!$A$7:$C$54,3,1)</f>
        <v>17.554.274/0001-25</v>
      </c>
      <c r="B39" s="57" t="s">
        <v>19</v>
      </c>
      <c r="C39" s="12" t="str">
        <f>VLOOKUP(B39,Cadastro!$A$7:$C$54,2,1)</f>
        <v>VINCI SHOPPING CENTER FII</v>
      </c>
      <c r="D39" t="s">
        <v>72</v>
      </c>
      <c r="E39" s="21">
        <v>43721</v>
      </c>
      <c r="F39">
        <v>1</v>
      </c>
      <c r="G39">
        <v>0.92</v>
      </c>
      <c r="H39" s="35"/>
      <c r="I39" s="57"/>
    </row>
    <row r="40" spans="1:9" ht="14.65" customHeight="1">
      <c r="A40" t="str">
        <f>VLOOKUP(B40,Cadastro!$A$7:$C$54,3,1)</f>
        <v>26.502.794/0001-85</v>
      </c>
      <c r="B40" s="57" t="s">
        <v>18</v>
      </c>
      <c r="C40" s="12" t="str">
        <f>VLOOKUP(B40,Cadastro!$A$7:$C$54,2,1)</f>
        <v>XP LOG FDO INV IMOB – FII</v>
      </c>
      <c r="D40" t="s">
        <v>72</v>
      </c>
      <c r="E40" s="21">
        <v>43721</v>
      </c>
      <c r="F40">
        <v>1</v>
      </c>
      <c r="G40">
        <v>0.61</v>
      </c>
    </row>
    <row r="41" spans="1:9" ht="14.65" customHeight="1">
      <c r="A41" t="str">
        <f>VLOOKUP(B41,Cadastro!$A$7:$C$54,3,1)</f>
        <v>01.027.058/0001-91</v>
      </c>
      <c r="B41" s="57" t="s">
        <v>16</v>
      </c>
      <c r="C41" s="12" t="str">
        <f>VLOOKUP(B41,Cadastro!$A$7:$C$54,2,1)</f>
        <v>CIELO SA</v>
      </c>
      <c r="D41" t="s">
        <v>71</v>
      </c>
      <c r="E41" s="21">
        <v>43735</v>
      </c>
      <c r="F41">
        <v>600</v>
      </c>
      <c r="G41">
        <v>25.21</v>
      </c>
    </row>
    <row r="42" spans="1:9" ht="14.65" customHeight="1">
      <c r="A42" t="str">
        <f>VLOOKUP(B42,Cadastro!$A$7:$C$54,3,1)</f>
        <v>01.027.058/0001-91</v>
      </c>
      <c r="B42" s="57" t="s">
        <v>16</v>
      </c>
      <c r="C42" s="12" t="str">
        <f>VLOOKUP(B42,Cadastro!$A$7:$C$54,2,1)</f>
        <v>CIELO SA</v>
      </c>
      <c r="D42" t="s">
        <v>49</v>
      </c>
      <c r="E42" s="21">
        <v>43735</v>
      </c>
      <c r="F42">
        <v>600</v>
      </c>
      <c r="G42">
        <v>1.59</v>
      </c>
    </row>
    <row r="43" spans="1:9" ht="14.65" customHeight="1">
      <c r="A43" t="str">
        <f>VLOOKUP(B43,Cadastro!$A$7:$C$54,3,1)</f>
        <v>01.027.058/0001-91</v>
      </c>
      <c r="B43" t="s">
        <v>16</v>
      </c>
      <c r="C43" s="12" t="str">
        <f>VLOOKUP(B43,Cadastro!$A$7:$C$54,2,1)</f>
        <v>CIELO SA</v>
      </c>
      <c r="D43" t="s">
        <v>71</v>
      </c>
      <c r="E43" s="21">
        <v>43735</v>
      </c>
      <c r="F43">
        <v>600</v>
      </c>
      <c r="G43">
        <v>0.38</v>
      </c>
    </row>
    <row r="44" spans="1:9" ht="14.65" customHeight="1">
      <c r="A44" t="str">
        <f>VLOOKUP(B44,Cadastro!$A$7:$C$54,3,1)</f>
        <v>33.000.167/0001-01</v>
      </c>
      <c r="B44" t="s">
        <v>15</v>
      </c>
      <c r="C44" s="12" t="str">
        <f>VLOOKUP(B44,Cadastro!$A$7:$C$54,2,1)</f>
        <v>PETRÓLEO BRASILEIRO S.A. PN</v>
      </c>
      <c r="D44" t="s">
        <v>71</v>
      </c>
      <c r="E44" s="21">
        <v>43742</v>
      </c>
      <c r="F44">
        <v>300</v>
      </c>
      <c r="G44">
        <v>51</v>
      </c>
    </row>
    <row r="45" spans="1:9" ht="14.65" customHeight="1">
      <c r="A45" t="str">
        <f>VLOOKUP(B45,Cadastro!$A$7:$C$54,3,1)</f>
        <v>17.554.274/0001-25</v>
      </c>
      <c r="B45" t="s">
        <v>19</v>
      </c>
      <c r="C45" s="12" t="str">
        <f>VLOOKUP(B45,Cadastro!$A$7:$C$54,2,1)</f>
        <v>VINCI SHOPPING CENTER FII</v>
      </c>
      <c r="D45" t="s">
        <v>72</v>
      </c>
      <c r="E45" s="21">
        <v>43752</v>
      </c>
      <c r="F45">
        <v>1</v>
      </c>
      <c r="G45">
        <v>0.92</v>
      </c>
    </row>
    <row r="46" spans="1:9" ht="14.65" customHeight="1">
      <c r="A46" t="str">
        <f>VLOOKUP(B46,Cadastro!$A$7:$C$54,3,1)</f>
        <v>26.502.794/0001-85</v>
      </c>
      <c r="B46" t="s">
        <v>18</v>
      </c>
      <c r="C46" s="12" t="str">
        <f>VLOOKUP(B46,Cadastro!$A$7:$C$54,2,1)</f>
        <v>XP LOG FDO INV IMOB – FII</v>
      </c>
      <c r="D46" t="s">
        <v>72</v>
      </c>
      <c r="E46" s="21">
        <v>43752</v>
      </c>
      <c r="F46">
        <v>1</v>
      </c>
      <c r="G46">
        <v>0.61</v>
      </c>
    </row>
    <row r="47" spans="1:9" ht="14.65" customHeight="1">
      <c r="A47" t="str">
        <f>VLOOKUP(B47,Cadastro!$A$7:$C$54,3,1)</f>
        <v>60.872.504/0001-23</v>
      </c>
      <c r="B47" t="s">
        <v>24</v>
      </c>
      <c r="C47" s="12" t="str">
        <f>VLOOKUP(B47,Cadastro!$A$7:$C$54,2,1)</f>
        <v>ITAÚ UNIBANCO HOLDING S.A.</v>
      </c>
      <c r="D47" t="s">
        <v>49</v>
      </c>
      <c r="E47" s="21">
        <v>43770</v>
      </c>
      <c r="F47">
        <v>100</v>
      </c>
      <c r="G47">
        <v>1.5</v>
      </c>
    </row>
    <row r="48" spans="1:9" ht="14.65" customHeight="1">
      <c r="A48" t="str">
        <f>VLOOKUP(B48,Cadastro!$A$7:$C$54,3,1)</f>
        <v>01.027.058/0001-91</v>
      </c>
      <c r="B48" t="s">
        <v>16</v>
      </c>
      <c r="C48" s="12" t="str">
        <f>VLOOKUP(B48,Cadastro!$A$7:$C$54,2,1)</f>
        <v>CIELO SA</v>
      </c>
      <c r="D48" t="s">
        <v>71</v>
      </c>
      <c r="E48" s="21">
        <v>43787</v>
      </c>
      <c r="F48">
        <v>600</v>
      </c>
      <c r="G48">
        <v>14.68</v>
      </c>
    </row>
    <row r="49" spans="1:7" ht="14.65" customHeight="1">
      <c r="A49" t="str">
        <f>VLOOKUP(B49,Cadastro!$A$7:$C$54,3,1)</f>
        <v>01.027.058/0001-91</v>
      </c>
      <c r="B49" t="s">
        <v>16</v>
      </c>
      <c r="C49" s="12" t="str">
        <f>VLOOKUP(B49,Cadastro!$A$7:$C$54,2,1)</f>
        <v>CIELO SA</v>
      </c>
      <c r="D49" t="s">
        <v>71</v>
      </c>
      <c r="E49" s="21">
        <v>43787</v>
      </c>
      <c r="F49">
        <v>600</v>
      </c>
      <c r="G49">
        <v>7.89</v>
      </c>
    </row>
    <row r="50" spans="1:7" ht="14.65" customHeight="1">
      <c r="A50" t="str">
        <f>VLOOKUP(B50,Cadastro!$A$7:$C$54,3,1)</f>
        <v>92.690.783/0001-09</v>
      </c>
      <c r="B50" t="s">
        <v>43</v>
      </c>
      <c r="C50" s="12" t="str">
        <f>VLOOKUP(B50,Cadastro!$A$7:$C$54,2,1)</f>
        <v>METALURGICA GERDAU ON</v>
      </c>
      <c r="D50" t="s">
        <v>49</v>
      </c>
      <c r="E50" s="21">
        <v>43795</v>
      </c>
      <c r="F50">
        <v>200</v>
      </c>
      <c r="G50">
        <v>4</v>
      </c>
    </row>
    <row r="51" spans="1:7" ht="14.65" customHeight="1">
      <c r="A51" t="str">
        <f>VLOOKUP(B51,Cadastro!$A$7:$C$54,3,1)</f>
        <v>60.872.504/0001-23</v>
      </c>
      <c r="B51" t="s">
        <v>24</v>
      </c>
      <c r="C51" s="12" t="str">
        <f>VLOOKUP(B51,Cadastro!$A$7:$C$54,2,1)</f>
        <v>ITAÚ UNIBANCO HOLDING S.A.</v>
      </c>
      <c r="D51" t="s">
        <v>49</v>
      </c>
      <c r="E51" s="21">
        <v>43801</v>
      </c>
      <c r="F51">
        <v>100</v>
      </c>
      <c r="G51">
        <v>1.5</v>
      </c>
    </row>
    <row r="52" spans="1:7" ht="14.65" customHeight="1">
      <c r="A52" t="str">
        <f>VLOOKUP(B52,Cadastro!$A$7:$C$54,3,1)</f>
        <v>17.554.274/0001-25</v>
      </c>
      <c r="B52" t="s">
        <v>19</v>
      </c>
      <c r="C52" s="12" t="str">
        <f>VLOOKUP(B52,Cadastro!$A$7:$C$54,2,1)</f>
        <v>VINCI SHOPPING CENTER FII</v>
      </c>
      <c r="D52" t="s">
        <v>72</v>
      </c>
      <c r="E52" s="21">
        <v>43812</v>
      </c>
      <c r="F52">
        <v>1</v>
      </c>
      <c r="G52">
        <v>0.63</v>
      </c>
    </row>
    <row r="53" spans="1:7" ht="14.65" customHeight="1">
      <c r="A53" t="str">
        <f>VLOOKUP(B53,Cadastro!$A$7:$C$54,3,1)</f>
        <v>26.502.794/0001-85</v>
      </c>
      <c r="B53" t="s">
        <v>18</v>
      </c>
      <c r="C53" s="12" t="str">
        <f>VLOOKUP(B53,Cadastro!$A$7:$C$54,2,1)</f>
        <v>XP LOG FDO INV IMOB – FII</v>
      </c>
      <c r="D53" t="s">
        <v>72</v>
      </c>
      <c r="E53" s="21">
        <v>43812</v>
      </c>
      <c r="F53">
        <v>1</v>
      </c>
      <c r="G53">
        <v>0.64</v>
      </c>
    </row>
    <row r="54" spans="1:7" ht="14.65" customHeight="1">
      <c r="A54" t="str">
        <f>VLOOKUP(B54,Cadastro!$A$7:$C$54,3,1)</f>
        <v>07.526.557/0001-00</v>
      </c>
      <c r="B54" t="s">
        <v>73</v>
      </c>
      <c r="C54" s="12" t="str">
        <f>VLOOKUP(B54,Cadastro!$A$7:$C$54,2,1)</f>
        <v>AMBEV SA ON</v>
      </c>
      <c r="D54" t="s">
        <v>71</v>
      </c>
      <c r="E54" s="21">
        <v>43829</v>
      </c>
      <c r="F54">
        <v>100</v>
      </c>
      <c r="G54">
        <v>41.71</v>
      </c>
    </row>
  </sheetData>
  <autoFilter ref="A6:G54"/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4:H50"/>
  <sheetViews>
    <sheetView zoomScale="90" zoomScaleNormal="90" workbookViewId="0">
      <selection activeCell="B12" sqref="B12"/>
    </sheetView>
  </sheetViews>
  <sheetFormatPr defaultRowHeight="12.75"/>
  <cols>
    <col min="1" max="1" width="11.42578125" customWidth="1"/>
    <col min="2" max="2" width="39.5703125" customWidth="1"/>
    <col min="3" max="3" width="18.85546875" customWidth="1"/>
    <col min="4" max="7" width="11.42578125" customWidth="1"/>
    <col min="8" max="8" width="18.85546875" customWidth="1"/>
    <col min="9" max="10" width="11.42578125" customWidth="1"/>
    <col min="11" max="11" width="18.85546875" customWidth="1"/>
    <col min="12" max="1025" width="11.42578125" customWidth="1"/>
  </cols>
  <sheetData>
    <row r="4" spans="1:8" ht="14.65" customHeight="1">
      <c r="A4" t="s">
        <v>74</v>
      </c>
      <c r="H4" t="s">
        <v>75</v>
      </c>
    </row>
    <row r="5" spans="1:8" ht="14.65" customHeight="1">
      <c r="H5" s="58" t="s">
        <v>76</v>
      </c>
    </row>
    <row r="6" spans="1:8" ht="14.85" customHeight="1">
      <c r="A6" s="7" t="s">
        <v>3</v>
      </c>
      <c r="B6" s="7" t="s">
        <v>5</v>
      </c>
      <c r="C6" s="7" t="s">
        <v>3</v>
      </c>
    </row>
    <row r="7" spans="1:8" ht="14.65" customHeight="1">
      <c r="A7" s="59" t="s">
        <v>22</v>
      </c>
      <c r="B7" s="59" t="s">
        <v>77</v>
      </c>
      <c r="C7" s="59" t="s">
        <v>78</v>
      </c>
      <c r="E7" s="60" t="str">
        <f t="shared" ref="E7:E43" si="0">CONCATENATE(A7,$H$36)</f>
        <v>ABEV3%7C</v>
      </c>
    </row>
    <row r="8" spans="1:8" ht="14.85" customHeight="1">
      <c r="A8" t="s">
        <v>79</v>
      </c>
      <c r="B8" t="s">
        <v>80</v>
      </c>
      <c r="C8" t="s">
        <v>81</v>
      </c>
      <c r="E8" t="str">
        <f t="shared" si="0"/>
        <v>BBAS3%7C</v>
      </c>
      <c r="H8" t="s">
        <v>82</v>
      </c>
    </row>
    <row r="9" spans="1:8" ht="14.85" customHeight="1">
      <c r="A9" s="59" t="s">
        <v>38</v>
      </c>
      <c r="B9" s="59" t="s">
        <v>83</v>
      </c>
      <c r="C9" s="59" t="s">
        <v>84</v>
      </c>
      <c r="E9" t="str">
        <f t="shared" si="0"/>
        <v>BBDC3%7C</v>
      </c>
      <c r="H9" t="s">
        <v>85</v>
      </c>
    </row>
    <row r="10" spans="1:8" ht="14.85" customHeight="1">
      <c r="A10" t="s">
        <v>86</v>
      </c>
      <c r="B10" t="s">
        <v>87</v>
      </c>
      <c r="C10" s="40" t="s">
        <v>84</v>
      </c>
      <c r="E10" t="str">
        <f t="shared" si="0"/>
        <v>BBDC4%7C</v>
      </c>
    </row>
    <row r="11" spans="1:8" ht="14.85" customHeight="1">
      <c r="A11" t="s">
        <v>20</v>
      </c>
      <c r="B11" t="s">
        <v>88</v>
      </c>
      <c r="C11" s="61" t="s">
        <v>89</v>
      </c>
      <c r="E11" t="str">
        <f t="shared" si="0"/>
        <v>BBPO11%7C</v>
      </c>
    </row>
    <row r="12" spans="1:8" ht="14.85" customHeight="1">
      <c r="A12" t="s">
        <v>90</v>
      </c>
      <c r="B12" t="s">
        <v>91</v>
      </c>
      <c r="C12" s="61" t="s">
        <v>92</v>
      </c>
      <c r="E12" t="str">
        <f t="shared" si="0"/>
        <v>BPAN4%7C</v>
      </c>
    </row>
    <row r="13" spans="1:8" ht="14.85" customHeight="1">
      <c r="A13" s="59" t="s">
        <v>30</v>
      </c>
      <c r="B13" s="59" t="s">
        <v>93</v>
      </c>
      <c r="C13" s="59" t="s">
        <v>94</v>
      </c>
      <c r="E13" t="str">
        <f t="shared" si="0"/>
        <v>BRFS3%7C</v>
      </c>
      <c r="H13" t="s">
        <v>95</v>
      </c>
    </row>
    <row r="14" spans="1:8" ht="14.85" customHeight="1">
      <c r="A14" s="59" t="s">
        <v>55</v>
      </c>
      <c r="B14" s="59" t="s">
        <v>96</v>
      </c>
      <c r="C14" s="59" t="s">
        <v>97</v>
      </c>
      <c r="E14" t="str">
        <f t="shared" si="0"/>
        <v>BTOW3%7C</v>
      </c>
      <c r="H14" s="58" t="s">
        <v>98</v>
      </c>
    </row>
    <row r="15" spans="1:8" ht="14.85" customHeight="1">
      <c r="A15" t="s">
        <v>32</v>
      </c>
      <c r="B15" t="s">
        <v>99</v>
      </c>
      <c r="C15" s="40" t="s">
        <v>100</v>
      </c>
      <c r="E15" t="str">
        <f t="shared" si="0"/>
        <v>CCRO3%7C</v>
      </c>
    </row>
    <row r="16" spans="1:8" ht="14.85" customHeight="1">
      <c r="A16" s="59" t="s">
        <v>16</v>
      </c>
      <c r="B16" s="59" t="s">
        <v>101</v>
      </c>
      <c r="C16" s="59" t="s">
        <v>102</v>
      </c>
      <c r="E16" t="str">
        <f t="shared" si="0"/>
        <v>CIEL3%7C</v>
      </c>
    </row>
    <row r="17" spans="1:8" ht="14.85" customHeight="1">
      <c r="A17" s="12" t="s">
        <v>40</v>
      </c>
      <c r="B17" s="12" t="s">
        <v>103</v>
      </c>
      <c r="C17" s="12" t="s">
        <v>104</v>
      </c>
      <c r="E17" t="str">
        <f t="shared" si="0"/>
        <v>CMIG3%7C</v>
      </c>
    </row>
    <row r="18" spans="1:8" ht="14.85" customHeight="1">
      <c r="A18" s="59" t="s">
        <v>34</v>
      </c>
      <c r="B18" s="59" t="s">
        <v>105</v>
      </c>
      <c r="C18" s="59" t="s">
        <v>106</v>
      </c>
      <c r="E18" t="str">
        <f t="shared" si="0"/>
        <v>CSNA3%7C</v>
      </c>
    </row>
    <row r="19" spans="1:8" ht="14.85" customHeight="1">
      <c r="A19" s="59" t="s">
        <v>35</v>
      </c>
      <c r="B19" s="59" t="s">
        <v>107</v>
      </c>
      <c r="C19" s="59" t="s">
        <v>108</v>
      </c>
      <c r="E19" t="str">
        <f t="shared" si="0"/>
        <v>CVCB3%7C</v>
      </c>
    </row>
    <row r="20" spans="1:8" ht="14.85" customHeight="1">
      <c r="A20" s="12" t="s">
        <v>41</v>
      </c>
      <c r="B20" s="12" t="s">
        <v>109</v>
      </c>
      <c r="C20" s="12" t="s">
        <v>110</v>
      </c>
      <c r="E20" t="str">
        <f t="shared" si="0"/>
        <v>ELET3%7C</v>
      </c>
    </row>
    <row r="21" spans="1:8" ht="14.85" customHeight="1">
      <c r="A21" s="59" t="s">
        <v>21</v>
      </c>
      <c r="B21" s="59" t="s">
        <v>111</v>
      </c>
      <c r="C21" s="59" t="s">
        <v>112</v>
      </c>
      <c r="E21" t="str">
        <f t="shared" si="0"/>
        <v>EMBR3%7C</v>
      </c>
      <c r="H21" t="s">
        <v>113</v>
      </c>
    </row>
    <row r="22" spans="1:8" ht="14.85" customHeight="1">
      <c r="A22" s="59" t="s">
        <v>44</v>
      </c>
      <c r="B22" s="59" t="s">
        <v>114</v>
      </c>
      <c r="C22" s="59" t="s">
        <v>115</v>
      </c>
      <c r="E22" t="str">
        <f t="shared" si="0"/>
        <v>ENAT3%7C</v>
      </c>
      <c r="H22" s="62" t="s">
        <v>116</v>
      </c>
    </row>
    <row r="23" spans="1:8" ht="14.85" customHeight="1">
      <c r="A23" s="59" t="s">
        <v>27</v>
      </c>
      <c r="B23" s="59" t="s">
        <v>117</v>
      </c>
      <c r="C23" s="59" t="s">
        <v>118</v>
      </c>
      <c r="E23" t="str">
        <f t="shared" si="0"/>
        <v>EQTL3%7C</v>
      </c>
      <c r="H23" s="62"/>
    </row>
    <row r="24" spans="1:8" ht="14.85" customHeight="1">
      <c r="A24" t="s">
        <v>43</v>
      </c>
      <c r="B24" t="s">
        <v>119</v>
      </c>
      <c r="C24" t="s">
        <v>120</v>
      </c>
      <c r="E24" t="str">
        <f t="shared" si="0"/>
        <v>GOAU3%7C</v>
      </c>
    </row>
    <row r="25" spans="1:8" ht="14.85" customHeight="1">
      <c r="A25" t="s">
        <v>121</v>
      </c>
      <c r="B25" t="s">
        <v>122</v>
      </c>
      <c r="C25" t="s">
        <v>123</v>
      </c>
      <c r="E25" t="str">
        <f t="shared" si="0"/>
        <v>HGBS11%7C</v>
      </c>
    </row>
    <row r="26" spans="1:8" ht="14.85" customHeight="1">
      <c r="A26" s="19" t="s">
        <v>124</v>
      </c>
      <c r="B26" t="s">
        <v>125</v>
      </c>
      <c r="C26" t="s">
        <v>126</v>
      </c>
      <c r="E26" t="str">
        <f t="shared" si="0"/>
        <v>HTMX11%7C</v>
      </c>
      <c r="H26" t="s">
        <v>47</v>
      </c>
    </row>
    <row r="27" spans="1:8" ht="14.85" customHeight="1">
      <c r="A27" s="12" t="s">
        <v>42</v>
      </c>
      <c r="B27" s="12" t="s">
        <v>127</v>
      </c>
      <c r="C27" s="12" t="s">
        <v>128</v>
      </c>
      <c r="E27" t="str">
        <f t="shared" si="0"/>
        <v>HYPE3%7C</v>
      </c>
      <c r="H27" s="58" t="s">
        <v>129</v>
      </c>
    </row>
    <row r="28" spans="1:8" ht="14.85" customHeight="1">
      <c r="A28" s="59" t="s">
        <v>39</v>
      </c>
      <c r="B28" s="59" t="s">
        <v>130</v>
      </c>
      <c r="C28" s="59" t="s">
        <v>131</v>
      </c>
      <c r="E28" t="str">
        <f t="shared" si="0"/>
        <v>ITSA4%7C</v>
      </c>
      <c r="H28" s="58" t="s">
        <v>132</v>
      </c>
    </row>
    <row r="29" spans="1:8" ht="14.85" customHeight="1">
      <c r="A29" s="12" t="s">
        <v>133</v>
      </c>
      <c r="B29" s="12" t="s">
        <v>134</v>
      </c>
      <c r="C29" s="12" t="s">
        <v>135</v>
      </c>
      <c r="E29" t="str">
        <f t="shared" si="0"/>
        <v>ITUB3%7C</v>
      </c>
    </row>
    <row r="30" spans="1:8" ht="14.85" customHeight="1">
      <c r="A30" s="59" t="s">
        <v>24</v>
      </c>
      <c r="B30" s="59" t="s">
        <v>136</v>
      </c>
      <c r="C30" s="59" t="s">
        <v>135</v>
      </c>
      <c r="E30" t="str">
        <f t="shared" si="0"/>
        <v>ITUB4%7C</v>
      </c>
    </row>
    <row r="31" spans="1:8" ht="14.85" customHeight="1">
      <c r="A31" t="s">
        <v>24</v>
      </c>
      <c r="B31" s="12" t="s">
        <v>137</v>
      </c>
      <c r="C31" t="s">
        <v>135</v>
      </c>
      <c r="E31" t="str">
        <f t="shared" si="0"/>
        <v>ITUB4%7C</v>
      </c>
    </row>
    <row r="32" spans="1:8" ht="14.85" customHeight="1">
      <c r="A32" s="59" t="s">
        <v>138</v>
      </c>
      <c r="B32" s="59" t="s">
        <v>139</v>
      </c>
      <c r="C32" s="59" t="s">
        <v>140</v>
      </c>
      <c r="E32" t="str">
        <f t="shared" si="0"/>
        <v>NOTC3%7C</v>
      </c>
    </row>
    <row r="33" spans="1:8" ht="14.85" customHeight="1">
      <c r="A33" s="12" t="s">
        <v>17</v>
      </c>
      <c r="B33" s="12" t="s">
        <v>141</v>
      </c>
      <c r="C33" s="12" t="s">
        <v>142</v>
      </c>
      <c r="E33" t="str">
        <f t="shared" si="0"/>
        <v>OIBR3%7C</v>
      </c>
      <c r="H33" t="s">
        <v>143</v>
      </c>
    </row>
    <row r="34" spans="1:8" ht="14.85" customHeight="1">
      <c r="A34" s="59" t="s">
        <v>15</v>
      </c>
      <c r="B34" s="59" t="s">
        <v>144</v>
      </c>
      <c r="C34" s="59" t="s">
        <v>145</v>
      </c>
      <c r="E34" t="str">
        <f t="shared" si="0"/>
        <v>PETR4%7C</v>
      </c>
      <c r="H34" s="62" t="s">
        <v>146</v>
      </c>
    </row>
    <row r="35" spans="1:8" ht="14.85" customHeight="1">
      <c r="A35" s="12" t="s">
        <v>37</v>
      </c>
      <c r="B35" s="12" t="s">
        <v>147</v>
      </c>
      <c r="C35" s="12" t="s">
        <v>115</v>
      </c>
      <c r="E35" t="str">
        <f t="shared" si="0"/>
        <v>QGEP3%7C</v>
      </c>
      <c r="H35" t="s">
        <v>148</v>
      </c>
    </row>
    <row r="36" spans="1:8" ht="14.85" customHeight="1">
      <c r="A36" s="59" t="s">
        <v>33</v>
      </c>
      <c r="B36" s="59" t="s">
        <v>149</v>
      </c>
      <c r="C36" s="59" t="s">
        <v>150</v>
      </c>
      <c r="E36" t="str">
        <f t="shared" si="0"/>
        <v>SANB3%7C</v>
      </c>
      <c r="H36" t="s">
        <v>151</v>
      </c>
    </row>
    <row r="37" spans="1:8" ht="14.85" customHeight="1">
      <c r="A37" s="12" t="s">
        <v>26</v>
      </c>
      <c r="B37" s="12" t="s">
        <v>152</v>
      </c>
      <c r="C37" s="12" t="s">
        <v>150</v>
      </c>
      <c r="E37" t="str">
        <f t="shared" si="0"/>
        <v>SANB4%7C</v>
      </c>
    </row>
    <row r="38" spans="1:8" ht="14.85" customHeight="1">
      <c r="A38" s="12" t="s">
        <v>28</v>
      </c>
      <c r="B38" s="12" t="s">
        <v>153</v>
      </c>
      <c r="C38" s="12" t="s">
        <v>154</v>
      </c>
      <c r="E38" t="str">
        <f t="shared" si="0"/>
        <v>TRPL4%7C</v>
      </c>
      <c r="H38" s="62" t="s">
        <v>155</v>
      </c>
    </row>
    <row r="39" spans="1:8" ht="14.85" customHeight="1">
      <c r="A39" s="59" t="s">
        <v>31</v>
      </c>
      <c r="B39" s="59" t="s">
        <v>156</v>
      </c>
      <c r="C39" s="59" t="s">
        <v>157</v>
      </c>
      <c r="E39" t="str">
        <f t="shared" si="0"/>
        <v>VALE3%7C</v>
      </c>
    </row>
    <row r="40" spans="1:8" ht="14.85" customHeight="1">
      <c r="A40" s="12" t="s">
        <v>19</v>
      </c>
      <c r="B40" s="12" t="s">
        <v>158</v>
      </c>
      <c r="C40" s="12" t="s">
        <v>159</v>
      </c>
      <c r="E40" t="str">
        <f t="shared" si="0"/>
        <v>VISC11%7C</v>
      </c>
    </row>
    <row r="41" spans="1:8" ht="14.85" customHeight="1">
      <c r="A41" t="s">
        <v>23</v>
      </c>
      <c r="B41" t="s">
        <v>160</v>
      </c>
      <c r="C41" t="s">
        <v>161</v>
      </c>
      <c r="E41" t="str">
        <f t="shared" si="0"/>
        <v>VLID3%7C</v>
      </c>
    </row>
    <row r="42" spans="1:8" ht="14.85" customHeight="1">
      <c r="A42" s="59" t="s">
        <v>36</v>
      </c>
      <c r="B42" s="59" t="s">
        <v>162</v>
      </c>
      <c r="C42" s="59" t="s">
        <v>163</v>
      </c>
      <c r="E42" t="str">
        <f t="shared" si="0"/>
        <v>VVAR3%7C</v>
      </c>
      <c r="F42" s="19"/>
      <c r="G42" t="s">
        <v>164</v>
      </c>
    </row>
    <row r="43" spans="1:8" ht="14.85" customHeight="1">
      <c r="A43" s="12" t="s">
        <v>18</v>
      </c>
      <c r="B43" s="12" t="s">
        <v>165</v>
      </c>
      <c r="C43" s="12" t="s">
        <v>166</v>
      </c>
      <c r="E43" t="str">
        <f t="shared" si="0"/>
        <v>XPLG11%7C</v>
      </c>
      <c r="G43" s="19"/>
    </row>
    <row r="44" spans="1:8" ht="14.85" customHeight="1"/>
    <row r="45" spans="1:8" ht="14.85" customHeight="1"/>
    <row r="46" spans="1:8" ht="14.85" customHeight="1"/>
    <row r="47" spans="1:8" ht="14.85" customHeight="1"/>
    <row r="48" spans="1:8" ht="14.85" customHeight="1"/>
    <row r="49" ht="14.85" customHeight="1"/>
    <row r="50" ht="14.85" customHeight="1"/>
  </sheetData>
  <autoFilter ref="A6:C24"/>
  <hyperlinks>
    <hyperlink ref="H5" r:id="rId1"/>
    <hyperlink ref="H14" r:id="rId2"/>
    <hyperlink ref="H22" r:id="rId3"/>
    <hyperlink ref="H27" r:id="rId4"/>
    <hyperlink ref="H28" r:id="rId5"/>
    <hyperlink ref="H34" r:id="rId6"/>
    <hyperlink ref="H38" r:id="rId7"/>
  </hyperlinks>
  <pageMargins left="0.40416666666666701" right="0.55208333333333304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2:X100"/>
  <sheetViews>
    <sheetView topLeftCell="A57" zoomScale="90" zoomScaleNormal="90" workbookViewId="0">
      <selection activeCell="P70" sqref="P70"/>
    </sheetView>
  </sheetViews>
  <sheetFormatPr defaultRowHeight="12.75"/>
  <cols>
    <col min="1" max="1" width="11" customWidth="1"/>
    <col min="2" max="2" width="36.42578125" customWidth="1"/>
    <col min="3" max="6" width="11" customWidth="1"/>
    <col min="7" max="7" width="10.7109375" customWidth="1"/>
    <col min="8" max="14" width="11" customWidth="1"/>
    <col min="15" max="15" width="9.85546875" customWidth="1"/>
    <col min="16" max="16" width="8.5703125" customWidth="1"/>
    <col min="17" max="17" width="8.140625" customWidth="1"/>
    <col min="18" max="1025" width="11" customWidth="1"/>
  </cols>
  <sheetData>
    <row r="2" spans="1:23" ht="12.75" customHeight="1">
      <c r="F2" t="s">
        <v>167</v>
      </c>
      <c r="G2" s="21">
        <f ca="1">NOW()</f>
        <v>43908.641587731479</v>
      </c>
      <c r="H2" s="63" t="s">
        <v>168</v>
      </c>
      <c r="I2" s="64">
        <f ca="1">NOW()</f>
        <v>43908.641587731479</v>
      </c>
      <c r="M2" t="s">
        <v>43</v>
      </c>
      <c r="N2" t="s">
        <v>39</v>
      </c>
      <c r="P2" t="s">
        <v>50</v>
      </c>
      <c r="Q2" t="s">
        <v>38</v>
      </c>
    </row>
    <row r="3" spans="1:23" ht="12.75" customHeight="1">
      <c r="M3" t="s">
        <v>17</v>
      </c>
      <c r="N3" t="s">
        <v>25</v>
      </c>
      <c r="P3" t="s">
        <v>169</v>
      </c>
      <c r="Q3" t="s">
        <v>170</v>
      </c>
    </row>
    <row r="4" spans="1:23" ht="12.75" customHeight="1">
      <c r="H4" t="str">
        <f ca="1">TEXT(G2,"HH")</f>
        <v>15</v>
      </c>
      <c r="M4" t="s">
        <v>32</v>
      </c>
      <c r="N4" t="s">
        <v>37</v>
      </c>
      <c r="P4" t="s">
        <v>171</v>
      </c>
      <c r="Q4" t="s">
        <v>42</v>
      </c>
    </row>
    <row r="5" spans="1:23" ht="12.75" customHeight="1">
      <c r="F5" t="s">
        <v>172</v>
      </c>
      <c r="G5" s="62" t="s">
        <v>173</v>
      </c>
      <c r="N5" t="s">
        <v>16</v>
      </c>
      <c r="P5" t="s">
        <v>79</v>
      </c>
      <c r="Q5" t="s">
        <v>22</v>
      </c>
    </row>
    <row r="6" spans="1:23" ht="12.75" customHeight="1">
      <c r="F6" t="s">
        <v>174</v>
      </c>
      <c r="G6" t="str">
        <f ca="1">CONCATENATE("cotacao_",TEXT(G2,"AAAAMMDD"),"-",TEXT(G2,"HH"),"00.xml")</f>
        <v>cotacao_20200318-1500.xml</v>
      </c>
      <c r="N6" t="s">
        <v>53</v>
      </c>
    </row>
    <row r="8" spans="1:23" ht="12.75" customHeight="1">
      <c r="A8" t="s">
        <v>175</v>
      </c>
    </row>
    <row r="10" spans="1:23" ht="14.65" customHeight="1">
      <c r="A10" s="6"/>
      <c r="B10" s="6"/>
      <c r="C10" s="6"/>
      <c r="D10" s="6"/>
      <c r="E10" s="6"/>
      <c r="F10" s="6"/>
      <c r="G10" s="4" t="s">
        <v>176</v>
      </c>
      <c r="H10" s="4"/>
      <c r="I10" s="4"/>
      <c r="J10" s="4"/>
      <c r="K10" s="4" t="s">
        <v>1</v>
      </c>
      <c r="L10" s="4"/>
      <c r="M10" s="4"/>
      <c r="N10" s="4"/>
    </row>
    <row r="11" spans="1:23" ht="14.65" customHeight="1">
      <c r="A11" s="7" t="s">
        <v>4</v>
      </c>
      <c r="B11" s="7" t="s">
        <v>5</v>
      </c>
      <c r="C11" s="7" t="s">
        <v>69</v>
      </c>
      <c r="D11" s="7" t="s">
        <v>7</v>
      </c>
      <c r="E11" s="7" t="s">
        <v>8</v>
      </c>
      <c r="F11" s="7" t="s">
        <v>9</v>
      </c>
      <c r="G11" s="7" t="s">
        <v>6</v>
      </c>
      <c r="H11" s="7" t="s">
        <v>8</v>
      </c>
      <c r="I11" s="7" t="s">
        <v>12</v>
      </c>
      <c r="J11" s="10" t="s">
        <v>13</v>
      </c>
      <c r="K11" s="10" t="s">
        <v>8</v>
      </c>
      <c r="L11" s="10" t="s">
        <v>11</v>
      </c>
      <c r="M11" s="10" t="s">
        <v>14</v>
      </c>
      <c r="N11" s="10" t="s">
        <v>13</v>
      </c>
    </row>
    <row r="12" spans="1:23" ht="14.65" customHeight="1">
      <c r="A12" t="s">
        <v>15</v>
      </c>
      <c r="B12" t="s">
        <v>177</v>
      </c>
      <c r="C12" s="21">
        <v>43257</v>
      </c>
      <c r="D12">
        <v>300</v>
      </c>
      <c r="E12" s="17">
        <v>16.7</v>
      </c>
      <c r="F12" s="17">
        <f t="shared" ref="F12:F22" si="0">D12*E12</f>
        <v>5010</v>
      </c>
      <c r="G12" s="35">
        <f ca="1">G2</f>
        <v>43908.641587731479</v>
      </c>
      <c r="H12">
        <v>27</v>
      </c>
      <c r="I12" s="17">
        <f t="shared" ref="I12:I20" si="1">D12*H12-F12</f>
        <v>3090</v>
      </c>
      <c r="J12" s="18">
        <f t="shared" ref="J12:J20" si="2">I12/F12</f>
        <v>0.61676646706586824</v>
      </c>
      <c r="K12" s="41">
        <v>30</v>
      </c>
      <c r="L12" s="17">
        <f t="shared" ref="L12:L20" si="3">K12*D12</f>
        <v>9000</v>
      </c>
      <c r="M12" s="17">
        <f t="shared" ref="M12:M20" si="4">L12-F12</f>
        <v>3990</v>
      </c>
      <c r="N12" s="18">
        <f t="shared" ref="N12:N20" si="5">M12/F12</f>
        <v>0.79640718562874246</v>
      </c>
      <c r="T12" s="17"/>
    </row>
    <row r="13" spans="1:23" ht="14.65" customHeight="1">
      <c r="A13" s="12" t="s">
        <v>16</v>
      </c>
      <c r="B13" t="s">
        <v>178</v>
      </c>
      <c r="C13" s="21">
        <v>43412</v>
      </c>
      <c r="D13">
        <f>400+200</f>
        <v>600</v>
      </c>
      <c r="E13" s="17">
        <v>11</v>
      </c>
      <c r="F13" s="17">
        <f t="shared" si="0"/>
        <v>6600</v>
      </c>
      <c r="G13" s="65">
        <f ca="1">G2</f>
        <v>43908.641587731479</v>
      </c>
      <c r="H13">
        <v>9.8000000000000007</v>
      </c>
      <c r="I13" s="17">
        <f t="shared" si="1"/>
        <v>-720</v>
      </c>
      <c r="J13" s="18">
        <f t="shared" si="2"/>
        <v>-0.10909090909090909</v>
      </c>
      <c r="K13" s="12">
        <v>12.3</v>
      </c>
      <c r="L13" s="17">
        <f t="shared" si="3"/>
        <v>7380</v>
      </c>
      <c r="M13" s="17">
        <f t="shared" si="4"/>
        <v>780</v>
      </c>
      <c r="N13" s="66">
        <f t="shared" si="5"/>
        <v>0.11818181818181818</v>
      </c>
      <c r="P13">
        <v>400</v>
      </c>
      <c r="Q13" s="17">
        <v>11.2</v>
      </c>
      <c r="R13">
        <v>200</v>
      </c>
      <c r="S13">
        <v>10.6</v>
      </c>
      <c r="T13">
        <f>((P13*Q13)+(R13*S13))/600</f>
        <v>11</v>
      </c>
      <c r="W13" s="18"/>
    </row>
    <row r="14" spans="1:23" ht="14.65" customHeight="1">
      <c r="A14" t="s">
        <v>17</v>
      </c>
      <c r="B14" t="s">
        <v>179</v>
      </c>
      <c r="C14" s="21">
        <v>43425</v>
      </c>
      <c r="D14">
        <f>800+2200</f>
        <v>3000</v>
      </c>
      <c r="E14" s="17">
        <f>T14/D14</f>
        <v>1.38</v>
      </c>
      <c r="F14" s="17">
        <f t="shared" si="0"/>
        <v>4140</v>
      </c>
      <c r="G14" s="65">
        <f ca="1">G2</f>
        <v>43908.641587731479</v>
      </c>
      <c r="H14">
        <v>1.8</v>
      </c>
      <c r="I14" s="17">
        <f t="shared" si="1"/>
        <v>1260</v>
      </c>
      <c r="J14" s="18">
        <f t="shared" si="2"/>
        <v>0.30434782608695654</v>
      </c>
      <c r="K14" s="12">
        <v>2</v>
      </c>
      <c r="L14" s="17">
        <f t="shared" si="3"/>
        <v>6000</v>
      </c>
      <c r="M14" s="17">
        <f t="shared" si="4"/>
        <v>1860</v>
      </c>
      <c r="N14" s="66">
        <f t="shared" si="5"/>
        <v>0.44927536231884058</v>
      </c>
      <c r="P14">
        <v>800</v>
      </c>
      <c r="Q14">
        <v>1.71</v>
      </c>
      <c r="R14">
        <v>2200</v>
      </c>
      <c r="S14">
        <v>1.26</v>
      </c>
      <c r="T14">
        <f>P14*Q14+R14*S14</f>
        <v>4140</v>
      </c>
      <c r="W14" s="18"/>
    </row>
    <row r="15" spans="1:23" ht="14.65" customHeight="1">
      <c r="A15" t="s">
        <v>22</v>
      </c>
      <c r="B15" t="s">
        <v>180</v>
      </c>
      <c r="C15" s="21">
        <v>43453</v>
      </c>
      <c r="D15">
        <v>200</v>
      </c>
      <c r="E15" s="17">
        <v>15.78</v>
      </c>
      <c r="F15" s="17">
        <f t="shared" si="0"/>
        <v>3156</v>
      </c>
      <c r="G15" s="35">
        <f ca="1">G2</f>
        <v>43908.641587731479</v>
      </c>
      <c r="H15" s="12">
        <v>16.649999999999999</v>
      </c>
      <c r="I15" s="17">
        <f t="shared" si="1"/>
        <v>173.99999999999955</v>
      </c>
      <c r="J15" s="18">
        <f t="shared" si="2"/>
        <v>5.5133079847908599E-2</v>
      </c>
      <c r="K15" s="12">
        <v>19</v>
      </c>
      <c r="L15" s="17">
        <f t="shared" si="3"/>
        <v>3800</v>
      </c>
      <c r="M15" s="17">
        <f t="shared" si="4"/>
        <v>644</v>
      </c>
      <c r="N15" s="66">
        <f t="shared" si="5"/>
        <v>0.20405576679340937</v>
      </c>
    </row>
    <row r="16" spans="1:23" ht="14.65" customHeight="1">
      <c r="A16" t="s">
        <v>18</v>
      </c>
      <c r="B16" s="67" t="s">
        <v>165</v>
      </c>
      <c r="C16" s="21">
        <v>43493</v>
      </c>
      <c r="D16">
        <v>1</v>
      </c>
      <c r="E16" s="17">
        <v>101.4</v>
      </c>
      <c r="F16" s="17">
        <f t="shared" si="0"/>
        <v>101.4</v>
      </c>
      <c r="G16" s="35">
        <f ca="1">G2</f>
        <v>43908.641587731479</v>
      </c>
      <c r="H16" s="12">
        <v>102</v>
      </c>
      <c r="I16" s="17">
        <f t="shared" si="1"/>
        <v>0.59999999999999432</v>
      </c>
      <c r="J16" s="18">
        <f t="shared" si="2"/>
        <v>5.917159763313553E-3</v>
      </c>
      <c r="K16" s="12">
        <v>103</v>
      </c>
      <c r="L16" s="17">
        <f t="shared" si="3"/>
        <v>103</v>
      </c>
      <c r="M16" s="17">
        <f t="shared" si="4"/>
        <v>1.5999999999999943</v>
      </c>
      <c r="N16" s="66">
        <f t="shared" si="5"/>
        <v>1.5779092702169567E-2</v>
      </c>
      <c r="Q16" s="68"/>
    </row>
    <row r="17" spans="1:24" ht="14.65" customHeight="1">
      <c r="A17" t="s">
        <v>19</v>
      </c>
      <c r="B17" s="69" t="s">
        <v>158</v>
      </c>
      <c r="C17" s="21">
        <v>43493</v>
      </c>
      <c r="D17">
        <v>1</v>
      </c>
      <c r="E17" s="17">
        <v>105.65</v>
      </c>
      <c r="F17" s="17">
        <f t="shared" si="0"/>
        <v>105.65</v>
      </c>
      <c r="G17" s="35">
        <f ca="1">G2</f>
        <v>43908.641587731479</v>
      </c>
      <c r="H17" s="12">
        <v>108.5</v>
      </c>
      <c r="I17" s="17">
        <f t="shared" si="1"/>
        <v>2.8499999999999943</v>
      </c>
      <c r="J17" s="18">
        <f t="shared" si="2"/>
        <v>2.697586370089914E-2</v>
      </c>
      <c r="K17" s="12">
        <v>108</v>
      </c>
      <c r="L17" s="17">
        <f t="shared" si="3"/>
        <v>108</v>
      </c>
      <c r="M17" s="17">
        <f t="shared" si="4"/>
        <v>2.3499999999999943</v>
      </c>
      <c r="N17" s="66">
        <f t="shared" si="5"/>
        <v>2.2243256034074722E-2</v>
      </c>
      <c r="Q17" s="68"/>
    </row>
    <row r="18" spans="1:24" ht="14.65" customHeight="1">
      <c r="A18" t="s">
        <v>21</v>
      </c>
      <c r="B18" t="s">
        <v>181</v>
      </c>
      <c r="C18" s="21">
        <v>43497</v>
      </c>
      <c r="D18">
        <v>100</v>
      </c>
      <c r="E18" s="17">
        <v>19.2</v>
      </c>
      <c r="F18" s="17">
        <f t="shared" si="0"/>
        <v>1920</v>
      </c>
      <c r="G18" s="35">
        <f ca="1">G2</f>
        <v>43908.641587731479</v>
      </c>
      <c r="H18" s="12">
        <v>18.75</v>
      </c>
      <c r="I18" s="17">
        <f t="shared" si="1"/>
        <v>-45</v>
      </c>
      <c r="J18" s="18">
        <f t="shared" si="2"/>
        <v>-2.34375E-2</v>
      </c>
      <c r="K18" s="12">
        <v>21.2</v>
      </c>
      <c r="L18" s="17">
        <f t="shared" si="3"/>
        <v>2120</v>
      </c>
      <c r="M18" s="17">
        <f t="shared" si="4"/>
        <v>200</v>
      </c>
      <c r="N18" s="66">
        <f t="shared" si="5"/>
        <v>0.10416666666666667</v>
      </c>
      <c r="Q18" s="68"/>
    </row>
    <row r="19" spans="1:24" ht="14.65" customHeight="1">
      <c r="A19" t="s">
        <v>31</v>
      </c>
      <c r="B19" t="s">
        <v>156</v>
      </c>
      <c r="C19" s="21">
        <v>43496</v>
      </c>
      <c r="D19">
        <v>100</v>
      </c>
      <c r="E19" s="17">
        <v>47.21</v>
      </c>
      <c r="F19" s="17">
        <f t="shared" si="0"/>
        <v>4721</v>
      </c>
      <c r="G19" s="35">
        <f ca="1">G2</f>
        <v>43908.641587731479</v>
      </c>
      <c r="H19" s="12">
        <v>49.7</v>
      </c>
      <c r="I19" s="17">
        <f t="shared" si="1"/>
        <v>249</v>
      </c>
      <c r="J19" s="18">
        <f t="shared" si="2"/>
        <v>5.2743062910400339E-2</v>
      </c>
      <c r="K19" s="12">
        <v>52</v>
      </c>
      <c r="L19" s="17">
        <f t="shared" si="3"/>
        <v>5200</v>
      </c>
      <c r="M19" s="17">
        <f t="shared" si="4"/>
        <v>479</v>
      </c>
      <c r="N19" s="66">
        <f t="shared" si="5"/>
        <v>0.10146155475534845</v>
      </c>
      <c r="Q19" s="68"/>
    </row>
    <row r="20" spans="1:24" ht="14.65" customHeight="1">
      <c r="A20" t="s">
        <v>42</v>
      </c>
      <c r="B20" t="s">
        <v>182</v>
      </c>
      <c r="C20" s="21">
        <v>43528</v>
      </c>
      <c r="D20">
        <v>100</v>
      </c>
      <c r="E20" s="17">
        <v>26.6</v>
      </c>
      <c r="F20" s="17">
        <f t="shared" si="0"/>
        <v>2660</v>
      </c>
      <c r="G20" s="35">
        <f ca="1">G2</f>
        <v>43908.641587731479</v>
      </c>
      <c r="H20" s="12">
        <v>25.85</v>
      </c>
      <c r="I20" s="17">
        <f t="shared" si="1"/>
        <v>-75</v>
      </c>
      <c r="J20" s="18">
        <f t="shared" si="2"/>
        <v>-2.819548872180451E-2</v>
      </c>
      <c r="K20" s="12">
        <v>29.6</v>
      </c>
      <c r="L20" s="17">
        <f t="shared" si="3"/>
        <v>2960</v>
      </c>
      <c r="M20" s="17">
        <f t="shared" si="4"/>
        <v>300</v>
      </c>
      <c r="N20" s="66">
        <f t="shared" si="5"/>
        <v>0.11278195488721804</v>
      </c>
      <c r="Q20" s="68"/>
    </row>
    <row r="21" spans="1:24" ht="14.65" customHeight="1">
      <c r="A21" t="s">
        <v>32</v>
      </c>
      <c r="B21" t="s">
        <v>183</v>
      </c>
      <c r="C21" s="21">
        <v>43370</v>
      </c>
      <c r="D21">
        <v>300</v>
      </c>
      <c r="E21" s="17">
        <v>0</v>
      </c>
      <c r="F21" s="17">
        <f t="shared" si="0"/>
        <v>0</v>
      </c>
      <c r="G21" s="35"/>
      <c r="H21" s="12">
        <v>0</v>
      </c>
      <c r="I21" s="17"/>
      <c r="J21" s="18"/>
      <c r="K21" s="12"/>
      <c r="L21" s="17"/>
      <c r="M21" s="17"/>
      <c r="N21" s="66"/>
      <c r="Q21" s="68"/>
    </row>
    <row r="22" spans="1:24" ht="14.65" customHeight="1">
      <c r="A22" t="s">
        <v>184</v>
      </c>
      <c r="B22" t="s">
        <v>185</v>
      </c>
      <c r="C22" s="35">
        <v>43472</v>
      </c>
      <c r="D22">
        <v>100</v>
      </c>
      <c r="E22">
        <v>11.5</v>
      </c>
      <c r="F22" s="17">
        <f t="shared" si="0"/>
        <v>1150</v>
      </c>
      <c r="G22" s="35"/>
      <c r="H22">
        <v>13.52</v>
      </c>
      <c r="I22" s="17">
        <f>D22*H22-F22</f>
        <v>202</v>
      </c>
      <c r="J22" s="18">
        <f>I22/F22</f>
        <v>0.17565217391304347</v>
      </c>
      <c r="L22" s="17"/>
      <c r="M22" s="17"/>
      <c r="N22" s="18"/>
    </row>
    <row r="23" spans="1:24" ht="14.65" customHeight="1">
      <c r="A23" t="s">
        <v>30</v>
      </c>
      <c r="C23" s="35"/>
      <c r="E23">
        <v>21</v>
      </c>
      <c r="F23" s="17"/>
      <c r="G23" s="35"/>
      <c r="I23" s="17"/>
      <c r="J23" s="18"/>
      <c r="L23" s="17"/>
      <c r="M23" s="17"/>
      <c r="N23" s="18"/>
    </row>
    <row r="24" spans="1:24" ht="14.65" customHeight="1">
      <c r="A24" t="s">
        <v>186</v>
      </c>
      <c r="C24" s="35"/>
      <c r="E24">
        <v>5.3</v>
      </c>
      <c r="F24" s="17"/>
      <c r="G24" s="35"/>
      <c r="I24" s="17"/>
      <c r="J24" s="18"/>
      <c r="L24" s="17"/>
      <c r="M24" s="17"/>
      <c r="N24" s="18"/>
    </row>
    <row r="25" spans="1:24" ht="14.65" customHeight="1">
      <c r="A25" t="s">
        <v>36</v>
      </c>
      <c r="C25" s="35"/>
      <c r="E25">
        <v>4.8</v>
      </c>
      <c r="F25" s="17"/>
      <c r="G25" s="35"/>
      <c r="I25" s="17"/>
      <c r="J25" s="18"/>
      <c r="L25" s="17"/>
      <c r="M25" s="17"/>
      <c r="N25" s="18"/>
    </row>
    <row r="26" spans="1:24" ht="14.65" customHeight="1">
      <c r="C26" s="21"/>
      <c r="E26" s="17"/>
      <c r="F26" s="17"/>
      <c r="G26" s="35"/>
      <c r="J26" s="18"/>
      <c r="L26" s="17"/>
      <c r="M26" s="17"/>
      <c r="N26" s="18"/>
    </row>
    <row r="27" spans="1:24" ht="14.65" customHeight="1">
      <c r="A27" s="3" t="s">
        <v>45</v>
      </c>
      <c r="B27" s="3"/>
      <c r="C27" s="3"/>
      <c r="D27" s="28"/>
      <c r="E27" s="28"/>
      <c r="F27" s="29">
        <f>SUM(F12:F20)</f>
        <v>28414.050000000003</v>
      </c>
      <c r="G27" s="28"/>
      <c r="H27" s="28"/>
      <c r="I27" s="29">
        <f>SUM(I12:I20)</f>
        <v>3936.4499999999994</v>
      </c>
      <c r="J27" s="30">
        <f>I27/F27</f>
        <v>0.13853885665718188</v>
      </c>
      <c r="K27" s="28"/>
      <c r="L27" s="29">
        <f>SUM(L12:L20)</f>
        <v>36671</v>
      </c>
      <c r="M27" s="29">
        <f>SUM(M12:M20)</f>
        <v>8256.9500000000007</v>
      </c>
      <c r="N27" s="70">
        <f>M27/F27</f>
        <v>0.29059391392638501</v>
      </c>
    </row>
    <row r="29" spans="1:24" ht="14.65" customHeight="1"/>
    <row r="30" spans="1:24" ht="14.65" customHeight="1">
      <c r="A30" s="6"/>
      <c r="B30" s="6"/>
      <c r="C30" s="4" t="s">
        <v>0</v>
      </c>
      <c r="D30" s="4"/>
      <c r="E30" s="4"/>
      <c r="F30" s="4"/>
      <c r="G30" s="4" t="s">
        <v>1</v>
      </c>
      <c r="H30" s="4"/>
      <c r="I30" s="4"/>
      <c r="J30" s="4"/>
      <c r="K30" s="4"/>
      <c r="L30" s="4" t="s">
        <v>2</v>
      </c>
      <c r="M30" s="4"/>
      <c r="N30" s="4"/>
      <c r="O30" s="4"/>
      <c r="U30" t="s">
        <v>187</v>
      </c>
      <c r="W30" t="s">
        <v>188</v>
      </c>
    </row>
    <row r="31" spans="1:24" ht="14.65" customHeight="1">
      <c r="A31" s="7" t="s">
        <v>4</v>
      </c>
      <c r="B31" s="7" t="s">
        <v>5</v>
      </c>
      <c r="C31" s="7" t="s">
        <v>69</v>
      </c>
      <c r="D31" s="7" t="s">
        <v>7</v>
      </c>
      <c r="E31" s="7" t="s">
        <v>8</v>
      </c>
      <c r="F31" s="7" t="s">
        <v>9</v>
      </c>
      <c r="G31" s="7" t="s">
        <v>6</v>
      </c>
      <c r="H31" s="7" t="s">
        <v>8</v>
      </c>
      <c r="I31" s="7" t="s">
        <v>11</v>
      </c>
      <c r="J31" s="7" t="s">
        <v>12</v>
      </c>
      <c r="K31" s="10" t="s">
        <v>13</v>
      </c>
      <c r="L31" s="10" t="s">
        <v>8</v>
      </c>
      <c r="M31" s="10" t="s">
        <v>11</v>
      </c>
      <c r="N31" s="10" t="s">
        <v>14</v>
      </c>
      <c r="O31" s="10" t="s">
        <v>13</v>
      </c>
      <c r="S31">
        <v>3.65</v>
      </c>
      <c r="T31" t="s">
        <v>189</v>
      </c>
      <c r="U31">
        <v>2</v>
      </c>
      <c r="V31">
        <f>U31*S31</f>
        <v>7.3</v>
      </c>
      <c r="W31">
        <v>2</v>
      </c>
      <c r="X31">
        <f>W31*S31</f>
        <v>7.3</v>
      </c>
    </row>
    <row r="32" spans="1:24" ht="14.65" customHeight="1">
      <c r="A32" s="71" t="s">
        <v>37</v>
      </c>
      <c r="B32" s="71" t="s">
        <v>147</v>
      </c>
      <c r="C32" s="72">
        <v>43325</v>
      </c>
      <c r="D32" s="71">
        <v>100</v>
      </c>
      <c r="E32" s="73">
        <v>12.15</v>
      </c>
      <c r="F32" s="73">
        <f t="shared" ref="F32:F39" si="6">D32*E32</f>
        <v>1215</v>
      </c>
      <c r="G32" s="74">
        <v>43369</v>
      </c>
      <c r="H32" s="71">
        <v>12.83</v>
      </c>
      <c r="I32" s="73">
        <f>D32*H32-4</f>
        <v>1279</v>
      </c>
      <c r="J32" s="73">
        <f t="shared" ref="J32:J39" si="7">D32*H32-F32</f>
        <v>68</v>
      </c>
      <c r="K32" s="75">
        <f t="shared" ref="K32:K39" si="8">J32/F32</f>
        <v>5.5967078189300412E-2</v>
      </c>
      <c r="L32" s="76">
        <v>13.25</v>
      </c>
      <c r="M32" s="76">
        <f t="shared" ref="M32:M39" si="9">L32*D32</f>
        <v>1325</v>
      </c>
      <c r="N32" s="76">
        <f t="shared" ref="N32:N39" si="10">M32-F32</f>
        <v>110</v>
      </c>
      <c r="O32" s="77">
        <f t="shared" ref="O32:O39" si="11">N32/F32</f>
        <v>9.0534979423868317E-2</v>
      </c>
      <c r="S32">
        <v>33</v>
      </c>
      <c r="T32" t="s">
        <v>190</v>
      </c>
      <c r="U32">
        <v>2</v>
      </c>
      <c r="V32">
        <f>U32*S32</f>
        <v>66</v>
      </c>
      <c r="W32">
        <v>2</v>
      </c>
      <c r="X32">
        <f>W32*S32</f>
        <v>66</v>
      </c>
    </row>
    <row r="33" spans="1:24" ht="14.65" customHeight="1">
      <c r="A33" s="71" t="s">
        <v>38</v>
      </c>
      <c r="B33" s="71" t="s">
        <v>83</v>
      </c>
      <c r="C33" s="72">
        <v>43332</v>
      </c>
      <c r="D33" s="71">
        <v>100</v>
      </c>
      <c r="E33" s="73">
        <v>25</v>
      </c>
      <c r="F33" s="73">
        <f t="shared" si="6"/>
        <v>2500</v>
      </c>
      <c r="G33" s="74">
        <v>43376</v>
      </c>
      <c r="H33" s="73">
        <v>28.9</v>
      </c>
      <c r="I33" s="73">
        <f>H33*D33-8.15</f>
        <v>2881.85</v>
      </c>
      <c r="J33" s="73">
        <f t="shared" si="7"/>
        <v>390</v>
      </c>
      <c r="K33" s="75">
        <f t="shared" si="8"/>
        <v>0.156</v>
      </c>
      <c r="L33" s="76">
        <v>29.4</v>
      </c>
      <c r="M33" s="76">
        <f t="shared" si="9"/>
        <v>2940</v>
      </c>
      <c r="N33" s="76">
        <f t="shared" si="10"/>
        <v>440</v>
      </c>
      <c r="O33" s="77">
        <f t="shared" si="11"/>
        <v>0.17599999999999999</v>
      </c>
      <c r="R33" s="12"/>
      <c r="S33">
        <v>4</v>
      </c>
      <c r="T33" t="s">
        <v>191</v>
      </c>
      <c r="U33">
        <v>2</v>
      </c>
      <c r="V33">
        <f>U33*S33</f>
        <v>8</v>
      </c>
      <c r="W33">
        <v>2</v>
      </c>
      <c r="X33">
        <f>W33*S33</f>
        <v>8</v>
      </c>
    </row>
    <row r="34" spans="1:24" ht="14.65" customHeight="1">
      <c r="A34" s="71" t="s">
        <v>39</v>
      </c>
      <c r="B34" s="71" t="s">
        <v>130</v>
      </c>
      <c r="C34" s="72">
        <v>43333</v>
      </c>
      <c r="D34" s="71">
        <v>300</v>
      </c>
      <c r="E34" s="73">
        <v>9.5</v>
      </c>
      <c r="F34" s="73">
        <f t="shared" si="6"/>
        <v>2850</v>
      </c>
      <c r="G34" s="74">
        <v>43381</v>
      </c>
      <c r="H34" s="73">
        <v>11.09</v>
      </c>
      <c r="I34" s="73">
        <f t="shared" ref="I34:I39" si="12">H34*D34-8.75</f>
        <v>3318.25</v>
      </c>
      <c r="J34" s="73">
        <f t="shared" si="7"/>
        <v>477</v>
      </c>
      <c r="K34" s="75">
        <f t="shared" si="8"/>
        <v>0.16736842105263158</v>
      </c>
      <c r="L34" s="76">
        <v>10.5</v>
      </c>
      <c r="M34" s="76">
        <f t="shared" si="9"/>
        <v>3150</v>
      </c>
      <c r="N34" s="76">
        <f t="shared" si="10"/>
        <v>300</v>
      </c>
      <c r="O34" s="77">
        <f t="shared" si="11"/>
        <v>0.10526315789473684</v>
      </c>
      <c r="V34">
        <f>SUM(V31:V33)</f>
        <v>81.3</v>
      </c>
      <c r="X34">
        <f>SUM(X31:X33)</f>
        <v>81.3</v>
      </c>
    </row>
    <row r="35" spans="1:24" ht="14.65" customHeight="1">
      <c r="A35" s="71" t="s">
        <v>40</v>
      </c>
      <c r="B35" s="71" t="s">
        <v>103</v>
      </c>
      <c r="C35" s="72">
        <v>43356</v>
      </c>
      <c r="D35" s="71">
        <v>400</v>
      </c>
      <c r="E35" s="73">
        <v>6.3875000000000002</v>
      </c>
      <c r="F35" s="73">
        <f t="shared" si="6"/>
        <v>2555</v>
      </c>
      <c r="G35" s="74">
        <v>43381</v>
      </c>
      <c r="H35" s="73">
        <v>9.41</v>
      </c>
      <c r="I35" s="73">
        <f t="shared" si="12"/>
        <v>3755.25</v>
      </c>
      <c r="J35" s="73">
        <f t="shared" si="7"/>
        <v>1209</v>
      </c>
      <c r="K35" s="75">
        <f t="shared" si="8"/>
        <v>0.47318982387475539</v>
      </c>
      <c r="L35" s="76">
        <v>8.8000000000000007</v>
      </c>
      <c r="M35" s="76">
        <f t="shared" si="9"/>
        <v>3520.0000000000005</v>
      </c>
      <c r="N35" s="76">
        <f t="shared" si="10"/>
        <v>965.00000000000045</v>
      </c>
      <c r="O35" s="77">
        <f t="shared" si="11"/>
        <v>0.3776908023483368</v>
      </c>
      <c r="R35" s="17"/>
      <c r="T35" t="s">
        <v>192</v>
      </c>
      <c r="U35">
        <f>V34+X34</f>
        <v>162.6</v>
      </c>
    </row>
    <row r="36" spans="1:24" ht="14.65" customHeight="1">
      <c r="A36" s="71" t="s">
        <v>16</v>
      </c>
      <c r="B36" s="71" t="s">
        <v>101</v>
      </c>
      <c r="C36" s="72">
        <v>43361</v>
      </c>
      <c r="D36" s="71">
        <v>400</v>
      </c>
      <c r="E36" s="73">
        <v>12.81</v>
      </c>
      <c r="F36" s="73">
        <f t="shared" si="6"/>
        <v>5124</v>
      </c>
      <c r="G36" s="74">
        <v>43404</v>
      </c>
      <c r="H36" s="73">
        <v>13.35</v>
      </c>
      <c r="I36" s="73">
        <f t="shared" si="12"/>
        <v>5331.25</v>
      </c>
      <c r="J36" s="73">
        <f t="shared" si="7"/>
        <v>216</v>
      </c>
      <c r="K36" s="75">
        <f t="shared" si="8"/>
        <v>4.2154566744730677E-2</v>
      </c>
      <c r="L36" s="76">
        <v>12.9</v>
      </c>
      <c r="M36" s="76">
        <f t="shared" si="9"/>
        <v>5160</v>
      </c>
      <c r="N36" s="76">
        <f t="shared" si="10"/>
        <v>36</v>
      </c>
      <c r="O36" s="77">
        <f t="shared" si="11"/>
        <v>7.0257611241217799E-3</v>
      </c>
      <c r="T36" t="s">
        <v>193</v>
      </c>
      <c r="U36">
        <f>U35/5</f>
        <v>32.519999999999996</v>
      </c>
    </row>
    <row r="37" spans="1:24" ht="14.65" customHeight="1">
      <c r="A37" s="71" t="s">
        <v>21</v>
      </c>
      <c r="B37" s="71" t="s">
        <v>181</v>
      </c>
      <c r="C37" s="72">
        <v>43381</v>
      </c>
      <c r="D37" s="71">
        <v>200</v>
      </c>
      <c r="E37" s="73">
        <v>19.149999999999999</v>
      </c>
      <c r="F37" s="73">
        <f t="shared" si="6"/>
        <v>3829.9999999999995</v>
      </c>
      <c r="G37" s="74">
        <v>43411</v>
      </c>
      <c r="H37" s="73">
        <v>21.85</v>
      </c>
      <c r="I37" s="73">
        <f t="shared" si="12"/>
        <v>4361.25</v>
      </c>
      <c r="J37" s="73">
        <f t="shared" si="7"/>
        <v>540.00000000000045</v>
      </c>
      <c r="K37" s="75">
        <f t="shared" si="8"/>
        <v>0.14099216710182783</v>
      </c>
      <c r="L37" s="76">
        <v>21.5</v>
      </c>
      <c r="M37" s="76">
        <f t="shared" si="9"/>
        <v>4300</v>
      </c>
      <c r="N37" s="76">
        <f t="shared" si="10"/>
        <v>470.00000000000045</v>
      </c>
      <c r="O37" s="77">
        <f t="shared" si="11"/>
        <v>0.12271540469973903</v>
      </c>
      <c r="T37" t="s">
        <v>194</v>
      </c>
      <c r="U37">
        <f>22*U36</f>
        <v>715.43999999999994</v>
      </c>
      <c r="W37">
        <f>U35*5</f>
        <v>813</v>
      </c>
    </row>
    <row r="38" spans="1:24" ht="14.65" customHeight="1">
      <c r="A38" s="71" t="s">
        <v>41</v>
      </c>
      <c r="B38" s="71" t="s">
        <v>109</v>
      </c>
      <c r="C38" s="72">
        <v>43336</v>
      </c>
      <c r="D38" s="71">
        <v>200</v>
      </c>
      <c r="E38" s="73">
        <v>14.75</v>
      </c>
      <c r="F38" s="73">
        <f t="shared" si="6"/>
        <v>2950</v>
      </c>
      <c r="G38" s="74">
        <v>43423</v>
      </c>
      <c r="H38" s="73">
        <v>24.98</v>
      </c>
      <c r="I38" s="73">
        <f t="shared" si="12"/>
        <v>4987.25</v>
      </c>
      <c r="J38" s="73">
        <f t="shared" si="7"/>
        <v>2046</v>
      </c>
      <c r="K38" s="75">
        <f t="shared" si="8"/>
        <v>0.69355932203389825</v>
      </c>
      <c r="L38" s="76">
        <v>22.5</v>
      </c>
      <c r="M38" s="76">
        <f t="shared" si="9"/>
        <v>4500</v>
      </c>
      <c r="N38" s="76">
        <f t="shared" si="10"/>
        <v>1550</v>
      </c>
      <c r="O38" s="77">
        <f t="shared" si="11"/>
        <v>0.52542372881355937</v>
      </c>
    </row>
    <row r="39" spans="1:24" ht="14.65" customHeight="1">
      <c r="A39" s="71" t="s">
        <v>37</v>
      </c>
      <c r="B39" s="71" t="s">
        <v>147</v>
      </c>
      <c r="C39" s="72">
        <v>43403</v>
      </c>
      <c r="D39" s="71">
        <v>300</v>
      </c>
      <c r="E39" s="71">
        <v>11.78</v>
      </c>
      <c r="F39" s="73">
        <f t="shared" si="6"/>
        <v>3534</v>
      </c>
      <c r="G39" s="74">
        <v>43509</v>
      </c>
      <c r="H39" s="71">
        <v>13.01</v>
      </c>
      <c r="I39" s="73">
        <f t="shared" si="12"/>
        <v>3894.25</v>
      </c>
      <c r="J39" s="73">
        <f t="shared" si="7"/>
        <v>369</v>
      </c>
      <c r="K39" s="75">
        <f t="shared" si="8"/>
        <v>0.10441426146010187</v>
      </c>
      <c r="L39" s="76">
        <v>13</v>
      </c>
      <c r="M39" s="76">
        <f t="shared" si="9"/>
        <v>3900</v>
      </c>
      <c r="N39" s="76">
        <f t="shared" si="10"/>
        <v>366</v>
      </c>
      <c r="O39" s="77">
        <f t="shared" si="11"/>
        <v>0.1035653650254669</v>
      </c>
    </row>
    <row r="40" spans="1:24" ht="14.65" customHeight="1">
      <c r="A40" s="71"/>
      <c r="B40" s="71"/>
      <c r="C40" s="72"/>
      <c r="D40" s="71"/>
      <c r="E40" s="73"/>
      <c r="F40" s="73"/>
      <c r="G40" s="74"/>
      <c r="H40" s="73"/>
      <c r="I40" s="73"/>
      <c r="J40" s="73"/>
      <c r="K40" s="75"/>
      <c r="L40" s="76"/>
      <c r="M40" s="76"/>
      <c r="N40" s="76"/>
      <c r="O40" s="77"/>
    </row>
    <row r="41" spans="1:24" ht="14.65" customHeight="1">
      <c r="I41" s="73"/>
    </row>
    <row r="42" spans="1:24" ht="14.65" customHeight="1">
      <c r="A42" s="3" t="s">
        <v>45</v>
      </c>
      <c r="B42" s="3"/>
      <c r="C42" s="3"/>
      <c r="D42" s="28"/>
      <c r="E42" s="28"/>
      <c r="F42" s="29">
        <f>SUM(F32:F41)</f>
        <v>24558</v>
      </c>
      <c r="G42" s="28"/>
      <c r="H42" s="28"/>
      <c r="I42" s="29">
        <f>SUM(I32:I41)</f>
        <v>29808.35</v>
      </c>
      <c r="J42" s="29">
        <f>SUM(J32:J41)</f>
        <v>5315</v>
      </c>
      <c r="K42" s="30">
        <f>J42/F42</f>
        <v>0.21642641908950241</v>
      </c>
      <c r="L42" s="28"/>
      <c r="M42" s="29">
        <f>SUM(M32:M41)</f>
        <v>28795</v>
      </c>
      <c r="N42" s="29">
        <f>SUM(N32:N41)</f>
        <v>4237.0000000000009</v>
      </c>
      <c r="O42" s="30">
        <f>N42/F42</f>
        <v>0.17253033634660805</v>
      </c>
      <c r="P42" s="19"/>
    </row>
    <row r="43" spans="1:24" ht="14.65" customHeight="1">
      <c r="A43" s="78"/>
      <c r="B43" s="78"/>
      <c r="C43" s="78"/>
      <c r="D43" s="79"/>
      <c r="E43" s="79"/>
      <c r="F43" s="80"/>
      <c r="G43" s="79"/>
      <c r="H43" s="79"/>
      <c r="I43" s="80"/>
      <c r="J43" s="80"/>
      <c r="K43" s="81"/>
      <c r="L43" s="79"/>
      <c r="M43" s="80"/>
      <c r="N43" s="80"/>
      <c r="O43" s="81"/>
    </row>
    <row r="44" spans="1:24" ht="14.65" customHeight="1">
      <c r="A44" s="1" t="s">
        <v>195</v>
      </c>
      <c r="B44" s="1"/>
      <c r="C44" s="78"/>
      <c r="D44" s="79"/>
      <c r="E44" s="79"/>
      <c r="F44" s="80"/>
      <c r="G44" s="79"/>
      <c r="H44" s="79"/>
      <c r="I44" s="80"/>
      <c r="J44" s="80"/>
      <c r="K44" s="81"/>
      <c r="L44" s="79"/>
      <c r="M44" s="80"/>
      <c r="N44" s="80"/>
      <c r="O44" s="81"/>
    </row>
    <row r="45" spans="1:24" ht="14.65" customHeight="1">
      <c r="A45" s="78"/>
      <c r="B45" s="78"/>
      <c r="C45" s="78"/>
      <c r="D45" s="79"/>
      <c r="E45" s="79"/>
      <c r="F45" s="80"/>
      <c r="G45" s="79"/>
      <c r="H45" s="79"/>
      <c r="I45" s="80"/>
      <c r="J45" s="80"/>
      <c r="K45" s="81"/>
      <c r="L45" s="79"/>
      <c r="M45" s="80"/>
      <c r="N45" s="80"/>
      <c r="O45" s="81"/>
    </row>
    <row r="46" spans="1:24" ht="14.65" customHeight="1">
      <c r="A46" s="7" t="s">
        <v>4</v>
      </c>
      <c r="B46" s="7" t="s">
        <v>5</v>
      </c>
      <c r="C46" s="7" t="s">
        <v>196</v>
      </c>
      <c r="D46" s="7" t="s">
        <v>197</v>
      </c>
      <c r="E46" s="7" t="s">
        <v>198</v>
      </c>
      <c r="F46" s="7" t="s">
        <v>199</v>
      </c>
      <c r="G46" s="7" t="s">
        <v>200</v>
      </c>
      <c r="H46" s="7" t="s">
        <v>49</v>
      </c>
      <c r="I46" s="7" t="s">
        <v>201</v>
      </c>
      <c r="J46" s="7" t="s">
        <v>8</v>
      </c>
      <c r="K46" s="7" t="s">
        <v>202</v>
      </c>
      <c r="L46" s="7" t="s">
        <v>203</v>
      </c>
      <c r="M46" s="80"/>
      <c r="N46" s="80"/>
      <c r="O46" s="81"/>
    </row>
    <row r="47" spans="1:24" ht="14.65" customHeight="1">
      <c r="A47" s="82" t="s">
        <v>204</v>
      </c>
      <c r="B47" s="67" t="s">
        <v>205</v>
      </c>
      <c r="C47" s="67" t="s">
        <v>206</v>
      </c>
      <c r="D47" s="83">
        <v>40128</v>
      </c>
      <c r="E47" s="84" t="s">
        <v>207</v>
      </c>
      <c r="F47" s="85">
        <v>149.72</v>
      </c>
      <c r="G47" s="86">
        <v>0.5</v>
      </c>
      <c r="H47" s="87">
        <v>0.8</v>
      </c>
      <c r="I47" s="88">
        <v>165000</v>
      </c>
      <c r="J47" s="85">
        <v>170.2</v>
      </c>
      <c r="K47" s="89">
        <v>1.7000000000000001E-2</v>
      </c>
      <c r="L47" s="89" t="s">
        <v>208</v>
      </c>
      <c r="M47" s="79" t="str">
        <f t="shared" ref="M47:M57" si="13">CONCATENATE("https://www.fundsexplorer.com.br/funds/",A47)</f>
        <v>https://www.fundsexplorer.com.br/funds/HGJH11</v>
      </c>
      <c r="N47" s="80"/>
      <c r="O47" s="81"/>
    </row>
    <row r="48" spans="1:24" ht="14.65" customHeight="1">
      <c r="A48" s="82" t="s">
        <v>124</v>
      </c>
      <c r="B48" s="67" t="s">
        <v>125</v>
      </c>
      <c r="C48" s="67" t="s">
        <v>209</v>
      </c>
      <c r="D48" s="83">
        <v>39126</v>
      </c>
      <c r="E48" s="84" t="s">
        <v>207</v>
      </c>
      <c r="F48" s="85">
        <v>140</v>
      </c>
      <c r="G48" s="86">
        <v>0.5</v>
      </c>
      <c r="H48" s="84">
        <v>1.3107</v>
      </c>
      <c r="I48" s="84">
        <v>714516</v>
      </c>
      <c r="J48" s="85">
        <v>149</v>
      </c>
      <c r="K48" s="89">
        <v>0.25</v>
      </c>
      <c r="L48" s="89" t="s">
        <v>210</v>
      </c>
      <c r="M48" s="79" t="str">
        <f t="shared" si="13"/>
        <v>https://www.fundsexplorer.com.br/funds/HTMX11</v>
      </c>
      <c r="N48" s="80"/>
      <c r="O48" s="81"/>
    </row>
    <row r="49" spans="1:16" ht="14.65" customHeight="1">
      <c r="A49" s="82" t="s">
        <v>211</v>
      </c>
      <c r="B49" s="67" t="s">
        <v>212</v>
      </c>
      <c r="C49" s="67" t="s">
        <v>213</v>
      </c>
      <c r="D49" s="83">
        <v>39307</v>
      </c>
      <c r="E49" s="84" t="s">
        <v>207</v>
      </c>
      <c r="F49" s="85">
        <v>77.11</v>
      </c>
      <c r="G49" s="86">
        <v>0.17</v>
      </c>
      <c r="H49" s="84">
        <v>0.52</v>
      </c>
      <c r="I49" s="88">
        <v>1851786</v>
      </c>
      <c r="J49" s="85">
        <v>89.7</v>
      </c>
      <c r="K49" s="89">
        <v>0</v>
      </c>
      <c r="L49" t="s">
        <v>214</v>
      </c>
      <c r="M49" s="79" t="str">
        <f t="shared" si="13"/>
        <v>https://www.fundsexplorer.com.br/funds/RBRD11</v>
      </c>
      <c r="N49" s="80"/>
      <c r="O49" s="81"/>
    </row>
    <row r="50" spans="1:16" ht="14.65" customHeight="1">
      <c r="A50" s="82" t="s">
        <v>215</v>
      </c>
      <c r="B50" s="67" t="s">
        <v>216</v>
      </c>
      <c r="C50" s="67" t="s">
        <v>217</v>
      </c>
      <c r="D50" s="83">
        <v>39548</v>
      </c>
      <c r="E50" s="84" t="s">
        <v>207</v>
      </c>
      <c r="F50" s="85">
        <v>100.73</v>
      </c>
      <c r="G50" s="86">
        <v>0.3</v>
      </c>
      <c r="H50" s="84">
        <v>0.62</v>
      </c>
      <c r="I50" s="88">
        <v>275000</v>
      </c>
      <c r="J50" s="85">
        <v>104.2</v>
      </c>
      <c r="K50" s="89"/>
      <c r="M50" s="79" t="str">
        <f t="shared" si="13"/>
        <v>https://www.fundsexplorer.com.br/funds/FEXC11</v>
      </c>
      <c r="N50" s="80"/>
      <c r="O50" s="81"/>
    </row>
    <row r="51" spans="1:16" ht="14.65" customHeight="1">
      <c r="A51" s="82" t="s">
        <v>218</v>
      </c>
      <c r="B51" s="67" t="s">
        <v>219</v>
      </c>
      <c r="C51" s="67" t="s">
        <v>220</v>
      </c>
      <c r="D51" s="83">
        <v>40716</v>
      </c>
      <c r="E51" s="84" t="s">
        <v>207</v>
      </c>
      <c r="F51" s="85">
        <v>1178.4000000000001</v>
      </c>
      <c r="G51" s="86">
        <v>0.3</v>
      </c>
      <c r="H51" s="84">
        <v>8</v>
      </c>
      <c r="I51" s="88">
        <v>101664</v>
      </c>
      <c r="J51" s="85">
        <v>1110.52</v>
      </c>
      <c r="K51" s="89">
        <v>0</v>
      </c>
      <c r="L51" t="s">
        <v>221</v>
      </c>
      <c r="M51" s="79" t="str">
        <f t="shared" si="13"/>
        <v>https://www.fundsexplorer.com.br/funds/MBRF11</v>
      </c>
      <c r="N51" s="80"/>
      <c r="O51" s="81"/>
    </row>
    <row r="52" spans="1:16" ht="14.65" customHeight="1">
      <c r="A52" s="82" t="s">
        <v>222</v>
      </c>
      <c r="B52" s="67" t="s">
        <v>223</v>
      </c>
      <c r="C52" s="67" t="s">
        <v>217</v>
      </c>
      <c r="D52" s="83">
        <v>40191</v>
      </c>
      <c r="E52" s="84" t="s">
        <v>207</v>
      </c>
      <c r="F52" s="85">
        <v>104.6</v>
      </c>
      <c r="G52" s="86">
        <v>0.8</v>
      </c>
      <c r="H52" s="84">
        <v>0.97</v>
      </c>
      <c r="I52" s="88">
        <v>30000</v>
      </c>
      <c r="J52" s="85">
        <v>119.25</v>
      </c>
      <c r="K52" s="89"/>
      <c r="M52" s="79" t="str">
        <f t="shared" si="13"/>
        <v>https://www.fundsexplorer.com.br/funds/HGCR11</v>
      </c>
      <c r="N52" s="80"/>
      <c r="O52" s="81"/>
    </row>
    <row r="53" spans="1:16" ht="14.65" customHeight="1">
      <c r="A53" s="82" t="s">
        <v>224</v>
      </c>
      <c r="B53" s="67" t="s">
        <v>225</v>
      </c>
      <c r="C53" s="67" t="s">
        <v>213</v>
      </c>
      <c r="D53" s="83">
        <v>40753</v>
      </c>
      <c r="E53" s="84" t="s">
        <v>207</v>
      </c>
      <c r="F53" s="85">
        <v>388.22</v>
      </c>
      <c r="G53" s="90" t="s">
        <v>226</v>
      </c>
      <c r="H53" s="84">
        <v>2.68</v>
      </c>
      <c r="I53" s="88">
        <v>664516</v>
      </c>
      <c r="J53" s="85">
        <v>435</v>
      </c>
      <c r="K53" s="89"/>
      <c r="L53" t="s">
        <v>227</v>
      </c>
      <c r="M53" s="79" t="str">
        <f t="shared" si="13"/>
        <v>https://www.fundsexplorer.com.br/funds/FIIB11</v>
      </c>
      <c r="N53" s="80"/>
      <c r="O53" s="81"/>
    </row>
    <row r="54" spans="1:16" ht="14.65" customHeight="1">
      <c r="A54" s="82" t="s">
        <v>19</v>
      </c>
      <c r="B54" s="67" t="s">
        <v>228</v>
      </c>
      <c r="C54" s="67" t="s">
        <v>229</v>
      </c>
      <c r="D54" s="83">
        <v>43040</v>
      </c>
      <c r="E54" s="84" t="s">
        <v>207</v>
      </c>
      <c r="F54" s="85">
        <v>101.8</v>
      </c>
      <c r="G54" s="86">
        <v>1.35</v>
      </c>
      <c r="H54" s="84">
        <v>0.6</v>
      </c>
      <c r="I54" s="88">
        <v>3215033</v>
      </c>
      <c r="J54" s="85">
        <v>107.98</v>
      </c>
      <c r="K54" s="89">
        <v>4.8000000000000001E-2</v>
      </c>
      <c r="L54" t="s">
        <v>230</v>
      </c>
      <c r="M54" s="79" t="str">
        <f t="shared" si="13"/>
        <v>https://www.fundsexplorer.com.br/funds/VISC11</v>
      </c>
      <c r="N54" s="80"/>
      <c r="O54" s="81"/>
    </row>
    <row r="55" spans="1:16" ht="14.65" customHeight="1">
      <c r="A55" s="82" t="s">
        <v>18</v>
      </c>
      <c r="B55" s="67" t="s">
        <v>165</v>
      </c>
      <c r="C55" s="67" t="s">
        <v>231</v>
      </c>
      <c r="D55" s="83">
        <v>43252</v>
      </c>
      <c r="E55" s="84" t="s">
        <v>207</v>
      </c>
      <c r="F55" s="85">
        <v>96.08</v>
      </c>
      <c r="G55" s="86">
        <v>0.95</v>
      </c>
      <c r="H55" s="84">
        <v>0.65</v>
      </c>
      <c r="I55" s="88">
        <v>3661150</v>
      </c>
      <c r="J55" s="85">
        <v>102</v>
      </c>
      <c r="K55" s="89">
        <v>0</v>
      </c>
      <c r="L55" t="s">
        <v>232</v>
      </c>
      <c r="M55" s="79" t="str">
        <f t="shared" si="13"/>
        <v>https://www.fundsexplorer.com.br/funds/XPLG11</v>
      </c>
      <c r="N55" s="80"/>
      <c r="O55" s="81"/>
    </row>
    <row r="56" spans="1:16" ht="14.65" customHeight="1">
      <c r="A56" s="82" t="s">
        <v>233</v>
      </c>
      <c r="B56" s="91" t="s">
        <v>234</v>
      </c>
      <c r="C56" s="67" t="s">
        <v>229</v>
      </c>
      <c r="D56" s="92" t="s">
        <v>226</v>
      </c>
      <c r="E56" s="84" t="s">
        <v>207</v>
      </c>
      <c r="F56" s="85">
        <v>102.47</v>
      </c>
      <c r="G56" s="86">
        <v>0.95</v>
      </c>
      <c r="H56" s="84">
        <v>0.88</v>
      </c>
      <c r="I56" s="88">
        <v>3750000</v>
      </c>
      <c r="J56" s="85">
        <v>107</v>
      </c>
      <c r="K56" s="89">
        <v>4.5999999999999999E-2</v>
      </c>
      <c r="L56" t="s">
        <v>235</v>
      </c>
      <c r="M56" s="79" t="str">
        <f t="shared" si="13"/>
        <v>https://www.fundsexplorer.com.br/funds/XPML11</v>
      </c>
      <c r="N56" s="80"/>
      <c r="O56" s="81"/>
    </row>
    <row r="57" spans="1:16" ht="14.65" customHeight="1">
      <c r="A57" s="82" t="s">
        <v>236</v>
      </c>
      <c r="B57" s="67" t="s">
        <v>237</v>
      </c>
      <c r="C57" s="67" t="s">
        <v>206</v>
      </c>
      <c r="D57" s="83">
        <v>40444</v>
      </c>
      <c r="E57" s="84" t="s">
        <v>207</v>
      </c>
      <c r="F57" s="85">
        <v>93.82</v>
      </c>
      <c r="G57" s="86">
        <v>0.17</v>
      </c>
      <c r="H57" s="84">
        <v>0.39</v>
      </c>
      <c r="I57" s="88">
        <v>2150000</v>
      </c>
      <c r="J57" s="85">
        <v>128</v>
      </c>
      <c r="K57" s="89">
        <v>0.20899999999999999</v>
      </c>
      <c r="L57" t="s">
        <v>238</v>
      </c>
      <c r="M57" s="79" t="str">
        <f t="shared" si="13"/>
        <v>https://www.fundsexplorer.com.br/funds/FVBI11</v>
      </c>
      <c r="N57" s="80"/>
      <c r="O57" s="81"/>
    </row>
    <row r="58" spans="1:16" ht="14.65" customHeight="1">
      <c r="A58" s="78"/>
      <c r="B58" s="93"/>
      <c r="C58" s="93"/>
      <c r="D58" s="79"/>
      <c r="E58" s="79"/>
      <c r="F58" s="80"/>
      <c r="G58" s="79"/>
      <c r="H58" s="79"/>
      <c r="I58" s="88"/>
      <c r="J58" s="80"/>
      <c r="K58" s="81"/>
      <c r="L58" s="79"/>
      <c r="M58" s="80"/>
      <c r="N58" s="80"/>
      <c r="O58" s="81"/>
    </row>
    <row r="59" spans="1:16" ht="14.65" customHeight="1">
      <c r="A59" s="78"/>
      <c r="B59" s="78"/>
      <c r="C59" s="78"/>
      <c r="D59" s="79"/>
      <c r="E59" s="79"/>
      <c r="F59" s="80"/>
      <c r="G59" s="79"/>
      <c r="H59" s="79"/>
      <c r="I59" s="80"/>
      <c r="J59" s="80"/>
      <c r="K59" s="81"/>
      <c r="L59" s="79"/>
      <c r="M59" s="80"/>
      <c r="N59" s="80"/>
      <c r="O59" s="81"/>
    </row>
    <row r="60" spans="1:16" ht="14.65" customHeight="1">
      <c r="A60" s="78"/>
      <c r="B60" s="78"/>
      <c r="C60" s="78"/>
      <c r="D60" s="79"/>
      <c r="E60" s="79"/>
      <c r="F60" s="80"/>
      <c r="G60" s="79"/>
      <c r="H60" s="79"/>
      <c r="I60" s="80"/>
      <c r="J60" s="80"/>
      <c r="K60" s="81"/>
      <c r="L60" s="79"/>
      <c r="M60" s="80"/>
      <c r="N60" s="80"/>
      <c r="O60" s="81"/>
    </row>
    <row r="61" spans="1:16" ht="14.65" customHeight="1">
      <c r="A61" s="78"/>
      <c r="B61" s="78"/>
      <c r="C61" s="78"/>
      <c r="D61" s="79"/>
      <c r="E61" s="79"/>
      <c r="F61" s="80"/>
      <c r="G61" s="79"/>
      <c r="H61" s="79"/>
      <c r="I61" s="80"/>
      <c r="J61" s="80"/>
      <c r="K61" s="81"/>
      <c r="L61" s="79"/>
      <c r="M61" s="80"/>
      <c r="N61" s="80"/>
      <c r="O61" s="81"/>
    </row>
    <row r="62" spans="1:16" ht="14.65" customHeight="1">
      <c r="A62" s="94"/>
      <c r="B62" s="94"/>
      <c r="C62" s="94"/>
      <c r="D62" s="95"/>
      <c r="E62" s="95"/>
      <c r="F62" s="96"/>
      <c r="G62" s="95"/>
      <c r="H62" s="95"/>
      <c r="I62" s="96"/>
      <c r="J62" s="96"/>
      <c r="K62" s="97"/>
      <c r="L62" s="95"/>
      <c r="M62" s="96"/>
      <c r="N62" s="96"/>
      <c r="O62" s="97"/>
    </row>
    <row r="63" spans="1:16" ht="14.65" customHeight="1">
      <c r="L63" s="4" t="s">
        <v>1</v>
      </c>
      <c r="M63" s="4"/>
      <c r="N63" s="4"/>
      <c r="O63" s="4"/>
    </row>
    <row r="64" spans="1:16" ht="14.65" customHeight="1">
      <c r="A64" s="7" t="s">
        <v>4</v>
      </c>
      <c r="B64" s="7" t="s">
        <v>5</v>
      </c>
      <c r="C64" s="7" t="s">
        <v>69</v>
      </c>
      <c r="D64" s="7" t="s">
        <v>9</v>
      </c>
      <c r="E64" s="7" t="s">
        <v>7</v>
      </c>
      <c r="F64" s="7" t="s">
        <v>239</v>
      </c>
      <c r="G64" s="7" t="s">
        <v>8</v>
      </c>
      <c r="H64" s="7" t="s">
        <v>240</v>
      </c>
      <c r="I64" s="7" t="s">
        <v>241</v>
      </c>
      <c r="J64" s="7" t="s">
        <v>45</v>
      </c>
      <c r="K64" s="7" t="s">
        <v>242</v>
      </c>
      <c r="L64" s="7" t="s">
        <v>6</v>
      </c>
      <c r="M64" s="7" t="s">
        <v>8</v>
      </c>
      <c r="N64" s="7" t="s">
        <v>11</v>
      </c>
      <c r="O64" s="7" t="s">
        <v>14</v>
      </c>
      <c r="P64" s="7" t="s">
        <v>13</v>
      </c>
    </row>
    <row r="65" spans="1:19" ht="14.65" customHeight="1">
      <c r="A65" t="s">
        <v>243</v>
      </c>
      <c r="D65" s="17">
        <v>322510</v>
      </c>
    </row>
    <row r="66" spans="1:19" ht="14.65" customHeight="1">
      <c r="A66" t="s">
        <v>244</v>
      </c>
      <c r="B66" t="s">
        <v>245</v>
      </c>
      <c r="C66" s="21">
        <v>43349</v>
      </c>
      <c r="D66" s="17">
        <v>147832.09</v>
      </c>
      <c r="E66">
        <v>1</v>
      </c>
      <c r="J66" s="17">
        <f>D66*E66</f>
        <v>147832.09</v>
      </c>
    </row>
    <row r="67" spans="1:19" ht="14.65" customHeight="1">
      <c r="A67" t="s">
        <v>246</v>
      </c>
      <c r="B67" t="s">
        <v>247</v>
      </c>
      <c r="C67" s="21">
        <v>43349</v>
      </c>
      <c r="D67" s="17">
        <v>50000</v>
      </c>
      <c r="E67">
        <v>62</v>
      </c>
      <c r="F67" s="17">
        <f>D67/E67</f>
        <v>806.45161290322585</v>
      </c>
      <c r="G67">
        <v>803.56</v>
      </c>
      <c r="H67">
        <v>199.28</v>
      </c>
      <c r="I67" s="18">
        <v>9.9500000000000005E-2</v>
      </c>
      <c r="J67" s="17">
        <f>E67*G67+H67</f>
        <v>50019.999999999993</v>
      </c>
      <c r="K67" s="21">
        <v>44197</v>
      </c>
      <c r="L67" s="98">
        <v>43732</v>
      </c>
      <c r="M67" s="17">
        <f>56695.74/62</f>
        <v>914.44741935483864</v>
      </c>
      <c r="N67" s="17">
        <f t="shared" ref="N67:N73" si="14">M67*E67</f>
        <v>56695.74</v>
      </c>
      <c r="O67">
        <f>N67-J67</f>
        <v>6675.7400000000052</v>
      </c>
      <c r="P67" s="18">
        <f t="shared" ref="P67:P75" si="15">O67/J67</f>
        <v>0.13346141543382659</v>
      </c>
      <c r="S67" s="18"/>
    </row>
    <row r="68" spans="1:19" ht="14.65" customHeight="1">
      <c r="A68" t="s">
        <v>246</v>
      </c>
      <c r="B68" t="s">
        <v>248</v>
      </c>
      <c r="C68" s="21">
        <v>43353</v>
      </c>
      <c r="D68" s="17">
        <v>25166.959999999999</v>
      </c>
      <c r="E68">
        <v>52</v>
      </c>
      <c r="F68" s="17">
        <f>(D68+H68)/E68</f>
        <v>485.91576923076923</v>
      </c>
      <c r="G68" s="17">
        <f>D68/E68</f>
        <v>483.97999999999996</v>
      </c>
      <c r="H68">
        <v>100.66</v>
      </c>
      <c r="I68" s="18">
        <v>0.12230000000000001</v>
      </c>
      <c r="J68" s="17">
        <f t="shared" ref="J68:J73" si="16">D68+H68</f>
        <v>25267.62</v>
      </c>
      <c r="K68" s="21">
        <v>45658</v>
      </c>
      <c r="L68" s="21">
        <f>L67</f>
        <v>43732</v>
      </c>
      <c r="M68" s="17">
        <f>34582.06/52</f>
        <v>665.03961538461533</v>
      </c>
      <c r="N68" s="17">
        <f t="shared" si="14"/>
        <v>34582.06</v>
      </c>
      <c r="O68">
        <f>N68-J68</f>
        <v>9314.4399999999987</v>
      </c>
      <c r="P68" s="18">
        <f t="shared" si="15"/>
        <v>0.36863147379927352</v>
      </c>
      <c r="Q68" s="99" t="s">
        <v>249</v>
      </c>
      <c r="S68" s="18"/>
    </row>
    <row r="69" spans="1:19" ht="14.65" customHeight="1">
      <c r="A69" t="s">
        <v>246</v>
      </c>
      <c r="B69" t="s">
        <v>250</v>
      </c>
      <c r="C69" s="21">
        <v>43353</v>
      </c>
      <c r="D69" s="17">
        <v>24614.48</v>
      </c>
      <c r="E69">
        <v>11</v>
      </c>
      <c r="F69" s="17">
        <f>(D69+H69)/E69</f>
        <v>2246.63</v>
      </c>
      <c r="G69" s="17">
        <f>D69/E69</f>
        <v>2237.6799999999998</v>
      </c>
      <c r="H69">
        <v>98.45</v>
      </c>
      <c r="I69" s="18">
        <v>5.8599999999999999E-2</v>
      </c>
      <c r="J69" s="17">
        <f t="shared" si="16"/>
        <v>24712.93</v>
      </c>
      <c r="K69" s="21">
        <v>45519</v>
      </c>
      <c r="L69" s="21">
        <f>L68</f>
        <v>43732</v>
      </c>
      <c r="M69" s="17">
        <f>29994.7/11</f>
        <v>2726.7909090909093</v>
      </c>
      <c r="N69" s="17">
        <f t="shared" si="14"/>
        <v>29994.7</v>
      </c>
      <c r="O69">
        <f>N69-J69</f>
        <v>5281.77</v>
      </c>
      <c r="P69" s="18">
        <f t="shared" si="15"/>
        <v>0.2137249609819637</v>
      </c>
      <c r="S69" s="18"/>
    </row>
    <row r="70" spans="1:19" ht="14.65" customHeight="1">
      <c r="A70" t="s">
        <v>251</v>
      </c>
      <c r="B70" t="s">
        <v>252</v>
      </c>
      <c r="C70" s="21"/>
      <c r="D70" s="17">
        <v>136432.6</v>
      </c>
      <c r="E70">
        <v>1</v>
      </c>
      <c r="F70" s="17"/>
      <c r="G70" s="17"/>
      <c r="I70" s="18"/>
      <c r="J70" s="17">
        <f t="shared" si="16"/>
        <v>136432.6</v>
      </c>
      <c r="K70" s="21"/>
      <c r="L70" s="21">
        <f>L69</f>
        <v>43732</v>
      </c>
      <c r="M70" s="17">
        <f>52551.8+52086.43+46371.9</f>
        <v>151010.13</v>
      </c>
      <c r="N70" s="17">
        <f t="shared" si="14"/>
        <v>151010.13</v>
      </c>
      <c r="O70">
        <f>N70-J70</f>
        <v>14577.529999999999</v>
      </c>
      <c r="P70" s="18">
        <f t="shared" si="15"/>
        <v>0.10684785014725218</v>
      </c>
    </row>
    <row r="71" spans="1:19" ht="14.65" customHeight="1">
      <c r="A71" t="s">
        <v>251</v>
      </c>
      <c r="B71" t="s">
        <v>253</v>
      </c>
      <c r="C71" s="21"/>
      <c r="D71" s="17">
        <v>100000</v>
      </c>
      <c r="E71">
        <v>1</v>
      </c>
      <c r="F71" s="17"/>
      <c r="G71" s="17"/>
      <c r="I71" s="18"/>
      <c r="J71" s="17">
        <f t="shared" si="16"/>
        <v>100000</v>
      </c>
      <c r="K71" s="21"/>
      <c r="L71" s="21">
        <f>L70</f>
        <v>43732</v>
      </c>
      <c r="M71" s="17">
        <v>111532.32</v>
      </c>
      <c r="N71" s="17">
        <f t="shared" si="14"/>
        <v>111532.32</v>
      </c>
      <c r="O71">
        <f>N71-J71</f>
        <v>11532.320000000007</v>
      </c>
      <c r="P71" s="18">
        <f t="shared" si="15"/>
        <v>0.11532320000000007</v>
      </c>
    </row>
    <row r="72" spans="1:19" ht="14.65" customHeight="1">
      <c r="A72" t="s">
        <v>251</v>
      </c>
      <c r="B72" t="s">
        <v>254</v>
      </c>
      <c r="C72" s="21"/>
      <c r="D72" s="17">
        <f>4173.15+4552.57</f>
        <v>8725.7199999999993</v>
      </c>
      <c r="E72">
        <v>1</v>
      </c>
      <c r="F72" s="17"/>
      <c r="G72" s="17"/>
      <c r="I72" s="18"/>
      <c r="J72" s="17">
        <f t="shared" si="16"/>
        <v>8725.7199999999993</v>
      </c>
      <c r="K72" s="21"/>
      <c r="L72" s="21">
        <v>43723</v>
      </c>
      <c r="M72" s="17">
        <v>0</v>
      </c>
      <c r="N72" s="17">
        <f t="shared" si="14"/>
        <v>0</v>
      </c>
      <c r="O72">
        <v>0</v>
      </c>
      <c r="P72" s="18">
        <f t="shared" si="15"/>
        <v>0</v>
      </c>
    </row>
    <row r="73" spans="1:19" ht="14.65" customHeight="1">
      <c r="A73" t="s">
        <v>251</v>
      </c>
      <c r="B73" t="s">
        <v>255</v>
      </c>
      <c r="C73" s="21"/>
      <c r="D73" s="17">
        <v>86000</v>
      </c>
      <c r="E73">
        <v>1</v>
      </c>
      <c r="F73" s="17"/>
      <c r="G73" s="17"/>
      <c r="I73" s="18"/>
      <c r="J73" s="17">
        <f t="shared" si="16"/>
        <v>86000</v>
      </c>
      <c r="K73" s="21"/>
      <c r="L73" s="21">
        <f>L70</f>
        <v>43732</v>
      </c>
      <c r="M73" s="17">
        <v>86000</v>
      </c>
      <c r="N73" s="17">
        <f t="shared" si="14"/>
        <v>86000</v>
      </c>
      <c r="O73">
        <f>N73-J73</f>
        <v>0</v>
      </c>
      <c r="P73" s="18">
        <f t="shared" si="15"/>
        <v>0</v>
      </c>
    </row>
    <row r="74" spans="1:19" ht="14.65" customHeight="1">
      <c r="A74" t="s">
        <v>256</v>
      </c>
      <c r="B74" t="s">
        <v>257</v>
      </c>
      <c r="C74" s="21">
        <v>43508</v>
      </c>
      <c r="D74" s="17">
        <v>2000</v>
      </c>
      <c r="E74">
        <v>1</v>
      </c>
      <c r="F74" s="17"/>
      <c r="G74" s="17"/>
      <c r="I74" s="18"/>
      <c r="J74" s="17">
        <f>E74*D74</f>
        <v>2000</v>
      </c>
      <c r="K74" s="21"/>
      <c r="L74" s="21">
        <f>L73</f>
        <v>43732</v>
      </c>
      <c r="M74" s="17">
        <v>2550</v>
      </c>
      <c r="N74" s="17">
        <f>E74*M74</f>
        <v>2550</v>
      </c>
      <c r="O74">
        <f>N74-J74</f>
        <v>550</v>
      </c>
      <c r="P74" s="18">
        <f t="shared" si="15"/>
        <v>0.27500000000000002</v>
      </c>
    </row>
    <row r="75" spans="1:19" ht="14.65" customHeight="1">
      <c r="A75" t="s">
        <v>226</v>
      </c>
      <c r="B75" t="s">
        <v>258</v>
      </c>
      <c r="C75" s="21"/>
      <c r="D75" s="17">
        <f>Resumo!G53</f>
        <v>98207.679600000003</v>
      </c>
      <c r="E75">
        <v>1</v>
      </c>
      <c r="J75" s="17">
        <f>E75*D75</f>
        <v>98207.679600000003</v>
      </c>
      <c r="M75" s="17">
        <f>Resumo!K53</f>
        <v>58995.45</v>
      </c>
      <c r="N75" s="17">
        <f>M75*E75</f>
        <v>58995.45</v>
      </c>
      <c r="O75" s="17">
        <f>N75-J75</f>
        <v>-39212.229600000006</v>
      </c>
      <c r="P75" s="18">
        <f t="shared" si="15"/>
        <v>-0.39927864867301077</v>
      </c>
    </row>
    <row r="76" spans="1:19" ht="14.65" customHeight="1">
      <c r="A76" t="s">
        <v>259</v>
      </c>
      <c r="B76" t="s">
        <v>260</v>
      </c>
      <c r="C76" s="21"/>
      <c r="D76" s="17">
        <f>SUM(I32:I35)</f>
        <v>11234.35</v>
      </c>
      <c r="J76" s="17"/>
    </row>
    <row r="77" spans="1:19" ht="14.65" customHeight="1">
      <c r="A77" t="s">
        <v>226</v>
      </c>
      <c r="B77" t="s">
        <v>261</v>
      </c>
      <c r="C77" s="21"/>
      <c r="D77" s="17">
        <f>4700*IF(A77="-",-1,1)</f>
        <v>-4700</v>
      </c>
      <c r="J77" s="17"/>
    </row>
    <row r="78" spans="1:19" ht="14.65" customHeight="1">
      <c r="A78" t="s">
        <v>226</v>
      </c>
      <c r="B78" t="s">
        <v>262</v>
      </c>
      <c r="C78" s="17">
        <v>1000</v>
      </c>
      <c r="D78" s="17">
        <f>C78*IF(A78="-",-1,1)</f>
        <v>-1000</v>
      </c>
      <c r="J78" s="17"/>
    </row>
    <row r="79" spans="1:19" ht="14.65" customHeight="1">
      <c r="A79" t="s">
        <v>226</v>
      </c>
      <c r="B79" t="s">
        <v>263</v>
      </c>
      <c r="C79" s="17">
        <v>2000</v>
      </c>
      <c r="D79" s="17">
        <f>C79*4*IF(A79="-",-1,1)</f>
        <v>-8000</v>
      </c>
      <c r="J79" s="17"/>
    </row>
    <row r="80" spans="1:19" ht="14.65" customHeight="1">
      <c r="A80" s="29" t="s">
        <v>264</v>
      </c>
      <c r="B80" s="100" t="s">
        <v>255</v>
      </c>
      <c r="C80" s="29">
        <f>D65-SUM(J66:J75)</f>
        <v>-356688.63959999999</v>
      </c>
      <c r="D80" s="29">
        <f>SUM(D75:D79)</f>
        <v>95742.029600000009</v>
      </c>
      <c r="E80" s="29"/>
      <c r="F80" s="29"/>
      <c r="G80" s="29"/>
      <c r="H80" s="29"/>
      <c r="I80" s="29"/>
      <c r="J80" s="29">
        <f>SUM(J67:J75)</f>
        <v>531366.54960000003</v>
      </c>
      <c r="K80" s="29"/>
      <c r="L80" s="29"/>
      <c r="M80" s="29"/>
      <c r="N80" s="29">
        <f>SUM(N67:N75)</f>
        <v>531360.4</v>
      </c>
      <c r="O80" s="29">
        <f>SUM(O67:O75)</f>
        <v>8719.5704000000042</v>
      </c>
      <c r="P80" s="30">
        <f>O80/J80</f>
        <v>1.6409708903512815E-2</v>
      </c>
    </row>
    <row r="82" spans="1:7" ht="14.65" customHeight="1">
      <c r="C82" s="17">
        <v>69576</v>
      </c>
    </row>
    <row r="84" spans="1:7" ht="12.75" customHeight="1">
      <c r="A84" t="s">
        <v>265</v>
      </c>
      <c r="C84" t="s">
        <v>266</v>
      </c>
      <c r="D84" t="s">
        <v>9</v>
      </c>
      <c r="E84" t="s">
        <v>6</v>
      </c>
      <c r="F84" t="s">
        <v>267</v>
      </c>
      <c r="G84" t="s">
        <v>11</v>
      </c>
    </row>
    <row r="85" spans="1:7" ht="14.65" customHeight="1">
      <c r="A85" t="s">
        <v>268</v>
      </c>
      <c r="B85" t="s">
        <v>269</v>
      </c>
      <c r="C85">
        <v>117920</v>
      </c>
      <c r="D85">
        <v>64000</v>
      </c>
      <c r="E85" s="21">
        <v>37822</v>
      </c>
      <c r="F85" s="101">
        <v>1</v>
      </c>
      <c r="G85" s="102">
        <f>D85*(1+F85)</f>
        <v>128000</v>
      </c>
    </row>
    <row r="86" spans="1:7" ht="14.65" customHeight="1">
      <c r="A86" t="s">
        <v>270</v>
      </c>
      <c r="B86" t="s">
        <v>271</v>
      </c>
      <c r="C86">
        <v>275822</v>
      </c>
      <c r="D86">
        <v>220000</v>
      </c>
      <c r="E86" s="21">
        <v>40744</v>
      </c>
      <c r="F86" s="101">
        <v>0.8</v>
      </c>
      <c r="G86" s="102">
        <f>D86*(1+F86)</f>
        <v>396000</v>
      </c>
    </row>
    <row r="87" spans="1:7" ht="14.65" customHeight="1">
      <c r="A87" t="s">
        <v>272</v>
      </c>
      <c r="B87" t="s">
        <v>273</v>
      </c>
      <c r="C87">
        <v>2882</v>
      </c>
      <c r="D87">
        <v>23000</v>
      </c>
      <c r="E87" s="21">
        <v>42114</v>
      </c>
      <c r="F87" s="101">
        <v>0.3</v>
      </c>
      <c r="G87" s="102">
        <f>D87*(1+F87)</f>
        <v>29900</v>
      </c>
    </row>
    <row r="88" spans="1:7" ht="14.65" customHeight="1">
      <c r="A88" t="s">
        <v>272</v>
      </c>
      <c r="B88" t="s">
        <v>274</v>
      </c>
      <c r="D88">
        <v>38000</v>
      </c>
      <c r="E88" s="21">
        <v>43605</v>
      </c>
      <c r="F88" s="101">
        <v>0.1</v>
      </c>
      <c r="G88" s="102">
        <f>D88*(1+F88)</f>
        <v>41800</v>
      </c>
    </row>
    <row r="89" spans="1:7" ht="14.65" customHeight="1">
      <c r="D89">
        <f>SUM(D85:D88)</f>
        <v>345000</v>
      </c>
      <c r="F89" s="101">
        <f>(G89-D89)/D89</f>
        <v>0.72666666666666668</v>
      </c>
      <c r="G89" s="103">
        <f>SUM(G85:G88)</f>
        <v>595700</v>
      </c>
    </row>
    <row r="95" spans="1:7" ht="12.75" customHeight="1">
      <c r="A95" t="s">
        <v>275</v>
      </c>
      <c r="B95">
        <v>142</v>
      </c>
      <c r="C95">
        <v>0.6</v>
      </c>
      <c r="D95" s="37">
        <f>C95/B95</f>
        <v>4.2253521126760559E-3</v>
      </c>
    </row>
    <row r="100" spans="6:6" ht="12.75" customHeight="1">
      <c r="F100">
        <f>142*0.42/100</f>
        <v>0.59640000000000004</v>
      </c>
    </row>
  </sheetData>
  <mergeCells count="9">
    <mergeCell ref="A42:C42"/>
    <mergeCell ref="A44:B44"/>
    <mergeCell ref="L63:O63"/>
    <mergeCell ref="G10:J10"/>
    <mergeCell ref="K10:N10"/>
    <mergeCell ref="A27:C27"/>
    <mergeCell ref="C30:F30"/>
    <mergeCell ref="G30:K30"/>
    <mergeCell ref="L30:O30"/>
  </mergeCells>
  <hyperlinks>
    <hyperlink ref="G5" r:id="rId1"/>
    <hyperlink ref="Q68" r:id="rId2"/>
  </hyperlink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RowHeight="12.75"/>
  <cols>
    <col min="1" max="1025" width="11.5703125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6:I14"/>
  <sheetViews>
    <sheetView zoomScaleNormal="100" workbookViewId="0">
      <selection activeCell="B20" sqref="B20"/>
    </sheetView>
  </sheetViews>
  <sheetFormatPr defaultRowHeight="12.75"/>
  <cols>
    <col min="1" max="1" width="11.5703125"/>
    <col min="2" max="2" width="39.7109375" customWidth="1"/>
    <col min="3" max="7" width="11.5703125"/>
    <col min="8" max="8" width="15" customWidth="1"/>
    <col min="9" max="9" width="18.140625" customWidth="1"/>
    <col min="10" max="1025" width="11.5703125"/>
  </cols>
  <sheetData>
    <row r="6" spans="1:9">
      <c r="C6" t="s">
        <v>276</v>
      </c>
      <c r="D6" t="s">
        <v>277</v>
      </c>
      <c r="E6" t="s">
        <v>278</v>
      </c>
      <c r="F6" t="s">
        <v>0</v>
      </c>
      <c r="G6" t="s">
        <v>279</v>
      </c>
      <c r="H6" t="s">
        <v>280</v>
      </c>
      <c r="I6" t="s">
        <v>281</v>
      </c>
    </row>
    <row r="7" spans="1:9">
      <c r="A7" t="s">
        <v>79</v>
      </c>
      <c r="B7" s="104" t="str">
        <f>VLOOKUP(A7,Cadastro!$A$7:$C$54,2,1)</f>
        <v>BANCO DO BRASIL SA ON</v>
      </c>
      <c r="C7">
        <v>27.1</v>
      </c>
      <c r="D7">
        <v>37</v>
      </c>
      <c r="E7">
        <v>48</v>
      </c>
      <c r="F7">
        <v>28</v>
      </c>
      <c r="G7" s="18">
        <f t="shared" ref="G7:G14" si="0">(D7-C7)/C7</f>
        <v>0.3653136531365313</v>
      </c>
      <c r="H7" s="18">
        <f t="shared" ref="H7:H14" si="1">(E7-C7)/C7</f>
        <v>0.77121771217712165</v>
      </c>
      <c r="I7" s="18">
        <f t="shared" ref="I7:I14" si="2">(D7-F7)/F7</f>
        <v>0.32142857142857145</v>
      </c>
    </row>
    <row r="8" spans="1:9">
      <c r="A8" t="s">
        <v>38</v>
      </c>
      <c r="B8" s="104" t="str">
        <f>VLOOKUP(A8,Cadastro!$A$7:$C$54,2,1)</f>
        <v>BANCO BRADESCO SA ON</v>
      </c>
      <c r="C8">
        <v>19</v>
      </c>
      <c r="D8">
        <v>22.3</v>
      </c>
      <c r="E8">
        <v>32</v>
      </c>
      <c r="F8">
        <v>20</v>
      </c>
      <c r="G8" s="18">
        <f t="shared" si="0"/>
        <v>0.17368421052631583</v>
      </c>
      <c r="H8" s="18">
        <f t="shared" si="1"/>
        <v>0.68421052631578949</v>
      </c>
      <c r="I8" s="18">
        <f t="shared" si="2"/>
        <v>0.11500000000000003</v>
      </c>
    </row>
    <row r="9" spans="1:9">
      <c r="A9" t="s">
        <v>86</v>
      </c>
      <c r="B9" s="104" t="str">
        <f>VLOOKUP(A9,Cadastro!$A$7:$C$54,2,1)</f>
        <v>BANCO BRADESCO SA PN</v>
      </c>
      <c r="C9">
        <v>21.2</v>
      </c>
      <c r="D9">
        <v>25.3</v>
      </c>
      <c r="E9">
        <v>33</v>
      </c>
      <c r="F9">
        <v>22</v>
      </c>
      <c r="G9" s="18">
        <f t="shared" si="0"/>
        <v>0.19339622641509441</v>
      </c>
      <c r="H9" s="18">
        <f t="shared" si="1"/>
        <v>0.55660377358490576</v>
      </c>
      <c r="I9" s="18">
        <f t="shared" si="2"/>
        <v>0.15000000000000002</v>
      </c>
    </row>
    <row r="10" spans="1:9">
      <c r="A10" t="s">
        <v>23</v>
      </c>
      <c r="B10" s="104" t="str">
        <f>VLOOKUP(A10,Cadastro!$A$7:$C$54,2,1)</f>
        <v>SOLUÇÕES E SERV. SEGUR.</v>
      </c>
      <c r="C10">
        <v>7.85</v>
      </c>
      <c r="D10">
        <v>10.199999999999999</v>
      </c>
      <c r="E10">
        <v>17</v>
      </c>
      <c r="F10">
        <v>8</v>
      </c>
      <c r="G10" s="18">
        <f t="shared" si="0"/>
        <v>0.29936305732484075</v>
      </c>
      <c r="H10" s="18">
        <f t="shared" si="1"/>
        <v>1.1656050955414015</v>
      </c>
      <c r="I10" s="18">
        <f t="shared" si="2"/>
        <v>0.27499999999999991</v>
      </c>
    </row>
    <row r="11" spans="1:9">
      <c r="A11" t="s">
        <v>33</v>
      </c>
      <c r="B11" s="104" t="str">
        <f>VLOOKUP(A11,Cadastro!$A$7:$C$54,2,1)</f>
        <v>BANCO SANTANDER BRON ON</v>
      </c>
      <c r="C11">
        <v>12.3</v>
      </c>
      <c r="D11">
        <v>14.6</v>
      </c>
      <c r="E11">
        <v>24</v>
      </c>
      <c r="F11">
        <v>12.5</v>
      </c>
      <c r="G11" s="18">
        <f t="shared" si="0"/>
        <v>0.18699186991869909</v>
      </c>
      <c r="H11" s="18">
        <f t="shared" si="1"/>
        <v>0.9512195121951218</v>
      </c>
      <c r="I11" s="18">
        <f t="shared" si="2"/>
        <v>0.16799999999999998</v>
      </c>
    </row>
    <row r="12" spans="1:9">
      <c r="A12" t="s">
        <v>26</v>
      </c>
      <c r="B12" s="104" t="str">
        <f>VLOOKUP(A12,Cadastro!$A$7:$C$54,2,1)</f>
        <v>BANCO SANTANDER BRON PN</v>
      </c>
      <c r="C12">
        <v>14.3</v>
      </c>
      <c r="D12">
        <v>15.6</v>
      </c>
      <c r="E12">
        <v>20</v>
      </c>
      <c r="F12">
        <v>14.5</v>
      </c>
      <c r="G12" s="18">
        <f t="shared" si="0"/>
        <v>9.0909090909090828E-2</v>
      </c>
      <c r="H12" s="18">
        <f t="shared" si="1"/>
        <v>0.39860139860139854</v>
      </c>
      <c r="I12" s="18">
        <f t="shared" si="2"/>
        <v>7.5862068965517213E-2</v>
      </c>
    </row>
    <row r="13" spans="1:9">
      <c r="A13" t="s">
        <v>15</v>
      </c>
      <c r="B13" s="104" t="str">
        <f>VLOOKUP(A13,Cadastro!$A$7:$C$54,2,1)</f>
        <v>PETRÓLEO BRASILEIRO S.A. PN</v>
      </c>
      <c r="C13">
        <v>11.25</v>
      </c>
      <c r="D13">
        <v>15.4</v>
      </c>
      <c r="E13">
        <v>28</v>
      </c>
      <c r="F13">
        <v>10.5</v>
      </c>
      <c r="G13" s="18">
        <f t="shared" si="0"/>
        <v>0.36888888888888893</v>
      </c>
      <c r="H13" s="18">
        <f t="shared" si="1"/>
        <v>1.4888888888888889</v>
      </c>
      <c r="I13" s="18">
        <f t="shared" si="2"/>
        <v>0.46666666666666667</v>
      </c>
    </row>
    <row r="14" spans="1:9">
      <c r="A14" t="s">
        <v>90</v>
      </c>
      <c r="B14" s="104" t="str">
        <f>VLOOKUP(A14,Cadastro!$A$7:$C$54,2,1)</f>
        <v>BANCO PAN S.A.</v>
      </c>
      <c r="C14">
        <v>4.3</v>
      </c>
      <c r="D14">
        <v>6.3</v>
      </c>
      <c r="E14">
        <v>10</v>
      </c>
      <c r="F14">
        <v>4.5</v>
      </c>
      <c r="G14" s="18">
        <f t="shared" si="0"/>
        <v>0.46511627906976744</v>
      </c>
      <c r="H14" s="18">
        <f t="shared" si="1"/>
        <v>1.3255813953488373</v>
      </c>
      <c r="I14" s="18">
        <f t="shared" si="2"/>
        <v>0.39999999999999997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25701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8" baseType="lpstr">
      <vt:lpstr>Resumo</vt:lpstr>
      <vt:lpstr>Lançamentos</vt:lpstr>
      <vt:lpstr>Dividendos</vt:lpstr>
      <vt:lpstr>Cadastro</vt:lpstr>
      <vt:lpstr>Planilha1</vt:lpstr>
      <vt:lpstr>Sheet6</vt:lpstr>
      <vt:lpstr>Sheet7</vt:lpstr>
      <vt:lpstr>Dividendos!Excel_BuiltIn__FilterDatabase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ewerton</dc:creator>
  <dc:description/>
  <cp:lastModifiedBy>ewerton</cp:lastModifiedBy>
  <cp:revision>31</cp:revision>
  <dcterms:created xsi:type="dcterms:W3CDTF">2019-11-05T20:54:17Z</dcterms:created>
  <dcterms:modified xsi:type="dcterms:W3CDTF">2020-03-18T18:23:59Z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