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2"/>
    <sheet name="Lançamentos" sheetId="2" state="visible" r:id="rId3"/>
    <sheet name="Dividendos" sheetId="3" state="visible" r:id="rId4"/>
    <sheet name="Cadastro" sheetId="4" state="visible" r:id="rId5"/>
    <sheet name="Planilha1" sheetId="5" state="visible" r:id="rId6"/>
  </sheets>
  <definedNames>
    <definedName function="false" hidden="true" localSheetId="3" name="_xlnm._FilterDatabase" vbProcedure="false">Cadastro!$A$6:$C$22</definedName>
    <definedName function="false" hidden="true" localSheetId="2" name="_xlnm._FilterDatabase" vbProcedure="false">Dividendos!$A$6:$G$54</definedName>
    <definedName function="false" hidden="true" localSheetId="1" name="_xlnm._FilterDatabase" vbProcedure="false">Lançamentos!$A$6:$P$36</definedName>
    <definedName function="false" hidden="true" localSheetId="0" name="_xlnm._FilterDatabase" vbProcedure="false">Resumo!$A$6:$Q$40</definedName>
    <definedName function="false" hidden="false" localSheetId="2" name="Excel_BuiltIn__FilterDatabase" vbProcedure="false">Dividendos!$A$6:$G$19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<sst xmlns="http://schemas.openxmlformats.org/spreadsheetml/2006/main" count="626" uniqueCount="270">
  <si>
    <t xml:space="preserve">COMPRA</t>
  </si>
  <si>
    <t xml:space="preserve">VENDA</t>
  </si>
  <si>
    <t xml:space="preserve">PROGRAMAÇÃO</t>
  </si>
  <si>
    <t xml:space="preserve">CNPJ</t>
  </si>
  <si>
    <t xml:space="preserve">Código</t>
  </si>
  <si>
    <t xml:space="preserve">Descrição</t>
  </si>
  <si>
    <t xml:space="preserve">Data</t>
  </si>
  <si>
    <t xml:space="preserve">Quantidade</t>
  </si>
  <si>
    <t xml:space="preserve">Preço</t>
  </si>
  <si>
    <t xml:space="preserve">Valor</t>
  </si>
  <si>
    <t xml:space="preserve">Representatividade</t>
  </si>
  <si>
    <t xml:space="preserve">Total</t>
  </si>
  <si>
    <t xml:space="preserve">Rentabilidade</t>
  </si>
  <si>
    <t xml:space="preserve">%</t>
  </si>
  <si>
    <t xml:space="preserve">Lucro</t>
  </si>
  <si>
    <t xml:space="preserve">PETR4</t>
  </si>
  <si>
    <t xml:space="preserve">CIEL3</t>
  </si>
  <si>
    <t xml:space="preserve">OIBR3</t>
  </si>
  <si>
    <t xml:space="preserve">XPLG11</t>
  </si>
  <si>
    <t xml:space="preserve">VISC11</t>
  </si>
  <si>
    <t xml:space="preserve">EMBR3</t>
  </si>
  <si>
    <t xml:space="preserve">ABEV3</t>
  </si>
  <si>
    <t xml:space="preserve">VLID3</t>
  </si>
  <si>
    <t xml:space="preserve">ITUB4</t>
  </si>
  <si>
    <t xml:space="preserve">CMIG4</t>
  </si>
  <si>
    <t xml:space="preserve">BBPO11</t>
  </si>
  <si>
    <t xml:space="preserve">SANB4</t>
  </si>
  <si>
    <t xml:space="preserve">EQTL3</t>
  </si>
  <si>
    <t xml:space="preserve">TRPL4</t>
  </si>
  <si>
    <t xml:space="preserve">NTCO3</t>
  </si>
  <si>
    <t xml:space="preserve">BRFS3</t>
  </si>
  <si>
    <t xml:space="preserve">VALE3</t>
  </si>
  <si>
    <t xml:space="preserve">CCRO3</t>
  </si>
  <si>
    <t xml:space="preserve">SANB3</t>
  </si>
  <si>
    <t xml:space="preserve">CSNA3</t>
  </si>
  <si>
    <t xml:space="preserve">QGEP3</t>
  </si>
  <si>
    <t xml:space="preserve">BBDC3</t>
  </si>
  <si>
    <t xml:space="preserve">ITSA4</t>
  </si>
  <si>
    <t xml:space="preserve">CMIG3</t>
  </si>
  <si>
    <t xml:space="preserve">ELET3</t>
  </si>
  <si>
    <t xml:space="preserve">HYPE3</t>
  </si>
  <si>
    <t xml:space="preserve">GOAU3</t>
  </si>
  <si>
    <t xml:space="preserve">ENAT3</t>
  </si>
  <si>
    <t xml:space="preserve">TOTAL</t>
  </si>
  <si>
    <t xml:space="preserve">RESUMO DAS VENDAS</t>
  </si>
  <si>
    <t xml:space="preserve">FII</t>
  </si>
  <si>
    <t xml:space="preserve">FUNDO IMOBILIARIO</t>
  </si>
  <si>
    <t xml:space="preserve">Dividendos</t>
  </si>
  <si>
    <t xml:space="preserve">VIVT3</t>
  </si>
  <si>
    <t xml:space="preserve">GUAR3</t>
  </si>
  <si>
    <t xml:space="preserve">ENB3</t>
  </si>
  <si>
    <t xml:space="preserve">GRND3</t>
  </si>
  <si>
    <t xml:space="preserve">JHSF3</t>
  </si>
  <si>
    <t xml:space="preserve">BTOW3</t>
  </si>
  <si>
    <t xml:space="preserve">BRAP4</t>
  </si>
  <si>
    <t xml:space="preserve">Total Compra</t>
  </si>
  <si>
    <t xml:space="preserve">Total Venda</t>
  </si>
  <si>
    <t xml:space="preserve">Nota</t>
  </si>
  <si>
    <t xml:space="preserve">Titulo</t>
  </si>
  <si>
    <t xml:space="preserve">Quant</t>
  </si>
  <si>
    <t xml:space="preserve">Taxa Liquidacao</t>
  </si>
  <si>
    <t xml:space="preserve">Emolumentos</t>
  </si>
  <si>
    <t xml:space="preserve">Corretagem</t>
  </si>
  <si>
    <t xml:space="preserve">Tipo</t>
  </si>
  <si>
    <t xml:space="preserve">Data Transação</t>
  </si>
  <si>
    <t xml:space="preserve">Preço Médio</t>
  </si>
  <si>
    <t xml:space="preserve">Venda</t>
  </si>
  <si>
    <t xml:space="preserve">Compra</t>
  </si>
  <si>
    <t xml:space="preserve">Provento</t>
  </si>
  <si>
    <t xml:space="preserve">Juros Sobre Capital Proprio</t>
  </si>
  <si>
    <t xml:space="preserve">Rendimentos</t>
  </si>
  <si>
    <t xml:space="preserve">ABVE3</t>
  </si>
  <si>
    <t xml:space="preserve">Cadastro de Titulos</t>
  </si>
  <si>
    <t xml:space="preserve">Pega CNPJ das Acões</t>
  </si>
  <si>
    <t xml:space="preserve">https://br.advfn.com/bolsa-de-valores/bovespa/cielo-CIEL3/empresa</t>
  </si>
  <si>
    <t xml:space="preserve">AMBEV SA ON</t>
  </si>
  <si>
    <t xml:space="preserve">07.526.557/0001-00</t>
  </si>
  <si>
    <t xml:space="preserve">BBAS3</t>
  </si>
  <si>
    <t xml:space="preserve">BANCO DO BRASIL SA ON</t>
  </si>
  <si>
    <t xml:space="preserve">00.000.000/0001-91</t>
  </si>
  <si>
    <t xml:space="preserve">http://bvmf.bmfbovespa.com.br/Fundos-Listados/FundosListadosDetalhe.aspx?Sigla=XPLG&amp;tipoFundo=Imobiliario&amp;aba=abaPrincipal&amp;idioma=pt-br</t>
  </si>
  <si>
    <t xml:space="preserve">BANCO BRADESCO SA ON</t>
  </si>
  <si>
    <t xml:space="preserve">60.746.948/0001-12</t>
  </si>
  <si>
    <t xml:space="preserve">http://bvmf.bmfbovespa.com.br/Fundos-Listados/FundosListadosDetalhe.aspx?Sigla=VISC&amp;tipoFundo=Imobiliario&amp;aba=abaPrincipal&amp;idioma=pt-br</t>
  </si>
  <si>
    <t xml:space="preserve">BBDC4</t>
  </si>
  <si>
    <t xml:space="preserve">BANCO BRADESCO SA PN</t>
  </si>
  <si>
    <t xml:space="preserve">BANCO DO BRASIL LOCACAO</t>
  </si>
  <si>
    <t xml:space="preserve">14.410.722/0001-29</t>
  </si>
  <si>
    <t xml:space="preserve">BRASIL FOODS ON</t>
  </si>
  <si>
    <t xml:space="preserve">01.838.723/0001-27</t>
  </si>
  <si>
    <t xml:space="preserve">Validador de CNPJ</t>
  </si>
  <si>
    <t xml:space="preserve">B2W - COMPANHIA GLOBAL DO VAREJO ON</t>
  </si>
  <si>
    <t xml:space="preserve">00.776.574/0001-56</t>
  </si>
  <si>
    <t xml:space="preserve">http://www.validadordecnpj.clevert.com.br/v-cnpj.php</t>
  </si>
  <si>
    <t xml:space="preserve">GRUPO CCR - RODOVIAS</t>
  </si>
  <si>
    <t xml:space="preserve">02.846.056/0001-97</t>
  </si>
  <si>
    <t xml:space="preserve">CIELO SA</t>
  </si>
  <si>
    <t xml:space="preserve">01.027.058/0001-91</t>
  </si>
  <si>
    <t xml:space="preserve">CIA DE ENERGIA DE MINAS GERAIS ON</t>
  </si>
  <si>
    <t xml:space="preserve">17.155.730/0001-64</t>
  </si>
  <si>
    <t xml:space="preserve">COMPANHIA SIDERURGICA NACIONAL</t>
  </si>
  <si>
    <t xml:space="preserve">33.042.730/0001-04</t>
  </si>
  <si>
    <t xml:space="preserve">ELETROBRAS ON</t>
  </si>
  <si>
    <t xml:space="preserve">00.001.180/0001-26</t>
  </si>
  <si>
    <t xml:space="preserve">EMBRAER SA</t>
  </si>
  <si>
    <t xml:space="preserve">07.689.002/0001-89</t>
  </si>
  <si>
    <t xml:space="preserve">Katinane</t>
  </si>
  <si>
    <t xml:space="preserve">ENAUTA PARTICIPAÇÕES S.A. ON</t>
  </si>
  <si>
    <t xml:space="preserve">11.669.021/0001-10</t>
  </si>
  <si>
    <t xml:space="preserve">https://www.meusdividendos.com/687912</t>
  </si>
  <si>
    <t xml:space="preserve">EQUATORIAL ENERGIA</t>
  </si>
  <si>
    <t xml:space="preserve">03.220.438/0001-73</t>
  </si>
  <si>
    <t xml:space="preserve">METALURGICA GERDAU ON</t>
  </si>
  <si>
    <t xml:space="preserve">92.690.783/0001-09</t>
  </si>
  <si>
    <t xml:space="preserve">HGBS11</t>
  </si>
  <si>
    <t xml:space="preserve">CSHG BRASIL SHOPPING - FDO INV IMOB – FII</t>
  </si>
  <si>
    <t xml:space="preserve">08.431.747/0001-06</t>
  </si>
  <si>
    <t xml:space="preserve">HTMX11</t>
  </si>
  <si>
    <t xml:space="preserve">FDO INV IMOB - FII HOTEL MAXINVEST</t>
  </si>
  <si>
    <t xml:space="preserve">08.706.065/0001-69</t>
  </si>
  <si>
    <t xml:space="preserve">HYPERMARCAS S/A</t>
  </si>
  <si>
    <t xml:space="preserve">02.932.074/0001-91</t>
  </si>
  <si>
    <t xml:space="preserve">https://www.meusdividendos.com/fundo-imobiliario/HGBS</t>
  </si>
  <si>
    <t xml:space="preserve">ITAU INVESTIMENTOS SA PN</t>
  </si>
  <si>
    <t xml:space="preserve">61.532.644/0001-15</t>
  </si>
  <si>
    <t xml:space="preserve">https://www.fundsexplorer.com.br/funds/HTMX11</t>
  </si>
  <si>
    <t xml:space="preserve">ITUB3</t>
  </si>
  <si>
    <t xml:space="preserve">ITAU UNIBANCO ON</t>
  </si>
  <si>
    <t xml:space="preserve">60.872.504/0001-23</t>
  </si>
  <si>
    <t xml:space="preserve">ITAU UNIBANCO PN</t>
  </si>
  <si>
    <t xml:space="preserve">ITAÚ UNIBANCO HOLDING S.A.</t>
  </si>
  <si>
    <t xml:space="preserve">NOTC3</t>
  </si>
  <si>
    <t xml:space="preserve">NATURA COSMETICO - AVON</t>
  </si>
  <si>
    <t xml:space="preserve">32.785.497/0001-97</t>
  </si>
  <si>
    <t xml:space="preserve">OI SA EM RECUPERAÇÃO JUDICIAL</t>
  </si>
  <si>
    <t xml:space="preserve">76.535.764/0001-43</t>
  </si>
  <si>
    <t xml:space="preserve">Link para acoes</t>
  </si>
  <si>
    <t xml:space="preserve">PETRÓLEO BRASILEIRO S.A. PN</t>
  </si>
  <si>
    <t xml:space="preserve">33.000.167/0001-01</t>
  </si>
  <si>
    <t xml:space="preserve">http://bvmf.bmfbovespa.com.br/cotacoes2000/FormConsultaCotacoes.asp?strListaCodigos=</t>
  </si>
  <si>
    <t xml:space="preserve">QUEIROZ GALVAO PART ON</t>
  </si>
  <si>
    <t xml:space="preserve">Separador</t>
  </si>
  <si>
    <t xml:space="preserve">BANCO SANTANDER BRON ON</t>
  </si>
  <si>
    <t xml:space="preserve">90.400.888/0001-42</t>
  </si>
  <si>
    <t xml:space="preserve">%7C</t>
  </si>
  <si>
    <t xml:space="preserve">BANCO SANTANDER BRON PN</t>
  </si>
  <si>
    <t xml:space="preserve">TRANSMISSÃO PAULISTA CTEEP</t>
  </si>
  <si>
    <t xml:space="preserve">02.998.611/0001-04</t>
  </si>
  <si>
    <t xml:space="preserve">http://www.itaucorretora.com.br/Finder/Finder/?stock=ciel3&amp;type=stock</t>
  </si>
  <si>
    <t xml:space="preserve">VALE</t>
  </si>
  <si>
    <t xml:space="preserve">33.592.510/0001-54</t>
  </si>
  <si>
    <t xml:space="preserve">VINCI SHOPPING CENTER FII</t>
  </si>
  <si>
    <t xml:space="preserve">17.554.274/0001-25</t>
  </si>
  <si>
    <t xml:space="preserve">SOLUÇÕES E SERV. SEGUR.</t>
  </si>
  <si>
    <t xml:space="preserve">33.113.309/0001-47</t>
  </si>
  <si>
    <t xml:space="preserve">VVAR3</t>
  </si>
  <si>
    <t xml:space="preserve">VIA VAREJO SA ON</t>
  </si>
  <si>
    <t xml:space="preserve">33.041.260/0652-90</t>
  </si>
  <si>
    <t xml:space="preserve">*</t>
  </si>
  <si>
    <t xml:space="preserve">XP LOG FDO INV IMOB – FII</t>
  </si>
  <si>
    <t xml:space="preserve">26.502.794/0001-85</t>
  </si>
  <si>
    <t xml:space="preserve">Atualização</t>
  </si>
  <si>
    <t xml:space="preserve">as</t>
  </si>
  <si>
    <t xml:space="preserve">ENBR3</t>
  </si>
  <si>
    <t xml:space="preserve">B3Sa3</t>
  </si>
  <si>
    <t xml:space="preserve">TAEE11</t>
  </si>
  <si>
    <t xml:space="preserve">Diretorio</t>
  </si>
  <si>
    <t xml:space="preserve">F:\Cotacao</t>
  </si>
  <si>
    <t xml:space="preserve">Arquivo</t>
  </si>
  <si>
    <t xml:space="preserve">CARTEIRA DE AÇÕES</t>
  </si>
  <si>
    <t xml:space="preserve">Cotação</t>
  </si>
  <si>
    <t xml:space="preserve">PETROBRAS PN</t>
  </si>
  <si>
    <t xml:space="preserve">CIELO AS</t>
  </si>
  <si>
    <t xml:space="preserve">OI SA em Recuperação Judicial</t>
  </si>
  <si>
    <t xml:space="preserve">Ambev SA ON</t>
  </si>
  <si>
    <t xml:space="preserve">Embraer SA</t>
  </si>
  <si>
    <t xml:space="preserve">Hypefarma</t>
  </si>
  <si>
    <t xml:space="preserve">Grupo CCR – Rodovias</t>
  </si>
  <si>
    <t xml:space="preserve">BRML3</t>
  </si>
  <si>
    <t xml:space="preserve">BR MALLS PARON</t>
  </si>
  <si>
    <t xml:space="preserve">MRFG3</t>
  </si>
  <si>
    <t xml:space="preserve">IDA</t>
  </si>
  <si>
    <t xml:space="preserve">VOLTA</t>
  </si>
  <si>
    <t xml:space="preserve">coletivo</t>
  </si>
  <si>
    <t xml:space="preserve">onibus</t>
  </si>
  <si>
    <t xml:space="preserve">van</t>
  </si>
  <si>
    <t xml:space="preserve">SEMANA</t>
  </si>
  <si>
    <t xml:space="preserve">DIA</t>
  </si>
  <si>
    <t xml:space="preserve">MES</t>
  </si>
  <si>
    <t xml:space="preserve">FUNDO IMOBILIÁRIO</t>
  </si>
  <si>
    <t xml:space="preserve">Segmento</t>
  </si>
  <si>
    <t xml:space="preserve">Data Fundo</t>
  </si>
  <si>
    <t xml:space="preserve">Data Fim</t>
  </si>
  <si>
    <t xml:space="preserve">VPA</t>
  </si>
  <si>
    <t xml:space="preserve">Taxa Adm</t>
  </si>
  <si>
    <t xml:space="preserve">Cotas</t>
  </si>
  <si>
    <t xml:space="preserve">Vacancia</t>
  </si>
  <si>
    <t xml:space="preserve">Ativos</t>
  </si>
  <si>
    <t xml:space="preserve">HGJH11</t>
  </si>
  <si>
    <t xml:space="preserve">CSHG JHSF PRIME OFFICES FDO INV IMOB – FII</t>
  </si>
  <si>
    <t xml:space="preserve">Lajes Corporativas</t>
  </si>
  <si>
    <t xml:space="preserve">Indeterminada</t>
  </si>
  <si>
    <t xml:space="preserve">2 predio em SP</t>
  </si>
  <si>
    <t xml:space="preserve">Hotel</t>
  </si>
  <si>
    <t xml:space="preserve">24 ativos em SP%</t>
  </si>
  <si>
    <t xml:space="preserve">RBRD11</t>
  </si>
  <si>
    <t xml:space="preserve">RB CAPITAL RENDA II FDO INV IMOB – FII</t>
  </si>
  <si>
    <t xml:space="preserve">Hibrido</t>
  </si>
  <si>
    <t xml:space="preserve">4 ativos, MG, RJ, RN</t>
  </si>
  <si>
    <t xml:space="preserve">FEXC11</t>
  </si>
  <si>
    <t xml:space="preserve">FDO INV IMOB - FII BTG PACTUAL FUNDO DE CRI</t>
  </si>
  <si>
    <t xml:space="preserve">Titulos</t>
  </si>
  <si>
    <t xml:space="preserve">MBRF11</t>
  </si>
  <si>
    <t xml:space="preserve">FDO INV IMOB MERCANTIL DO BRASIL – FII</t>
  </si>
  <si>
    <t xml:space="preserve">Outros</t>
  </si>
  <si>
    <t xml:space="preserve">2 Ativos MG RJ</t>
  </si>
  <si>
    <t xml:space="preserve">HGCR11</t>
  </si>
  <si>
    <t xml:space="preserve">CSHG RECEBÍVEIS IMOBILIÁRIOS FDO INV IMOB – FII</t>
  </si>
  <si>
    <t xml:space="preserve">FIIB11</t>
  </si>
  <si>
    <t xml:space="preserve">FDO INV IMOB INDUSTRIAL DO BRASIL</t>
  </si>
  <si>
    <t xml:space="preserve">-</t>
  </si>
  <si>
    <t xml:space="preserve">1 Ativo em SC</t>
  </si>
  <si>
    <t xml:space="preserve">VINCI SHOPPING CENTERS FDO INVEST IMOB – FII</t>
  </si>
  <si>
    <t xml:space="preserve">Shopping</t>
  </si>
  <si>
    <t xml:space="preserve">9 Ativos BA, CE, PA, PE, PR, RI, SP</t>
  </si>
  <si>
    <t xml:space="preserve">Logistica</t>
  </si>
  <si>
    <t xml:space="preserve">5 Ativos RS, SP</t>
  </si>
  <si>
    <t xml:space="preserve">XPML11</t>
  </si>
  <si>
    <t xml:space="preserve">XP MALLS FDO INV IMOB FII </t>
  </si>
  <si>
    <t xml:space="preserve">7 Ativos AM. BA, PA, RJ, SP</t>
  </si>
  <si>
    <t xml:space="preserve">FVBI11</t>
  </si>
  <si>
    <t xml:space="preserve">FDO INV IMOB VBI FL 4440 – FII</t>
  </si>
  <si>
    <t xml:space="preserve">1 Ativo SP</t>
  </si>
  <si>
    <t xml:space="preserve">Pago R$</t>
  </si>
  <si>
    <t xml:space="preserve">Tarifa</t>
  </si>
  <si>
    <t xml:space="preserve">Taxa</t>
  </si>
  <si>
    <t xml:space="preserve">Resgate</t>
  </si>
  <si>
    <t xml:space="preserve">INVESTIMENTO MATERIAL DA CAIXA</t>
  </si>
  <si>
    <t xml:space="preserve">Quitação </t>
  </si>
  <si>
    <t xml:space="preserve">APTO</t>
  </si>
  <si>
    <t xml:space="preserve">Tesouro</t>
  </si>
  <si>
    <t xml:space="preserve">Prefixado 2021</t>
  </si>
  <si>
    <t xml:space="preserve">Prefixado 2025</t>
  </si>
  <si>
    <t xml:space="preserve">https://tesourodireto.bmfbovespa.com.br/PortalInvestidor/login.aspx?QS=aD355CXhRV6vA5vBWwgW4lpPlJuzTA0wNGNbNI6JoG3fgJlp1nQFfZGInyuirTp8vJISuS0ehW0wo2oLBEs0dDTcaFcCzYhM%2fkCxYCCjZe4eeAUYBy%2fFscDay0Ykh4iK</t>
  </si>
  <si>
    <t xml:space="preserve">IPCA+2024</t>
  </si>
  <si>
    <t xml:space="preserve">ITAU</t>
  </si>
  <si>
    <t xml:space="preserve">Previdencia Privada PGBL</t>
  </si>
  <si>
    <t xml:space="preserve">Previdencia Privada PGBL - Kinea</t>
  </si>
  <si>
    <t xml:space="preserve">Previdencia Privada  - Coruripe</t>
  </si>
  <si>
    <t xml:space="preserve">POUPANÇA</t>
  </si>
  <si>
    <t xml:space="preserve">EASYInvest</t>
  </si>
  <si>
    <t xml:space="preserve">Alaska Black FIC FIA II</t>
  </si>
  <si>
    <t xml:space="preserve">Compra Ações</t>
  </si>
  <si>
    <t xml:space="preserve">+</t>
  </si>
  <si>
    <t xml:space="preserve">Venda Acoes</t>
  </si>
  <si>
    <t xml:space="preserve">Cartão mês 10/2018</t>
  </si>
  <si>
    <t xml:space="preserve">Saque (17/09)</t>
  </si>
  <si>
    <t xml:space="preserve">Compra de Dolar</t>
  </si>
  <si>
    <t xml:space="preserve">SALDO</t>
  </si>
  <si>
    <t xml:space="preserve">IMOVEIS</t>
  </si>
  <si>
    <t xml:space="preserve">Inscrição</t>
  </si>
  <si>
    <t xml:space="preserve">Valorização</t>
  </si>
  <si>
    <t xml:space="preserve">Casa</t>
  </si>
  <si>
    <t xml:space="preserve">Firmino de Vasconcelos</t>
  </si>
  <si>
    <t xml:space="preserve">Apto</t>
  </si>
  <si>
    <t xml:space="preserve">De. Jose Lages, ITAPUA</t>
  </si>
  <si>
    <t xml:space="preserve">Terreno</t>
  </si>
  <si>
    <t xml:space="preserve">Barra de Santo Antonio</t>
  </si>
  <si>
    <t xml:space="preserve">Marechal Deodoro</t>
  </si>
  <si>
    <t xml:space="preserve">xpml11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</si>
</sst>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[$-416]D/M/YYYY"/>
    <numFmt numFmtId="166" formatCode="#,##0.0000"/>
    <numFmt numFmtId="167" formatCode="#,##0.00"/>
    <numFmt numFmtId="168" formatCode="0%"/>
    <numFmt numFmtId="169" formatCode="0.00%"/>
    <numFmt numFmtId="170" formatCode="General"/>
    <numFmt numFmtId="171" formatCode="0.0000"/>
    <numFmt numFmtId="172" formatCode="0.00"/>
    <numFmt numFmtId="173" formatCode="_-* #,##0.00_-;\-* #,##0.00_-;_-* \-??_-;_-@_-"/>
    <numFmt numFmtId="174" formatCode="DD/MM/YY"/>
    <numFmt numFmtId="175" formatCode="#,##0"/>
    <numFmt numFmtId="176" formatCode="#,##0.00000"/>
    <numFmt numFmtId="177" formatCode="DDDD/MMM"/>
    <numFmt numFmtId="178" formatCode="[$-416]HH:MM"/>
    <numFmt numFmtId="179" formatCode="#,##0.000"/>
    <numFmt numFmtId="180" formatCode="_-* #,##0_-;\-* #,##0_-;_-* \-??_-;_-@_-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sz val="8"/>
      <name val="Arial"/>
      <family val="2"/>
      <charset val="1"/>
    </font>
    <font>
      <sz val="10"/>
      <name val="Arial"/>
      <family val="0"/>
      <charset val="1"/>
    </font>
    <font>
      <b val="true"/>
      <sz val="10"/>
      <color rgb="FF127622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 val="true"/>
      <sz val="10"/>
      <color rgb="FF00A853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1"/>
    <cellStyle name="Accent 1 2" xfId="22"/>
    <cellStyle name="Accent 2 1" xfId="23"/>
    <cellStyle name="Accent 2 2" xfId="24"/>
    <cellStyle name="Accent 3 1" xfId="25"/>
    <cellStyle name="Accent 3 2" xfId="26"/>
    <cellStyle name="Accent 4" xfId="27"/>
    <cellStyle name="Accent 5" xfId="28"/>
    <cellStyle name="Bad 1" xfId="29"/>
    <cellStyle name="Bad 2" xfId="30"/>
    <cellStyle name="Error 1" xfId="31"/>
    <cellStyle name="Error 2" xfId="32"/>
    <cellStyle name="Footnote 1" xfId="33"/>
    <cellStyle name="Footnote 2" xfId="34"/>
    <cellStyle name="Good 1" xfId="35"/>
    <cellStyle name="Good 2" xfId="36"/>
    <cellStyle name="Heading 1 1" xfId="37"/>
    <cellStyle name="Heading 1 2" xfId="38"/>
    <cellStyle name="Heading 2 1" xfId="39"/>
    <cellStyle name="Heading 2 2" xfId="40"/>
    <cellStyle name="Heading 3" xfId="41"/>
    <cellStyle name="Heading 4" xfId="42"/>
    <cellStyle name="Hyperlink 1" xfId="43"/>
    <cellStyle name="Neutral 1" xfId="44"/>
    <cellStyle name="Neutral 2" xfId="45"/>
    <cellStyle name="Note 1" xfId="46"/>
    <cellStyle name="Note 2" xfId="47"/>
    <cellStyle name="Status 1" xfId="48"/>
    <cellStyle name="Status 2" xfId="49"/>
    <cellStyle name="Text 1" xfId="50"/>
    <cellStyle name="Text 2" xfId="51"/>
    <cellStyle name="Warning 1" xfId="52"/>
    <cellStyle name="Warning 2" xfId="53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br.advfn.com/bolsa-de-valores/bovespa/cielo-CIEL3/empresa" TargetMode="External"/><Relationship Id="rId2" Type="http://schemas.openxmlformats.org/officeDocument/2006/relationships/hyperlink" Target="http://www.validadordecnpj.clevert.com.br/v-cnpj.php" TargetMode="External"/><Relationship Id="rId3" Type="http://schemas.openxmlformats.org/officeDocument/2006/relationships/hyperlink" Target="https://www.meusdividendos.com/687912" TargetMode="External"/><Relationship Id="rId4" Type="http://schemas.openxmlformats.org/officeDocument/2006/relationships/hyperlink" Target="https://www.meusdividendos.com/fundo-imobiliario/HGBS" TargetMode="External"/><Relationship Id="rId5" Type="http://schemas.openxmlformats.org/officeDocument/2006/relationships/hyperlink" Target="https://www.fundsexplorer.com.br/funds/HTMX11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8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C:/Users/ewerton/AppData/Roaming/Microsoft/Cotacao" TargetMode="External"/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79"/>
  <sheetViews>
    <sheetView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pane xSplit="3" ySplit="0" topLeftCell="E2" activePane="topRight" state="frozen"/>
      <selection pane="topLeft" activeCell="A2" activeCellId="0" sqref="A2"/>
      <selection pane="topRight" activeCell="B31" activeCellId="0" sqref="B31"/>
    </sheetView>
  </sheetViews>
  <sheetFormatPr defaultRowHeight="14.6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1.42"/>
    <col collapsed="false" customWidth="true" hidden="false" outlineLevel="0" max="3" min="3" style="0" width="36.71"/>
    <col collapsed="false" customWidth="true" hidden="false" outlineLevel="0" max="1025" min="4" style="0" width="11.42"/>
  </cols>
  <sheetData>
    <row r="5" customFormat="false" ht="14.65" hidden="false" customHeight="true" outlineLevel="0" collapsed="false">
      <c r="A5" s="1"/>
      <c r="B5" s="1"/>
      <c r="C5" s="1"/>
      <c r="D5" s="2" t="s">
        <v>0</v>
      </c>
      <c r="E5" s="2"/>
      <c r="F5" s="2"/>
      <c r="G5" s="2"/>
      <c r="H5" s="2" t="s">
        <v>1</v>
      </c>
      <c r="I5" s="2"/>
      <c r="J5" s="2"/>
      <c r="K5" s="2"/>
      <c r="L5" s="2"/>
      <c r="M5" s="2"/>
      <c r="N5" s="3" t="s">
        <v>2</v>
      </c>
      <c r="O5" s="3"/>
      <c r="P5" s="3"/>
      <c r="Q5" s="3"/>
    </row>
    <row r="6" customFormat="false" ht="14.65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5" t="s">
        <v>9</v>
      </c>
      <c r="H6" s="4" t="s">
        <v>6</v>
      </c>
      <c r="I6" s="4" t="s">
        <v>10</v>
      </c>
      <c r="J6" s="4" t="s">
        <v>8</v>
      </c>
      <c r="K6" s="4" t="s">
        <v>11</v>
      </c>
      <c r="L6" s="4" t="s">
        <v>12</v>
      </c>
      <c r="M6" s="6" t="s">
        <v>13</v>
      </c>
      <c r="N6" s="7" t="s">
        <v>8</v>
      </c>
      <c r="O6" s="7" t="s">
        <v>11</v>
      </c>
      <c r="P6" s="7" t="s">
        <v>14</v>
      </c>
      <c r="Q6" s="7" t="s">
        <v>13</v>
      </c>
    </row>
    <row r="7" customFormat="false" ht="14.65" hidden="false" customHeight="true" outlineLevel="0" collapsed="false">
      <c r="A7" s="0" t="str">
        <f aca="false">VLOOKUP(B7,Cadastro!$A$7:$C$36,3,1)</f>
        <v>33.000.167/0001-01</v>
      </c>
      <c r="B7" s="8" t="s">
        <v>15</v>
      </c>
      <c r="C7" s="8" t="str">
        <f aca="false">VLOOKUP(B7,Cadastro!$A$7:$C$52,2,1)</f>
        <v>PETRÓLEO BRASILEIRO S.A. PN</v>
      </c>
      <c r="D7" s="9" t="n">
        <v>43257</v>
      </c>
      <c r="E7" s="8" t="n">
        <v>300</v>
      </c>
      <c r="F7" s="10" t="n">
        <f aca="false">G7/E7</f>
        <v>16.5085666666667</v>
      </c>
      <c r="G7" s="11" t="n">
        <v>4952.57</v>
      </c>
      <c r="I7" s="12" t="n">
        <f aca="false">K7/$K$48</f>
        <v>0.0938827262712275</v>
      </c>
      <c r="J7" s="0" t="n">
        <v>27.1</v>
      </c>
      <c r="K7" s="13" t="n">
        <f aca="false">J7*E7</f>
        <v>8130</v>
      </c>
      <c r="L7" s="13" t="n">
        <f aca="false">K7-G7</f>
        <v>3177.43</v>
      </c>
      <c r="M7" s="14" t="n">
        <f aca="false">L7/G7</f>
        <v>0.641571951532235</v>
      </c>
      <c r="N7" s="0" t="n">
        <v>30</v>
      </c>
      <c r="O7" s="13" t="n">
        <f aca="false">E7*N7</f>
        <v>9000</v>
      </c>
      <c r="P7" s="13" t="n">
        <f aca="false">O7-G7</f>
        <v>4047.43</v>
      </c>
      <c r="Q7" s="14" t="n">
        <f aca="false">P7/G7</f>
        <v>0.817238322729411</v>
      </c>
    </row>
    <row r="8" customFormat="false" ht="14.65" hidden="false" customHeight="true" outlineLevel="0" collapsed="false">
      <c r="A8" s="0" t="str">
        <f aca="false">VLOOKUP(B8,Cadastro!$A$7:$C$36,3,1)</f>
        <v>33.000.167/0001-01</v>
      </c>
      <c r="B8" s="8" t="s">
        <v>15</v>
      </c>
      <c r="C8" s="8" t="str">
        <f aca="false">VLOOKUP(B8,Cadastro!$A$7:$C$52,2,1)</f>
        <v>PETRÓLEO BRASILEIRO S.A. PN</v>
      </c>
      <c r="D8" s="9" t="n">
        <v>43693</v>
      </c>
      <c r="E8" s="8" t="n">
        <v>200</v>
      </c>
      <c r="F8" s="10" t="n">
        <f aca="false">G8/E8</f>
        <v>23.95</v>
      </c>
      <c r="G8" s="11" t="n">
        <v>4790</v>
      </c>
      <c r="I8" s="12" t="n">
        <f aca="false">K8/$K$48</f>
        <v>0.0625884841808184</v>
      </c>
      <c r="J8" s="0" t="n">
        <v>27.1</v>
      </c>
      <c r="K8" s="13" t="n">
        <f aca="false">J8*E8</f>
        <v>5420</v>
      </c>
      <c r="L8" s="13" t="n">
        <f aca="false">K8-G8</f>
        <v>630</v>
      </c>
      <c r="M8" s="14" t="n">
        <f aca="false">L8/G8</f>
        <v>0.131524008350731</v>
      </c>
      <c r="N8" s="0" t="n">
        <v>30</v>
      </c>
      <c r="O8" s="13" t="n">
        <f aca="false">E8*N8</f>
        <v>6000</v>
      </c>
      <c r="P8" s="13" t="n">
        <f aca="false">O8-G8</f>
        <v>1210</v>
      </c>
      <c r="Q8" s="14" t="n">
        <f aca="false">P8/G8</f>
        <v>0.252609603340292</v>
      </c>
    </row>
    <row r="9" customFormat="false" ht="14.65" hidden="false" customHeight="true" outlineLevel="0" collapsed="false">
      <c r="A9" s="0" t="str">
        <f aca="false">VLOOKUP(B9,Cadastro!$A$7:$C$36,3,1)</f>
        <v>01.027.058/0001-91</v>
      </c>
      <c r="B9" s="8" t="s">
        <v>16</v>
      </c>
      <c r="C9" s="8" t="str">
        <f aca="false">VLOOKUP(B9,Cadastro!$A$7:$C$52,2,1)</f>
        <v>CIELO SA</v>
      </c>
      <c r="D9" s="9" t="n">
        <v>43412</v>
      </c>
      <c r="E9" s="8" t="n">
        <v>600</v>
      </c>
      <c r="F9" s="10" t="n">
        <f aca="false">G9/E9</f>
        <v>11.027216</v>
      </c>
      <c r="G9" s="11" t="n">
        <v>6616.3296</v>
      </c>
      <c r="I9" s="12" t="n">
        <f aca="false">K9/$K$48</f>
        <v>0.0502324550159705</v>
      </c>
      <c r="J9" s="0" t="n">
        <v>7.25</v>
      </c>
      <c r="K9" s="13" t="n">
        <f aca="false">J9*E9</f>
        <v>4350</v>
      </c>
      <c r="L9" s="13" t="n">
        <f aca="false">K9-G9</f>
        <v>-2266.3296</v>
      </c>
      <c r="M9" s="14" t="n">
        <f aca="false">L9/G9</f>
        <v>-0.342535776935901</v>
      </c>
      <c r="N9" s="0" t="n">
        <v>12.3</v>
      </c>
      <c r="O9" s="13" t="n">
        <f aca="false">E9*N9</f>
        <v>7380</v>
      </c>
      <c r="P9" s="13" t="n">
        <f aca="false">O9-G9</f>
        <v>763.6704</v>
      </c>
      <c r="Q9" s="14" t="n">
        <f aca="false">P9/G9</f>
        <v>0.115422061198402</v>
      </c>
    </row>
    <row r="10" customFormat="false" ht="14.65" hidden="false" customHeight="true" outlineLevel="0" collapsed="false">
      <c r="A10" s="0" t="str">
        <f aca="false">VLOOKUP(B10,Cadastro!$A$7:$C$36,3,1)</f>
        <v>76.535.764/0001-43</v>
      </c>
      <c r="B10" s="8" t="s">
        <v>17</v>
      </c>
      <c r="C10" s="8" t="str">
        <f aca="false">VLOOKUP(B10,Cadastro!$A$7:$C$52,2,1)</f>
        <v>OI SA EM RECUPERAÇÃO JUDICIAL</v>
      </c>
      <c r="D10" s="9" t="n">
        <v>43425</v>
      </c>
      <c r="E10" s="8" t="n">
        <v>800</v>
      </c>
      <c r="F10" s="10" t="n">
        <f aca="false">G10/E10</f>
        <v>1.7148</v>
      </c>
      <c r="G10" s="11" t="n">
        <v>1371.84</v>
      </c>
      <c r="I10" s="12" t="n">
        <f aca="false">K10/$K$48</f>
        <v>0.00970006027894602</v>
      </c>
      <c r="J10" s="0" t="n">
        <v>1.05</v>
      </c>
      <c r="K10" s="13" t="n">
        <f aca="false">J10*E10</f>
        <v>840</v>
      </c>
      <c r="L10" s="13" t="n">
        <f aca="false">K10-G10</f>
        <v>-531.84</v>
      </c>
      <c r="M10" s="14" t="n">
        <f aca="false">L10/G10</f>
        <v>-0.387683694891532</v>
      </c>
      <c r="N10" s="0" t="n">
        <v>1.2</v>
      </c>
      <c r="O10" s="13" t="n">
        <f aca="false">E10*N10</f>
        <v>960</v>
      </c>
      <c r="P10" s="13" t="n">
        <f aca="false">O10-G10</f>
        <v>-411.84</v>
      </c>
      <c r="Q10" s="14" t="n">
        <f aca="false">P10/G10</f>
        <v>-0.300209937018894</v>
      </c>
    </row>
    <row r="11" customFormat="false" ht="14.65" hidden="false" customHeight="true" outlineLevel="0" collapsed="false">
      <c r="A11" s="0" t="str">
        <f aca="false">VLOOKUP(B11,Cadastro!$A$7:$C$36,3,1)</f>
        <v>76.535.764/0001-43</v>
      </c>
      <c r="B11" s="8" t="s">
        <v>17</v>
      </c>
      <c r="C11" s="8" t="str">
        <f aca="false">VLOOKUP(B11,Cadastro!$A$7:$C$52,2,1)</f>
        <v>OI SA EM RECUPERAÇÃO JUDICIAL</v>
      </c>
      <c r="D11" s="9" t="n">
        <v>43493</v>
      </c>
      <c r="E11" s="8" t="n">
        <v>2200</v>
      </c>
      <c r="F11" s="10" t="n">
        <f aca="false">G11/E11</f>
        <v>1.26380909090909</v>
      </c>
      <c r="G11" s="11" t="n">
        <v>2780.38</v>
      </c>
      <c r="I11" s="12" t="n">
        <f aca="false">K11/$K$48</f>
        <v>0.0266751657671016</v>
      </c>
      <c r="J11" s="0" t="n">
        <v>1.05</v>
      </c>
      <c r="K11" s="13" t="n">
        <f aca="false">J11*E11</f>
        <v>2310</v>
      </c>
      <c r="L11" s="13" t="n">
        <f aca="false">K11-G11</f>
        <v>-470.38</v>
      </c>
      <c r="M11" s="14" t="n">
        <f aca="false">L11/G11</f>
        <v>-0.169178313755674</v>
      </c>
      <c r="N11" s="0" t="n">
        <v>1.2</v>
      </c>
      <c r="O11" s="13" t="n">
        <f aca="false">E11*N11</f>
        <v>2640</v>
      </c>
      <c r="P11" s="13" t="n">
        <f aca="false">O11-G11</f>
        <v>-140.38</v>
      </c>
      <c r="Q11" s="14" t="n">
        <f aca="false">P11/G11</f>
        <v>-0.0504895014350557</v>
      </c>
    </row>
    <row r="12" customFormat="false" ht="14.85" hidden="false" customHeight="true" outlineLevel="0" collapsed="false">
      <c r="A12" s="0" t="str">
        <f aca="false">VLOOKUP(B12,Cadastro!$A$7:$C$36,3,1)</f>
        <v>02.998.611/0001-04</v>
      </c>
      <c r="B12" s="8" t="s">
        <v>18</v>
      </c>
      <c r="C12" s="8" t="str">
        <f aca="false">VLOOKUP(B12,Cadastro!$A$7:$C$52,2,1)</f>
        <v>XP LOG FDO INV IMOB – FII</v>
      </c>
      <c r="D12" s="9" t="n">
        <v>43493</v>
      </c>
      <c r="E12" s="8" t="n">
        <v>1</v>
      </c>
      <c r="F12" s="10" t="n">
        <f aca="false">G12/E12</f>
        <v>101.4</v>
      </c>
      <c r="G12" s="11" t="n">
        <v>101.4</v>
      </c>
      <c r="I12" s="12" t="n">
        <f aca="false">K12/$K$48</f>
        <v>0.00147925919253927</v>
      </c>
      <c r="J12" s="0" t="n">
        <v>128.1</v>
      </c>
      <c r="K12" s="13" t="n">
        <f aca="false">J12*E12</f>
        <v>128.1</v>
      </c>
      <c r="L12" s="13" t="n">
        <f aca="false">K12-G12</f>
        <v>26.7</v>
      </c>
      <c r="M12" s="14" t="n">
        <f aca="false">L12/G12</f>
        <v>0.263313609467455</v>
      </c>
      <c r="N12" s="0" t="n">
        <v>145</v>
      </c>
      <c r="O12" s="13" t="n">
        <f aca="false">E12*N12</f>
        <v>145</v>
      </c>
      <c r="P12" s="13" t="n">
        <f aca="false">O12-G12</f>
        <v>43.6</v>
      </c>
      <c r="Q12" s="14" t="n">
        <f aca="false">P12/G12</f>
        <v>0.429980276134122</v>
      </c>
    </row>
    <row r="13" customFormat="false" ht="14.85" hidden="false" customHeight="true" outlineLevel="0" collapsed="false">
      <c r="A13" s="0" t="str">
        <f aca="false">VLOOKUP(B13,Cadastro!$A$7:$C$36,3,1)</f>
        <v>02.998.611/0001-04</v>
      </c>
      <c r="B13" s="8" t="s">
        <v>18</v>
      </c>
      <c r="C13" s="8" t="str">
        <f aca="false">VLOOKUP(B13,Cadastro!$A$7:$C$52,2,1)</f>
        <v>XP LOG FDO INV IMOB – FII</v>
      </c>
      <c r="D13" s="9" t="n">
        <v>43805</v>
      </c>
      <c r="E13" s="8" t="n">
        <v>25</v>
      </c>
      <c r="F13" s="10" t="n">
        <v>131.49</v>
      </c>
      <c r="G13" s="11" t="n">
        <f aca="false">F13*E13</f>
        <v>3287.25</v>
      </c>
      <c r="I13" s="12" t="n">
        <f aca="false">K13/$K$48</f>
        <v>0.0369814798134817</v>
      </c>
      <c r="J13" s="0" t="n">
        <v>128.1</v>
      </c>
      <c r="K13" s="13" t="n">
        <f aca="false">J13*E13</f>
        <v>3202.5</v>
      </c>
      <c r="L13" s="13" t="n">
        <f aca="false">K13-G13</f>
        <v>-84.75</v>
      </c>
      <c r="M13" s="14" t="n">
        <f aca="false">L13/G13</f>
        <v>-0.025781428245494</v>
      </c>
      <c r="N13" s="0" t="n">
        <v>145</v>
      </c>
      <c r="O13" s="13" t="n">
        <f aca="false">E13*N13</f>
        <v>3625</v>
      </c>
      <c r="P13" s="13" t="n">
        <f aca="false">O13-G13</f>
        <v>337.75</v>
      </c>
      <c r="Q13" s="14" t="n">
        <f aca="false">P13/G13</f>
        <v>0.102745455928207</v>
      </c>
    </row>
    <row r="14" customFormat="false" ht="14.85" hidden="false" customHeight="true" outlineLevel="0" collapsed="false">
      <c r="A14" s="0" t="str">
        <f aca="false">VLOOKUP(B14,Cadastro!$A$7:$C$36,3,1)</f>
        <v>02.998.611/0001-04</v>
      </c>
      <c r="B14" s="8" t="s">
        <v>19</v>
      </c>
      <c r="C14" s="8" t="str">
        <f aca="false">VLOOKUP(B14,Cadastro!$A$7:$C$52,2,1)</f>
        <v>VINCI SHOPPING CENTER FII</v>
      </c>
      <c r="D14" s="9" t="n">
        <v>43493</v>
      </c>
      <c r="E14" s="8" t="n">
        <v>1</v>
      </c>
      <c r="F14" s="10" t="n">
        <f aca="false">G14/E14</f>
        <v>105.65</v>
      </c>
      <c r="G14" s="11" t="n">
        <v>105.65</v>
      </c>
      <c r="I14" s="12" t="n">
        <f aca="false">K14/$K$48</f>
        <v>0.00148272349978175</v>
      </c>
      <c r="J14" s="0" t="n">
        <v>128.4</v>
      </c>
      <c r="K14" s="13" t="n">
        <f aca="false">J14*E14</f>
        <v>128.4</v>
      </c>
      <c r="L14" s="13" t="n">
        <f aca="false">K14-G14</f>
        <v>22.75</v>
      </c>
      <c r="M14" s="14" t="n">
        <f aca="false">L14/G14</f>
        <v>0.215333648840511</v>
      </c>
      <c r="N14" s="0" t="n">
        <v>150</v>
      </c>
      <c r="O14" s="13" t="n">
        <f aca="false">E14*N14</f>
        <v>150</v>
      </c>
      <c r="P14" s="13" t="n">
        <f aca="false">O14-G14</f>
        <v>44.35</v>
      </c>
      <c r="Q14" s="14" t="n">
        <f aca="false">P14/G14</f>
        <v>0.419782300047326</v>
      </c>
    </row>
    <row r="15" customFormat="false" ht="14.85" hidden="false" customHeight="true" outlineLevel="0" collapsed="false">
      <c r="A15" s="0" t="str">
        <f aca="false">VLOOKUP(B15,Cadastro!$A$7:$C$36,3,1)</f>
        <v>02.998.611/0001-04</v>
      </c>
      <c r="B15" s="8" t="s">
        <v>19</v>
      </c>
      <c r="C15" s="8" t="str">
        <f aca="false">VLOOKUP(B15,Cadastro!$A$7:$C$52,2,1)</f>
        <v>VINCI SHOPPING CENTER FII</v>
      </c>
      <c r="D15" s="9" t="n">
        <v>43808</v>
      </c>
      <c r="E15" s="8" t="n">
        <v>26</v>
      </c>
      <c r="F15" s="10" t="n">
        <v>134.31</v>
      </c>
      <c r="G15" s="11" t="n">
        <f aca="false">E15*F15</f>
        <v>3492.06</v>
      </c>
      <c r="I15" s="12" t="n">
        <f aca="false">K15/$K$48</f>
        <v>0.0385508109943255</v>
      </c>
      <c r="J15" s="0" t="n">
        <v>128.4</v>
      </c>
      <c r="K15" s="13" t="n">
        <f aca="false">J15*E15</f>
        <v>3338.4</v>
      </c>
      <c r="L15" s="13" t="n">
        <f aca="false">K15-G15</f>
        <v>-153.66</v>
      </c>
      <c r="M15" s="14" t="n">
        <f aca="false">L15/G15</f>
        <v>-0.0440026803663167</v>
      </c>
      <c r="N15" s="0" t="n">
        <v>150</v>
      </c>
      <c r="O15" s="13" t="n">
        <f aca="false">E15*N15</f>
        <v>3900</v>
      </c>
      <c r="P15" s="13" t="n">
        <f aca="false">O15-G15</f>
        <v>407.94</v>
      </c>
      <c r="Q15" s="14" t="n">
        <f aca="false">P15/G15</f>
        <v>0.11681929863748</v>
      </c>
    </row>
    <row r="16" customFormat="false" ht="14.65" hidden="false" customHeight="true" outlineLevel="0" collapsed="false">
      <c r="A16" s="0" t="str">
        <f aca="false">VLOOKUP(B16,Cadastro!$A$7:$C$36,3,1)</f>
        <v>07.689.002/0001-89</v>
      </c>
      <c r="B16" s="8" t="s">
        <v>20</v>
      </c>
      <c r="C16" s="8" t="str">
        <f aca="false">VLOOKUP(B16,Cadastro!$A$7:$C$52,2,1)</f>
        <v>EMBRAER SA</v>
      </c>
      <c r="D16" s="9" t="n">
        <v>43497</v>
      </c>
      <c r="E16" s="8" t="n">
        <v>100</v>
      </c>
      <c r="F16" s="10" t="n">
        <f aca="false">G16/E16</f>
        <v>19.254</v>
      </c>
      <c r="G16" s="11" t="n">
        <v>1925.4</v>
      </c>
      <c r="I16" s="12" t="n">
        <f aca="false">K16/$K$48</f>
        <v>0.0201507204604295</v>
      </c>
      <c r="J16" s="0" t="n">
        <v>17.45</v>
      </c>
      <c r="K16" s="13" t="n">
        <f aca="false">J16*E16</f>
        <v>1745</v>
      </c>
      <c r="L16" s="13" t="n">
        <f aca="false">K16-G16</f>
        <v>-180.4</v>
      </c>
      <c r="M16" s="14" t="n">
        <f aca="false">L16/G16</f>
        <v>-0.093694816661473</v>
      </c>
      <c r="N16" s="8" t="n">
        <v>21.2</v>
      </c>
      <c r="O16" s="13" t="n">
        <f aca="false">E16*N16</f>
        <v>2120</v>
      </c>
      <c r="P16" s="13" t="n">
        <f aca="false">O16-G16</f>
        <v>194.6</v>
      </c>
      <c r="Q16" s="14" t="n">
        <f aca="false">P16/G16</f>
        <v>0.101069907551678</v>
      </c>
    </row>
    <row r="17" customFormat="false" ht="14.65" hidden="false" customHeight="true" outlineLevel="0" collapsed="false">
      <c r="A17" s="0" t="str">
        <f aca="false">VLOOKUP(B17,Cadastro!$A$7:$C$36,3,1)</f>
        <v>07.526.557/0001-00</v>
      </c>
      <c r="B17" s="8" t="s">
        <v>21</v>
      </c>
      <c r="C17" s="8" t="str">
        <f aca="false">VLOOKUP(B17,Cadastro!$A$7:$C$52,2,1)</f>
        <v>AMBEV SA ON</v>
      </c>
      <c r="D17" s="9" t="n">
        <v>43453</v>
      </c>
      <c r="E17" s="8" t="n">
        <v>100</v>
      </c>
      <c r="F17" s="10" t="n">
        <v>15.82</v>
      </c>
      <c r="G17" s="11" t="n">
        <f aca="false">E17*F17</f>
        <v>1582</v>
      </c>
      <c r="I17" s="12" t="n">
        <f aca="false">K17/$K$48</f>
        <v>0.0173215362124036</v>
      </c>
      <c r="J17" s="0" t="n">
        <v>15</v>
      </c>
      <c r="K17" s="13" t="n">
        <f aca="false">J17*E17</f>
        <v>1500</v>
      </c>
      <c r="L17" s="13" t="n">
        <f aca="false">K17-G17</f>
        <v>-82</v>
      </c>
      <c r="M17" s="14" t="n">
        <f aca="false">L17/G17</f>
        <v>-0.0518331226295828</v>
      </c>
      <c r="N17" s="8" t="n">
        <v>20.8</v>
      </c>
      <c r="O17" s="13" t="n">
        <f aca="false">E17*N17</f>
        <v>2080</v>
      </c>
      <c r="P17" s="13" t="n">
        <f aca="false">O17-G17</f>
        <v>498</v>
      </c>
      <c r="Q17" s="14" t="n">
        <f aca="false">P17/G17</f>
        <v>0.314791403286979</v>
      </c>
    </row>
    <row r="18" customFormat="false" ht="14.65" hidden="false" customHeight="true" outlineLevel="0" collapsed="false">
      <c r="A18" s="0" t="str">
        <f aca="false">VLOOKUP(B18,Cadastro!$A$7:$C$36,3,1)</f>
        <v>02.998.611/0001-04</v>
      </c>
      <c r="B18" s="8" t="s">
        <v>22</v>
      </c>
      <c r="C18" s="8" t="str">
        <f aca="false">VLOOKUP(B18,Cadastro!$A$7:$C$52,2,1)</f>
        <v>SOLUÇÕES E SERV. SEGUR.</v>
      </c>
      <c r="D18" s="9" t="n">
        <v>43689</v>
      </c>
      <c r="E18" s="8" t="n">
        <v>200</v>
      </c>
      <c r="F18" s="10" t="n">
        <v>13.16</v>
      </c>
      <c r="G18" s="11" t="n">
        <f aca="false">E18*F18</f>
        <v>2632</v>
      </c>
      <c r="I18" s="12" t="n">
        <f aca="false">K18/$K$48</f>
        <v>0.0363752260460476</v>
      </c>
      <c r="J18" s="0" t="n">
        <v>15.75</v>
      </c>
      <c r="K18" s="13" t="n">
        <f aca="false">J18*E18</f>
        <v>3150</v>
      </c>
      <c r="L18" s="13" t="n">
        <f aca="false">K18-G18</f>
        <v>518</v>
      </c>
      <c r="M18" s="14" t="n">
        <f aca="false">L18/G18</f>
        <v>0.196808510638298</v>
      </c>
      <c r="N18" s="8" t="n">
        <v>19.5</v>
      </c>
      <c r="O18" s="13" t="n">
        <f aca="false">E18*N18</f>
        <v>3900</v>
      </c>
      <c r="P18" s="13" t="n">
        <f aca="false">O18-G18</f>
        <v>1268</v>
      </c>
      <c r="Q18" s="14" t="n">
        <f aca="false">P18/G18</f>
        <v>0.481762917933131</v>
      </c>
    </row>
    <row r="19" customFormat="false" ht="14.65" hidden="false" customHeight="true" outlineLevel="0" collapsed="false">
      <c r="A19" s="0" t="str">
        <f aca="false">VLOOKUP(B19,Cadastro!$A$7:$C$36,3,1)</f>
        <v>60.872.504/0001-23</v>
      </c>
      <c r="B19" s="8" t="s">
        <v>23</v>
      </c>
      <c r="C19" s="8" t="str">
        <f aca="false">VLOOKUP(B19,Cadastro!$A$7:$C$52,2,1)</f>
        <v>ITAÚ UNIBANCO HOLDING S.A.</v>
      </c>
      <c r="D19" s="9" t="n">
        <v>43712</v>
      </c>
      <c r="E19" s="8" t="n">
        <v>100</v>
      </c>
      <c r="F19" s="10" t="n">
        <v>32.9</v>
      </c>
      <c r="G19" s="11" t="n">
        <f aca="false">E19*F19</f>
        <v>3290</v>
      </c>
      <c r="I19" s="12" t="n">
        <f aca="false">K19/$K$48</f>
        <v>0.0363752260460476</v>
      </c>
      <c r="J19" s="0" t="n">
        <v>31.5</v>
      </c>
      <c r="K19" s="13" t="n">
        <f aca="false">J19*E19</f>
        <v>3150</v>
      </c>
      <c r="L19" s="13" t="n">
        <f aca="false">K19-G19</f>
        <v>-140</v>
      </c>
      <c r="M19" s="14" t="n">
        <f aca="false">L19/G19</f>
        <v>-0.0425531914893617</v>
      </c>
      <c r="N19" s="8" t="n">
        <v>36.2</v>
      </c>
      <c r="O19" s="13" t="n">
        <f aca="false">E19*N19</f>
        <v>3620</v>
      </c>
      <c r="P19" s="13" t="n">
        <f aca="false">O19-G19</f>
        <v>330</v>
      </c>
      <c r="Q19" s="14" t="n">
        <f aca="false">P19/G19</f>
        <v>0.100303951367781</v>
      </c>
    </row>
    <row r="20" customFormat="false" ht="14.65" hidden="false" customHeight="true" outlineLevel="0" collapsed="false">
      <c r="A20" s="0" t="str">
        <f aca="false">VLOOKUP(B20,Cadastro!$A$7:$C$36,3,1)</f>
        <v>60.872.504/0001-23</v>
      </c>
      <c r="B20" s="8" t="s">
        <v>23</v>
      </c>
      <c r="C20" s="8" t="str">
        <f aca="false">VLOOKUP(B20,Cadastro!$A$7:$C$52,2,1)</f>
        <v>ITAÚ UNIBANCO HOLDING S.A.</v>
      </c>
      <c r="D20" s="9" t="n">
        <v>43888</v>
      </c>
      <c r="E20" s="8" t="n">
        <v>100</v>
      </c>
      <c r="F20" s="10" t="n">
        <v>31.4</v>
      </c>
      <c r="G20" s="11" t="n">
        <f aca="false">E20*F20</f>
        <v>3140</v>
      </c>
      <c r="I20" s="12" t="n">
        <f aca="false">K20/$K$48</f>
        <v>0.0363752260460476</v>
      </c>
      <c r="J20" s="0" t="n">
        <v>31.5</v>
      </c>
      <c r="K20" s="13" t="n">
        <f aca="false">J20*E20</f>
        <v>3150</v>
      </c>
      <c r="L20" s="13" t="n">
        <f aca="false">K20-G20</f>
        <v>10</v>
      </c>
      <c r="M20" s="14" t="n">
        <f aca="false">L20/G20</f>
        <v>0.00318471337579618</v>
      </c>
      <c r="N20" s="8" t="n">
        <v>37.2</v>
      </c>
      <c r="O20" s="13" t="n">
        <f aca="false">E20*N20</f>
        <v>3720</v>
      </c>
      <c r="P20" s="13" t="n">
        <f aca="false">O20-G20</f>
        <v>580</v>
      </c>
      <c r="Q20" s="14" t="n">
        <f aca="false">P20/G20</f>
        <v>0.184713375796178</v>
      </c>
    </row>
    <row r="21" customFormat="false" ht="14.65" hidden="false" customHeight="true" outlineLevel="0" collapsed="false">
      <c r="A21" s="8" t="str">
        <f aca="false">VLOOKUP(B21,Cadastro!$A$7:$C$36,3,1)</f>
        <v>17.155.730/0001-64</v>
      </c>
      <c r="B21" s="8" t="s">
        <v>24</v>
      </c>
      <c r="C21" s="8" t="str">
        <f aca="false">VLOOKUP(B21,Cadastro!$A$7:$C$52,2,1)</f>
        <v>CIA DE ENERGIA DE MINAS GERAIS ON</v>
      </c>
      <c r="D21" s="9" t="n">
        <v>43805</v>
      </c>
      <c r="E21" s="8" t="n">
        <v>300</v>
      </c>
      <c r="F21" s="10" t="n">
        <v>13.17</v>
      </c>
      <c r="G21" s="11" t="n">
        <f aca="false">E21*F21</f>
        <v>3951</v>
      </c>
      <c r="I21" s="12" t="n">
        <f aca="false">K21/$K$48</f>
        <v>0.0512717471887147</v>
      </c>
      <c r="J21" s="0" t="n">
        <v>14.8</v>
      </c>
      <c r="K21" s="13" t="n">
        <f aca="false">J21*E21</f>
        <v>4440</v>
      </c>
      <c r="L21" s="13" t="n">
        <f aca="false">K21-G21</f>
        <v>489</v>
      </c>
      <c r="M21" s="14" t="n">
        <f aca="false">L21/G21</f>
        <v>0.123766135155657</v>
      </c>
      <c r="N21" s="8" t="n">
        <v>15</v>
      </c>
      <c r="O21" s="13" t="n">
        <f aca="false">E21*N21</f>
        <v>4500</v>
      </c>
      <c r="P21" s="13" t="n">
        <f aca="false">O21-G21</f>
        <v>549</v>
      </c>
      <c r="Q21" s="14" t="n">
        <f aca="false">P21/G21</f>
        <v>0.138952164009112</v>
      </c>
    </row>
    <row r="22" customFormat="false" ht="14.65" hidden="false" customHeight="true" outlineLevel="0" collapsed="false">
      <c r="A22" s="8" t="str">
        <f aca="false">VLOOKUP(B22,Cadastro!$A$7:$C$36,3,1)</f>
        <v>14.410.722/0001-29</v>
      </c>
      <c r="B22" s="8" t="s">
        <v>25</v>
      </c>
      <c r="C22" s="8" t="str">
        <f aca="false">VLOOKUP(B22,Cadastro!$A$7:$C$52,2,1)</f>
        <v>BANCO DO BRASIL LOCACAO</v>
      </c>
      <c r="D22" s="9" t="n">
        <v>43805</v>
      </c>
      <c r="E22" s="8" t="n">
        <v>20</v>
      </c>
      <c r="F22" s="10" t="n">
        <v>157.74</v>
      </c>
      <c r="G22" s="11" t="n">
        <f aca="false">E22*F22</f>
        <v>3154.8</v>
      </c>
      <c r="I22" s="12" t="n">
        <f aca="false">K22/$K$48</f>
        <v>0.0372990413107091</v>
      </c>
      <c r="J22" s="0" t="n">
        <v>161.5</v>
      </c>
      <c r="K22" s="13" t="n">
        <f aca="false">J22*E22</f>
        <v>3230</v>
      </c>
      <c r="L22" s="13" t="n">
        <f aca="false">K22-G22</f>
        <v>75.1999999999998</v>
      </c>
      <c r="M22" s="14" t="n">
        <f aca="false">L22/G22</f>
        <v>0.0238366932927602</v>
      </c>
      <c r="N22" s="8" t="n">
        <v>175</v>
      </c>
      <c r="O22" s="13" t="n">
        <f aca="false">E22*N22</f>
        <v>3500</v>
      </c>
      <c r="P22" s="13" t="n">
        <f aca="false">O22-G22</f>
        <v>345.2</v>
      </c>
      <c r="Q22" s="14" t="n">
        <f aca="false">P22/G22</f>
        <v>0.109420565487511</v>
      </c>
    </row>
    <row r="23" customFormat="false" ht="14.65" hidden="false" customHeight="true" outlineLevel="0" collapsed="false">
      <c r="A23" s="8" t="str">
        <f aca="false">VLOOKUP(B23,Cadastro!$A$7:$C$36,3,1)</f>
        <v>90.400.888/0001-42</v>
      </c>
      <c r="B23" s="8" t="s">
        <v>26</v>
      </c>
      <c r="C23" s="8" t="str">
        <f aca="false">VLOOKUP(B23,Cadastro!$A$7:$C$52,2,1)</f>
        <v>BANCO SANTANDER BRON PN</v>
      </c>
      <c r="D23" s="9" t="n">
        <v>43811</v>
      </c>
      <c r="E23" s="8" t="n">
        <v>200</v>
      </c>
      <c r="F23" s="10" t="n">
        <v>20.1</v>
      </c>
      <c r="G23" s="11" t="n">
        <f aca="false">E23*F23</f>
        <v>4020</v>
      </c>
      <c r="I23" s="12" t="n">
        <f aca="false">K23/$K$48</f>
        <v>0.0459598094169109</v>
      </c>
      <c r="J23" s="0" t="n">
        <v>19.9</v>
      </c>
      <c r="K23" s="13" t="n">
        <f aca="false">J23*E23</f>
        <v>3980</v>
      </c>
      <c r="L23" s="13" t="n">
        <f aca="false">K23-G23</f>
        <v>-40.0000000000005</v>
      </c>
      <c r="M23" s="14" t="n">
        <f aca="false">L23/G23</f>
        <v>-0.00995024875621902</v>
      </c>
      <c r="N23" s="8" t="n">
        <v>23.5</v>
      </c>
      <c r="O23" s="13" t="n">
        <f aca="false">E23*N23</f>
        <v>4700</v>
      </c>
      <c r="P23" s="13" t="n">
        <f aca="false">O23-G23</f>
        <v>680</v>
      </c>
      <c r="Q23" s="14" t="n">
        <f aca="false">P23/G23</f>
        <v>0.169154228855721</v>
      </c>
    </row>
    <row r="24" customFormat="false" ht="14.65" hidden="false" customHeight="true" outlineLevel="0" collapsed="false">
      <c r="A24" s="8" t="str">
        <f aca="false">VLOOKUP(B24,Cadastro!$A$7:$C$36,3,1)</f>
        <v>03.220.438/0001-73</v>
      </c>
      <c r="B24" s="8" t="s">
        <v>27</v>
      </c>
      <c r="C24" s="8" t="str">
        <f aca="false">VLOOKUP(B24,Cadastro!$A$7:$C$52,2,1)</f>
        <v>EQUATORIAL ENERGIA</v>
      </c>
      <c r="D24" s="9" t="n">
        <v>43826</v>
      </c>
      <c r="E24" s="8" t="n">
        <v>200</v>
      </c>
      <c r="F24" s="10" t="n">
        <v>22.51</v>
      </c>
      <c r="G24" s="11" t="n">
        <f aca="false">E24*F24</f>
        <v>4502</v>
      </c>
      <c r="I24" s="12" t="n">
        <f aca="false">K24/$K$48</f>
        <v>0.0605098998353299</v>
      </c>
      <c r="J24" s="0" t="n">
        <v>26.2</v>
      </c>
      <c r="K24" s="13" t="n">
        <f aca="false">J24*E24</f>
        <v>5240</v>
      </c>
      <c r="L24" s="13" t="n">
        <f aca="false">K24-G24</f>
        <v>738</v>
      </c>
      <c r="M24" s="14" t="n">
        <f aca="false">L24/G24</f>
        <v>0.163927143491781</v>
      </c>
      <c r="N24" s="8" t="n">
        <v>25</v>
      </c>
      <c r="O24" s="13" t="n">
        <f aca="false">E24*N24</f>
        <v>5000</v>
      </c>
      <c r="P24" s="13" t="n">
        <f aca="false">O24-G24</f>
        <v>498</v>
      </c>
      <c r="Q24" s="14" t="n">
        <f aca="false">P24/G24</f>
        <v>0.110617503331853</v>
      </c>
    </row>
    <row r="25" customFormat="false" ht="14.65" hidden="false" customHeight="true" outlineLevel="0" collapsed="false">
      <c r="A25" s="8" t="str">
        <f aca="false">VLOOKUP(B25,Cadastro!$A$7:$C$36,3,1)</f>
        <v>02.998.611/0001-04</v>
      </c>
      <c r="B25" s="8" t="s">
        <v>28</v>
      </c>
      <c r="C25" s="8" t="str">
        <f aca="false">VLOOKUP(B25,Cadastro!$A$7:$C$52,2,1)</f>
        <v>TRANSMISSÃO PAULISTA CTEEP</v>
      </c>
      <c r="D25" s="9" t="n">
        <v>43832</v>
      </c>
      <c r="E25" s="8" t="n">
        <v>200</v>
      </c>
      <c r="F25" s="10" t="n">
        <v>22.58</v>
      </c>
      <c r="G25" s="11" t="n">
        <f aca="false">E25*F25</f>
        <v>4516</v>
      </c>
      <c r="I25" s="12" t="n">
        <f aca="false">K25/$K$48</f>
        <v>0.0528884239018723</v>
      </c>
      <c r="J25" s="0" t="n">
        <v>22.9</v>
      </c>
      <c r="K25" s="13" t="n">
        <f aca="false">J25*E25</f>
        <v>4580</v>
      </c>
      <c r="L25" s="13" t="n">
        <f aca="false">K25-G25</f>
        <v>64</v>
      </c>
      <c r="M25" s="14" t="n">
        <f aca="false">L25/G25</f>
        <v>0.0141718334809566</v>
      </c>
      <c r="N25" s="8" t="n">
        <v>25</v>
      </c>
      <c r="O25" s="13" t="n">
        <f aca="false">E25*N25</f>
        <v>5000</v>
      </c>
      <c r="P25" s="13" t="n">
        <f aca="false">O25-G25</f>
        <v>484</v>
      </c>
      <c r="Q25" s="14" t="n">
        <f aca="false">P25/G25</f>
        <v>0.107174490699734</v>
      </c>
    </row>
    <row r="26" customFormat="false" ht="14.65" hidden="false" customHeight="true" outlineLevel="0" collapsed="false">
      <c r="A26" s="8" t="str">
        <f aca="false">VLOOKUP(B26,Cadastro!$A$7:$C$36,3,1)</f>
        <v>32.785.497/0001-97</v>
      </c>
      <c r="B26" s="8" t="s">
        <v>29</v>
      </c>
      <c r="C26" s="8" t="str">
        <f aca="false">VLOOKUP(B26,Cadastro!$A$7:$C$52,2,1)</f>
        <v>NATURA COSMETICO - AVON</v>
      </c>
      <c r="D26" s="9" t="n">
        <v>43836</v>
      </c>
      <c r="E26" s="8" t="n">
        <v>100</v>
      </c>
      <c r="F26" s="10" t="n">
        <v>42.2</v>
      </c>
      <c r="G26" s="11" t="n">
        <f aca="false">E26*F26</f>
        <v>4220</v>
      </c>
      <c r="I26" s="12" t="n">
        <f aca="false">K26/$K$48</f>
        <v>0.0524265162695416</v>
      </c>
      <c r="J26" s="0" t="n">
        <v>45.4</v>
      </c>
      <c r="K26" s="13" t="n">
        <f aca="false">J26*E26</f>
        <v>4540</v>
      </c>
      <c r="L26" s="13" t="n">
        <f aca="false">K26-G26</f>
        <v>320</v>
      </c>
      <c r="M26" s="14" t="n">
        <f aca="false">L26/G26</f>
        <v>0.0758293838862559</v>
      </c>
      <c r="N26" s="8" t="n">
        <v>50</v>
      </c>
      <c r="O26" s="13" t="n">
        <f aca="false">E26*N26</f>
        <v>5000</v>
      </c>
      <c r="P26" s="13" t="n">
        <f aca="false">O26-G26</f>
        <v>780</v>
      </c>
      <c r="Q26" s="14" t="n">
        <f aca="false">P26/G26</f>
        <v>0.184834123222749</v>
      </c>
    </row>
    <row r="27" customFormat="false" ht="14.65" hidden="false" customHeight="true" outlineLevel="0" collapsed="false">
      <c r="A27" s="8" t="str">
        <f aca="false">VLOOKUP(B27,Cadastro!$A$7:$C$36,3,1)</f>
        <v>01.838.723/0001-27</v>
      </c>
      <c r="B27" s="8" t="s">
        <v>30</v>
      </c>
      <c r="C27" s="8" t="str">
        <f aca="false">VLOOKUP(B27,Cadastro!$A$7:$C$52,2,1)</f>
        <v>BRASIL FOODS ON</v>
      </c>
      <c r="D27" s="9" t="n">
        <v>43857</v>
      </c>
      <c r="E27" s="8" t="n">
        <v>200</v>
      </c>
      <c r="F27" s="10" t="n">
        <v>31.58</v>
      </c>
      <c r="G27" s="11" t="n">
        <f aca="false">E27*F27</f>
        <v>6316</v>
      </c>
      <c r="I27" s="12" t="n">
        <f aca="false">K27/$K$48</f>
        <v>0.0629349149050664</v>
      </c>
      <c r="J27" s="0" t="n">
        <v>27.25</v>
      </c>
      <c r="K27" s="13" t="n">
        <f aca="false">J27*E27</f>
        <v>5450</v>
      </c>
      <c r="L27" s="13" t="n">
        <f aca="false">K27-G27</f>
        <v>-866</v>
      </c>
      <c r="M27" s="14" t="n">
        <f aca="false">L27/G27</f>
        <v>-0.137112096263458</v>
      </c>
      <c r="N27" s="8" t="n">
        <v>36</v>
      </c>
      <c r="O27" s="13" t="n">
        <f aca="false">E27*N27</f>
        <v>7200</v>
      </c>
      <c r="P27" s="13" t="n">
        <f aca="false">O27-G27</f>
        <v>884</v>
      </c>
      <c r="Q27" s="14" t="n">
        <f aca="false">P27/G27</f>
        <v>0.139962001266624</v>
      </c>
    </row>
    <row r="28" customFormat="false" ht="14.65" hidden="false" customHeight="true" outlineLevel="0" collapsed="false">
      <c r="A28" s="8" t="str">
        <f aca="false">VLOOKUP(B28,Cadastro!$A$7:$C$36,3,1)</f>
        <v>02.998.611/0001-04</v>
      </c>
      <c r="B28" s="8" t="s">
        <v>31</v>
      </c>
      <c r="C28" s="8" t="str">
        <f aca="false">VLOOKUP(B28,Cadastro!$A$7:$C$52,2,1)</f>
        <v>VALE</v>
      </c>
      <c r="D28" s="15" t="n">
        <v>43861</v>
      </c>
      <c r="E28" s="8" t="n">
        <v>100</v>
      </c>
      <c r="F28" s="10" t="n">
        <v>50.4</v>
      </c>
      <c r="G28" s="11" t="n">
        <f aca="false">E28*F28</f>
        <v>5040</v>
      </c>
      <c r="I28" s="12" t="n">
        <f aca="false">K28/$K$48</f>
        <v>0.0557176081498983</v>
      </c>
      <c r="J28" s="0" t="n">
        <v>48.25</v>
      </c>
      <c r="K28" s="13" t="n">
        <f aca="false">J28*E28</f>
        <v>4825</v>
      </c>
      <c r="L28" s="13" t="n">
        <f aca="false">K28-G28</f>
        <v>-215</v>
      </c>
      <c r="M28" s="14" t="n">
        <f aca="false">L28/G28</f>
        <v>-0.0426587301587302</v>
      </c>
      <c r="N28" s="8" t="n">
        <v>55</v>
      </c>
      <c r="O28" s="13" t="n">
        <f aca="false">E28*N28</f>
        <v>5500</v>
      </c>
      <c r="P28" s="13" t="n">
        <f aca="false">O28-G28</f>
        <v>460</v>
      </c>
      <c r="Q28" s="14" t="n">
        <f aca="false">P28/G28</f>
        <v>0.0912698412698413</v>
      </c>
    </row>
    <row r="29" customFormat="false" ht="14.65" hidden="false" customHeight="true" outlineLevel="0" collapsed="false">
      <c r="A29" s="8" t="str">
        <f aca="false">VLOOKUP(B29,Cadastro!$A$7:$C$36,3,1)</f>
        <v>02.846.056/0001-97</v>
      </c>
      <c r="B29" s="8" t="s">
        <v>32</v>
      </c>
      <c r="C29" s="8" t="str">
        <f aca="false">VLOOKUP(B29,Cadastro!$A$7:$C$52,2,1)</f>
        <v>GRUPO CCR - RODOVIAS</v>
      </c>
      <c r="D29" s="15" t="n">
        <v>43888</v>
      </c>
      <c r="E29" s="8" t="n">
        <v>200</v>
      </c>
      <c r="F29" s="10" t="n">
        <v>16.33</v>
      </c>
      <c r="G29" s="11" t="n">
        <f aca="false">E29*F29</f>
        <v>3266</v>
      </c>
      <c r="I29" s="12" t="n">
        <f aca="false">K29/$K$48</f>
        <v>0.0393776256561975</v>
      </c>
      <c r="J29" s="0" t="n">
        <v>17.05</v>
      </c>
      <c r="K29" s="13" t="n">
        <f aca="false">J29*E29</f>
        <v>3410</v>
      </c>
      <c r="L29" s="13" t="n">
        <f aca="false">K29-G29</f>
        <v>144</v>
      </c>
      <c r="M29" s="14" t="n">
        <f aca="false">L29/G29</f>
        <v>0.0440906307409677</v>
      </c>
      <c r="N29" s="8" t="n">
        <v>20</v>
      </c>
      <c r="O29" s="13" t="n">
        <f aca="false">E29*N29</f>
        <v>4000</v>
      </c>
      <c r="P29" s="13" t="n">
        <f aca="false">O29-G29</f>
        <v>734</v>
      </c>
      <c r="Q29" s="14" t="n">
        <f aca="false">P29/G29</f>
        <v>0.224739742804654</v>
      </c>
    </row>
    <row r="30" customFormat="false" ht="14.65" hidden="false" customHeight="true" outlineLevel="0" collapsed="false">
      <c r="A30" s="8" t="str">
        <f aca="false">VLOOKUP(B30,Cadastro!$A$7:$C$36,3,1)</f>
        <v>90.400.888/0001-42</v>
      </c>
      <c r="B30" s="8" t="s">
        <v>33</v>
      </c>
      <c r="C30" s="8" t="str">
        <f aca="false">VLOOKUP(B30,Cadastro!$A$7:$C$52,2,1)</f>
        <v>BANCO SANTANDER BRON ON</v>
      </c>
      <c r="D30" s="15" t="n">
        <v>43888</v>
      </c>
      <c r="E30" s="8" t="n">
        <v>200</v>
      </c>
      <c r="F30" s="10" t="n">
        <v>19.3</v>
      </c>
      <c r="G30" s="11" t="n">
        <f aca="false">E30*F30</f>
        <v>3860</v>
      </c>
      <c r="I30" s="12" t="n">
        <f aca="false">K30/$K$48</f>
        <v>0.0445740865199186</v>
      </c>
      <c r="J30" s="0" t="n">
        <v>19.3</v>
      </c>
      <c r="K30" s="13" t="n">
        <f aca="false">J30*E30</f>
        <v>3860</v>
      </c>
      <c r="L30" s="13" t="n">
        <f aca="false">K30-G30</f>
        <v>0</v>
      </c>
      <c r="M30" s="14" t="n">
        <f aca="false">L30/G30</f>
        <v>0</v>
      </c>
      <c r="N30" s="8" t="n">
        <v>21</v>
      </c>
      <c r="O30" s="13" t="n">
        <f aca="false">E30*N30</f>
        <v>4200</v>
      </c>
      <c r="P30" s="13" t="n">
        <f aca="false">O30-G30</f>
        <v>340</v>
      </c>
      <c r="Q30" s="14" t="n">
        <f aca="false">P30/G30</f>
        <v>0.0880829015544041</v>
      </c>
    </row>
    <row r="31" customFormat="false" ht="14.65" hidden="false" customHeight="true" outlineLevel="0" collapsed="false">
      <c r="A31" s="8" t="str">
        <f aca="false">VLOOKUP(B31,Cadastro!$A$7:$C$36,3,1)</f>
        <v>33.042.730/0001-04</v>
      </c>
      <c r="B31" s="8" t="s">
        <v>34</v>
      </c>
      <c r="C31" s="8" t="str">
        <f aca="false">VLOOKUP(B31,Cadastro!$A$7:$C$52,2,1)</f>
        <v>COMPANHIA SIDERURGICA NACIONAL</v>
      </c>
      <c r="D31" s="15" t="n">
        <v>43888</v>
      </c>
      <c r="E31" s="8" t="n">
        <v>200</v>
      </c>
      <c r="F31" s="10" t="n">
        <v>11.52</v>
      </c>
      <c r="G31" s="11" t="n">
        <f aca="false">E31*F31</f>
        <v>2304</v>
      </c>
      <c r="I31" s="12" t="n">
        <f aca="false">K31/$K$48</f>
        <v>0.0288692270206727</v>
      </c>
      <c r="J31" s="0" t="n">
        <v>12.5</v>
      </c>
      <c r="K31" s="13" t="n">
        <f aca="false">J31*E31</f>
        <v>2500</v>
      </c>
      <c r="L31" s="13" t="n">
        <f aca="false">K31-G31</f>
        <v>196</v>
      </c>
      <c r="M31" s="14" t="n">
        <f aca="false">L31/G31</f>
        <v>0.0850694444444444</v>
      </c>
      <c r="N31" s="8" t="n">
        <v>22</v>
      </c>
      <c r="O31" s="13" t="n">
        <f aca="false">E31*N31</f>
        <v>4400</v>
      </c>
      <c r="P31" s="13" t="n">
        <f aca="false">O31-G31</f>
        <v>2096</v>
      </c>
      <c r="Q31" s="14" t="n">
        <f aca="false">P31/G31</f>
        <v>0.909722222222222</v>
      </c>
    </row>
    <row r="32" customFormat="false" ht="14.65" hidden="false" customHeight="true" outlineLevel="0" collapsed="false">
      <c r="B32" s="8"/>
      <c r="C32" s="8"/>
      <c r="D32" s="9"/>
      <c r="E32" s="8"/>
      <c r="F32" s="10"/>
      <c r="G32" s="11"/>
      <c r="J32" s="8"/>
      <c r="K32" s="13"/>
      <c r="L32" s="13"/>
      <c r="M32" s="14"/>
      <c r="N32" s="8"/>
      <c r="O32" s="13"/>
      <c r="P32" s="13"/>
      <c r="Q32" s="14"/>
    </row>
    <row r="33" customFormat="false" ht="14.65" hidden="false" customHeight="true" outlineLevel="0" collapsed="false">
      <c r="A33" s="16" t="str">
        <f aca="false">VLOOKUP(B33,Cadastro!$A$7:$C$36,3,1)</f>
        <v>11.669.021/0001-10</v>
      </c>
      <c r="B33" s="16" t="s">
        <v>35</v>
      </c>
      <c r="C33" s="16" t="str">
        <f aca="false">VLOOKUP(B33,Cadastro!$A$7:$C$36,2,1)</f>
        <v>QUEIROZ GALVAO PART ON</v>
      </c>
      <c r="D33" s="17" t="n">
        <v>43325</v>
      </c>
      <c r="E33" s="16" t="n">
        <v>100</v>
      </c>
      <c r="F33" s="18" t="n">
        <f aca="false">G33/E33</f>
        <v>12.1842</v>
      </c>
      <c r="G33" s="19" t="n">
        <v>1218.42</v>
      </c>
      <c r="H33" s="17" t="n">
        <v>43369</v>
      </c>
      <c r="I33" s="17"/>
      <c r="J33" s="18" t="n">
        <f aca="false">K33/E33</f>
        <v>12.7939</v>
      </c>
      <c r="K33" s="19" t="n">
        <v>1279.39</v>
      </c>
      <c r="L33" s="19" t="n">
        <f aca="false">K33-G33</f>
        <v>60.97</v>
      </c>
      <c r="M33" s="20" t="n">
        <f aca="false">L33/G33</f>
        <v>0.0500402160174653</v>
      </c>
    </row>
    <row r="34" customFormat="false" ht="14.65" hidden="false" customHeight="true" outlineLevel="0" collapsed="false">
      <c r="A34" s="16" t="str">
        <f aca="false">VLOOKUP(B34,Cadastro!$A$7:$C$36,3,1)</f>
        <v>60.746.948/0001-12</v>
      </c>
      <c r="B34" s="16" t="s">
        <v>36</v>
      </c>
      <c r="C34" s="16" t="str">
        <f aca="false">VLOOKUP(B34,Cadastro!$A$7:$C$36,2,1)</f>
        <v>BANCO BRADESCO SA ON</v>
      </c>
      <c r="D34" s="17" t="n">
        <v>43332</v>
      </c>
      <c r="E34" s="16" t="n">
        <v>100</v>
      </c>
      <c r="F34" s="21" t="n">
        <v>25.0705</v>
      </c>
      <c r="G34" s="19" t="n">
        <f aca="false">E34*F34</f>
        <v>2507.05</v>
      </c>
      <c r="H34" s="17" t="n">
        <v>43376</v>
      </c>
      <c r="I34" s="17"/>
      <c r="J34" s="18" t="n">
        <f aca="false">K34/E34</f>
        <v>28.8185</v>
      </c>
      <c r="K34" s="19" t="n">
        <v>2881.85</v>
      </c>
      <c r="L34" s="19" t="n">
        <f aca="false">E34*J34-G34</f>
        <v>374.8</v>
      </c>
      <c r="M34" s="20" t="n">
        <f aca="false">L34/G34</f>
        <v>0.149498414471191</v>
      </c>
    </row>
    <row r="35" customFormat="false" ht="14.65" hidden="false" customHeight="true" outlineLevel="0" collapsed="false">
      <c r="A35" s="16" t="str">
        <f aca="false">VLOOKUP(B35,Cadastro!$A$7:$C$36,3,1)</f>
        <v>61.532.644/0001-15</v>
      </c>
      <c r="B35" s="16" t="s">
        <v>37</v>
      </c>
      <c r="C35" s="16" t="str">
        <f aca="false">VLOOKUP(B35,Cadastro!$A$7:$C$36,2,1)</f>
        <v>ITAU INVESTIMENTOS SA PN</v>
      </c>
      <c r="D35" s="17" t="n">
        <v>43333</v>
      </c>
      <c r="E35" s="16" t="n">
        <v>300</v>
      </c>
      <c r="F35" s="18" t="n">
        <v>9.5268</v>
      </c>
      <c r="G35" s="19" t="n">
        <f aca="false">E35*F35</f>
        <v>2858.04</v>
      </c>
      <c r="H35" s="17" t="n">
        <v>43381</v>
      </c>
      <c r="I35" s="17"/>
      <c r="J35" s="18" t="n">
        <f aca="false">K35/E35</f>
        <v>11.0618</v>
      </c>
      <c r="K35" s="19" t="n">
        <v>3318.54</v>
      </c>
      <c r="L35" s="19" t="n">
        <f aca="false">K35-G35</f>
        <v>460.5</v>
      </c>
      <c r="M35" s="20" t="n">
        <f aca="false">L35/G35</f>
        <v>0.161124406936222</v>
      </c>
    </row>
    <row r="36" customFormat="false" ht="14.65" hidden="false" customHeight="true" outlineLevel="0" collapsed="false">
      <c r="A36" s="16" t="str">
        <f aca="false">VLOOKUP(B36,Cadastro!$A$7:$C$36,3,1)</f>
        <v>17.155.730/0001-64</v>
      </c>
      <c r="B36" s="16" t="s">
        <v>38</v>
      </c>
      <c r="C36" s="16" t="str">
        <f aca="false">VLOOKUP(B36,Cadastro!$A$7:$C$36,2,1)</f>
        <v>CIA DE ENERGIA DE MINAS GERAIS ON</v>
      </c>
      <c r="D36" s="17" t="n">
        <v>43356</v>
      </c>
      <c r="E36" s="16" t="n">
        <v>400</v>
      </c>
      <c r="F36" s="18" t="n">
        <v>6.4055</v>
      </c>
      <c r="G36" s="19" t="n">
        <f aca="false">E36*F36</f>
        <v>2562.2</v>
      </c>
      <c r="H36" s="17" t="n">
        <v>43381</v>
      </c>
      <c r="I36" s="17"/>
      <c r="J36" s="18" t="n">
        <f aca="false">K36/E36</f>
        <v>9.3818</v>
      </c>
      <c r="K36" s="19" t="n">
        <v>3752.72</v>
      </c>
      <c r="L36" s="19" t="n">
        <f aca="false">K36-G36</f>
        <v>1190.52</v>
      </c>
      <c r="M36" s="20" t="n">
        <f aca="false">L36/G36</f>
        <v>0.464647568495824</v>
      </c>
    </row>
    <row r="37" customFormat="false" ht="14.65" hidden="false" customHeight="true" outlineLevel="0" collapsed="false">
      <c r="A37" s="16" t="str">
        <f aca="false">VLOOKUP(B37,Cadastro!$A$7:$C$36,3,1)</f>
        <v>01.027.058/0001-91</v>
      </c>
      <c r="B37" s="16" t="s">
        <v>16</v>
      </c>
      <c r="C37" s="16" t="str">
        <f aca="false">VLOOKUP(B37,Cadastro!$A$7:$C$36,2,1)</f>
        <v>CIELO SA</v>
      </c>
      <c r="D37" s="17" t="n">
        <v>43361</v>
      </c>
      <c r="E37" s="16" t="n">
        <v>400</v>
      </c>
      <c r="F37" s="18" t="n">
        <v>12.8461</v>
      </c>
      <c r="G37" s="19" t="n">
        <f aca="false">E37*F37</f>
        <v>5138.44</v>
      </c>
      <c r="H37" s="17" t="n">
        <v>43404</v>
      </c>
      <c r="I37" s="17"/>
      <c r="J37" s="18" t="n">
        <f aca="false">K37/E37</f>
        <v>13.319</v>
      </c>
      <c r="K37" s="19" t="n">
        <v>5327.6</v>
      </c>
      <c r="L37" s="19" t="n">
        <f aca="false">K37-G37</f>
        <v>189.160000000001</v>
      </c>
      <c r="M37" s="20" t="n">
        <f aca="false">L37/G37</f>
        <v>0.0368127291551523</v>
      </c>
    </row>
    <row r="38" customFormat="false" ht="14.65" hidden="false" customHeight="true" outlineLevel="0" collapsed="false">
      <c r="A38" s="16" t="str">
        <f aca="false">VLOOKUP(B38,Cadastro!$A$7:$C$36,3,1)</f>
        <v>07.689.002/0001-89</v>
      </c>
      <c r="B38" s="16" t="s">
        <v>20</v>
      </c>
      <c r="C38" s="16" t="str">
        <f aca="false">VLOOKUP(B38,Cadastro!$A$7:$C$36,2,1)</f>
        <v>EMBRAER SA</v>
      </c>
      <c r="D38" s="17" t="n">
        <v>43381</v>
      </c>
      <c r="E38" s="16" t="n">
        <v>200</v>
      </c>
      <c r="F38" s="18" t="n">
        <v>19.1782</v>
      </c>
      <c r="G38" s="19" t="n">
        <f aca="false">E38*F38</f>
        <v>3835.64</v>
      </c>
      <c r="H38" s="17" t="n">
        <v>43411</v>
      </c>
      <c r="I38" s="17"/>
      <c r="J38" s="18" t="n">
        <f aca="false">K38/E38</f>
        <v>21.79945</v>
      </c>
      <c r="K38" s="19" t="n">
        <v>4359.89</v>
      </c>
      <c r="L38" s="19" t="n">
        <f aca="false">K38-G38</f>
        <v>524.25</v>
      </c>
      <c r="M38" s="20" t="n">
        <f aca="false">L38/G38</f>
        <v>0.136678624688448</v>
      </c>
    </row>
    <row r="39" customFormat="false" ht="14.65" hidden="false" customHeight="true" outlineLevel="0" collapsed="false">
      <c r="A39" s="16" t="str">
        <f aca="false">VLOOKUP(B39,Cadastro!$A$7:$C$36,3,1)</f>
        <v>00.001.180/0001-26</v>
      </c>
      <c r="B39" s="16" t="s">
        <v>39</v>
      </c>
      <c r="C39" s="16" t="str">
        <f aca="false">VLOOKUP(B39,Cadastro!$A$7:$C$36,2,1)</f>
        <v>ELETROBRAS ON</v>
      </c>
      <c r="D39" s="17" t="n">
        <v>43336</v>
      </c>
      <c r="E39" s="16" t="n">
        <v>200</v>
      </c>
      <c r="F39" s="18" t="n">
        <v>14.7916</v>
      </c>
      <c r="G39" s="19" t="n">
        <f aca="false">E39*F39</f>
        <v>2958.32</v>
      </c>
      <c r="H39" s="17" t="n">
        <v>43423</v>
      </c>
      <c r="I39" s="17"/>
      <c r="J39" s="18" t="n">
        <f aca="false">K39/E39</f>
        <v>24.9222</v>
      </c>
      <c r="K39" s="19" t="n">
        <v>4984.44</v>
      </c>
      <c r="L39" s="19" t="n">
        <f aca="false">K39-G39</f>
        <v>2026.12</v>
      </c>
      <c r="M39" s="20" t="n">
        <f aca="false">L39/G39</f>
        <v>0.684888720625219</v>
      </c>
    </row>
    <row r="40" customFormat="false" ht="14.65" hidden="false" customHeight="true" outlineLevel="0" collapsed="false">
      <c r="A40" s="16" t="str">
        <f aca="false">VLOOKUP(B40,Cadastro!$A$7:$C$36,3,1)</f>
        <v>11.669.021/0001-10</v>
      </c>
      <c r="B40" s="16" t="s">
        <v>35</v>
      </c>
      <c r="C40" s="16" t="str">
        <f aca="false">VLOOKUP(B40,Cadastro!$A$7:$C$36,2,1)</f>
        <v>QUEIROZ GALVAO PART ON</v>
      </c>
      <c r="D40" s="17" t="n">
        <v>43369</v>
      </c>
      <c r="E40" s="16" t="n">
        <v>300</v>
      </c>
      <c r="F40" s="18" t="n">
        <f aca="false">G40/E40</f>
        <v>11.8165</v>
      </c>
      <c r="G40" s="19" t="n">
        <v>3544.95</v>
      </c>
      <c r="H40" s="17" t="n">
        <v>43509</v>
      </c>
      <c r="I40" s="17"/>
      <c r="J40" s="18" t="n">
        <f aca="false">K40/E40</f>
        <v>12.9799333333333</v>
      </c>
      <c r="K40" s="19" t="n">
        <v>3893.98</v>
      </c>
      <c r="L40" s="19" t="n">
        <f aca="false">K40-G40</f>
        <v>349.03</v>
      </c>
      <c r="M40" s="20" t="n">
        <f aca="false">L40/G40</f>
        <v>0.098458370357833</v>
      </c>
    </row>
    <row r="41" customFormat="false" ht="14.65" hidden="false" customHeight="true" outlineLevel="0" collapsed="false">
      <c r="A41" s="16" t="str">
        <f aca="false">VLOOKUP(B41,Cadastro!$A$7:$C$36,3,1)</f>
        <v>02.932.074/0001-91</v>
      </c>
      <c r="B41" s="16" t="s">
        <v>40</v>
      </c>
      <c r="C41" s="16" t="str">
        <f aca="false">VLOOKUP(B41,Cadastro!$A$7:$C$36,2,1)</f>
        <v>HYPERMARCAS S/A</v>
      </c>
      <c r="D41" s="17" t="n">
        <v>43525</v>
      </c>
      <c r="E41" s="16" t="n">
        <v>100</v>
      </c>
      <c r="F41" s="18" t="n">
        <f aca="false">G41/E41</f>
        <v>26.6748</v>
      </c>
      <c r="G41" s="19" t="n">
        <v>2667.48</v>
      </c>
      <c r="H41" s="17" t="n">
        <v>43614</v>
      </c>
      <c r="I41" s="17"/>
      <c r="J41" s="18" t="n">
        <v>31</v>
      </c>
      <c r="K41" s="19" t="n">
        <f aca="false">J41*E41</f>
        <v>3100</v>
      </c>
      <c r="L41" s="19" t="n">
        <f aca="false">K41-G41</f>
        <v>432.52</v>
      </c>
      <c r="M41" s="20" t="n">
        <f aca="false">L41/G41</f>
        <v>0.162145545608589</v>
      </c>
      <c r="N41" s="8"/>
      <c r="O41" s="13"/>
      <c r="P41" s="13"/>
      <c r="Q41" s="14"/>
    </row>
    <row r="42" customFormat="false" ht="14.65" hidden="false" customHeight="true" outlineLevel="0" collapsed="false">
      <c r="A42" s="16" t="str">
        <f aca="false">VLOOKUP(B42,Cadastro!$A$7:$C$36,3,1)</f>
        <v>90.400.888/0001-42</v>
      </c>
      <c r="B42" s="16" t="s">
        <v>33</v>
      </c>
      <c r="C42" s="16" t="str">
        <f aca="false">VLOOKUP(B42,Cadastro!$A$7:$C$36,2,1)</f>
        <v>BANCO SANTANDER BRON ON</v>
      </c>
      <c r="D42" s="17" t="n">
        <v>43551</v>
      </c>
      <c r="E42" s="16" t="n">
        <v>100</v>
      </c>
      <c r="F42" s="18" t="n">
        <f aca="false">G42/E42</f>
        <v>21.01</v>
      </c>
      <c r="G42" s="19" t="n">
        <v>2101</v>
      </c>
      <c r="H42" s="17" t="n">
        <v>43649</v>
      </c>
      <c r="I42" s="17"/>
      <c r="J42" s="18" t="n">
        <v>23.85</v>
      </c>
      <c r="K42" s="19" t="n">
        <f aca="false">J42*E42</f>
        <v>2385</v>
      </c>
      <c r="L42" s="19" t="n">
        <f aca="false">K42-G42</f>
        <v>284</v>
      </c>
      <c r="M42" s="20" t="n">
        <f aca="false">L42/G42</f>
        <v>0.135173726796763</v>
      </c>
      <c r="N42" s="8"/>
      <c r="O42" s="13"/>
      <c r="P42" s="13"/>
      <c r="Q42" s="14"/>
    </row>
    <row r="43" customFormat="false" ht="14.65" hidden="false" customHeight="true" outlineLevel="0" collapsed="false">
      <c r="A43" s="16" t="str">
        <f aca="false">VLOOKUP(B43,Cadastro!$A$7:$C$36,3,1)</f>
        <v>02.998.611/0001-04</v>
      </c>
      <c r="B43" s="16" t="s">
        <v>31</v>
      </c>
      <c r="C43" s="16" t="str">
        <f aca="false">VLOOKUP(B43,Cadastro!$A$7:$C$36,2,1)</f>
        <v>TRANSMISSÃO PAULISTA CTEEP</v>
      </c>
      <c r="D43" s="17" t="n">
        <v>43496</v>
      </c>
      <c r="E43" s="16" t="n">
        <v>100</v>
      </c>
      <c r="F43" s="18" t="n">
        <f aca="false">G43/E43</f>
        <v>47.3194</v>
      </c>
      <c r="G43" s="19" t="n">
        <v>4731.94</v>
      </c>
      <c r="H43" s="17" t="n">
        <v>43656</v>
      </c>
      <c r="I43" s="17"/>
      <c r="J43" s="18" t="n">
        <v>52.5</v>
      </c>
      <c r="K43" s="19" t="n">
        <f aca="false">J43*E43</f>
        <v>5250</v>
      </c>
      <c r="L43" s="19" t="n">
        <f aca="false">K43-G43</f>
        <v>518.06</v>
      </c>
      <c r="M43" s="20" t="n">
        <f aca="false">L43/G43</f>
        <v>0.109481523434363</v>
      </c>
      <c r="N43" s="8"/>
      <c r="O43" s="13"/>
      <c r="P43" s="13"/>
      <c r="Q43" s="14"/>
    </row>
    <row r="44" customFormat="false" ht="14.65" hidden="false" customHeight="true" outlineLevel="0" collapsed="false">
      <c r="A44" s="16" t="str">
        <f aca="false">VLOOKUP(B44,Cadastro!$A$7:$C$36,3,1)</f>
        <v>07.526.557/0001-00</v>
      </c>
      <c r="B44" s="16" t="s">
        <v>21</v>
      </c>
      <c r="C44" s="16" t="str">
        <f aca="false">VLOOKUP(B44,Cadastro!$A$7:$C$36,2,1)</f>
        <v>AMBEV SA ON</v>
      </c>
      <c r="D44" s="17" t="n">
        <v>43453</v>
      </c>
      <c r="E44" s="16" t="n">
        <v>100</v>
      </c>
      <c r="F44" s="18" t="n">
        <v>15.82</v>
      </c>
      <c r="G44" s="19" t="n">
        <f aca="false">F44*E44</f>
        <v>1582</v>
      </c>
      <c r="H44" s="17" t="n">
        <v>43656</v>
      </c>
      <c r="I44" s="17"/>
      <c r="J44" s="18" t="n">
        <v>19.1</v>
      </c>
      <c r="K44" s="19" t="n">
        <f aca="false">J44*E44</f>
        <v>1910</v>
      </c>
      <c r="L44" s="19" t="n">
        <f aca="false">K44-G44</f>
        <v>328</v>
      </c>
      <c r="M44" s="20" t="n">
        <f aca="false">L44/G44</f>
        <v>0.207332490518331</v>
      </c>
      <c r="N44" s="8"/>
      <c r="O44" s="13"/>
      <c r="P44" s="13"/>
      <c r="Q44" s="14"/>
    </row>
    <row r="45" customFormat="false" ht="14.65" hidden="false" customHeight="true" outlineLevel="0" collapsed="false">
      <c r="A45" s="16" t="str">
        <f aca="false">VLOOKUP(B45,Cadastro!$A$7:$C$36,3,1)</f>
        <v>92.690.783/0001-09</v>
      </c>
      <c r="B45" s="16" t="s">
        <v>41</v>
      </c>
      <c r="C45" s="16" t="str">
        <f aca="false">VLOOKUP(B45,Cadastro!$A$7:$C$52,2,1)</f>
        <v>METALURGICA GERDAU ON</v>
      </c>
      <c r="D45" s="17" t="n">
        <v>43689</v>
      </c>
      <c r="E45" s="16" t="n">
        <v>200</v>
      </c>
      <c r="F45" s="18" t="n">
        <v>6.27</v>
      </c>
      <c r="G45" s="19" t="n">
        <f aca="false">F45*E45</f>
        <v>1254</v>
      </c>
      <c r="H45" s="17" t="n">
        <v>43810</v>
      </c>
      <c r="I45" s="17"/>
      <c r="J45" s="18" t="n">
        <v>7.5</v>
      </c>
      <c r="K45" s="19" t="n">
        <f aca="false">J45*E45</f>
        <v>1500</v>
      </c>
      <c r="L45" s="19" t="n">
        <f aca="false">K45-G45</f>
        <v>246</v>
      </c>
      <c r="M45" s="20" t="n">
        <f aca="false">L45/G45</f>
        <v>0.196172248803828</v>
      </c>
      <c r="N45" s="8"/>
      <c r="O45" s="13"/>
      <c r="P45" s="13"/>
      <c r="Q45" s="14"/>
    </row>
    <row r="46" customFormat="false" ht="14.65" hidden="false" customHeight="true" outlineLevel="0" collapsed="false">
      <c r="A46" s="16" t="str">
        <f aca="false">VLOOKUP(B46,Cadastro!$A$7:$C$36,3,1)</f>
        <v>11.669.021/0001-10</v>
      </c>
      <c r="B46" s="16" t="s">
        <v>42</v>
      </c>
      <c r="C46" s="16" t="str">
        <f aca="false">VLOOKUP(B46,Cadastro!$A$7:$C$52,2,1)</f>
        <v>ENAUTA PARTICIPAÇÕES S.A. ON</v>
      </c>
      <c r="D46" s="17" t="n">
        <v>43690</v>
      </c>
      <c r="E46" s="16" t="n">
        <v>200</v>
      </c>
      <c r="F46" s="18" t="n">
        <v>11.95</v>
      </c>
      <c r="G46" s="19" t="n">
        <f aca="false">E46*F46</f>
        <v>2390</v>
      </c>
      <c r="H46" s="17" t="n">
        <v>43816</v>
      </c>
      <c r="I46" s="17"/>
      <c r="J46" s="18" t="n">
        <v>14.2</v>
      </c>
      <c r="K46" s="19" t="n">
        <f aca="false">J46*E46</f>
        <v>2840</v>
      </c>
      <c r="L46" s="19" t="n">
        <f aca="false">K46-G46</f>
        <v>450</v>
      </c>
      <c r="M46" s="20" t="n">
        <f aca="false">L46/G46</f>
        <v>0.188284518828452</v>
      </c>
      <c r="N46" s="8"/>
      <c r="O46" s="13"/>
      <c r="P46" s="13"/>
      <c r="Q46" s="14"/>
    </row>
    <row r="48" customFormat="false" ht="14.65" hidden="false" customHeight="true" outlineLevel="0" collapsed="false">
      <c r="A48" s="22"/>
      <c r="B48" s="23" t="s">
        <v>43</v>
      </c>
      <c r="C48" s="23"/>
      <c r="D48" s="23"/>
      <c r="E48" s="22"/>
      <c r="F48" s="22"/>
      <c r="G48" s="24" t="n">
        <f aca="false">SUM(G7:G32)</f>
        <v>85216.6796</v>
      </c>
      <c r="H48" s="22"/>
      <c r="I48" s="22"/>
      <c r="J48" s="22"/>
      <c r="K48" s="24" t="n">
        <f aca="false">SUM(K7:K32)</f>
        <v>86597.4</v>
      </c>
      <c r="L48" s="24" t="n">
        <f aca="false">SUM(L7:L32)</f>
        <v>1380.7204</v>
      </c>
      <c r="M48" s="25" t="n">
        <f aca="false">L48/G48</f>
        <v>0.0162024665415384</v>
      </c>
      <c r="N48" s="22"/>
      <c r="O48" s="24" t="n">
        <f aca="false">SUM(O7:O32)</f>
        <v>102240</v>
      </c>
      <c r="P48" s="24" t="n">
        <f aca="false">SUM(P7:P32)</f>
        <v>17023.3204</v>
      </c>
      <c r="Q48" s="25" t="n">
        <f aca="false">P48/G48</f>
        <v>0.199765122038386</v>
      </c>
    </row>
    <row r="49" customFormat="false" ht="14.65" hidden="false" customHeight="true" outlineLevel="0" collapsed="false">
      <c r="C49" s="26" t="s">
        <v>44</v>
      </c>
      <c r="D49" s="26"/>
      <c r="G49" s="27" t="n">
        <f aca="false">SUM(G33:G47)</f>
        <v>39349.48</v>
      </c>
      <c r="K49" s="27" t="n">
        <f aca="false">SUM(K33:K47)</f>
        <v>46783.41</v>
      </c>
      <c r="L49" s="27" t="n">
        <f aca="false">SUM(L33:L47)</f>
        <v>7433.93</v>
      </c>
      <c r="M49" s="28" t="n">
        <f aca="false">L49/G49</f>
        <v>0.188920666804237</v>
      </c>
    </row>
    <row r="51" customFormat="false" ht="14.65" hidden="false" customHeight="true" outlineLevel="0" collapsed="false">
      <c r="A51" s="0" t="str">
        <f aca="false">A10</f>
        <v>76.535.764/0001-43</v>
      </c>
      <c r="B51" s="13" t="str">
        <f aca="false">B10</f>
        <v>OIBR3</v>
      </c>
      <c r="C51" s="0" t="str">
        <f aca="false">VLOOKUP(B51,Cadastro!$A$7:$C$36,2,1)</f>
        <v>OI SA EM RECUPERAÇÃO JUDICIAL</v>
      </c>
      <c r="E51" s="0" t="n">
        <f aca="false">E10+E11</f>
        <v>3000</v>
      </c>
      <c r="F51" s="29" t="n">
        <f aca="false">G51/E51</f>
        <v>1.38407333333333</v>
      </c>
      <c r="G51" s="0" t="n">
        <f aca="false">G10+G11</f>
        <v>4152.22</v>
      </c>
      <c r="J51" s="0" t="n">
        <f aca="false">J11</f>
        <v>1.05</v>
      </c>
      <c r="K51" s="30" t="n">
        <f aca="false">J51*E51</f>
        <v>3150</v>
      </c>
      <c r="L51" s="0" t="n">
        <f aca="false">K51-G51</f>
        <v>-1002.22</v>
      </c>
      <c r="M51" s="14" t="n">
        <f aca="false">L51/G51</f>
        <v>-0.2413696769439</v>
      </c>
    </row>
    <row r="52" customFormat="false" ht="14.65" hidden="false" customHeight="true" outlineLevel="0" collapsed="false">
      <c r="A52" s="0" t="str">
        <f aca="false">A11</f>
        <v>76.535.764/0001-43</v>
      </c>
      <c r="B52" s="0" t="s">
        <v>15</v>
      </c>
      <c r="C52" s="0" t="str">
        <f aca="false">VLOOKUP(B52,Cadastro!$A$7:$C$36,2,1)</f>
        <v>PETRÓLEO BRASILEIRO S.A. PN</v>
      </c>
      <c r="D52" s="31"/>
      <c r="E52" s="0" t="n">
        <f aca="false">E7+E8</f>
        <v>500</v>
      </c>
      <c r="F52" s="29" t="n">
        <f aca="false">G52/E52</f>
        <v>19.48514</v>
      </c>
      <c r="G52" s="0" t="n">
        <f aca="false">G7+G8</f>
        <v>9742.57</v>
      </c>
      <c r="J52" s="0" t="n">
        <f aca="false">J7</f>
        <v>27.1</v>
      </c>
      <c r="K52" s="30" t="n">
        <f aca="false">J52*E52</f>
        <v>13550</v>
      </c>
      <c r="L52" s="0" t="n">
        <f aca="false">K52-G52</f>
        <v>3807.43</v>
      </c>
      <c r="M52" s="14" t="n">
        <f aca="false">L52/G52</f>
        <v>0.390803453298257</v>
      </c>
    </row>
    <row r="53" customFormat="false" ht="14.65" hidden="false" customHeight="true" outlineLevel="0" collapsed="false">
      <c r="B53" s="0" t="s">
        <v>45</v>
      </c>
      <c r="C53" s="0" t="s">
        <v>46</v>
      </c>
      <c r="E53" s="0" t="n">
        <f aca="false">SUM(E12:E15,E22)</f>
        <v>73</v>
      </c>
      <c r="F53" s="0" t="n">
        <f aca="false">G53/E53</f>
        <v>138.92</v>
      </c>
      <c r="G53" s="13" t="n">
        <f aca="false">SUM(G12:G15,G22)</f>
        <v>10141.16</v>
      </c>
      <c r="J53" s="32" t="n">
        <f aca="false">K53/E53</f>
        <v>137.361643835616</v>
      </c>
      <c r="K53" s="30" t="n">
        <f aca="false">SUM(K12:K15,K22)</f>
        <v>10027.4</v>
      </c>
      <c r="L53" s="13" t="n">
        <f aca="false">K53-G53</f>
        <v>-113.759999999998</v>
      </c>
      <c r="M53" s="33" t="n">
        <f aca="false">L53/G53</f>
        <v>-0.0112176516295965</v>
      </c>
    </row>
    <row r="56" customFormat="false" ht="14.65" hidden="false" customHeight="true" outlineLevel="0" collapsed="false">
      <c r="B56" s="0" t="s">
        <v>28</v>
      </c>
      <c r="C56" s="0" t="s">
        <v>47</v>
      </c>
    </row>
    <row r="57" customFormat="false" ht="14.65" hidden="false" customHeight="true" outlineLevel="0" collapsed="false">
      <c r="B57" s="0" t="s">
        <v>48</v>
      </c>
      <c r="C57" s="0" t="s">
        <v>5</v>
      </c>
      <c r="F57" s="0" t="n">
        <v>45</v>
      </c>
    </row>
    <row r="58" customFormat="false" ht="14.65" hidden="false" customHeight="true" outlineLevel="0" collapsed="false">
      <c r="B58" s="0" t="s">
        <v>42</v>
      </c>
      <c r="C58" s="0" t="s">
        <v>5</v>
      </c>
      <c r="F58" s="0" t="n">
        <v>12.25</v>
      </c>
    </row>
    <row r="59" customFormat="false" ht="14.65" hidden="false" customHeight="true" outlineLevel="0" collapsed="false">
      <c r="B59" s="0" t="s">
        <v>49</v>
      </c>
      <c r="K59" s="0" t="s">
        <v>22</v>
      </c>
    </row>
    <row r="60" customFormat="false" ht="14.65" hidden="false" customHeight="true" outlineLevel="0" collapsed="false">
      <c r="B60" s="0" t="s">
        <v>50</v>
      </c>
      <c r="K60" s="0" t="s">
        <v>41</v>
      </c>
    </row>
    <row r="61" customFormat="false" ht="14.65" hidden="false" customHeight="true" outlineLevel="0" collapsed="false">
      <c r="B61" s="0" t="s">
        <v>51</v>
      </c>
      <c r="K61" s="0" t="s">
        <v>31</v>
      </c>
    </row>
    <row r="62" customFormat="false" ht="14.65" hidden="false" customHeight="true" outlineLevel="0" collapsed="false">
      <c r="B62" s="0" t="s">
        <v>52</v>
      </c>
      <c r="K62" s="0" t="s">
        <v>53</v>
      </c>
    </row>
    <row r="63" customFormat="false" ht="14.65" hidden="false" customHeight="true" outlineLevel="0" collapsed="false">
      <c r="B63" s="0" t="s">
        <v>41</v>
      </c>
      <c r="K63" s="0" t="s">
        <v>54</v>
      </c>
    </row>
    <row r="75" customFormat="false" ht="14.65" hidden="false" customHeight="true" outlineLevel="0" collapsed="false">
      <c r="F75" s="0" t="n">
        <v>200</v>
      </c>
      <c r="G75" s="0" t="n">
        <v>22.58</v>
      </c>
      <c r="H75" s="0" t="n">
        <f aca="false">F75*G75</f>
        <v>4516</v>
      </c>
    </row>
    <row r="76" customFormat="false" ht="14.65" hidden="false" customHeight="true" outlineLevel="0" collapsed="false">
      <c r="F76" s="0" t="n">
        <v>300</v>
      </c>
      <c r="G76" s="0" t="n">
        <v>22</v>
      </c>
      <c r="H76" s="0" t="n">
        <f aca="false">F76*G76</f>
        <v>6600</v>
      </c>
    </row>
    <row r="77" customFormat="false" ht="14.65" hidden="false" customHeight="true" outlineLevel="0" collapsed="false">
      <c r="F77" s="0" t="n">
        <f aca="false">SUM(F75:F76)</f>
        <v>500</v>
      </c>
      <c r="H77" s="0" t="n">
        <f aca="false">SUM(H75:H76)</f>
        <v>11116</v>
      </c>
    </row>
    <row r="79" customFormat="false" ht="14.65" hidden="false" customHeight="true" outlineLevel="0" collapsed="false">
      <c r="G79" s="0" t="n">
        <f aca="false">H77/F77</f>
        <v>22.232</v>
      </c>
    </row>
  </sheetData>
  <autoFilter ref="A6:Q40"/>
  <mergeCells count="5">
    <mergeCell ref="D5:G5"/>
    <mergeCell ref="H5:M5"/>
    <mergeCell ref="N5:Q5"/>
    <mergeCell ref="B48:D48"/>
    <mergeCell ref="C49:D49"/>
  </mergeCells>
  <conditionalFormatting sqref="M7:M31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rintOptions headings="false" gridLines="false" gridLinesSet="true" horizontalCentered="false" verticalCentered="false"/>
  <pageMargins left="0.404166666666667" right="0.552083333333333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" activeCellId="0" sqref="O3"/>
    </sheetView>
  </sheetViews>
  <sheetFormatPr defaultRowHeight="14.6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42"/>
    <col collapsed="false" customWidth="true" hidden="false" outlineLevel="0" max="5" min="5" style="0" width="39.14"/>
    <col collapsed="false" customWidth="true" hidden="false" outlineLevel="0" max="10" min="6" style="0" width="11.42"/>
    <col collapsed="false" customWidth="true" hidden="false" outlineLevel="0" max="11" min="11" style="0" width="10.42"/>
    <col collapsed="false" customWidth="true" hidden="false" outlineLevel="0" max="1025" min="12" style="0" width="11.42"/>
  </cols>
  <sheetData>
    <row r="2" customFormat="false" ht="14.65" hidden="false" customHeight="true" outlineLevel="0" collapsed="false">
      <c r="A2" s="0" t="s">
        <v>55</v>
      </c>
      <c r="B2" s="13" t="n">
        <f aca="false">SUM(P7:P51)</f>
        <v>53039.38</v>
      </c>
    </row>
    <row r="3" customFormat="false" ht="14.65" hidden="false" customHeight="true" outlineLevel="0" collapsed="false">
      <c r="A3" s="0" t="s">
        <v>56</v>
      </c>
      <c r="B3" s="13" t="n">
        <f aca="false">SUM(O7:O49)</f>
        <v>29798.41</v>
      </c>
    </row>
    <row r="4" customFormat="false" ht="14.65" hidden="false" customHeight="true" outlineLevel="0" collapsed="false">
      <c r="E4" s="13"/>
    </row>
    <row r="5" customFormat="false" ht="14.65" hidden="false" customHeight="true" outlineLevel="0" collapsed="false">
      <c r="H5" s="13"/>
    </row>
    <row r="6" customFormat="false" ht="14.65" hidden="false" customHeight="true" outlineLevel="0" collapsed="false">
      <c r="A6" s="34" t="s">
        <v>3</v>
      </c>
      <c r="B6" s="34" t="s">
        <v>57</v>
      </c>
      <c r="C6" s="34" t="s">
        <v>6</v>
      </c>
      <c r="D6" s="34" t="s">
        <v>58</v>
      </c>
      <c r="E6" s="34" t="s">
        <v>5</v>
      </c>
      <c r="F6" s="34" t="s">
        <v>8</v>
      </c>
      <c r="G6" s="34" t="s">
        <v>59</v>
      </c>
      <c r="H6" s="34" t="s">
        <v>60</v>
      </c>
      <c r="I6" s="35" t="s">
        <v>61</v>
      </c>
      <c r="J6" s="34" t="s">
        <v>62</v>
      </c>
      <c r="K6" s="34" t="s">
        <v>11</v>
      </c>
      <c r="L6" s="35" t="s">
        <v>63</v>
      </c>
      <c r="M6" s="35" t="s">
        <v>64</v>
      </c>
      <c r="N6" s="35" t="s">
        <v>65</v>
      </c>
      <c r="O6" s="35" t="s">
        <v>66</v>
      </c>
      <c r="P6" s="35" t="s">
        <v>67</v>
      </c>
    </row>
    <row r="7" customFormat="false" ht="14.65" hidden="false" customHeight="true" outlineLevel="0" collapsed="false">
      <c r="A7" s="36" t="str">
        <f aca="false">VLOOKUP(D7,Cadastro!$A$7:$C$36,3,1)</f>
        <v>60.746.948/0001-12</v>
      </c>
      <c r="B7" s="37" t="n">
        <v>657653</v>
      </c>
      <c r="C7" s="15" t="n">
        <v>43376</v>
      </c>
      <c r="D7" s="0" t="s">
        <v>36</v>
      </c>
      <c r="E7" s="0" t="str">
        <f aca="false">VLOOKUP(D7,Cadastro!$A$7:$C$36,2,1)</f>
        <v>BANCO BRADESCO SA ON</v>
      </c>
      <c r="F7" s="13" t="n">
        <v>28.9</v>
      </c>
      <c r="G7" s="0" t="n">
        <v>100</v>
      </c>
      <c r="H7" s="0" t="n">
        <v>0.79</v>
      </c>
      <c r="I7" s="0" t="n">
        <v>0.14</v>
      </c>
      <c r="J7" s="0" t="n">
        <v>7.22</v>
      </c>
      <c r="K7" s="13" t="n">
        <f aca="false">IF(L7="Venda",1,-1)*F7*G7-H7-I7-J7</f>
        <v>2881.85</v>
      </c>
      <c r="L7" s="13" t="s">
        <v>66</v>
      </c>
      <c r="M7" s="15" t="n">
        <v>43381</v>
      </c>
      <c r="N7" s="29" t="n">
        <f aca="false">K7/G7</f>
        <v>28.8185</v>
      </c>
      <c r="O7" s="13" t="n">
        <f aca="false">IF(L7="Venda",K7,0)</f>
        <v>2881.85</v>
      </c>
      <c r="P7" s="0" t="n">
        <f aca="false">ABS(IF(L7="Compra",K7,0))</f>
        <v>0</v>
      </c>
    </row>
    <row r="8" customFormat="false" ht="14.65" hidden="false" customHeight="true" outlineLevel="0" collapsed="false">
      <c r="A8" s="36" t="str">
        <f aca="false">VLOOKUP(D8,Cadastro!$A$7:$C$36,3,1)</f>
        <v>07.689.002/0001-89</v>
      </c>
      <c r="B8" s="37" t="n">
        <v>675409</v>
      </c>
      <c r="C8" s="15" t="n">
        <v>43411</v>
      </c>
      <c r="D8" s="0" t="s">
        <v>20</v>
      </c>
      <c r="E8" s="0" t="str">
        <f aca="false">VLOOKUP(D8,Cadastro!$A$7:$C$36,2,1)</f>
        <v>EMBRAER SA</v>
      </c>
      <c r="F8" s="13" t="n">
        <v>21.85</v>
      </c>
      <c r="G8" s="0" t="n">
        <v>200</v>
      </c>
      <c r="H8" s="0" t="n">
        <v>1.2</v>
      </c>
      <c r="I8" s="13" t="n">
        <v>0.17</v>
      </c>
      <c r="J8" s="13" t="n">
        <v>8.74</v>
      </c>
      <c r="K8" s="13" t="n">
        <f aca="false">IF(L8="Venda",1,-1)*F8*G8-H8-I8-J8</f>
        <v>4359.89</v>
      </c>
      <c r="L8" s="0" t="s">
        <v>66</v>
      </c>
      <c r="M8" s="15" t="n">
        <v>43416</v>
      </c>
      <c r="N8" s="38" t="n">
        <f aca="false">K8/G8</f>
        <v>21.79945</v>
      </c>
      <c r="O8" s="13" t="n">
        <f aca="false">IF(L8="Venda",K8,0)</f>
        <v>4359.89</v>
      </c>
      <c r="P8" s="0" t="n">
        <f aca="false">ABS(IF(L8="Compra",K8,0))</f>
        <v>0</v>
      </c>
    </row>
    <row r="9" customFormat="false" ht="14.65" hidden="false" customHeight="true" outlineLevel="0" collapsed="false">
      <c r="A9" s="39" t="str">
        <f aca="false">VLOOKUP(D9,Cadastro!$A$7:$C$36,3,1)</f>
        <v>17.155.730/0001-64</v>
      </c>
      <c r="B9" s="40" t="n">
        <v>660055</v>
      </c>
      <c r="C9" s="41" t="n">
        <v>43381</v>
      </c>
      <c r="D9" s="39" t="s">
        <v>38</v>
      </c>
      <c r="E9" s="39" t="str">
        <f aca="false">VLOOKUP(D9,Cadastro!$A$7:$C$36,2,1)</f>
        <v>CIA DE ENERGIA DE MINAS GERAIS ON</v>
      </c>
      <c r="F9" s="42" t="n">
        <v>9.41</v>
      </c>
      <c r="G9" s="39" t="n">
        <v>400</v>
      </c>
      <c r="H9" s="42" t="n">
        <v>1.33333333333333</v>
      </c>
      <c r="I9" s="42" t="n">
        <v>0.24</v>
      </c>
      <c r="J9" s="42" t="n">
        <v>9.70666666666667</v>
      </c>
      <c r="K9" s="42" t="n">
        <f aca="false">IF(L9="Venda",1,-1)*F9*G9-H9-I9-J9</f>
        <v>3752.72</v>
      </c>
      <c r="L9" s="39" t="s">
        <v>66</v>
      </c>
      <c r="M9" s="41" t="n">
        <v>43384</v>
      </c>
      <c r="N9" s="43" t="n">
        <f aca="false">K9/G9</f>
        <v>9.3818</v>
      </c>
      <c r="O9" s="43" t="n">
        <f aca="false">IF(L9="Venda",K9,0)</f>
        <v>3752.72</v>
      </c>
      <c r="P9" s="43" t="n">
        <f aca="false">ABS(IF(L9="Compra",K9,0))</f>
        <v>0</v>
      </c>
    </row>
    <row r="10" customFormat="false" ht="14.65" hidden="false" customHeight="true" outlineLevel="0" collapsed="false">
      <c r="A10" s="44" t="str">
        <f aca="false">VLOOKUP(D10,Cadastro!$A$7:$C$36,3,1)</f>
        <v>07.689.002/0001-89</v>
      </c>
      <c r="B10" s="45" t="n">
        <v>660055</v>
      </c>
      <c r="C10" s="46" t="n">
        <v>43381</v>
      </c>
      <c r="D10" s="44" t="s">
        <v>20</v>
      </c>
      <c r="E10" s="44" t="str">
        <f aca="false">VLOOKUP(D10,Cadastro!$A$7:$C$36,2,1)</f>
        <v>EMBRAER SA</v>
      </c>
      <c r="F10" s="47" t="n">
        <v>19.15</v>
      </c>
      <c r="G10" s="44" t="n">
        <v>200</v>
      </c>
      <c r="H10" s="47" t="n">
        <v>0.666666666666667</v>
      </c>
      <c r="I10" s="47" t="n">
        <v>0.12</v>
      </c>
      <c r="J10" s="47" t="n">
        <v>4.85333333333333</v>
      </c>
      <c r="K10" s="47" t="n">
        <f aca="false">IF(L10="Venda",1,-1)*F10*G10-H10-I10-J10</f>
        <v>-3835.64</v>
      </c>
      <c r="L10" s="44" t="s">
        <v>67</v>
      </c>
      <c r="M10" s="46" t="n">
        <v>43384</v>
      </c>
      <c r="N10" s="48" t="n">
        <f aca="false">ABS(K10/G10)</f>
        <v>19.1782</v>
      </c>
      <c r="O10" s="48" t="n">
        <f aca="false">IF(L10="Venda",K10,0)</f>
        <v>0</v>
      </c>
      <c r="P10" s="48" t="n">
        <f aca="false">ABS(IF(L10="Compra",K10,0))</f>
        <v>3835.64</v>
      </c>
    </row>
    <row r="11" customFormat="false" ht="14.65" hidden="false" customHeight="true" outlineLevel="0" collapsed="false">
      <c r="A11" s="49" t="str">
        <f aca="false">VLOOKUP(D11,Cadastro!$A$7:$C$36,3,1)</f>
        <v>61.532.644/0001-15</v>
      </c>
      <c r="B11" s="50" t="n">
        <v>660055</v>
      </c>
      <c r="C11" s="51" t="n">
        <v>43381</v>
      </c>
      <c r="D11" s="49" t="s">
        <v>37</v>
      </c>
      <c r="E11" s="49" t="str">
        <f aca="false">VLOOKUP(D11,Cadastro!$A$7:$C$36,2,1)</f>
        <v>ITAU INVESTIMENTOS SA PN</v>
      </c>
      <c r="F11" s="35" t="n">
        <v>11.09</v>
      </c>
      <c r="G11" s="49" t="n">
        <v>300</v>
      </c>
      <c r="H11" s="35" t="n">
        <v>1</v>
      </c>
      <c r="I11" s="35" t="n">
        <v>0.18</v>
      </c>
      <c r="J11" s="35" t="n">
        <v>7.28</v>
      </c>
      <c r="K11" s="35" t="n">
        <f aca="false">IF(L11="Venda",1,-1)*F11*G11-H11-I11-J11</f>
        <v>3318.54</v>
      </c>
      <c r="L11" s="49" t="s">
        <v>66</v>
      </c>
      <c r="M11" s="51" t="n">
        <v>43384</v>
      </c>
      <c r="N11" s="52" t="n">
        <f aca="false">K11/G11</f>
        <v>11.0618</v>
      </c>
      <c r="O11" s="52" t="n">
        <f aca="false">IF(L11="Venda",K11,0)</f>
        <v>3318.54</v>
      </c>
      <c r="P11" s="52" t="n">
        <f aca="false">ABS(IF(L11="Compra",K11,0))</f>
        <v>0</v>
      </c>
    </row>
    <row r="12" customFormat="false" ht="14.65" hidden="false" customHeight="true" outlineLevel="0" collapsed="false">
      <c r="A12" s="36" t="str">
        <f aca="false">VLOOKUP(D12,Cadastro!$A$7:$C$36,3,1)</f>
        <v>01.027.058/0001-91</v>
      </c>
      <c r="B12" s="37" t="n">
        <v>676187</v>
      </c>
      <c r="C12" s="15" t="n">
        <v>43412</v>
      </c>
      <c r="D12" s="0" t="s">
        <v>16</v>
      </c>
      <c r="E12" s="0" t="str">
        <f aca="false">VLOOKUP(D12,Cadastro!$A$7:$C$36,2,1)</f>
        <v>CIELO SA</v>
      </c>
      <c r="F12" s="13" t="n">
        <v>11.2</v>
      </c>
      <c r="G12" s="0" t="n">
        <v>400</v>
      </c>
      <c r="H12" s="0" t="n">
        <v>1.23</v>
      </c>
      <c r="I12" s="13" t="n">
        <v>0.18</v>
      </c>
      <c r="J12" s="13" t="n">
        <v>8.96</v>
      </c>
      <c r="K12" s="13" t="n">
        <f aca="false">F12*G12+(SUM(H12:J12)*IF(L12="Compra",1,-1))</f>
        <v>4490.37</v>
      </c>
      <c r="L12" s="0" t="s">
        <v>67</v>
      </c>
      <c r="M12" s="15" t="n">
        <v>43417</v>
      </c>
      <c r="N12" s="13" t="n">
        <f aca="false">K12/G12</f>
        <v>11.225925</v>
      </c>
      <c r="O12" s="13" t="n">
        <f aca="false">IF(L12="Venda",K12,0)</f>
        <v>0</v>
      </c>
      <c r="P12" s="0" t="n">
        <f aca="false">ABS(IF(L12="Compra",K12,0))</f>
        <v>4490.37</v>
      </c>
    </row>
    <row r="13" customFormat="false" ht="14.65" hidden="false" customHeight="true" outlineLevel="0" collapsed="false">
      <c r="A13" s="36" t="str">
        <f aca="false">VLOOKUP(D13,Cadastro!$A$7:$C$36,3,1)</f>
        <v>01.027.058/0001-91</v>
      </c>
      <c r="B13" s="37" t="n">
        <v>676895</v>
      </c>
      <c r="C13" s="15" t="n">
        <v>43413</v>
      </c>
      <c r="D13" s="0" t="s">
        <v>16</v>
      </c>
      <c r="E13" s="0" t="str">
        <f aca="false">VLOOKUP(D13,Cadastro!$A$7:$C$36,2,1)</f>
        <v>CIELO SA</v>
      </c>
      <c r="F13" s="13" t="n">
        <v>10.6</v>
      </c>
      <c r="G13" s="0" t="n">
        <v>200</v>
      </c>
      <c r="H13" s="0" t="n">
        <v>0.58</v>
      </c>
      <c r="I13" s="13" t="n">
        <v>0.08</v>
      </c>
      <c r="J13" s="13" t="n">
        <v>5.3</v>
      </c>
      <c r="K13" s="13" t="n">
        <f aca="false">F13*G13+(SUM(H13:J13)*IF(L13="Compra",1,-1))</f>
        <v>2125.96</v>
      </c>
      <c r="L13" s="0" t="s">
        <v>67</v>
      </c>
      <c r="M13" s="15" t="n">
        <v>43418</v>
      </c>
      <c r="N13" s="13" t="n">
        <f aca="false">K13/G13</f>
        <v>10.6298</v>
      </c>
      <c r="O13" s="13" t="n">
        <f aca="false">IF(L13="Venda",K13,0)</f>
        <v>0</v>
      </c>
      <c r="P13" s="0" t="n">
        <f aca="false">ABS(IF(L13="Compra",K13,0))</f>
        <v>2125.96</v>
      </c>
    </row>
    <row r="14" customFormat="false" ht="14.65" hidden="false" customHeight="true" outlineLevel="0" collapsed="false">
      <c r="A14" s="36" t="str">
        <f aca="false">VLOOKUP(D14,Cadastro!$A$7:$C$36,3,1)</f>
        <v>11.669.021/0001-10</v>
      </c>
      <c r="B14" s="37" t="n">
        <v>638041</v>
      </c>
      <c r="C14" s="15" t="n">
        <v>43325</v>
      </c>
      <c r="D14" s="0" t="s">
        <v>35</v>
      </c>
      <c r="E14" s="0" t="str">
        <f aca="false">VLOOKUP(D14,Cadastro!$A$7:$C$36,2,1)</f>
        <v>QUEIROZ GALVAO PART ON</v>
      </c>
      <c r="F14" s="13" t="n">
        <v>12.15</v>
      </c>
      <c r="G14" s="0" t="n">
        <v>100</v>
      </c>
      <c r="H14" s="0" t="n">
        <v>0.33</v>
      </c>
      <c r="I14" s="13" t="n">
        <v>0.06</v>
      </c>
      <c r="J14" s="13" t="n">
        <v>3.03</v>
      </c>
      <c r="K14" s="13" t="n">
        <f aca="false">F14*G14+(SUM(H14:J14)*IF(L14="Compra",1,-1))</f>
        <v>1218.42</v>
      </c>
      <c r="L14" s="0" t="s">
        <v>67</v>
      </c>
      <c r="M14" s="15" t="n">
        <v>43328</v>
      </c>
      <c r="N14" s="29" t="n">
        <f aca="false">K14/G14</f>
        <v>12.1842</v>
      </c>
      <c r="O14" s="13" t="n">
        <f aca="false">IF(L14="Venda",K14,0)</f>
        <v>0</v>
      </c>
      <c r="P14" s="0" t="n">
        <f aca="false">ABS(IF(L14="Compra",K14,0))</f>
        <v>1218.42</v>
      </c>
    </row>
    <row r="15" customFormat="false" ht="14.65" hidden="false" customHeight="true" outlineLevel="0" collapsed="false">
      <c r="A15" s="39" t="str">
        <f aca="false">VLOOKUP(D15,Cadastro!$A$7:$C$36,3,1)</f>
        <v>17.155.730/0001-64</v>
      </c>
      <c r="B15" s="40" t="n">
        <v>649361</v>
      </c>
      <c r="C15" s="41" t="n">
        <v>43356</v>
      </c>
      <c r="D15" s="39" t="s">
        <v>38</v>
      </c>
      <c r="E15" s="39" t="str">
        <f aca="false">VLOOKUP(D15,Cadastro!$A$7:$C$36,2,1)</f>
        <v>CIA DE ENERGIA DE MINAS GERAIS ON</v>
      </c>
      <c r="F15" s="42" t="n">
        <v>6.35</v>
      </c>
      <c r="G15" s="39" t="n">
        <v>300</v>
      </c>
      <c r="H15" s="39" t="n">
        <v>0.525</v>
      </c>
      <c r="I15" s="42" t="n">
        <v>0.09</v>
      </c>
      <c r="J15" s="42" t="n">
        <v>4.785</v>
      </c>
      <c r="K15" s="42" t="n">
        <f aca="false">F15*G15+(SUM(H15:J15)*IF(L15="Compra",1,-1))</f>
        <v>1910.4</v>
      </c>
      <c r="L15" s="39" t="s">
        <v>67</v>
      </c>
      <c r="M15" s="41" t="n">
        <v>43361</v>
      </c>
      <c r="N15" s="42" t="n">
        <f aca="false">K15/G15</f>
        <v>6.368</v>
      </c>
      <c r="O15" s="42" t="n">
        <f aca="false">IF(L15="Venda",K15,0)</f>
        <v>0</v>
      </c>
      <c r="P15" s="42" t="n">
        <f aca="false">ABS(IF(L15="Compra",K15,0))</f>
        <v>1910.4</v>
      </c>
    </row>
    <row r="16" customFormat="false" ht="14.65" hidden="false" customHeight="true" outlineLevel="0" collapsed="false">
      <c r="A16" s="49" t="str">
        <f aca="false">VLOOKUP(D16,Cadastro!$A$7:$C$36,3,1)</f>
        <v>17.155.730/0001-64</v>
      </c>
      <c r="B16" s="50" t="n">
        <v>649361</v>
      </c>
      <c r="C16" s="51" t="n">
        <v>43356</v>
      </c>
      <c r="D16" s="49" t="s">
        <v>38</v>
      </c>
      <c r="E16" s="49" t="str">
        <f aca="false">VLOOKUP(D16,Cadastro!$A$7:$C$36,2,1)</f>
        <v>CIA DE ENERGIA DE MINAS GERAIS ON</v>
      </c>
      <c r="F16" s="35" t="n">
        <v>6.5</v>
      </c>
      <c r="G16" s="49" t="n">
        <v>100</v>
      </c>
      <c r="H16" s="49" t="n">
        <v>0.175</v>
      </c>
      <c r="I16" s="35" t="n">
        <v>0.03</v>
      </c>
      <c r="J16" s="35" t="n">
        <v>1.595</v>
      </c>
      <c r="K16" s="35" t="n">
        <f aca="false">F16*G16+(SUM(H16:J16)*IF(L16="Compra",1,-1))</f>
        <v>651.8</v>
      </c>
      <c r="L16" s="49" t="s">
        <v>67</v>
      </c>
      <c r="M16" s="51" t="n">
        <v>43361</v>
      </c>
      <c r="N16" s="35" t="n">
        <f aca="false">K16/G16</f>
        <v>6.518</v>
      </c>
      <c r="O16" s="35" t="n">
        <f aca="false">IF(L16="Venda",K16,0)</f>
        <v>0</v>
      </c>
      <c r="P16" s="35" t="n">
        <f aca="false">ABS(IF(L16="Compra",K16,0))</f>
        <v>651.8</v>
      </c>
    </row>
    <row r="17" customFormat="false" ht="14.65" hidden="false" customHeight="true" outlineLevel="0" collapsed="false">
      <c r="A17" s="36" t="str">
        <f aca="false">VLOOKUP(D17,Cadastro!$A$7:$C$36,3,1)</f>
        <v>11.669.021/0001-10</v>
      </c>
      <c r="B17" s="37" t="n">
        <v>678087</v>
      </c>
      <c r="C17" s="15" t="n">
        <v>43417</v>
      </c>
      <c r="D17" s="0" t="s">
        <v>35</v>
      </c>
      <c r="E17" s="0" t="str">
        <f aca="false">VLOOKUP(D17,Cadastro!$A$7:$C$36,2,1)</f>
        <v>QUEIROZ GALVAO PART ON</v>
      </c>
      <c r="F17" s="13" t="n">
        <v>11.35</v>
      </c>
      <c r="G17" s="0" t="n">
        <v>100</v>
      </c>
      <c r="H17" s="0" t="n">
        <v>0.31</v>
      </c>
      <c r="I17" s="13" t="n">
        <v>0.04</v>
      </c>
      <c r="J17" s="13" t="n">
        <v>2.83</v>
      </c>
      <c r="K17" s="13" t="n">
        <f aca="false">F17*G17+(SUM(H17:J17)*IF(L17="Compra",1,-1))</f>
        <v>1138.18</v>
      </c>
      <c r="L17" s="0" t="s">
        <v>67</v>
      </c>
      <c r="M17" s="15" t="n">
        <v>43423</v>
      </c>
      <c r="N17" s="13" t="n">
        <f aca="false">K17/G17</f>
        <v>11.3818</v>
      </c>
      <c r="O17" s="13" t="n">
        <f aca="false">IF(L17="Venda",K17,0)</f>
        <v>0</v>
      </c>
      <c r="P17" s="0" t="n">
        <f aca="false">ABS(IF(L17="Compra",K17,0))</f>
        <v>1138.18</v>
      </c>
    </row>
    <row r="18" customFormat="false" ht="14.65" hidden="false" customHeight="true" outlineLevel="0" collapsed="false">
      <c r="A18" s="36" t="str">
        <f aca="false">VLOOKUP(D18,Cadastro!$A$7:$C$36,3,1)</f>
        <v>01.027.058/0001-91</v>
      </c>
      <c r="B18" s="37" t="n">
        <v>651017</v>
      </c>
      <c r="C18" s="15" t="n">
        <v>43361</v>
      </c>
      <c r="D18" s="0" t="s">
        <v>16</v>
      </c>
      <c r="E18" s="0" t="str">
        <f aca="false">VLOOKUP(D18,Cadastro!$A$7:$C$36,2,1)</f>
        <v>CIELO SA</v>
      </c>
      <c r="F18" s="13" t="n">
        <v>13.75</v>
      </c>
      <c r="G18" s="37" t="n">
        <v>200</v>
      </c>
      <c r="H18" s="0" t="n">
        <v>0.75</v>
      </c>
      <c r="I18" s="13" t="n">
        <v>0.13</v>
      </c>
      <c r="J18" s="13" t="n">
        <v>6.87</v>
      </c>
      <c r="K18" s="13" t="n">
        <f aca="false">F18*G18+(SUM(H18:J18)*IF(L18="Compra",1,-1))</f>
        <v>2757.75</v>
      </c>
      <c r="L18" s="0" t="s">
        <v>67</v>
      </c>
      <c r="M18" s="15" t="n">
        <v>43364</v>
      </c>
      <c r="N18" s="13" t="n">
        <f aca="false">K18/G18</f>
        <v>13.78875</v>
      </c>
      <c r="O18" s="13" t="n">
        <f aca="false">IF(L18="Venda",K18,0)</f>
        <v>0</v>
      </c>
      <c r="P18" s="0" t="n">
        <f aca="false">ABS(IF(L18="Compra",K18,0))</f>
        <v>2757.75</v>
      </c>
    </row>
    <row r="19" customFormat="false" ht="14.65" hidden="false" customHeight="true" outlineLevel="0" collapsed="false">
      <c r="A19" s="36" t="str">
        <f aca="false">VLOOKUP(D19,Cadastro!$A$7:$C$36,3,1)</f>
        <v>00.001.180/0001-26</v>
      </c>
      <c r="B19" s="37" t="n">
        <v>680072</v>
      </c>
      <c r="C19" s="15" t="n">
        <v>43423</v>
      </c>
      <c r="D19" s="0" t="s">
        <v>39</v>
      </c>
      <c r="E19" s="0" t="str">
        <f aca="false">VLOOKUP(D19,Cadastro!$A$7:$C$36,2,1)</f>
        <v>ELETROBRAS ON</v>
      </c>
      <c r="F19" s="13" t="n">
        <v>24.98</v>
      </c>
      <c r="G19" s="0" t="n">
        <v>200</v>
      </c>
      <c r="H19" s="0" t="n">
        <v>1.37</v>
      </c>
      <c r="I19" s="13" t="n">
        <v>0.2</v>
      </c>
      <c r="J19" s="13" t="n">
        <v>9.99</v>
      </c>
      <c r="K19" s="13" t="n">
        <f aca="false">F19*G19+(SUM(H19:J19)*IF(L19="Compra",1,-1))</f>
        <v>4984.44</v>
      </c>
      <c r="L19" s="0" t="s">
        <v>66</v>
      </c>
      <c r="M19" s="15" t="n">
        <v>43427</v>
      </c>
      <c r="N19" s="29" t="n">
        <f aca="false">K19/G19</f>
        <v>24.9222</v>
      </c>
      <c r="O19" s="13" t="n">
        <f aca="false">IF(L19="Venda",K19,0)</f>
        <v>4984.44</v>
      </c>
      <c r="P19" s="0" t="n">
        <f aca="false">ABS(IF(L19="Compra",K19,0))</f>
        <v>0</v>
      </c>
    </row>
    <row r="20" customFormat="false" ht="14.85" hidden="false" customHeight="true" outlineLevel="0" collapsed="false">
      <c r="A20" s="36" t="str">
        <f aca="false">VLOOKUP(D20,Cadastro!$A$7:$C$36,3,1)</f>
        <v>07.526.557/0001-00</v>
      </c>
      <c r="B20" s="37" t="n">
        <v>692858</v>
      </c>
      <c r="C20" s="15" t="n">
        <v>43453</v>
      </c>
      <c r="D20" s="0" t="s">
        <v>21</v>
      </c>
      <c r="E20" s="0" t="str">
        <f aca="false">VLOOKUP(D20,Cadastro!$A$7:$C$36,2,1)</f>
        <v>AMBEV SA ON</v>
      </c>
      <c r="F20" s="13" t="n">
        <v>15.78</v>
      </c>
      <c r="G20" s="0" t="n">
        <v>200</v>
      </c>
      <c r="H20" s="0" t="n">
        <v>0.86</v>
      </c>
      <c r="I20" s="13" t="n">
        <v>0.16</v>
      </c>
      <c r="J20" s="13" t="n">
        <v>6.31</v>
      </c>
      <c r="K20" s="13" t="n">
        <f aca="false">F20*G20+(SUM(H20:J20)*IF(L20="Compra",1,-1))</f>
        <v>3163.33</v>
      </c>
      <c r="L20" s="0" t="s">
        <v>67</v>
      </c>
      <c r="M20" s="15" t="n">
        <v>43460</v>
      </c>
      <c r="N20" s="38" t="n">
        <f aca="false">K20/G20</f>
        <v>15.81665</v>
      </c>
      <c r="O20" s="13" t="n">
        <f aca="false">IF(L20="Venda",K20,0)</f>
        <v>0</v>
      </c>
      <c r="P20" s="0" t="n">
        <f aca="false">ABS(IF(L20="Compra",K20,0))</f>
        <v>3163.33</v>
      </c>
    </row>
    <row r="21" customFormat="false" ht="14.65" hidden="false" customHeight="true" outlineLevel="0" collapsed="false">
      <c r="A21" s="36" t="str">
        <f aca="false">VLOOKUP(D21,Cadastro!$A$7:$C$36,3,1)</f>
        <v>60.746.948/0001-12</v>
      </c>
      <c r="B21" s="37" t="n">
        <v>640570</v>
      </c>
      <c r="C21" s="15" t="n">
        <v>43332</v>
      </c>
      <c r="D21" s="0" t="s">
        <v>36</v>
      </c>
      <c r="E21" s="0" t="str">
        <f aca="false">VLOOKUP(D21,Cadastro!$A$7:$C$36,2,1)</f>
        <v>BANCO BRADESCO SA ON</v>
      </c>
      <c r="F21" s="13" t="n">
        <v>25</v>
      </c>
      <c r="G21" s="0" t="n">
        <v>100</v>
      </c>
      <c r="H21" s="0" t="n">
        <v>0.68</v>
      </c>
      <c r="I21" s="0" t="n">
        <v>0.12</v>
      </c>
      <c r="J21" s="0" t="n">
        <v>6.25</v>
      </c>
      <c r="K21" s="13" t="n">
        <f aca="false">F21*G21+(SUM(H21:J21)*IF(L21="Compra",1,-1))</f>
        <v>2507.05</v>
      </c>
      <c r="L21" s="0" t="s">
        <v>67</v>
      </c>
      <c r="M21" s="15" t="n">
        <v>43335</v>
      </c>
      <c r="N21" s="29" t="n">
        <f aca="false">K21/G21</f>
        <v>25.0705</v>
      </c>
      <c r="O21" s="13" t="n">
        <f aca="false">IF(L21="Venda",K21,0)</f>
        <v>0</v>
      </c>
      <c r="P21" s="0" t="n">
        <f aca="false">ABS(IF(L21="Compra",K21,0))</f>
        <v>2507.05</v>
      </c>
    </row>
    <row r="22" customFormat="false" ht="14.65" hidden="false" customHeight="true" outlineLevel="0" collapsed="false">
      <c r="A22" s="36" t="str">
        <f aca="false">VLOOKUP(D22,Cadastro!$A$7:$C$36,3,1)</f>
        <v>61.532.644/0001-15</v>
      </c>
      <c r="B22" s="37" t="n">
        <v>641162</v>
      </c>
      <c r="C22" s="15" t="n">
        <v>43333</v>
      </c>
      <c r="D22" s="0" t="s">
        <v>37</v>
      </c>
      <c r="E22" s="0" t="str">
        <f aca="false">VLOOKUP(D22,Cadastro!$A$7:$C$36,2,1)</f>
        <v>ITAU INVESTIMENTOS SA PN</v>
      </c>
      <c r="F22" s="13" t="n">
        <v>9.5</v>
      </c>
      <c r="G22" s="0" t="n">
        <v>300</v>
      </c>
      <c r="H22" s="0" t="n">
        <v>0.78</v>
      </c>
      <c r="I22" s="0" t="n">
        <v>0.14</v>
      </c>
      <c r="J22" s="0" t="n">
        <v>7.12</v>
      </c>
      <c r="K22" s="13" t="n">
        <f aca="false">F22*G22+(SUM(H22:J22)*IF(L22="Compra",1,-1))</f>
        <v>2858.04</v>
      </c>
      <c r="L22" s="0" t="s">
        <v>67</v>
      </c>
      <c r="M22" s="15" t="n">
        <v>43336</v>
      </c>
      <c r="N22" s="29" t="n">
        <f aca="false">K22/G22</f>
        <v>9.5268</v>
      </c>
      <c r="O22" s="13" t="n">
        <f aca="false">IF(L22="Venda",K22,0)</f>
        <v>0</v>
      </c>
      <c r="P22" s="0" t="n">
        <f aca="false">ABS(IF(L22="Compra",K22,0))</f>
        <v>2858.04</v>
      </c>
    </row>
    <row r="23" customFormat="false" ht="14.65" hidden="false" customHeight="true" outlineLevel="0" collapsed="false">
      <c r="A23" s="36" t="str">
        <f aca="false">VLOOKUP(D23,Cadastro!$A$7:$C$36,3,1)</f>
        <v>76.535.764/0001-43</v>
      </c>
      <c r="B23" s="37" t="n">
        <v>680813</v>
      </c>
      <c r="C23" s="15" t="n">
        <v>43425</v>
      </c>
      <c r="D23" s="0" t="s">
        <v>17</v>
      </c>
      <c r="E23" s="0" t="str">
        <f aca="false">VLOOKUP(D23,Cadastro!$A$7:$C$36,2,1)</f>
        <v>OI SA EM RECUPERAÇÃO JUDICIAL</v>
      </c>
      <c r="F23" s="13" t="n">
        <v>1.71</v>
      </c>
      <c r="G23" s="0" t="n">
        <v>800</v>
      </c>
      <c r="H23" s="0" t="n">
        <v>0.37</v>
      </c>
      <c r="I23" s="0" t="n">
        <v>0.05</v>
      </c>
      <c r="J23" s="0" t="n">
        <v>3.42</v>
      </c>
      <c r="K23" s="13" t="n">
        <f aca="false">F23*G23+(SUM(H23:J23)*IF(L23="Compra",1,-1))</f>
        <v>1371.84</v>
      </c>
      <c r="L23" s="0" t="s">
        <v>67</v>
      </c>
      <c r="M23" s="15" t="n">
        <v>43430</v>
      </c>
      <c r="N23" s="29" t="n">
        <f aca="false">K23/G23</f>
        <v>1.7148</v>
      </c>
      <c r="O23" s="13" t="n">
        <f aca="false">IF(L23="Venda",K23,0)</f>
        <v>0</v>
      </c>
      <c r="P23" s="0" t="n">
        <f aca="false">ABS(IF(L23="Compra",K23,0))</f>
        <v>1371.84</v>
      </c>
    </row>
    <row r="24" customFormat="false" ht="14.65" hidden="false" customHeight="true" outlineLevel="0" collapsed="false">
      <c r="A24" s="36" t="str">
        <f aca="false">VLOOKUP(D24,Cadastro!$A$7:$C$36,3,1)</f>
        <v>00.001.180/0001-26</v>
      </c>
      <c r="B24" s="37" t="n">
        <v>642680</v>
      </c>
      <c r="C24" s="15" t="n">
        <v>43336</v>
      </c>
      <c r="D24" s="0" t="s">
        <v>39</v>
      </c>
      <c r="E24" s="0" t="str">
        <f aca="false">VLOOKUP(D24,Cadastro!$A$7:$C$36,2,1)</f>
        <v>ELETROBRAS ON</v>
      </c>
      <c r="F24" s="13" t="n">
        <v>14.75</v>
      </c>
      <c r="G24" s="0" t="n">
        <v>200</v>
      </c>
      <c r="H24" s="0" t="n">
        <v>0.81</v>
      </c>
      <c r="I24" s="0" t="n">
        <v>0.14</v>
      </c>
      <c r="J24" s="0" t="n">
        <v>7.37</v>
      </c>
      <c r="K24" s="13" t="n">
        <f aca="false">F24*G24+(SUM(H24:J24)*IF(L24="Compra",1,-1))</f>
        <v>2958.32</v>
      </c>
      <c r="L24" s="0" t="s">
        <v>67</v>
      </c>
      <c r="M24" s="15" t="n">
        <v>43341</v>
      </c>
      <c r="N24" s="29" t="n">
        <f aca="false">K24/G24</f>
        <v>14.7916</v>
      </c>
      <c r="O24" s="13" t="n">
        <f aca="false">IF(L24="Venda",K24,0)</f>
        <v>0</v>
      </c>
      <c r="P24" s="0" t="n">
        <f aca="false">ABS(IF(L24="Compra",K24,0))</f>
        <v>2958.32</v>
      </c>
    </row>
    <row r="25" customFormat="false" ht="14.65" hidden="false" customHeight="true" outlineLevel="0" collapsed="false">
      <c r="A25" s="36" t="str">
        <f aca="false">VLOOKUP(D25,Cadastro!$A$7:$C$36,3,1)</f>
        <v>01.027.058/0001-91</v>
      </c>
      <c r="B25" s="37" t="n">
        <v>668964</v>
      </c>
      <c r="C25" s="15" t="n">
        <v>43398</v>
      </c>
      <c r="D25" s="0" t="s">
        <v>16</v>
      </c>
      <c r="E25" s="0" t="str">
        <f aca="false">VLOOKUP(D25,Cadastro!$A$7:$C$36,2,1)</f>
        <v>CIELO SA</v>
      </c>
      <c r="F25" s="13" t="n">
        <v>11.87</v>
      </c>
      <c r="G25" s="0" t="n">
        <v>200</v>
      </c>
      <c r="H25" s="0" t="n">
        <v>0.65</v>
      </c>
      <c r="I25" s="0" t="n">
        <v>0.11</v>
      </c>
      <c r="J25" s="0" t="n">
        <v>5.93</v>
      </c>
      <c r="K25" s="13" t="n">
        <f aca="false">F25*G25+(SUM(H25:J25)*IF(L25="Compra",1,-1))</f>
        <v>2380.69</v>
      </c>
      <c r="L25" s="0" t="s">
        <v>67</v>
      </c>
      <c r="M25" s="15" t="n">
        <v>43403</v>
      </c>
      <c r="N25" s="13" t="n">
        <f aca="false">K25/G25</f>
        <v>11.90345</v>
      </c>
      <c r="O25" s="13" t="n">
        <f aca="false">IF(L25="Venda",K25,0)</f>
        <v>0</v>
      </c>
      <c r="P25" s="0" t="n">
        <f aca="false">ABS(IF(L25="Compra",K25,0))</f>
        <v>2380.69</v>
      </c>
    </row>
    <row r="26" customFormat="false" ht="14.65" hidden="false" customHeight="true" outlineLevel="0" collapsed="false">
      <c r="A26" s="36" t="str">
        <f aca="false">VLOOKUP(D26,Cadastro!$A$7:$C$36,3,1)</f>
        <v>11.669.021/0001-10</v>
      </c>
      <c r="B26" s="37" t="n">
        <v>654261</v>
      </c>
      <c r="C26" s="15" t="n">
        <v>43369</v>
      </c>
      <c r="D26" s="0" t="s">
        <v>35</v>
      </c>
      <c r="E26" s="0" t="str">
        <f aca="false">VLOOKUP(D26,Cadastro!$A$7:$C$36,2,1)</f>
        <v>QUEIROZ GALVAO PART ON</v>
      </c>
      <c r="F26" s="13" t="n">
        <v>12.83</v>
      </c>
      <c r="G26" s="0" t="n">
        <v>100</v>
      </c>
      <c r="H26" s="0" t="n">
        <v>0.35</v>
      </c>
      <c r="I26" s="0" t="n">
        <v>0.06</v>
      </c>
      <c r="J26" s="0" t="n">
        <v>3.2</v>
      </c>
      <c r="K26" s="13" t="n">
        <f aca="false">F26*G26+(SUM(H26:J26)*IF(L26="Compra",1,-1))</f>
        <v>1279.39</v>
      </c>
      <c r="L26" s="0" t="s">
        <v>66</v>
      </c>
      <c r="M26" s="15" t="n">
        <v>43374</v>
      </c>
      <c r="N26" s="13" t="n">
        <f aca="false">K26/G26</f>
        <v>12.7939</v>
      </c>
      <c r="O26" s="13" t="n">
        <f aca="false">IF(L26="Venda",K26,0)</f>
        <v>1279.39</v>
      </c>
      <c r="P26" s="0" t="n">
        <f aca="false">ABS(IF(L26="Compra",K26,0))</f>
        <v>0</v>
      </c>
    </row>
    <row r="27" customFormat="false" ht="14.65" hidden="false" customHeight="true" outlineLevel="0" collapsed="false">
      <c r="A27" s="36" t="str">
        <f aca="false">VLOOKUP(D27,Cadastro!$A$7:$C$36,3,1)</f>
        <v>11.669.021/0001-10</v>
      </c>
      <c r="B27" s="37" t="n">
        <v>671559</v>
      </c>
      <c r="C27" s="15" t="n">
        <v>43403</v>
      </c>
      <c r="D27" s="0" t="s">
        <v>35</v>
      </c>
      <c r="E27" s="0" t="str">
        <f aca="false">VLOOKUP(D27,Cadastro!$A$7:$C$36,2,1)</f>
        <v>QUEIROZ GALVAO PART ON</v>
      </c>
      <c r="F27" s="13" t="n">
        <v>12</v>
      </c>
      <c r="G27" s="0" t="n">
        <v>200</v>
      </c>
      <c r="H27" s="0" t="n">
        <v>0.66</v>
      </c>
      <c r="I27" s="0" t="n">
        <v>0.11</v>
      </c>
      <c r="J27" s="0" t="n">
        <v>6</v>
      </c>
      <c r="K27" s="13" t="n">
        <f aca="false">F27*G27+(SUM(H27:J27)*IF(L27="Compra",1,-1))</f>
        <v>2406.77</v>
      </c>
      <c r="L27" s="0" t="s">
        <v>67</v>
      </c>
      <c r="M27" s="15" t="n">
        <v>43409</v>
      </c>
      <c r="N27" s="13" t="n">
        <f aca="false">K27/G27</f>
        <v>12.03385</v>
      </c>
      <c r="O27" s="13" t="n">
        <f aca="false">IF(L27="Venda",K27,0)</f>
        <v>0</v>
      </c>
      <c r="P27" s="0" t="n">
        <f aca="false">ABS(IF(L27="Compra",K27,0))</f>
        <v>2406.77</v>
      </c>
    </row>
    <row r="28" customFormat="false" ht="14.65" hidden="false" customHeight="true" outlineLevel="0" collapsed="false">
      <c r="A28" s="36" t="str">
        <f aca="false">VLOOKUP(D28,Cadastro!$A$7:$C$36,3,1)</f>
        <v>01.027.058/0001-91</v>
      </c>
      <c r="B28" s="0" t="n">
        <v>672240</v>
      </c>
      <c r="C28" s="15" t="n">
        <v>43404</v>
      </c>
      <c r="D28" s="0" t="s">
        <v>16</v>
      </c>
      <c r="E28" s="0" t="str">
        <f aca="false">VLOOKUP(D28,Cadastro!$A$7:$C$36,2,1)</f>
        <v>CIELO SA</v>
      </c>
      <c r="F28" s="0" t="n">
        <v>13.35</v>
      </c>
      <c r="G28" s="0" t="n">
        <v>400</v>
      </c>
      <c r="H28" s="0" t="n">
        <v>1.46</v>
      </c>
      <c r="I28" s="0" t="n">
        <v>0.26</v>
      </c>
      <c r="J28" s="0" t="n">
        <v>10.68</v>
      </c>
      <c r="K28" s="13" t="n">
        <f aca="false">F28*G28+(SUM(H28:J28)*IF(L28="Compra",1,-1))</f>
        <v>5327.6</v>
      </c>
      <c r="L28" s="0" t="s">
        <v>66</v>
      </c>
      <c r="M28" s="15" t="n">
        <v>43410</v>
      </c>
      <c r="N28" s="38" t="n">
        <f aca="false">K28/G28</f>
        <v>13.319</v>
      </c>
      <c r="O28" s="13" t="n">
        <f aca="false">IF(L28="Venda",K28,0)</f>
        <v>5327.6</v>
      </c>
      <c r="P28" s="0" t="n">
        <f aca="false">ABS(IF(L28="Compra",K28,0))</f>
        <v>0</v>
      </c>
    </row>
    <row r="29" customFormat="false" ht="14.65" hidden="false" customHeight="true" outlineLevel="0" collapsed="false">
      <c r="A29" s="36" t="str">
        <f aca="false">VLOOKUP(D29,Cadastro!$A$7:$C$36,3,1)</f>
        <v>33.000.167/0001-01</v>
      </c>
      <c r="B29" s="0" t="n">
        <v>611917</v>
      </c>
      <c r="C29" s="15" t="n">
        <v>43257</v>
      </c>
      <c r="D29" s="0" t="s">
        <v>15</v>
      </c>
      <c r="E29" s="0" t="str">
        <f aca="false">VLOOKUP(D29,Cadastro!$A$7:$C$36,2,1)</f>
        <v>PETRÓLEO BRASILEIRO S.A. PN</v>
      </c>
      <c r="F29" s="0" t="n">
        <v>16.47</v>
      </c>
      <c r="G29" s="0" t="n">
        <v>300</v>
      </c>
      <c r="H29" s="0" t="n">
        <v>1.35</v>
      </c>
      <c r="I29" s="0" t="n">
        <v>0.34</v>
      </c>
      <c r="J29" s="0" t="n">
        <v>9.88</v>
      </c>
      <c r="K29" s="13" t="n">
        <f aca="false">F29*G29+(SUM(H29:J29)*IF(L29="Compra",1,-1))</f>
        <v>4952.57</v>
      </c>
      <c r="L29" s="0" t="s">
        <v>67</v>
      </c>
      <c r="M29" s="15" t="n">
        <v>43262</v>
      </c>
      <c r="N29" s="13" t="n">
        <f aca="false">K29/G29</f>
        <v>16.5085666666667</v>
      </c>
      <c r="O29" s="13" t="n">
        <f aca="false">IF(L29="Venda",K29,0)</f>
        <v>0</v>
      </c>
      <c r="P29" s="0" t="n">
        <f aca="false">ABS(IF(L29="Compra",K29,0))</f>
        <v>4952.57</v>
      </c>
    </row>
    <row r="30" customFormat="false" ht="14.65" hidden="false" customHeight="true" outlineLevel="0" collapsed="false">
      <c r="A30" s="36" t="str">
        <f aca="false">VLOOKUP(D30,Cadastro!$A$7:$C$36,3,1)</f>
        <v>07.689.002/0001-89</v>
      </c>
      <c r="B30" s="0" t="n">
        <v>711878</v>
      </c>
      <c r="C30" s="15" t="n">
        <v>43497</v>
      </c>
      <c r="D30" s="0" t="s">
        <v>20</v>
      </c>
      <c r="E30" s="0" t="str">
        <f aca="false">VLOOKUP(D30,Cadastro!$A$7:$C$36,2,1)</f>
        <v>EMBRAER SA</v>
      </c>
      <c r="F30" s="0" t="n">
        <v>19.2</v>
      </c>
      <c r="G30" s="0" t="n">
        <v>100</v>
      </c>
      <c r="H30" s="0" t="n">
        <v>0.52</v>
      </c>
      <c r="I30" s="0" t="n">
        <v>0.08</v>
      </c>
      <c r="J30" s="0" t="n">
        <v>4.8</v>
      </c>
      <c r="K30" s="13" t="n">
        <f aca="false">F30*G30+(SUM(H30:J30)*IF(L30="Compra",1,-1))</f>
        <v>1925.4</v>
      </c>
      <c r="L30" s="0" t="s">
        <v>67</v>
      </c>
      <c r="M30" s="15" t="n">
        <v>43502</v>
      </c>
      <c r="N30" s="29" t="n">
        <f aca="false">K30/G30</f>
        <v>19.254</v>
      </c>
      <c r="O30" s="13" t="n">
        <f aca="false">IF(L30="Venda",K30,0)</f>
        <v>0</v>
      </c>
      <c r="P30" s="0" t="n">
        <f aca="false">ABS(IF(L30="Compra",K30,0))</f>
        <v>1925.4</v>
      </c>
    </row>
    <row r="31" customFormat="false" ht="14.65" hidden="false" customHeight="true" outlineLevel="0" collapsed="false">
      <c r="A31" s="36" t="str">
        <f aca="false">VLOOKUP(D31,Cadastro!$A$7:$C$36,3,1)</f>
        <v>02.998.611/0001-04</v>
      </c>
      <c r="B31" s="0" t="n">
        <v>711129</v>
      </c>
      <c r="C31" s="15" t="n">
        <v>43496</v>
      </c>
      <c r="D31" s="0" t="s">
        <v>31</v>
      </c>
      <c r="E31" s="0" t="str">
        <f aca="false">VLOOKUP(D31,Cadastro!$A$7:$C$36,2,1)</f>
        <v>TRANSMISSÃO PAULISTA CTEEP</v>
      </c>
      <c r="F31" s="0" t="n">
        <v>47.21</v>
      </c>
      <c r="G31" s="0" t="n">
        <v>100</v>
      </c>
      <c r="H31" s="0" t="n">
        <v>1.29</v>
      </c>
      <c r="I31" s="0" t="n">
        <v>0.21</v>
      </c>
      <c r="J31" s="0" t="n">
        <v>9.44</v>
      </c>
      <c r="K31" s="13" t="n">
        <f aca="false">F31*G31+(SUM(H31:J31)*IF(L31="Compra",1,-1))</f>
        <v>4731.94</v>
      </c>
      <c r="L31" s="0" t="s">
        <v>67</v>
      </c>
      <c r="M31" s="15" t="n">
        <v>43501</v>
      </c>
      <c r="N31" s="38" t="n">
        <f aca="false">K31/G31</f>
        <v>47.3194</v>
      </c>
      <c r="O31" s="13" t="n">
        <f aca="false">IF(L31="Venda",K31,0)</f>
        <v>0</v>
      </c>
      <c r="P31" s="0" t="n">
        <f aca="false">ABS(IF(L31="Compra",K31,0))</f>
        <v>4731.94</v>
      </c>
    </row>
    <row r="32" customFormat="false" ht="14.65" hidden="false" customHeight="true" outlineLevel="0" collapsed="false">
      <c r="A32" s="41" t="str">
        <f aca="false">VLOOKUP(D32,Cadastro!$A$7:$C$36,3,1)</f>
        <v>76.535.764/0001-43</v>
      </c>
      <c r="B32" s="40" t="n">
        <v>708607</v>
      </c>
      <c r="C32" s="41" t="n">
        <v>43493</v>
      </c>
      <c r="D32" s="39" t="s">
        <v>17</v>
      </c>
      <c r="E32" s="39" t="str">
        <f aca="false">VLOOKUP(D32,Cadastro!$A$7:$C$36,2,1)</f>
        <v>OI SA EM RECUPERAÇÃO JUDICIAL</v>
      </c>
      <c r="F32" s="42" t="n">
        <v>1.26</v>
      </c>
      <c r="G32" s="39" t="n">
        <v>2200</v>
      </c>
      <c r="H32" s="42" t="n">
        <v>0.81</v>
      </c>
      <c r="I32" s="42" t="n">
        <v>0.13</v>
      </c>
      <c r="J32" s="42" t="n">
        <v>7.44</v>
      </c>
      <c r="K32" s="42" t="n">
        <f aca="false">F32*G32+(SUM(H32:J32)*IF(L32="Compra",1,-1))</f>
        <v>2780.38</v>
      </c>
      <c r="L32" s="39" t="s">
        <v>67</v>
      </c>
      <c r="M32" s="41" t="n">
        <v>43496</v>
      </c>
      <c r="N32" s="43" t="n">
        <f aca="false">K32/G32</f>
        <v>1.26380909090909</v>
      </c>
      <c r="O32" s="43" t="n">
        <f aca="false">IF(L32="Venda",K32,0)</f>
        <v>0</v>
      </c>
      <c r="P32" s="43" t="n">
        <f aca="false">ABS(IF(L32="Compra",K32,0))</f>
        <v>2780.38</v>
      </c>
    </row>
    <row r="33" customFormat="false" ht="14.65" hidden="false" customHeight="true" outlineLevel="0" collapsed="false">
      <c r="A33" s="46" t="str">
        <f aca="false">VLOOKUP(D33,Cadastro!$A$7:$C$36,3,1)</f>
        <v>02.998.611/0001-04</v>
      </c>
      <c r="B33" s="45" t="n">
        <v>708607</v>
      </c>
      <c r="C33" s="46" t="n">
        <v>43493</v>
      </c>
      <c r="D33" s="44" t="s">
        <v>19</v>
      </c>
      <c r="E33" s="44" t="str">
        <f aca="false">VLOOKUP(D33,Cadastro!$A$7:$C$36,2,1)</f>
        <v>TRANSMISSÃO PAULISTA CTEEP</v>
      </c>
      <c r="F33" s="47" t="n">
        <v>105.65</v>
      </c>
      <c r="G33" s="44" t="n">
        <v>1</v>
      </c>
      <c r="H33" s="47"/>
      <c r="I33" s="47"/>
      <c r="J33" s="47"/>
      <c r="K33" s="47" t="n">
        <f aca="false">F33*G33+(SUM(H33:J33)*IF(L33="Compra",1,-1))</f>
        <v>105.65</v>
      </c>
      <c r="L33" s="44" t="s">
        <v>67</v>
      </c>
      <c r="M33" s="46" t="n">
        <v>43496</v>
      </c>
      <c r="N33" s="48" t="n">
        <f aca="false">K33/G33</f>
        <v>105.65</v>
      </c>
      <c r="O33" s="48" t="n">
        <f aca="false">IF(L33="Venda",K33,0)</f>
        <v>0</v>
      </c>
      <c r="P33" s="48" t="n">
        <f aca="false">ABS(IF(L33="Compra",K33,0))</f>
        <v>105.65</v>
      </c>
    </row>
    <row r="34" customFormat="false" ht="14.65" hidden="false" customHeight="true" outlineLevel="0" collapsed="false">
      <c r="A34" s="51" t="str">
        <f aca="false">VLOOKUP(D34,Cadastro!$A$7:$C$36,3,1)</f>
        <v>02.998.611/0001-04</v>
      </c>
      <c r="B34" s="50" t="n">
        <v>708607</v>
      </c>
      <c r="C34" s="51" t="n">
        <v>43493</v>
      </c>
      <c r="D34" s="49" t="s">
        <v>18</v>
      </c>
      <c r="E34" s="49" t="str">
        <f aca="false">VLOOKUP(D34,Cadastro!$A$7:$C$36,2,1)</f>
        <v>TRANSMISSÃO PAULISTA CTEEP</v>
      </c>
      <c r="F34" s="35" t="n">
        <v>101.4</v>
      </c>
      <c r="G34" s="49" t="n">
        <v>1</v>
      </c>
      <c r="H34" s="35"/>
      <c r="I34" s="35"/>
      <c r="J34" s="35"/>
      <c r="K34" s="35" t="n">
        <f aca="false">F34*G34+(SUM(H34:J34)*IF(L34="Compra",1,-1))</f>
        <v>101.4</v>
      </c>
      <c r="L34" s="49" t="s">
        <v>67</v>
      </c>
      <c r="M34" s="51" t="n">
        <v>43496</v>
      </c>
      <c r="N34" s="52" t="n">
        <f aca="false">K34/G34</f>
        <v>101.4</v>
      </c>
      <c r="O34" s="52" t="n">
        <f aca="false">IF(L34="Venda",K34,0)</f>
        <v>0</v>
      </c>
      <c r="P34" s="52" t="n">
        <f aca="false">ABS(IF(L34="Compra",K34,0))</f>
        <v>101.4</v>
      </c>
    </row>
    <row r="35" customFormat="false" ht="14.65" hidden="false" customHeight="true" outlineLevel="0" collapsed="false">
      <c r="A35" s="36" t="str">
        <f aca="false">VLOOKUP(D35,Cadastro!$A$7:$C$36,3,1)</f>
        <v>11.669.021/0001-10</v>
      </c>
      <c r="B35" s="0" t="n">
        <v>717450</v>
      </c>
      <c r="C35" s="31" t="n">
        <v>43509</v>
      </c>
      <c r="D35" s="0" t="s">
        <v>35</v>
      </c>
      <c r="E35" s="0" t="str">
        <f aca="false">VLOOKUP(D35,Cadastro!$A$7:$C$36,2,1)</f>
        <v>QUEIROZ GALVAO PART ON</v>
      </c>
      <c r="F35" s="0" t="n">
        <v>13.01</v>
      </c>
      <c r="G35" s="0" t="n">
        <v>300</v>
      </c>
      <c r="H35" s="0" t="n">
        <v>1.07</v>
      </c>
      <c r="I35" s="0" t="n">
        <v>0.15</v>
      </c>
      <c r="J35" s="0" t="n">
        <v>7.8</v>
      </c>
      <c r="K35" s="13" t="n">
        <f aca="false">F35*G35+(SUM(H35:J35)*IF(L35="Compra",1,-1))</f>
        <v>3893.98</v>
      </c>
      <c r="L35" s="0" t="s">
        <v>66</v>
      </c>
      <c r="M35" s="15" t="n">
        <v>43514</v>
      </c>
      <c r="N35" s="0" t="n">
        <f aca="false">K35/G35</f>
        <v>12.9799333333333</v>
      </c>
      <c r="O35" s="13" t="n">
        <f aca="false">IF(L35="Venda",K35,0)</f>
        <v>3893.98</v>
      </c>
      <c r="P35" s="0" t="n">
        <f aca="false">ABS(IF(L35="Compra",K35,0))</f>
        <v>0</v>
      </c>
    </row>
    <row r="36" customFormat="false" ht="14.65" hidden="false" customHeight="true" outlineLevel="0" collapsed="false">
      <c r="A36" s="36" t="str">
        <f aca="false">VLOOKUP(D36,Cadastro!$A$7:$C$36,3,1)</f>
        <v>02.932.074/0001-91</v>
      </c>
      <c r="B36" s="0" t="n">
        <v>725570</v>
      </c>
      <c r="C36" s="31" t="n">
        <v>43525</v>
      </c>
      <c r="D36" s="0" t="s">
        <v>40</v>
      </c>
      <c r="E36" s="0" t="str">
        <f aca="false">VLOOKUP(D36,Cadastro!$A$7:$C$36,2,1)</f>
        <v>HYPERMARCAS S/A</v>
      </c>
      <c r="F36" s="0" t="n">
        <v>26.6</v>
      </c>
      <c r="G36" s="0" t="n">
        <v>100</v>
      </c>
      <c r="H36" s="0" t="n">
        <v>0.73</v>
      </c>
      <c r="I36" s="0" t="n">
        <v>0.1</v>
      </c>
      <c r="J36" s="0" t="n">
        <v>6.65</v>
      </c>
      <c r="K36" s="13" t="n">
        <f aca="false">F36*G36+(SUM(H36:J36)*IF(L36="Compra",1,-1))</f>
        <v>2667.48</v>
      </c>
      <c r="L36" s="0" t="s">
        <v>67</v>
      </c>
      <c r="M36" s="15" t="n">
        <v>43532</v>
      </c>
      <c r="N36" s="0" t="n">
        <f aca="false">K36/G36</f>
        <v>26.6748</v>
      </c>
      <c r="O36" s="13" t="n">
        <f aca="false">IF(L36="Venda",K36,0)</f>
        <v>0</v>
      </c>
      <c r="P36" s="0" t="n">
        <f aca="false">ABS(IF(L36="Compra",K36,0))</f>
        <v>2667.48</v>
      </c>
    </row>
    <row r="37" customFormat="false" ht="14.65" hidden="false" customHeight="true" outlineLevel="0" collapsed="false">
      <c r="M37" s="15"/>
    </row>
    <row r="38" customFormat="false" ht="14.65" hidden="false" customHeight="true" outlineLevel="0" collapsed="false">
      <c r="M38" s="15"/>
    </row>
  </sheetData>
  <autoFilter ref="A6:P36"/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G7" activeCellId="0" sqref="G7"/>
    </sheetView>
  </sheetViews>
  <sheetFormatPr defaultRowHeight="14.6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8.71"/>
    <col collapsed="false" customWidth="true" hidden="false" outlineLevel="0" max="3" min="3" style="0" width="43.42"/>
    <col collapsed="false" customWidth="true" hidden="false" outlineLevel="0" max="4" min="4" style="0" width="25.14"/>
    <col collapsed="false" customWidth="true" hidden="false" outlineLevel="0" max="8" min="5" style="0" width="11.42"/>
    <col collapsed="false" customWidth="true" hidden="false" outlineLevel="0" max="9" min="9" style="0" width="17.4"/>
    <col collapsed="false" customWidth="true" hidden="false" outlineLevel="0" max="1025" min="10" style="0" width="11.42"/>
  </cols>
  <sheetData>
    <row r="1" customFormat="false" ht="12.75" hidden="false" customHeight="true" outlineLevel="0" collapsed="false"/>
    <row r="6" customFormat="false" ht="14.65" hidden="false" customHeight="true" outlineLevel="0" collapsed="false">
      <c r="A6" s="34" t="s">
        <v>3</v>
      </c>
      <c r="B6" s="34" t="s">
        <v>58</v>
      </c>
      <c r="C6" s="34" t="s">
        <v>5</v>
      </c>
      <c r="D6" s="34" t="s">
        <v>68</v>
      </c>
      <c r="E6" s="34" t="s">
        <v>6</v>
      </c>
      <c r="F6" s="34" t="s">
        <v>59</v>
      </c>
      <c r="G6" s="34" t="s">
        <v>9</v>
      </c>
    </row>
    <row r="7" customFormat="false" ht="14.65" hidden="false" customHeight="true" outlineLevel="0" collapsed="false">
      <c r="A7" s="0" t="str">
        <f aca="false">VLOOKUP(B7,Cadastro!$A$7:$C$52,3,1)</f>
        <v>33.000.167/0001-01</v>
      </c>
      <c r="B7" s="0" t="s">
        <v>15</v>
      </c>
      <c r="C7" s="8" t="str">
        <f aca="false">VLOOKUP(B7,Cadastro!$A$7:$C$52,2,1)</f>
        <v>PETRÓLEO BRASILEIRO S.A. PN</v>
      </c>
      <c r="D7" s="8" t="s">
        <v>69</v>
      </c>
      <c r="E7" s="15" t="n">
        <v>43335</v>
      </c>
      <c r="F7" s="0" t="n">
        <v>300</v>
      </c>
      <c r="G7" s="0" t="n">
        <v>12.75</v>
      </c>
    </row>
    <row r="8" customFormat="false" ht="14.65" hidden="false" customHeight="true" outlineLevel="0" collapsed="false">
      <c r="A8" s="0" t="str">
        <f aca="false">VLOOKUP(B8,Cadastro!$A$7:$C$52,3,1)</f>
        <v>60.746.948/0001-12</v>
      </c>
      <c r="B8" s="0" t="s">
        <v>36</v>
      </c>
      <c r="C8" s="8" t="str">
        <f aca="false">VLOOKUP(B8,Cadastro!$A$7:$C$52,2,1)</f>
        <v>BANCO BRADESCO SA ON</v>
      </c>
      <c r="D8" s="8" t="s">
        <v>69</v>
      </c>
      <c r="E8" s="15" t="n">
        <v>43374</v>
      </c>
      <c r="F8" s="0" t="n">
        <v>100</v>
      </c>
      <c r="G8" s="0" t="n">
        <v>1.47</v>
      </c>
    </row>
    <row r="9" customFormat="false" ht="14.65" hidden="false" customHeight="true" outlineLevel="0" collapsed="false">
      <c r="A9" s="0" t="str">
        <f aca="false">VLOOKUP(B9,Cadastro!$A$7:$C$52,3,1)</f>
        <v>61.532.644/0001-15</v>
      </c>
      <c r="B9" s="0" t="s">
        <v>37</v>
      </c>
      <c r="C9" s="8" t="str">
        <f aca="false">VLOOKUP(B9,Cadastro!$A$7:$C$52,2,1)</f>
        <v>ITAU INVESTIMENTOS SA PN</v>
      </c>
      <c r="D9" s="8" t="s">
        <v>47</v>
      </c>
      <c r="E9" s="15" t="n">
        <v>43374</v>
      </c>
      <c r="F9" s="0" t="n">
        <v>300</v>
      </c>
      <c r="G9" s="0" t="n">
        <v>4.5</v>
      </c>
    </row>
    <row r="10" customFormat="false" ht="14.65" hidden="false" customHeight="true" outlineLevel="0" collapsed="false">
      <c r="A10" s="0" t="str">
        <f aca="false">VLOOKUP(B10,Cadastro!$A$7:$C$52,3,1)</f>
        <v>60.746.948/0001-12</v>
      </c>
      <c r="B10" s="0" t="s">
        <v>36</v>
      </c>
      <c r="C10" s="8" t="str">
        <f aca="false">VLOOKUP(B10,Cadastro!$A$7:$C$52,2,1)</f>
        <v>BANCO BRADESCO SA ON</v>
      </c>
      <c r="D10" s="8" t="s">
        <v>69</v>
      </c>
      <c r="E10" s="15" t="n">
        <v>43405</v>
      </c>
      <c r="F10" s="0" t="n">
        <v>100</v>
      </c>
      <c r="G10" s="0" t="n">
        <v>1.47</v>
      </c>
    </row>
    <row r="11" customFormat="false" ht="14.65" hidden="false" customHeight="true" outlineLevel="0" collapsed="false">
      <c r="A11" s="0" t="str">
        <f aca="false">VLOOKUP(B11,Cadastro!$A$7:$C$52,3,1)</f>
        <v>33.000.167/0001-01</v>
      </c>
      <c r="B11" s="0" t="s">
        <v>15</v>
      </c>
      <c r="C11" s="8" t="str">
        <f aca="false">VLOOKUP(B11,Cadastro!$A$7:$C$52,2,1)</f>
        <v>PETRÓLEO BRASILEIRO S.A. PN</v>
      </c>
      <c r="D11" s="8" t="s">
        <v>69</v>
      </c>
      <c r="E11" s="15" t="n">
        <v>43437</v>
      </c>
      <c r="F11" s="0" t="n">
        <v>300</v>
      </c>
      <c r="G11" s="0" t="n">
        <v>25.5</v>
      </c>
    </row>
    <row r="12" customFormat="false" ht="14.65" hidden="false" customHeight="true" outlineLevel="0" collapsed="false">
      <c r="A12" s="0" t="str">
        <f aca="false">VLOOKUP(B12,Cadastro!$A$7:$C$52,3,1)</f>
        <v>01.027.058/0001-91</v>
      </c>
      <c r="B12" s="53" t="s">
        <v>16</v>
      </c>
      <c r="C12" s="8" t="str">
        <f aca="false">VLOOKUP(B12,Cadastro!$A$7:$C$52,2,1)</f>
        <v>CIELO SA</v>
      </c>
      <c r="D12" s="8" t="s">
        <v>69</v>
      </c>
      <c r="E12" s="15" t="n">
        <v>43460</v>
      </c>
      <c r="F12" s="0" t="n">
        <v>200</v>
      </c>
      <c r="G12" s="0" t="n">
        <v>9.55</v>
      </c>
      <c r="H12" s="31"/>
      <c r="I12" s="53"/>
    </row>
    <row r="13" customFormat="false" ht="14.65" hidden="false" customHeight="true" outlineLevel="0" collapsed="false">
      <c r="A13" s="0" t="str">
        <f aca="false">VLOOKUP(B13,Cadastro!$A$7:$C$52,3,1)</f>
        <v>01.027.058/0001-91</v>
      </c>
      <c r="B13" s="53" t="s">
        <v>16</v>
      </c>
      <c r="C13" s="8" t="str">
        <f aca="false">VLOOKUP(B13,Cadastro!$A$7:$C$52,2,1)</f>
        <v>CIELO SA</v>
      </c>
      <c r="D13" s="8" t="s">
        <v>47</v>
      </c>
      <c r="E13" s="15" t="n">
        <v>43460</v>
      </c>
      <c r="F13" s="0" t="n">
        <v>600</v>
      </c>
      <c r="G13" s="0" t="n">
        <v>159.71</v>
      </c>
      <c r="H13" s="31"/>
      <c r="I13" s="53"/>
    </row>
    <row r="14" customFormat="false" ht="14.65" hidden="false" customHeight="true" outlineLevel="0" collapsed="false">
      <c r="A14" s="0" t="str">
        <f aca="false">VLOOKUP(B14,Cadastro!$A$7:$C$52,3,1)</f>
        <v>17.554.274/0001-25</v>
      </c>
      <c r="B14" s="53" t="s">
        <v>19</v>
      </c>
      <c r="C14" s="8" t="str">
        <f aca="false">VLOOKUP(B14,Cadastro!$A$7:$C$52,2,1)</f>
        <v>VINCI SHOPPING CENTER FII</v>
      </c>
      <c r="D14" s="8" t="s">
        <v>70</v>
      </c>
      <c r="E14" s="15" t="n">
        <v>43510</v>
      </c>
      <c r="F14" s="0" t="n">
        <v>1</v>
      </c>
      <c r="G14" s="0" t="n">
        <v>0.6</v>
      </c>
      <c r="H14" s="31"/>
      <c r="I14" s="53"/>
    </row>
    <row r="15" customFormat="false" ht="14.65" hidden="false" customHeight="true" outlineLevel="0" collapsed="false">
      <c r="A15" s="0" t="str">
        <f aca="false">VLOOKUP(B15,Cadastro!$A$7:$C$52,3,1)</f>
        <v>26.502.794/0001-85</v>
      </c>
      <c r="B15" s="53" t="s">
        <v>18</v>
      </c>
      <c r="C15" s="8" t="str">
        <f aca="false">VLOOKUP(B15,Cadastro!$A$7:$C$52,2,1)</f>
        <v>XP LOG FDO INV IMOB – FII</v>
      </c>
      <c r="D15" s="8" t="s">
        <v>70</v>
      </c>
      <c r="E15" s="15" t="n">
        <v>43510</v>
      </c>
      <c r="F15" s="0" t="n">
        <v>1</v>
      </c>
      <c r="G15" s="0" t="n">
        <v>0.67</v>
      </c>
      <c r="H15" s="31"/>
      <c r="I15" s="53"/>
    </row>
    <row r="16" customFormat="false" ht="14.65" hidden="false" customHeight="true" outlineLevel="0" collapsed="false">
      <c r="A16" s="0" t="str">
        <f aca="false">VLOOKUP(B16,Cadastro!$A$7:$C$52,3,1)</f>
        <v>01.027.058/0001-91</v>
      </c>
      <c r="B16" s="53" t="s">
        <v>16</v>
      </c>
      <c r="C16" s="8" t="str">
        <f aca="false">VLOOKUP(B16,Cadastro!$A$7:$C$52,2,1)</f>
        <v>CIELO SA</v>
      </c>
      <c r="D16" s="8" t="s">
        <v>69</v>
      </c>
      <c r="E16" s="15" t="n">
        <v>43535</v>
      </c>
      <c r="F16" s="0" t="n">
        <v>600</v>
      </c>
      <c r="G16" s="0" t="n">
        <v>31.1</v>
      </c>
      <c r="H16" s="31"/>
      <c r="I16" s="53"/>
    </row>
    <row r="17" customFormat="false" ht="14.65" hidden="false" customHeight="true" outlineLevel="0" collapsed="false">
      <c r="A17" s="0" t="str">
        <f aca="false">VLOOKUP(B17,Cadastro!$A$7:$C$52,3,1)</f>
        <v>01.027.058/0001-91</v>
      </c>
      <c r="B17" s="53" t="s">
        <v>16</v>
      </c>
      <c r="C17" s="8" t="str">
        <f aca="false">VLOOKUP(B17,Cadastro!$A$7:$C$52,2,1)</f>
        <v>CIELO SA</v>
      </c>
      <c r="D17" s="8" t="s">
        <v>47</v>
      </c>
      <c r="E17" s="15" t="n">
        <v>43535</v>
      </c>
      <c r="F17" s="0" t="n">
        <v>600</v>
      </c>
      <c r="G17" s="0" t="n">
        <v>156.83</v>
      </c>
      <c r="H17" s="31"/>
      <c r="I17" s="53"/>
    </row>
    <row r="18" customFormat="false" ht="14.65" hidden="false" customHeight="true" outlineLevel="0" collapsed="false">
      <c r="A18" s="0" t="str">
        <f aca="false">VLOOKUP(B18,Cadastro!$A$7:$C$52,3,1)</f>
        <v>17.554.274/0001-25</v>
      </c>
      <c r="B18" s="53" t="s">
        <v>19</v>
      </c>
      <c r="C18" s="8" t="str">
        <f aca="false">VLOOKUP(B18,Cadastro!$A$7:$C$52,2,1)</f>
        <v>VINCI SHOPPING CENTER FII</v>
      </c>
      <c r="D18" s="8" t="s">
        <v>70</v>
      </c>
      <c r="E18" s="15" t="n">
        <v>43542</v>
      </c>
      <c r="F18" s="0" t="n">
        <v>1</v>
      </c>
      <c r="G18" s="0" t="n">
        <v>0.6</v>
      </c>
      <c r="H18" s="31"/>
      <c r="I18" s="53"/>
    </row>
    <row r="19" customFormat="false" ht="14.65" hidden="false" customHeight="true" outlineLevel="0" collapsed="false">
      <c r="A19" s="0" t="str">
        <f aca="false">VLOOKUP(B19,Cadastro!$A$7:$C$52,3,1)</f>
        <v>26.502.794/0001-85</v>
      </c>
      <c r="B19" s="53" t="s">
        <v>18</v>
      </c>
      <c r="C19" s="8" t="str">
        <f aca="false">VLOOKUP(B19,Cadastro!$A$7:$C$52,2,1)</f>
        <v>XP LOG FDO INV IMOB – FII</v>
      </c>
      <c r="D19" s="8" t="s">
        <v>70</v>
      </c>
      <c r="E19" s="15" t="n">
        <v>43542</v>
      </c>
      <c r="F19" s="0" t="n">
        <v>1</v>
      </c>
      <c r="G19" s="0" t="n">
        <v>0.67</v>
      </c>
      <c r="H19" s="31"/>
      <c r="I19" s="53"/>
    </row>
    <row r="20" customFormat="false" ht="14.65" hidden="false" customHeight="true" outlineLevel="0" collapsed="false">
      <c r="A20" s="0" t="str">
        <f aca="false">VLOOKUP(B20,Cadastro!$A$7:$C$52,3,1)</f>
        <v>17.554.274/0001-25</v>
      </c>
      <c r="B20" s="53" t="s">
        <v>19</v>
      </c>
      <c r="C20" s="8" t="str">
        <f aca="false">VLOOKUP(B20,Cadastro!$A$7:$C$52,2,1)</f>
        <v>VINCI SHOPPING CENTER FII</v>
      </c>
      <c r="D20" s="0" t="s">
        <v>70</v>
      </c>
      <c r="E20" s="15" t="n">
        <v>43567</v>
      </c>
      <c r="F20" s="0" t="n">
        <v>1</v>
      </c>
      <c r="G20" s="0" t="n">
        <v>0.6</v>
      </c>
      <c r="H20" s="31"/>
      <c r="I20" s="53"/>
    </row>
    <row r="21" customFormat="false" ht="14.65" hidden="false" customHeight="true" outlineLevel="0" collapsed="false">
      <c r="A21" s="0" t="str">
        <f aca="false">VLOOKUP(B21,Cadastro!$A$7:$C$52,3,1)</f>
        <v>26.502.794/0001-85</v>
      </c>
      <c r="B21" s="53" t="s">
        <v>18</v>
      </c>
      <c r="C21" s="8" t="str">
        <f aca="false">VLOOKUP(B21,Cadastro!$A$7:$C$52,2,1)</f>
        <v>XP LOG FDO INV IMOB – FII</v>
      </c>
      <c r="D21" s="0" t="s">
        <v>70</v>
      </c>
      <c r="E21" s="15" t="n">
        <v>43567</v>
      </c>
      <c r="F21" s="0" t="n">
        <v>1</v>
      </c>
      <c r="G21" s="0" t="n">
        <v>0.68</v>
      </c>
      <c r="H21" s="31"/>
      <c r="I21" s="53"/>
    </row>
    <row r="22" customFormat="false" ht="14.65" hidden="false" customHeight="true" outlineLevel="0" collapsed="false">
      <c r="A22" s="0" t="str">
        <f aca="false">VLOOKUP(B22,Cadastro!$A$7:$C$52,3,1)</f>
        <v>90.400.888/0001-42</v>
      </c>
      <c r="B22" s="53" t="s">
        <v>33</v>
      </c>
      <c r="C22" s="8" t="str">
        <f aca="false">VLOOKUP(B22,Cadastro!$A$7:$C$52,2,1)</f>
        <v>BANCO SANTANDER BRON ON</v>
      </c>
      <c r="D22" s="0" t="s">
        <v>69</v>
      </c>
      <c r="E22" s="15" t="n">
        <v>43584</v>
      </c>
      <c r="F22" s="0" t="n">
        <v>100</v>
      </c>
      <c r="G22" s="0" t="n">
        <v>10.84</v>
      </c>
      <c r="H22" s="31"/>
      <c r="I22" s="53"/>
    </row>
    <row r="23" customFormat="false" ht="14.65" hidden="false" customHeight="true" outlineLevel="0" collapsed="false">
      <c r="A23" s="0" t="str">
        <f aca="false">VLOOKUP(B23,Cadastro!$A$7:$C$52,3,1)</f>
        <v>17.554.274/0001-25</v>
      </c>
      <c r="B23" s="53" t="s">
        <v>19</v>
      </c>
      <c r="C23" s="8" t="str">
        <f aca="false">VLOOKUP(B23,Cadastro!$A$7:$C$52,2,1)</f>
        <v>VINCI SHOPPING CENTER FII</v>
      </c>
      <c r="D23" s="0" t="s">
        <v>70</v>
      </c>
      <c r="E23" s="15" t="n">
        <v>43600</v>
      </c>
      <c r="F23" s="0" t="n">
        <v>1</v>
      </c>
      <c r="G23" s="0" t="n">
        <v>0.49</v>
      </c>
      <c r="H23" s="31"/>
      <c r="I23" s="53"/>
    </row>
    <row r="24" customFormat="false" ht="14.65" hidden="false" customHeight="true" outlineLevel="0" collapsed="false">
      <c r="A24" s="0" t="str">
        <f aca="false">VLOOKUP(B24,Cadastro!$A$7:$C$52,3,1)</f>
        <v>26.502.794/0001-85</v>
      </c>
      <c r="B24" s="53" t="s">
        <v>18</v>
      </c>
      <c r="C24" s="8" t="str">
        <f aca="false">VLOOKUP(B24,Cadastro!$A$7:$C$52,2,1)</f>
        <v>XP LOG FDO INV IMOB – FII</v>
      </c>
      <c r="D24" s="0" t="s">
        <v>70</v>
      </c>
      <c r="E24" s="15" t="n">
        <v>43600</v>
      </c>
      <c r="F24" s="0" t="n">
        <v>1</v>
      </c>
      <c r="G24" s="0" t="n">
        <v>0.68</v>
      </c>
      <c r="H24" s="31"/>
      <c r="I24" s="53"/>
    </row>
    <row r="25" customFormat="false" ht="14.65" hidden="false" customHeight="true" outlineLevel="0" collapsed="false">
      <c r="A25" s="0" t="str">
        <f aca="false">VLOOKUP(B25,Cadastro!$A$7:$C$52,3,1)</f>
        <v>33.000.167/0001-01</v>
      </c>
      <c r="B25" s="53" t="s">
        <v>15</v>
      </c>
      <c r="C25" s="8" t="str">
        <f aca="false">VLOOKUP(B25,Cadastro!$A$7:$C$52,2,1)</f>
        <v>PETRÓLEO BRASILEIRO S.A. PN</v>
      </c>
      <c r="D25" s="0" t="s">
        <v>69</v>
      </c>
      <c r="E25" s="15" t="n">
        <v>43605</v>
      </c>
      <c r="F25" s="0" t="n">
        <v>300</v>
      </c>
      <c r="G25" s="0" t="n">
        <v>178.5</v>
      </c>
      <c r="H25" s="31"/>
      <c r="I25" s="53"/>
    </row>
    <row r="26" customFormat="false" ht="14.65" hidden="false" customHeight="true" outlineLevel="0" collapsed="false">
      <c r="A26" s="0" t="str">
        <f aca="false">VLOOKUP(B26,Cadastro!$A$7:$C$52,3,1)</f>
        <v>33.000.167/0001-01</v>
      </c>
      <c r="B26" s="53" t="s">
        <v>15</v>
      </c>
      <c r="C26" s="8" t="str">
        <f aca="false">VLOOKUP(B26,Cadastro!$A$7:$C$52,2,1)</f>
        <v>PETRÓLEO BRASILEIRO S.A. PN</v>
      </c>
      <c r="D26" s="0" t="s">
        <v>70</v>
      </c>
      <c r="E26" s="15" t="n">
        <v>43605</v>
      </c>
      <c r="F26" s="0" t="n">
        <v>300</v>
      </c>
      <c r="G26" s="0" t="n">
        <v>3.85</v>
      </c>
      <c r="H26" s="31"/>
      <c r="I26" s="53"/>
      <c r="O26" s="0" t="n">
        <f aca="false">813-160</f>
        <v>653</v>
      </c>
    </row>
    <row r="27" customFormat="false" ht="14.65" hidden="false" customHeight="true" outlineLevel="0" collapsed="false">
      <c r="A27" s="0" t="str">
        <f aca="false">VLOOKUP(B27,Cadastro!$A$7:$C$52,3,1)</f>
        <v>33.000.167/0001-01</v>
      </c>
      <c r="B27" s="53" t="s">
        <v>15</v>
      </c>
      <c r="C27" s="8" t="str">
        <f aca="false">VLOOKUP(B27,Cadastro!$A$7:$C$52,2,1)</f>
        <v>PETRÓLEO BRASILEIRO S.A. PN</v>
      </c>
      <c r="D27" s="0" t="s">
        <v>47</v>
      </c>
      <c r="E27" s="15" t="n">
        <v>43605</v>
      </c>
      <c r="F27" s="0" t="n">
        <v>300</v>
      </c>
      <c r="G27" s="0" t="n">
        <v>5.71</v>
      </c>
      <c r="H27" s="31"/>
      <c r="I27" s="53"/>
      <c r="O27" s="0" t="n">
        <v>697.77</v>
      </c>
    </row>
    <row r="28" customFormat="false" ht="14.65" hidden="false" customHeight="true" outlineLevel="0" collapsed="false">
      <c r="A28" s="0" t="str">
        <f aca="false">VLOOKUP(B28,Cadastro!$A$7:$C$52,3,1)</f>
        <v>33.000.167/0001-01</v>
      </c>
      <c r="B28" s="53" t="s">
        <v>15</v>
      </c>
      <c r="C28" s="8" t="str">
        <f aca="false">VLOOKUP(B28,Cadastro!$A$7:$C$52,2,1)</f>
        <v>PETRÓLEO BRASILEIRO S.A. PN</v>
      </c>
      <c r="D28" s="0" t="s">
        <v>70</v>
      </c>
      <c r="E28" s="15" t="n">
        <v>43605</v>
      </c>
      <c r="F28" s="0" t="n">
        <v>300</v>
      </c>
      <c r="G28" s="0" t="n">
        <v>0.11</v>
      </c>
      <c r="H28" s="31"/>
      <c r="I28" s="53"/>
      <c r="O28" s="0" t="n">
        <f aca="false">O27+M11</f>
        <v>697.77</v>
      </c>
    </row>
    <row r="29" customFormat="false" ht="14.65" hidden="false" customHeight="true" outlineLevel="0" collapsed="false">
      <c r="A29" s="0" t="str">
        <f aca="false">VLOOKUP(B29,Cadastro!$A$7:$C$52,3,1)</f>
        <v>17.554.274/0001-25</v>
      </c>
      <c r="B29" s="53" t="s">
        <v>19</v>
      </c>
      <c r="C29" s="8" t="str">
        <f aca="false">VLOOKUP(B29,Cadastro!$A$7:$C$52,2,1)</f>
        <v>VINCI SHOPPING CENTER FII</v>
      </c>
      <c r="D29" s="0" t="s">
        <v>70</v>
      </c>
      <c r="E29" s="15" t="n">
        <v>43630</v>
      </c>
      <c r="F29" s="0" t="n">
        <v>1</v>
      </c>
      <c r="G29" s="0" t="n">
        <v>0.56</v>
      </c>
      <c r="H29" s="31"/>
      <c r="I29" s="53"/>
    </row>
    <row r="30" customFormat="false" ht="14.65" hidden="false" customHeight="true" outlineLevel="0" collapsed="false">
      <c r="A30" s="0" t="str">
        <f aca="false">VLOOKUP(B30,Cadastro!$A$7:$C$52,3,1)</f>
        <v>26.502.794/0001-85</v>
      </c>
      <c r="B30" s="53" t="s">
        <v>18</v>
      </c>
      <c r="C30" s="8" t="str">
        <f aca="false">VLOOKUP(B30,Cadastro!$A$7:$C$52,2,1)</f>
        <v>XP LOG FDO INV IMOB – FII</v>
      </c>
      <c r="D30" s="0" t="s">
        <v>70</v>
      </c>
      <c r="E30" s="15" t="n">
        <v>43630</v>
      </c>
      <c r="F30" s="0" t="n">
        <v>1</v>
      </c>
      <c r="G30" s="0" t="n">
        <v>0.61</v>
      </c>
      <c r="H30" s="31"/>
      <c r="I30" s="53"/>
    </row>
    <row r="31" customFormat="false" ht="14.65" hidden="false" customHeight="true" outlineLevel="0" collapsed="false">
      <c r="A31" s="0" t="str">
        <f aca="false">VLOOKUP(B31,Cadastro!$A$7:$C$52,3,1)</f>
        <v>01.027.058/0001-91</v>
      </c>
      <c r="B31" s="53" t="s">
        <v>16</v>
      </c>
      <c r="C31" s="8" t="str">
        <f aca="false">VLOOKUP(B31,Cadastro!$A$7:$C$52,2,1)</f>
        <v>CIELO SA</v>
      </c>
      <c r="D31" s="0" t="s">
        <v>69</v>
      </c>
      <c r="E31" s="15" t="n">
        <v>43643</v>
      </c>
      <c r="F31" s="0" t="n">
        <v>600</v>
      </c>
      <c r="G31" s="0" t="n">
        <v>27.78</v>
      </c>
      <c r="H31" s="31"/>
      <c r="I31" s="53"/>
    </row>
    <row r="32" customFormat="false" ht="14.65" hidden="false" customHeight="true" outlineLevel="0" collapsed="false">
      <c r="A32" s="0" t="str">
        <f aca="false">VLOOKUP(B32,Cadastro!$A$7:$C$52,3,1)</f>
        <v>01.027.058/0001-91</v>
      </c>
      <c r="B32" s="53" t="s">
        <v>16</v>
      </c>
      <c r="C32" s="8" t="str">
        <f aca="false">VLOOKUP(B32,Cadastro!$A$7:$C$52,2,1)</f>
        <v>CIELO SA</v>
      </c>
      <c r="D32" s="0" t="s">
        <v>47</v>
      </c>
      <c r="E32" s="15" t="n">
        <v>43643</v>
      </c>
      <c r="F32" s="0" t="n">
        <v>600</v>
      </c>
      <c r="G32" s="0" t="n">
        <v>47.97</v>
      </c>
      <c r="H32" s="31"/>
      <c r="I32" s="53"/>
    </row>
    <row r="33" customFormat="false" ht="14.65" hidden="false" customHeight="true" outlineLevel="0" collapsed="false">
      <c r="A33" s="0" t="str">
        <f aca="false">VLOOKUP(B33,Cadastro!$A$7:$C$52,3,1)</f>
        <v>33.000.167/0001-01</v>
      </c>
      <c r="B33" s="53" t="s">
        <v>15</v>
      </c>
      <c r="C33" s="8" t="str">
        <f aca="false">VLOOKUP(B33,Cadastro!$A$7:$C$52,2,1)</f>
        <v>PETRÓLEO BRASILEIRO S.A. PN</v>
      </c>
      <c r="D33" s="0" t="s">
        <v>69</v>
      </c>
      <c r="E33" s="15" t="n">
        <v>43651</v>
      </c>
      <c r="F33" s="0" t="n">
        <v>300</v>
      </c>
      <c r="G33" s="0" t="n">
        <v>25.5</v>
      </c>
      <c r="H33" s="31"/>
      <c r="I33" s="53"/>
    </row>
    <row r="34" customFormat="false" ht="14.65" hidden="false" customHeight="true" outlineLevel="0" collapsed="false">
      <c r="A34" s="0" t="str">
        <f aca="false">VLOOKUP(B34,Cadastro!$A$7:$C$52,3,1)</f>
        <v>26.502.794/0001-85</v>
      </c>
      <c r="B34" s="53" t="s">
        <v>18</v>
      </c>
      <c r="C34" s="8" t="str">
        <f aca="false">VLOOKUP(B34,Cadastro!$A$7:$C$52,2,1)</f>
        <v>XP LOG FDO INV IMOB – FII</v>
      </c>
      <c r="D34" s="0" t="s">
        <v>70</v>
      </c>
      <c r="E34" s="15" t="n">
        <v>43658</v>
      </c>
      <c r="F34" s="0" t="n">
        <v>1</v>
      </c>
      <c r="G34" s="0" t="n">
        <v>0.61</v>
      </c>
      <c r="H34" s="31"/>
      <c r="I34" s="53"/>
    </row>
    <row r="35" customFormat="false" ht="14.65" hidden="false" customHeight="true" outlineLevel="0" collapsed="false">
      <c r="A35" s="0" t="str">
        <f aca="false">VLOOKUP(B35,Cadastro!$A$7:$C$52,3,1)</f>
        <v>17.554.274/0001-25</v>
      </c>
      <c r="B35" s="53" t="s">
        <v>19</v>
      </c>
      <c r="C35" s="8" t="str">
        <f aca="false">VLOOKUP(B35,Cadastro!$A$7:$C$52,2,1)</f>
        <v>VINCI SHOPPING CENTER FII</v>
      </c>
      <c r="D35" s="0" t="s">
        <v>70</v>
      </c>
      <c r="E35" s="15" t="n">
        <v>43661</v>
      </c>
      <c r="F35" s="0" t="n">
        <v>1</v>
      </c>
      <c r="G35" s="0" t="n">
        <v>0.55</v>
      </c>
      <c r="H35" s="31"/>
      <c r="I35" s="53"/>
    </row>
    <row r="36" customFormat="false" ht="14.65" hidden="false" customHeight="true" outlineLevel="0" collapsed="false">
      <c r="A36" s="0" t="str">
        <f aca="false">VLOOKUP(B36,Cadastro!$A$7:$C$52,3,1)</f>
        <v>17.554.274/0001-25</v>
      </c>
      <c r="B36" s="53" t="s">
        <v>19</v>
      </c>
      <c r="C36" s="8" t="str">
        <f aca="false">VLOOKUP(B36,Cadastro!$A$7:$C$52,2,1)</f>
        <v>VINCI SHOPPING CENTER FII</v>
      </c>
      <c r="D36" s="0" t="s">
        <v>70</v>
      </c>
      <c r="E36" s="15" t="n">
        <v>43691</v>
      </c>
      <c r="F36" s="0" t="n">
        <v>1</v>
      </c>
      <c r="G36" s="0" t="n">
        <v>0.65</v>
      </c>
      <c r="H36" s="31"/>
      <c r="I36" s="53"/>
    </row>
    <row r="37" customFormat="false" ht="14.65" hidden="false" customHeight="true" outlineLevel="0" collapsed="false">
      <c r="A37" s="0" t="str">
        <f aca="false">VLOOKUP(B37,Cadastro!$A$7:$C$52,3,1)</f>
        <v>26.502.794/0001-85</v>
      </c>
      <c r="B37" s="53" t="s">
        <v>18</v>
      </c>
      <c r="C37" s="8" t="str">
        <f aca="false">VLOOKUP(B37,Cadastro!$A$7:$C$52,2,1)</f>
        <v>XP LOG FDO INV IMOB – FII</v>
      </c>
      <c r="D37" s="0" t="s">
        <v>70</v>
      </c>
      <c r="E37" s="15" t="n">
        <v>43691</v>
      </c>
      <c r="F37" s="0" t="n">
        <v>1</v>
      </c>
      <c r="G37" s="0" t="n">
        <v>0.61</v>
      </c>
      <c r="H37" s="31"/>
      <c r="I37" s="53"/>
    </row>
    <row r="38" customFormat="false" ht="14.65" hidden="false" customHeight="true" outlineLevel="0" collapsed="false">
      <c r="A38" s="0" t="str">
        <f aca="false">VLOOKUP(B38,Cadastro!$A$7:$C$52,3,1)</f>
        <v>92.690.783/0001-09</v>
      </c>
      <c r="B38" s="53" t="s">
        <v>41</v>
      </c>
      <c r="C38" s="8" t="str">
        <f aca="false">VLOOKUP(B38,Cadastro!$A$7:$C$52,2,1)</f>
        <v>METALURGICA GERDAU ON</v>
      </c>
      <c r="D38" s="0" t="s">
        <v>47</v>
      </c>
      <c r="E38" s="15" t="n">
        <v>43706</v>
      </c>
      <c r="F38" s="0" t="n">
        <v>200</v>
      </c>
      <c r="G38" s="0" t="n">
        <v>8</v>
      </c>
      <c r="H38" s="31"/>
      <c r="I38" s="53"/>
    </row>
    <row r="39" customFormat="false" ht="14.65" hidden="false" customHeight="true" outlineLevel="0" collapsed="false">
      <c r="A39" s="0" t="str">
        <f aca="false">VLOOKUP(B39,Cadastro!$A$7:$C$52,3,1)</f>
        <v>17.554.274/0001-25</v>
      </c>
      <c r="B39" s="53" t="s">
        <v>19</v>
      </c>
      <c r="C39" s="8" t="str">
        <f aca="false">VLOOKUP(B39,Cadastro!$A$7:$C$52,2,1)</f>
        <v>VINCI SHOPPING CENTER FII</v>
      </c>
      <c r="D39" s="0" t="s">
        <v>70</v>
      </c>
      <c r="E39" s="15" t="n">
        <v>43721</v>
      </c>
      <c r="F39" s="0" t="n">
        <v>1</v>
      </c>
      <c r="G39" s="0" t="n">
        <v>0.92</v>
      </c>
      <c r="H39" s="31"/>
      <c r="I39" s="53"/>
    </row>
    <row r="40" customFormat="false" ht="14.65" hidden="false" customHeight="true" outlineLevel="0" collapsed="false">
      <c r="A40" s="0" t="str">
        <f aca="false">VLOOKUP(B40,Cadastro!$A$7:$C$52,3,1)</f>
        <v>26.502.794/0001-85</v>
      </c>
      <c r="B40" s="53" t="s">
        <v>18</v>
      </c>
      <c r="C40" s="8" t="str">
        <f aca="false">VLOOKUP(B40,Cadastro!$A$7:$C$52,2,1)</f>
        <v>XP LOG FDO INV IMOB – FII</v>
      </c>
      <c r="D40" s="0" t="s">
        <v>70</v>
      </c>
      <c r="E40" s="15" t="n">
        <v>43721</v>
      </c>
      <c r="F40" s="0" t="n">
        <v>1</v>
      </c>
      <c r="G40" s="0" t="n">
        <v>0.61</v>
      </c>
    </row>
    <row r="41" customFormat="false" ht="14.65" hidden="false" customHeight="true" outlineLevel="0" collapsed="false">
      <c r="A41" s="0" t="str">
        <f aca="false">VLOOKUP(B41,Cadastro!$A$7:$C$52,3,1)</f>
        <v>01.027.058/0001-91</v>
      </c>
      <c r="B41" s="53" t="s">
        <v>16</v>
      </c>
      <c r="C41" s="8" t="str">
        <f aca="false">VLOOKUP(B41,Cadastro!$A$7:$C$52,2,1)</f>
        <v>CIELO SA</v>
      </c>
      <c r="D41" s="0" t="s">
        <v>69</v>
      </c>
      <c r="E41" s="15" t="n">
        <v>43735</v>
      </c>
      <c r="F41" s="0" t="n">
        <v>600</v>
      </c>
      <c r="G41" s="0" t="n">
        <v>25.21</v>
      </c>
    </row>
    <row r="42" customFormat="false" ht="14.65" hidden="false" customHeight="true" outlineLevel="0" collapsed="false">
      <c r="A42" s="0" t="str">
        <f aca="false">VLOOKUP(B42,Cadastro!$A$7:$C$52,3,1)</f>
        <v>01.027.058/0001-91</v>
      </c>
      <c r="B42" s="53" t="s">
        <v>16</v>
      </c>
      <c r="C42" s="8" t="str">
        <f aca="false">VLOOKUP(B42,Cadastro!$A$7:$C$52,2,1)</f>
        <v>CIELO SA</v>
      </c>
      <c r="D42" s="0" t="s">
        <v>47</v>
      </c>
      <c r="E42" s="15" t="n">
        <v>43735</v>
      </c>
      <c r="F42" s="0" t="n">
        <v>600</v>
      </c>
      <c r="G42" s="0" t="n">
        <v>1.59</v>
      </c>
    </row>
    <row r="43" customFormat="false" ht="14.65" hidden="false" customHeight="true" outlineLevel="0" collapsed="false">
      <c r="A43" s="0" t="str">
        <f aca="false">VLOOKUP(B43,Cadastro!$A$7:$C$52,3,1)</f>
        <v>01.027.058/0001-91</v>
      </c>
      <c r="B43" s="0" t="s">
        <v>16</v>
      </c>
      <c r="C43" s="8" t="str">
        <f aca="false">VLOOKUP(B43,Cadastro!$A$7:$C$52,2,1)</f>
        <v>CIELO SA</v>
      </c>
      <c r="D43" s="0" t="s">
        <v>69</v>
      </c>
      <c r="E43" s="15" t="n">
        <v>43735</v>
      </c>
      <c r="F43" s="0" t="n">
        <v>600</v>
      </c>
      <c r="G43" s="0" t="n">
        <v>0.38</v>
      </c>
    </row>
    <row r="44" customFormat="false" ht="14.65" hidden="false" customHeight="true" outlineLevel="0" collapsed="false">
      <c r="A44" s="0" t="str">
        <f aca="false">VLOOKUP(B44,Cadastro!$A$7:$C$52,3,1)</f>
        <v>33.000.167/0001-01</v>
      </c>
      <c r="B44" s="0" t="s">
        <v>15</v>
      </c>
      <c r="C44" s="8" t="str">
        <f aca="false">VLOOKUP(B44,Cadastro!$A$7:$C$52,2,1)</f>
        <v>PETRÓLEO BRASILEIRO S.A. PN</v>
      </c>
      <c r="D44" s="0" t="s">
        <v>69</v>
      </c>
      <c r="E44" s="15" t="n">
        <v>43742</v>
      </c>
      <c r="F44" s="0" t="n">
        <v>300</v>
      </c>
      <c r="G44" s="0" t="n">
        <v>51</v>
      </c>
    </row>
    <row r="45" customFormat="false" ht="14.65" hidden="false" customHeight="true" outlineLevel="0" collapsed="false">
      <c r="A45" s="0" t="str">
        <f aca="false">VLOOKUP(B45,Cadastro!$A$7:$C$52,3,1)</f>
        <v>17.554.274/0001-25</v>
      </c>
      <c r="B45" s="0" t="s">
        <v>19</v>
      </c>
      <c r="C45" s="8" t="str">
        <f aca="false">VLOOKUP(B45,Cadastro!$A$7:$C$52,2,1)</f>
        <v>VINCI SHOPPING CENTER FII</v>
      </c>
      <c r="D45" s="0" t="s">
        <v>70</v>
      </c>
      <c r="E45" s="15" t="n">
        <v>43752</v>
      </c>
      <c r="F45" s="0" t="n">
        <v>1</v>
      </c>
      <c r="G45" s="0" t="n">
        <v>0.92</v>
      </c>
    </row>
    <row r="46" customFormat="false" ht="14.65" hidden="false" customHeight="true" outlineLevel="0" collapsed="false">
      <c r="A46" s="0" t="str">
        <f aca="false">VLOOKUP(B46,Cadastro!$A$7:$C$52,3,1)</f>
        <v>26.502.794/0001-85</v>
      </c>
      <c r="B46" s="0" t="s">
        <v>18</v>
      </c>
      <c r="C46" s="8" t="str">
        <f aca="false">VLOOKUP(B46,Cadastro!$A$7:$C$52,2,1)</f>
        <v>XP LOG FDO INV IMOB – FII</v>
      </c>
      <c r="D46" s="0" t="s">
        <v>70</v>
      </c>
      <c r="E46" s="15" t="n">
        <v>43752</v>
      </c>
      <c r="F46" s="0" t="n">
        <v>1</v>
      </c>
      <c r="G46" s="0" t="n">
        <v>0.61</v>
      </c>
    </row>
    <row r="47" customFormat="false" ht="14.65" hidden="false" customHeight="true" outlineLevel="0" collapsed="false">
      <c r="A47" s="0" t="str">
        <f aca="false">VLOOKUP(B47,Cadastro!$A$7:$C$52,3,1)</f>
        <v>60.872.504/0001-23</v>
      </c>
      <c r="B47" s="0" t="s">
        <v>23</v>
      </c>
      <c r="C47" s="8" t="str">
        <f aca="false">VLOOKUP(B47,Cadastro!$A$7:$C$52,2,1)</f>
        <v>ITAÚ UNIBANCO HOLDING S.A.</v>
      </c>
      <c r="D47" s="0" t="s">
        <v>47</v>
      </c>
      <c r="E47" s="15" t="n">
        <v>43770</v>
      </c>
      <c r="F47" s="0" t="n">
        <v>100</v>
      </c>
      <c r="G47" s="0" t="n">
        <v>1.5</v>
      </c>
    </row>
    <row r="48" customFormat="false" ht="14.65" hidden="false" customHeight="true" outlineLevel="0" collapsed="false">
      <c r="A48" s="0" t="str">
        <f aca="false">VLOOKUP(B48,Cadastro!$A$7:$C$52,3,1)</f>
        <v>01.027.058/0001-91</v>
      </c>
      <c r="B48" s="0" t="s">
        <v>16</v>
      </c>
      <c r="C48" s="8" t="str">
        <f aca="false">VLOOKUP(B48,Cadastro!$A$7:$C$52,2,1)</f>
        <v>CIELO SA</v>
      </c>
      <c r="D48" s="0" t="s">
        <v>69</v>
      </c>
      <c r="E48" s="15" t="n">
        <v>43787</v>
      </c>
      <c r="F48" s="0" t="n">
        <v>600</v>
      </c>
      <c r="G48" s="0" t="n">
        <v>14.68</v>
      </c>
    </row>
    <row r="49" customFormat="false" ht="14.65" hidden="false" customHeight="true" outlineLevel="0" collapsed="false">
      <c r="A49" s="0" t="str">
        <f aca="false">VLOOKUP(B49,Cadastro!$A$7:$C$52,3,1)</f>
        <v>01.027.058/0001-91</v>
      </c>
      <c r="B49" s="0" t="s">
        <v>16</v>
      </c>
      <c r="C49" s="8" t="str">
        <f aca="false">VLOOKUP(B49,Cadastro!$A$7:$C$52,2,1)</f>
        <v>CIELO SA</v>
      </c>
      <c r="D49" s="0" t="s">
        <v>69</v>
      </c>
      <c r="E49" s="15" t="n">
        <v>43787</v>
      </c>
      <c r="F49" s="0" t="n">
        <v>600</v>
      </c>
      <c r="G49" s="0" t="n">
        <v>7.89</v>
      </c>
    </row>
    <row r="50" customFormat="false" ht="14.65" hidden="false" customHeight="true" outlineLevel="0" collapsed="false">
      <c r="A50" s="0" t="str">
        <f aca="false">VLOOKUP(B50,Cadastro!$A$7:$C$52,3,1)</f>
        <v>92.690.783/0001-09</v>
      </c>
      <c r="B50" s="0" t="s">
        <v>41</v>
      </c>
      <c r="C50" s="8" t="str">
        <f aca="false">VLOOKUP(B50,Cadastro!$A$7:$C$52,2,1)</f>
        <v>METALURGICA GERDAU ON</v>
      </c>
      <c r="D50" s="0" t="s">
        <v>47</v>
      </c>
      <c r="E50" s="15" t="n">
        <v>43795</v>
      </c>
      <c r="F50" s="0" t="n">
        <v>200</v>
      </c>
      <c r="G50" s="0" t="n">
        <v>4</v>
      </c>
    </row>
    <row r="51" customFormat="false" ht="14.65" hidden="false" customHeight="true" outlineLevel="0" collapsed="false">
      <c r="A51" s="0" t="str">
        <f aca="false">VLOOKUP(B51,Cadastro!$A$7:$C$52,3,1)</f>
        <v>60.872.504/0001-23</v>
      </c>
      <c r="B51" s="0" t="s">
        <v>23</v>
      </c>
      <c r="C51" s="8" t="str">
        <f aca="false">VLOOKUP(B51,Cadastro!$A$7:$C$52,2,1)</f>
        <v>ITAÚ UNIBANCO HOLDING S.A.</v>
      </c>
      <c r="D51" s="0" t="s">
        <v>47</v>
      </c>
      <c r="E51" s="15" t="n">
        <v>43801</v>
      </c>
      <c r="F51" s="0" t="n">
        <v>100</v>
      </c>
      <c r="G51" s="0" t="n">
        <v>1.5</v>
      </c>
    </row>
    <row r="52" customFormat="false" ht="14.65" hidden="false" customHeight="true" outlineLevel="0" collapsed="false">
      <c r="A52" s="0" t="str">
        <f aca="false">VLOOKUP(B52,Cadastro!$A$7:$C$52,3,1)</f>
        <v>17.554.274/0001-25</v>
      </c>
      <c r="B52" s="0" t="s">
        <v>19</v>
      </c>
      <c r="C52" s="8" t="str">
        <f aca="false">VLOOKUP(B52,Cadastro!$A$7:$C$52,2,1)</f>
        <v>VINCI SHOPPING CENTER FII</v>
      </c>
      <c r="D52" s="0" t="s">
        <v>70</v>
      </c>
      <c r="E52" s="15" t="n">
        <v>43812</v>
      </c>
      <c r="F52" s="0" t="n">
        <v>1</v>
      </c>
      <c r="G52" s="0" t="n">
        <v>0.63</v>
      </c>
    </row>
    <row r="53" customFormat="false" ht="14.65" hidden="false" customHeight="true" outlineLevel="0" collapsed="false">
      <c r="A53" s="0" t="str">
        <f aca="false">VLOOKUP(B53,Cadastro!$A$7:$C$52,3,1)</f>
        <v>26.502.794/0001-85</v>
      </c>
      <c r="B53" s="0" t="s">
        <v>18</v>
      </c>
      <c r="C53" s="8" t="str">
        <f aca="false">VLOOKUP(B53,Cadastro!$A$7:$C$52,2,1)</f>
        <v>XP LOG FDO INV IMOB – FII</v>
      </c>
      <c r="D53" s="0" t="s">
        <v>70</v>
      </c>
      <c r="E53" s="15" t="n">
        <v>43812</v>
      </c>
      <c r="F53" s="0" t="n">
        <v>1</v>
      </c>
      <c r="G53" s="0" t="n">
        <v>0.64</v>
      </c>
    </row>
    <row r="54" customFormat="false" ht="14.65" hidden="false" customHeight="true" outlineLevel="0" collapsed="false">
      <c r="A54" s="0" t="str">
        <f aca="false">VLOOKUP(B54,Cadastro!$A$7:$C$52,3,1)</f>
        <v>07.526.557/0001-00</v>
      </c>
      <c r="B54" s="0" t="s">
        <v>71</v>
      </c>
      <c r="C54" s="8" t="str">
        <f aca="false">VLOOKUP(B54,Cadastro!$A$7:$C$52,2,1)</f>
        <v>AMBEV SA ON</v>
      </c>
      <c r="D54" s="0" t="s">
        <v>69</v>
      </c>
      <c r="E54" s="15" t="n">
        <v>43829</v>
      </c>
      <c r="F54" s="0" t="n">
        <v>100</v>
      </c>
      <c r="G54" s="0" t="n">
        <v>41.71</v>
      </c>
    </row>
  </sheetData>
  <autoFilter ref="A6:G5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48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A12" activeCellId="0" sqref="A12"/>
    </sheetView>
  </sheetViews>
  <sheetFormatPr defaultRowHeight="14.6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39.57"/>
    <col collapsed="false" customWidth="true" hidden="false" outlineLevel="0" max="3" min="3" style="0" width="18.85"/>
    <col collapsed="false" customWidth="true" hidden="false" outlineLevel="0" max="7" min="4" style="0" width="11.42"/>
    <col collapsed="false" customWidth="true" hidden="false" outlineLevel="0" max="8" min="8" style="0" width="18.85"/>
    <col collapsed="false" customWidth="true" hidden="false" outlineLevel="0" max="10" min="9" style="0" width="11.42"/>
    <col collapsed="false" customWidth="true" hidden="false" outlineLevel="0" max="11" min="11" style="0" width="18.85"/>
    <col collapsed="false" customWidth="true" hidden="false" outlineLevel="0" max="1025" min="12" style="0" width="11.42"/>
  </cols>
  <sheetData>
    <row r="4" customFormat="false" ht="14.65" hidden="false" customHeight="true" outlineLevel="0" collapsed="false">
      <c r="A4" s="0" t="s">
        <v>72</v>
      </c>
      <c r="H4" s="0" t="s">
        <v>73</v>
      </c>
    </row>
    <row r="5" customFormat="false" ht="14.65" hidden="false" customHeight="true" outlineLevel="0" collapsed="false">
      <c r="H5" s="54" t="s">
        <v>74</v>
      </c>
    </row>
    <row r="6" customFormat="false" ht="14.85" hidden="false" customHeight="true" outlineLevel="0" collapsed="false">
      <c r="A6" s="4" t="s">
        <v>3</v>
      </c>
      <c r="B6" s="4" t="s">
        <v>5</v>
      </c>
      <c r="C6" s="4" t="s">
        <v>3</v>
      </c>
    </row>
    <row r="7" customFormat="false" ht="14.65" hidden="false" customHeight="true" outlineLevel="0" collapsed="false">
      <c r="A7" s="55" t="s">
        <v>21</v>
      </c>
      <c r="B7" s="55" t="s">
        <v>75</v>
      </c>
      <c r="C7" s="55" t="s">
        <v>76</v>
      </c>
      <c r="E7" s="56" t="str">
        <f aca="false">CONCATENATE(A7,$H$34)</f>
        <v>ABEV3%7C</v>
      </c>
    </row>
    <row r="8" customFormat="false" ht="14.85" hidden="false" customHeight="true" outlineLevel="0" collapsed="false">
      <c r="A8" s="0" t="s">
        <v>77</v>
      </c>
      <c r="B8" s="0" t="s">
        <v>78</v>
      </c>
      <c r="C8" s="0" t="s">
        <v>79</v>
      </c>
      <c r="E8" s="0" t="str">
        <f aca="false">CONCATENATE(A8,$H$34)</f>
        <v>BBAS3%7C</v>
      </c>
      <c r="H8" s="0" t="s">
        <v>80</v>
      </c>
    </row>
    <row r="9" customFormat="false" ht="14.85" hidden="false" customHeight="true" outlineLevel="0" collapsed="false">
      <c r="A9" s="55" t="s">
        <v>36</v>
      </c>
      <c r="B9" s="55" t="s">
        <v>81</v>
      </c>
      <c r="C9" s="55" t="s">
        <v>82</v>
      </c>
      <c r="E9" s="0" t="str">
        <f aca="false">CONCATENATE(A9,$H$34)</f>
        <v>BBDC3%7C</v>
      </c>
      <c r="H9" s="0" t="s">
        <v>83</v>
      </c>
    </row>
    <row r="10" customFormat="false" ht="14.85" hidden="false" customHeight="true" outlineLevel="0" collapsed="false">
      <c r="A10" s="0" t="s">
        <v>84</v>
      </c>
      <c r="B10" s="0" t="s">
        <v>85</v>
      </c>
      <c r="C10" s="36" t="s">
        <v>82</v>
      </c>
      <c r="E10" s="0" t="str">
        <f aca="false">CONCATENATE(A10,$H$34)</f>
        <v>BBDC4%7C</v>
      </c>
    </row>
    <row r="11" customFormat="false" ht="14.85" hidden="false" customHeight="true" outlineLevel="0" collapsed="false">
      <c r="A11" s="0" t="s">
        <v>25</v>
      </c>
      <c r="B11" s="0" t="s">
        <v>86</v>
      </c>
      <c r="C11" s="57" t="s">
        <v>87</v>
      </c>
      <c r="E11" s="0" t="str">
        <f aca="false">CONCATENATE(A11,$H$34)</f>
        <v>BBPO11%7C</v>
      </c>
    </row>
    <row r="12" customFormat="false" ht="14.85" hidden="false" customHeight="true" outlineLevel="0" collapsed="false">
      <c r="A12" s="55" t="s">
        <v>30</v>
      </c>
      <c r="B12" s="55" t="s">
        <v>88</v>
      </c>
      <c r="C12" s="55" t="s">
        <v>89</v>
      </c>
      <c r="E12" s="0" t="str">
        <f aca="false">CONCATENATE(A12,$H$34)</f>
        <v>BRFS3%7C</v>
      </c>
      <c r="H12" s="0" t="s">
        <v>90</v>
      </c>
    </row>
    <row r="13" customFormat="false" ht="14.85" hidden="false" customHeight="true" outlineLevel="0" collapsed="false">
      <c r="A13" s="55" t="s">
        <v>53</v>
      </c>
      <c r="B13" s="55" t="s">
        <v>91</v>
      </c>
      <c r="C13" s="55" t="s">
        <v>92</v>
      </c>
      <c r="E13" s="0" t="str">
        <f aca="false">CONCATENATE(A13,$H$34)</f>
        <v>BTOW3%7C</v>
      </c>
      <c r="H13" s="54" t="s">
        <v>93</v>
      </c>
    </row>
    <row r="14" customFormat="false" ht="14.85" hidden="false" customHeight="true" outlineLevel="0" collapsed="false">
      <c r="A14" s="0" t="s">
        <v>32</v>
      </c>
      <c r="B14" s="0" t="s">
        <v>94</v>
      </c>
      <c r="C14" s="36" t="s">
        <v>95</v>
      </c>
      <c r="E14" s="0" t="str">
        <f aca="false">CONCATENATE(A14,$H$34)</f>
        <v>CCRO3%7C</v>
      </c>
    </row>
    <row r="15" customFormat="false" ht="14.85" hidden="false" customHeight="true" outlineLevel="0" collapsed="false">
      <c r="A15" s="55" t="s">
        <v>16</v>
      </c>
      <c r="B15" s="55" t="s">
        <v>96</v>
      </c>
      <c r="C15" s="55" t="s">
        <v>97</v>
      </c>
      <c r="E15" s="0" t="str">
        <f aca="false">CONCATENATE(A15,$H$34)</f>
        <v>CIEL3%7C</v>
      </c>
    </row>
    <row r="16" customFormat="false" ht="14.85" hidden="false" customHeight="true" outlineLevel="0" collapsed="false">
      <c r="A16" s="8" t="s">
        <v>38</v>
      </c>
      <c r="B16" s="8" t="s">
        <v>98</v>
      </c>
      <c r="C16" s="8" t="s">
        <v>99</v>
      </c>
      <c r="E16" s="0" t="str">
        <f aca="false">CONCATENATE(A16,$H$34)</f>
        <v>CMIG3%7C</v>
      </c>
    </row>
    <row r="17" customFormat="false" ht="14.85" hidden="false" customHeight="true" outlineLevel="0" collapsed="false">
      <c r="A17" s="55" t="s">
        <v>34</v>
      </c>
      <c r="B17" s="55" t="s">
        <v>100</v>
      </c>
      <c r="C17" s="55" t="s">
        <v>101</v>
      </c>
      <c r="E17" s="0" t="str">
        <f aca="false">CONCATENATE(A17,$H$34)</f>
        <v>CSNA3%7C</v>
      </c>
    </row>
    <row r="18" customFormat="false" ht="14.85" hidden="false" customHeight="true" outlineLevel="0" collapsed="false">
      <c r="A18" s="8" t="s">
        <v>39</v>
      </c>
      <c r="B18" s="8" t="s">
        <v>102</v>
      </c>
      <c r="C18" s="8" t="s">
        <v>103</v>
      </c>
      <c r="E18" s="0" t="str">
        <f aca="false">CONCATENATE(A18,$H$34)</f>
        <v>ELET3%7C</v>
      </c>
    </row>
    <row r="19" customFormat="false" ht="14.85" hidden="false" customHeight="true" outlineLevel="0" collapsed="false">
      <c r="A19" s="55" t="s">
        <v>20</v>
      </c>
      <c r="B19" s="55" t="s">
        <v>104</v>
      </c>
      <c r="C19" s="55" t="s">
        <v>105</v>
      </c>
      <c r="E19" s="0" t="str">
        <f aca="false">CONCATENATE(A19,$H$34)</f>
        <v>EMBR3%7C</v>
      </c>
      <c r="H19" s="0" t="s">
        <v>106</v>
      </c>
    </row>
    <row r="20" customFormat="false" ht="14.85" hidden="false" customHeight="true" outlineLevel="0" collapsed="false">
      <c r="A20" s="55" t="s">
        <v>42</v>
      </c>
      <c r="B20" s="55" t="s">
        <v>107</v>
      </c>
      <c r="C20" s="55" t="s">
        <v>108</v>
      </c>
      <c r="E20" s="0" t="str">
        <f aca="false">CONCATENATE(A20,$H$34)</f>
        <v>ENAT3%7C</v>
      </c>
      <c r="H20" s="58" t="s">
        <v>109</v>
      </c>
    </row>
    <row r="21" customFormat="false" ht="14.85" hidden="false" customHeight="true" outlineLevel="0" collapsed="false">
      <c r="A21" s="55" t="s">
        <v>27</v>
      </c>
      <c r="B21" s="55" t="s">
        <v>110</v>
      </c>
      <c r="C21" s="55" t="s">
        <v>111</v>
      </c>
      <c r="E21" s="0" t="str">
        <f aca="false">CONCATENATE(A21,$H$34)</f>
        <v>EQTL3%7C</v>
      </c>
      <c r="H21" s="58"/>
    </row>
    <row r="22" customFormat="false" ht="14.85" hidden="false" customHeight="true" outlineLevel="0" collapsed="false">
      <c r="A22" s="0" t="s">
        <v>41</v>
      </c>
      <c r="B22" s="0" t="s">
        <v>112</v>
      </c>
      <c r="C22" s="0" t="s">
        <v>113</v>
      </c>
      <c r="E22" s="0" t="str">
        <f aca="false">CONCATENATE(A22,$H$34)</f>
        <v>GOAU3%7C</v>
      </c>
    </row>
    <row r="23" customFormat="false" ht="14.85" hidden="false" customHeight="true" outlineLevel="0" collapsed="false">
      <c r="A23" s="0" t="s">
        <v>114</v>
      </c>
      <c r="B23" s="0" t="s">
        <v>115</v>
      </c>
      <c r="C23" s="0" t="s">
        <v>116</v>
      </c>
      <c r="E23" s="0" t="str">
        <f aca="false">CONCATENATE(A23,$H$34)</f>
        <v>HGBS11%7C</v>
      </c>
    </row>
    <row r="24" customFormat="false" ht="14.85" hidden="false" customHeight="true" outlineLevel="0" collapsed="false">
      <c r="A24" s="59" t="s">
        <v>117</v>
      </c>
      <c r="B24" s="0" t="s">
        <v>118</v>
      </c>
      <c r="C24" s="0" t="s">
        <v>119</v>
      </c>
      <c r="E24" s="0" t="str">
        <f aca="false">CONCATENATE(A24,$H$34)</f>
        <v>HTMX11%7C</v>
      </c>
      <c r="H24" s="0" t="s">
        <v>45</v>
      </c>
    </row>
    <row r="25" customFormat="false" ht="14.85" hidden="false" customHeight="true" outlineLevel="0" collapsed="false">
      <c r="A25" s="8" t="s">
        <v>40</v>
      </c>
      <c r="B25" s="8" t="s">
        <v>120</v>
      </c>
      <c r="C25" s="8" t="s">
        <v>121</v>
      </c>
      <c r="E25" s="0" t="str">
        <f aca="false">CONCATENATE(A25,$H$34)</f>
        <v>HYPE3%7C</v>
      </c>
      <c r="H25" s="54" t="s">
        <v>122</v>
      </c>
    </row>
    <row r="26" customFormat="false" ht="14.85" hidden="false" customHeight="true" outlineLevel="0" collapsed="false">
      <c r="A26" s="55" t="s">
        <v>37</v>
      </c>
      <c r="B26" s="55" t="s">
        <v>123</v>
      </c>
      <c r="C26" s="55" t="s">
        <v>124</v>
      </c>
      <c r="E26" s="0" t="str">
        <f aca="false">CONCATENATE(A26,$H$34)</f>
        <v>ITSA4%7C</v>
      </c>
      <c r="H26" s="54" t="s">
        <v>125</v>
      </c>
    </row>
    <row r="27" customFormat="false" ht="14.85" hidden="false" customHeight="true" outlineLevel="0" collapsed="false">
      <c r="A27" s="8" t="s">
        <v>126</v>
      </c>
      <c r="B27" s="8" t="s">
        <v>127</v>
      </c>
      <c r="C27" s="8" t="s">
        <v>128</v>
      </c>
      <c r="E27" s="0" t="str">
        <f aca="false">CONCATENATE(A27,$H$34)</f>
        <v>ITUB3%7C</v>
      </c>
    </row>
    <row r="28" customFormat="false" ht="14.85" hidden="false" customHeight="true" outlineLevel="0" collapsed="false">
      <c r="A28" s="55" t="s">
        <v>23</v>
      </c>
      <c r="B28" s="55" t="s">
        <v>129</v>
      </c>
      <c r="C28" s="55" t="s">
        <v>128</v>
      </c>
      <c r="E28" s="0" t="str">
        <f aca="false">CONCATENATE(A28,$H$34)</f>
        <v>ITUB4%7C</v>
      </c>
    </row>
    <row r="29" customFormat="false" ht="14.85" hidden="false" customHeight="true" outlineLevel="0" collapsed="false">
      <c r="A29" s="0" t="s">
        <v>23</v>
      </c>
      <c r="B29" s="8" t="s">
        <v>130</v>
      </c>
      <c r="C29" s="0" t="s">
        <v>128</v>
      </c>
      <c r="E29" s="0" t="str">
        <f aca="false">CONCATENATE(A29,$H$34)</f>
        <v>ITUB4%7C</v>
      </c>
    </row>
    <row r="30" customFormat="false" ht="14.85" hidden="false" customHeight="true" outlineLevel="0" collapsed="false">
      <c r="A30" s="55" t="s">
        <v>131</v>
      </c>
      <c r="B30" s="55" t="s">
        <v>132</v>
      </c>
      <c r="C30" s="55" t="s">
        <v>133</v>
      </c>
      <c r="E30" s="0" t="str">
        <f aca="false">CONCATENATE(A30,$H$34)</f>
        <v>NOTC3%7C</v>
      </c>
    </row>
    <row r="31" customFormat="false" ht="14.85" hidden="false" customHeight="true" outlineLevel="0" collapsed="false">
      <c r="A31" s="8" t="s">
        <v>17</v>
      </c>
      <c r="B31" s="8" t="s">
        <v>134</v>
      </c>
      <c r="C31" s="8" t="s">
        <v>135</v>
      </c>
      <c r="E31" s="0" t="str">
        <f aca="false">CONCATENATE(A31,$H$34)</f>
        <v>OIBR3%7C</v>
      </c>
      <c r="H31" s="0" t="s">
        <v>136</v>
      </c>
    </row>
    <row r="32" customFormat="false" ht="14.85" hidden="false" customHeight="true" outlineLevel="0" collapsed="false">
      <c r="A32" s="55" t="s">
        <v>15</v>
      </c>
      <c r="B32" s="55" t="s">
        <v>137</v>
      </c>
      <c r="C32" s="55" t="s">
        <v>138</v>
      </c>
      <c r="E32" s="0" t="str">
        <f aca="false">CONCATENATE(A32,$H$34)</f>
        <v>PETR4%7C</v>
      </c>
      <c r="H32" s="58" t="s">
        <v>139</v>
      </c>
    </row>
    <row r="33" customFormat="false" ht="14.85" hidden="false" customHeight="true" outlineLevel="0" collapsed="false">
      <c r="A33" s="8" t="s">
        <v>35</v>
      </c>
      <c r="B33" s="8" t="s">
        <v>140</v>
      </c>
      <c r="C33" s="8" t="s">
        <v>108</v>
      </c>
      <c r="E33" s="0" t="str">
        <f aca="false">CONCATENATE(A33,$H$34)</f>
        <v>QGEP3%7C</v>
      </c>
      <c r="H33" s="0" t="s">
        <v>141</v>
      </c>
    </row>
    <row r="34" customFormat="false" ht="14.85" hidden="false" customHeight="true" outlineLevel="0" collapsed="false">
      <c r="A34" s="55" t="s">
        <v>33</v>
      </c>
      <c r="B34" s="55" t="s">
        <v>142</v>
      </c>
      <c r="C34" s="55" t="s">
        <v>143</v>
      </c>
      <c r="E34" s="0" t="str">
        <f aca="false">CONCATENATE(A34,$H$34)</f>
        <v>SANB3%7C</v>
      </c>
      <c r="H34" s="0" t="s">
        <v>144</v>
      </c>
    </row>
    <row r="35" customFormat="false" ht="14.85" hidden="false" customHeight="true" outlineLevel="0" collapsed="false">
      <c r="A35" s="8" t="s">
        <v>26</v>
      </c>
      <c r="B35" s="8" t="s">
        <v>145</v>
      </c>
      <c r="C35" s="8" t="s">
        <v>143</v>
      </c>
      <c r="E35" s="0" t="str">
        <f aca="false">CONCATENATE(A35,$H$34)</f>
        <v>SANB4%7C</v>
      </c>
    </row>
    <row r="36" customFormat="false" ht="14.85" hidden="false" customHeight="true" outlineLevel="0" collapsed="false">
      <c r="A36" s="8" t="s">
        <v>28</v>
      </c>
      <c r="B36" s="8" t="s">
        <v>146</v>
      </c>
      <c r="C36" s="8" t="s">
        <v>147</v>
      </c>
      <c r="E36" s="0" t="str">
        <f aca="false">CONCATENATE(A36,$H$34)</f>
        <v>TRPL4%7C</v>
      </c>
      <c r="H36" s="58" t="s">
        <v>148</v>
      </c>
    </row>
    <row r="37" customFormat="false" ht="14.85" hidden="false" customHeight="true" outlineLevel="0" collapsed="false">
      <c r="A37" s="55" t="s">
        <v>31</v>
      </c>
      <c r="B37" s="55" t="s">
        <v>149</v>
      </c>
      <c r="C37" s="55" t="s">
        <v>150</v>
      </c>
      <c r="E37" s="0" t="str">
        <f aca="false">CONCATENATE(A37,$H$34)</f>
        <v>VALE3%7C</v>
      </c>
    </row>
    <row r="38" customFormat="false" ht="14.85" hidden="false" customHeight="true" outlineLevel="0" collapsed="false">
      <c r="A38" s="8" t="s">
        <v>19</v>
      </c>
      <c r="B38" s="8" t="s">
        <v>151</v>
      </c>
      <c r="C38" s="8" t="s">
        <v>152</v>
      </c>
      <c r="E38" s="0" t="str">
        <f aca="false">CONCATENATE(A38,$H$34)</f>
        <v>VISC11%7C</v>
      </c>
    </row>
    <row r="39" customFormat="false" ht="14.85" hidden="false" customHeight="true" outlineLevel="0" collapsed="false">
      <c r="A39" s="0" t="s">
        <v>22</v>
      </c>
      <c r="B39" s="0" t="s">
        <v>153</v>
      </c>
      <c r="C39" s="0" t="s">
        <v>154</v>
      </c>
      <c r="E39" s="0" t="str">
        <f aca="false">CONCATENATE(A39,$H$34)</f>
        <v>VLID3%7C</v>
      </c>
    </row>
    <row r="40" customFormat="false" ht="14.85" hidden="false" customHeight="true" outlineLevel="0" collapsed="false">
      <c r="A40" s="55" t="s">
        <v>155</v>
      </c>
      <c r="B40" s="55" t="s">
        <v>156</v>
      </c>
      <c r="C40" s="55" t="s">
        <v>157</v>
      </c>
      <c r="E40" s="0" t="str">
        <f aca="false">CONCATENATE(A40,$H$34)</f>
        <v>VVAR3%7C</v>
      </c>
      <c r="F40" s="59"/>
      <c r="G40" s="0" t="s">
        <v>158</v>
      </c>
    </row>
    <row r="41" customFormat="false" ht="14.85" hidden="false" customHeight="true" outlineLevel="0" collapsed="false">
      <c r="A41" s="8" t="s">
        <v>18</v>
      </c>
      <c r="B41" s="8" t="s">
        <v>159</v>
      </c>
      <c r="C41" s="8" t="s">
        <v>160</v>
      </c>
      <c r="E41" s="0" t="str">
        <f aca="false">CONCATENATE(A41,$H$34)</f>
        <v>XPLG11%7C</v>
      </c>
      <c r="G41" s="59"/>
    </row>
    <row r="42" customFormat="false" ht="14.85" hidden="false" customHeight="true" outlineLevel="0" collapsed="false"/>
    <row r="43" customFormat="false" ht="14.85" hidden="false" customHeight="true" outlineLevel="0" collapsed="false"/>
    <row r="44" customFormat="false" ht="14.85" hidden="false" customHeight="true" outlineLevel="0" collapsed="false"/>
    <row r="45" customFormat="false" ht="14.85" hidden="false" customHeight="true" outlineLevel="0" collapsed="false"/>
    <row r="46" customFormat="false" ht="14.85" hidden="false" customHeight="true" outlineLevel="0" collapsed="false"/>
    <row r="47" customFormat="false" ht="14.85" hidden="false" customHeight="true" outlineLevel="0" collapsed="false"/>
    <row r="48" customFormat="false" ht="14.85" hidden="false" customHeight="true" outlineLevel="0" collapsed="false"/>
  </sheetData>
  <autoFilter ref="A6:C22"/>
  <hyperlinks>
    <hyperlink ref="H5" r:id="rId1" display="https://br.advfn.com/bolsa-de-valores/bovespa/cielo-CIEL3/empresa"/>
    <hyperlink ref="H13" r:id="rId2" display="http://www.validadordecnpj.clevert.com.br/v-cnpj.php"/>
    <hyperlink ref="H20" r:id="rId3" display="https://www.meusdividendos.com/687912"/>
    <hyperlink ref="H25" r:id="rId4" display="https://www.meusdividendos.com/fundo-imobiliario/HGBS"/>
    <hyperlink ref="H26" r:id="rId5" display="https://www.fundsexplorer.com.br/funds/HTMX11"/>
    <hyperlink ref="H32" r:id="rId6" display="http://bvmf.bmfbovespa.com.br/cotacoes2000/FormConsultaCotacoes.asp?strListaCodigos="/>
    <hyperlink ref="H36" r:id="rId7" display="http://www.itaucorretora.com.br/Finder/Finder/?stock=ciel3&amp;type=stock"/>
  </hyperlinks>
  <printOptions headings="false" gridLines="false" gridLinesSet="true" horizontalCentered="false" verticalCentered="false"/>
  <pageMargins left="0.404166666666667" right="0.552083333333333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100"/>
  <sheetViews>
    <sheetView showFormulas="false" showGridLines="true" showRowColHeaders="true" showZeros="true" rightToLeft="false" tabSelected="false" showOutlineSymbols="true" defaultGridColor="true" view="normal" topLeftCell="A57" colorId="64" zoomScale="90" zoomScaleNormal="90" zoomScalePageLayoutView="100" workbookViewId="0">
      <selection pane="topLeft" activeCell="P70" activeCellId="0" sqref="P70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36.42"/>
    <col collapsed="false" customWidth="true" hidden="false" outlineLevel="0" max="6" min="3" style="0" width="10.99"/>
    <col collapsed="false" customWidth="true" hidden="false" outlineLevel="0" max="7" min="7" style="0" width="10.71"/>
    <col collapsed="false" customWidth="true" hidden="false" outlineLevel="0" max="14" min="8" style="0" width="10.99"/>
    <col collapsed="false" customWidth="true" hidden="false" outlineLevel="0" max="15" min="15" style="0" width="9.85"/>
    <col collapsed="false" customWidth="true" hidden="false" outlineLevel="0" max="16" min="16" style="0" width="8.57"/>
    <col collapsed="false" customWidth="true" hidden="false" outlineLevel="0" max="17" min="17" style="0" width="8.14"/>
    <col collapsed="false" customWidth="true" hidden="false" outlineLevel="0" max="1025" min="18" style="0" width="10.99"/>
  </cols>
  <sheetData>
    <row r="2" customFormat="false" ht="12.75" hidden="false" customHeight="true" outlineLevel="0" collapsed="false">
      <c r="F2" s="0" t="s">
        <v>161</v>
      </c>
      <c r="G2" s="15" t="n">
        <f aca="true">NOW()</f>
        <v>43893.5345302524</v>
      </c>
      <c r="H2" s="60" t="s">
        <v>162</v>
      </c>
      <c r="I2" s="61" t="n">
        <f aca="true">NOW()</f>
        <v>43893.5345302527</v>
      </c>
      <c r="M2" s="0" t="s">
        <v>41</v>
      </c>
      <c r="N2" s="0" t="s">
        <v>37</v>
      </c>
      <c r="P2" s="0" t="s">
        <v>48</v>
      </c>
      <c r="Q2" s="0" t="s">
        <v>36</v>
      </c>
    </row>
    <row r="3" customFormat="false" ht="12.75" hidden="false" customHeight="true" outlineLevel="0" collapsed="false">
      <c r="M3" s="0" t="s">
        <v>17</v>
      </c>
      <c r="N3" s="0" t="s">
        <v>24</v>
      </c>
      <c r="P3" s="0" t="s">
        <v>163</v>
      </c>
      <c r="Q3" s="0" t="s">
        <v>164</v>
      </c>
    </row>
    <row r="4" customFormat="false" ht="12.75" hidden="false" customHeight="true" outlineLevel="0" collapsed="false">
      <c r="H4" s="0" t="str">
        <f aca="false">TEXT(G2,"HH")</f>
        <v>12</v>
      </c>
      <c r="M4" s="0" t="s">
        <v>32</v>
      </c>
      <c r="N4" s="0" t="s">
        <v>35</v>
      </c>
      <c r="P4" s="0" t="s">
        <v>165</v>
      </c>
      <c r="Q4" s="0" t="s">
        <v>40</v>
      </c>
    </row>
    <row r="5" customFormat="false" ht="12.75" hidden="false" customHeight="true" outlineLevel="0" collapsed="false">
      <c r="F5" s="0" t="s">
        <v>166</v>
      </c>
      <c r="G5" s="58" t="s">
        <v>167</v>
      </c>
      <c r="N5" s="0" t="s">
        <v>16</v>
      </c>
      <c r="P5" s="0" t="s">
        <v>77</v>
      </c>
      <c r="Q5" s="0" t="s">
        <v>21</v>
      </c>
    </row>
    <row r="6" customFormat="false" ht="12.75" hidden="false" customHeight="true" outlineLevel="0" collapsed="false">
      <c r="F6" s="0" t="s">
        <v>168</v>
      </c>
      <c r="G6" s="0" t="str">
        <f aca="false">CONCATENATE("cotacao_",TEXT(G2,"AAAAMMDD"),"-",TEXT(G2,"HH"),"00.xml")</f>
        <v>cotacao_20200303-1200.xml</v>
      </c>
      <c r="N6" s="0" t="s">
        <v>51</v>
      </c>
    </row>
    <row r="8" customFormat="false" ht="12.75" hidden="false" customHeight="true" outlineLevel="0" collapsed="false">
      <c r="A8" s="0" t="s">
        <v>169</v>
      </c>
    </row>
    <row r="10" customFormat="false" ht="14.65" hidden="false" customHeight="true" outlineLevel="0" collapsed="false">
      <c r="A10" s="1"/>
      <c r="B10" s="1"/>
      <c r="C10" s="1"/>
      <c r="D10" s="1"/>
      <c r="E10" s="1"/>
      <c r="F10" s="1"/>
      <c r="G10" s="3" t="s">
        <v>170</v>
      </c>
      <c r="H10" s="3"/>
      <c r="I10" s="3"/>
      <c r="J10" s="3"/>
      <c r="K10" s="3" t="s">
        <v>1</v>
      </c>
      <c r="L10" s="3"/>
      <c r="M10" s="3"/>
      <c r="N10" s="3"/>
    </row>
    <row r="11" customFormat="false" ht="14.65" hidden="false" customHeight="true" outlineLevel="0" collapsed="false">
      <c r="A11" s="4" t="s">
        <v>4</v>
      </c>
      <c r="B11" s="4" t="s">
        <v>5</v>
      </c>
      <c r="C11" s="4" t="s">
        <v>67</v>
      </c>
      <c r="D11" s="4" t="s">
        <v>7</v>
      </c>
      <c r="E11" s="4" t="s">
        <v>8</v>
      </c>
      <c r="F11" s="4" t="s">
        <v>9</v>
      </c>
      <c r="G11" s="4" t="s">
        <v>6</v>
      </c>
      <c r="H11" s="4" t="s">
        <v>8</v>
      </c>
      <c r="I11" s="4" t="s">
        <v>12</v>
      </c>
      <c r="J11" s="7" t="s">
        <v>13</v>
      </c>
      <c r="K11" s="7" t="s">
        <v>8</v>
      </c>
      <c r="L11" s="7" t="s">
        <v>11</v>
      </c>
      <c r="M11" s="7" t="s">
        <v>14</v>
      </c>
      <c r="N11" s="7" t="s">
        <v>13</v>
      </c>
    </row>
    <row r="12" customFormat="false" ht="14.65" hidden="false" customHeight="true" outlineLevel="0" collapsed="false">
      <c r="A12" s="0" t="s">
        <v>15</v>
      </c>
      <c r="B12" s="0" t="s">
        <v>171</v>
      </c>
      <c r="C12" s="15" t="n">
        <v>43257</v>
      </c>
      <c r="D12" s="0" t="n">
        <v>300</v>
      </c>
      <c r="E12" s="13" t="n">
        <v>16.7</v>
      </c>
      <c r="F12" s="13" t="n">
        <f aca="false">D12*E12</f>
        <v>5010</v>
      </c>
      <c r="G12" s="31" t="n">
        <f aca="false">G2</f>
        <v>43893.5345302524</v>
      </c>
      <c r="H12" s="0" t="n">
        <v>27</v>
      </c>
      <c r="I12" s="13" t="n">
        <f aca="false">D12*H12-F12</f>
        <v>3090</v>
      </c>
      <c r="J12" s="14" t="n">
        <f aca="false">I12/F12</f>
        <v>0.616766467065868</v>
      </c>
      <c r="K12" s="37" t="n">
        <v>30</v>
      </c>
      <c r="L12" s="13" t="n">
        <f aca="false">K12*D12</f>
        <v>9000</v>
      </c>
      <c r="M12" s="13" t="n">
        <f aca="false">L12-F12</f>
        <v>3990</v>
      </c>
      <c r="N12" s="14" t="n">
        <f aca="false">M12/F12</f>
        <v>0.796407185628742</v>
      </c>
      <c r="T12" s="13"/>
    </row>
    <row r="13" customFormat="false" ht="14.65" hidden="false" customHeight="true" outlineLevel="0" collapsed="false">
      <c r="A13" s="8" t="s">
        <v>16</v>
      </c>
      <c r="B13" s="0" t="s">
        <v>172</v>
      </c>
      <c r="C13" s="15" t="n">
        <v>43412</v>
      </c>
      <c r="D13" s="0" t="n">
        <f aca="false">400+200</f>
        <v>600</v>
      </c>
      <c r="E13" s="13" t="n">
        <v>11</v>
      </c>
      <c r="F13" s="13" t="n">
        <f aca="false">D13*E13</f>
        <v>6600</v>
      </c>
      <c r="G13" s="62" t="n">
        <f aca="false">G2</f>
        <v>43893.5345302524</v>
      </c>
      <c r="H13" s="0" t="n">
        <v>9.8</v>
      </c>
      <c r="I13" s="13" t="n">
        <f aca="false">D13*H13-F13</f>
        <v>-720</v>
      </c>
      <c r="J13" s="14" t="n">
        <f aca="false">I13/F13</f>
        <v>-0.109090909090909</v>
      </c>
      <c r="K13" s="8" t="n">
        <v>12.3</v>
      </c>
      <c r="L13" s="13" t="n">
        <f aca="false">K13*D13</f>
        <v>7380</v>
      </c>
      <c r="M13" s="13" t="n">
        <f aca="false">L13-F13</f>
        <v>780</v>
      </c>
      <c r="N13" s="63" t="n">
        <f aca="false">M13/F13</f>
        <v>0.118181818181818</v>
      </c>
      <c r="P13" s="0" t="n">
        <v>400</v>
      </c>
      <c r="Q13" s="13" t="n">
        <v>11.2</v>
      </c>
      <c r="R13" s="0" t="n">
        <v>200</v>
      </c>
      <c r="S13" s="0" t="n">
        <v>10.6</v>
      </c>
      <c r="T13" s="0" t="n">
        <f aca="false">((P13*Q13)+(R13*S13))/600</f>
        <v>11</v>
      </c>
      <c r="W13" s="14"/>
    </row>
    <row r="14" customFormat="false" ht="14.65" hidden="false" customHeight="true" outlineLevel="0" collapsed="false">
      <c r="A14" s="0" t="s">
        <v>17</v>
      </c>
      <c r="B14" s="0" t="s">
        <v>173</v>
      </c>
      <c r="C14" s="15" t="n">
        <v>43425</v>
      </c>
      <c r="D14" s="0" t="n">
        <f aca="false">800+2200</f>
        <v>3000</v>
      </c>
      <c r="E14" s="13" t="n">
        <f aca="false">T14/D14</f>
        <v>1.38</v>
      </c>
      <c r="F14" s="13" t="n">
        <f aca="false">D14*E14</f>
        <v>4140</v>
      </c>
      <c r="G14" s="62" t="n">
        <f aca="false">G2</f>
        <v>43893.5345302524</v>
      </c>
      <c r="H14" s="0" t="n">
        <v>1.8</v>
      </c>
      <c r="I14" s="13" t="n">
        <f aca="false">D14*H14-F14</f>
        <v>1260</v>
      </c>
      <c r="J14" s="14" t="n">
        <f aca="false">I14/F14</f>
        <v>0.304347826086957</v>
      </c>
      <c r="K14" s="8" t="n">
        <v>2</v>
      </c>
      <c r="L14" s="13" t="n">
        <f aca="false">K14*D14</f>
        <v>6000</v>
      </c>
      <c r="M14" s="13" t="n">
        <f aca="false">L14-F14</f>
        <v>1860</v>
      </c>
      <c r="N14" s="63" t="n">
        <f aca="false">M14/F14</f>
        <v>0.449275362318841</v>
      </c>
      <c r="P14" s="0" t="n">
        <v>800</v>
      </c>
      <c r="Q14" s="0" t="n">
        <v>1.71</v>
      </c>
      <c r="R14" s="0" t="n">
        <v>2200</v>
      </c>
      <c r="S14" s="0" t="n">
        <v>1.26</v>
      </c>
      <c r="T14" s="0" t="n">
        <f aca="false">P14*Q14+R14*S14</f>
        <v>4140</v>
      </c>
      <c r="W14" s="14"/>
    </row>
    <row r="15" customFormat="false" ht="14.65" hidden="false" customHeight="true" outlineLevel="0" collapsed="false">
      <c r="A15" s="0" t="s">
        <v>21</v>
      </c>
      <c r="B15" s="0" t="s">
        <v>174</v>
      </c>
      <c r="C15" s="15" t="n">
        <v>43453</v>
      </c>
      <c r="D15" s="0" t="n">
        <v>200</v>
      </c>
      <c r="E15" s="13" t="n">
        <v>15.78</v>
      </c>
      <c r="F15" s="13" t="n">
        <f aca="false">D15*E15</f>
        <v>3156</v>
      </c>
      <c r="G15" s="31" t="n">
        <f aca="false">G2</f>
        <v>43893.5345302524</v>
      </c>
      <c r="H15" s="8" t="n">
        <v>16.65</v>
      </c>
      <c r="I15" s="13" t="n">
        <f aca="false">D15*H15-F15</f>
        <v>174</v>
      </c>
      <c r="J15" s="14" t="n">
        <f aca="false">I15/F15</f>
        <v>0.0551330798479086</v>
      </c>
      <c r="K15" s="8" t="n">
        <v>19</v>
      </c>
      <c r="L15" s="13" t="n">
        <f aca="false">K15*D15</f>
        <v>3800</v>
      </c>
      <c r="M15" s="13" t="n">
        <f aca="false">L15-F15</f>
        <v>644</v>
      </c>
      <c r="N15" s="63" t="n">
        <f aca="false">M15/F15</f>
        <v>0.204055766793409</v>
      </c>
    </row>
    <row r="16" customFormat="false" ht="14.65" hidden="false" customHeight="true" outlineLevel="0" collapsed="false">
      <c r="A16" s="0" t="s">
        <v>18</v>
      </c>
      <c r="B16" s="64" t="s">
        <v>159</v>
      </c>
      <c r="C16" s="15" t="n">
        <v>43493</v>
      </c>
      <c r="D16" s="0" t="n">
        <v>1</v>
      </c>
      <c r="E16" s="13" t="n">
        <v>101.4</v>
      </c>
      <c r="F16" s="13" t="n">
        <f aca="false">D16*E16</f>
        <v>101.4</v>
      </c>
      <c r="G16" s="31" t="n">
        <f aca="false">G2</f>
        <v>43893.5345302524</v>
      </c>
      <c r="H16" s="8" t="n">
        <v>102</v>
      </c>
      <c r="I16" s="13" t="n">
        <f aca="false">D16*H16-F16</f>
        <v>0.599999999999994</v>
      </c>
      <c r="J16" s="14" t="n">
        <f aca="false">I16/F16</f>
        <v>0.00591715976331355</v>
      </c>
      <c r="K16" s="8" t="n">
        <v>103</v>
      </c>
      <c r="L16" s="13" t="n">
        <f aca="false">K16*D16</f>
        <v>103</v>
      </c>
      <c r="M16" s="13" t="n">
        <f aca="false">L16-F16</f>
        <v>1.59999999999999</v>
      </c>
      <c r="N16" s="63" t="n">
        <f aca="false">M16/F16</f>
        <v>0.0157790927021696</v>
      </c>
      <c r="Q16" s="65"/>
    </row>
    <row r="17" customFormat="false" ht="14.65" hidden="false" customHeight="true" outlineLevel="0" collapsed="false">
      <c r="A17" s="0" t="s">
        <v>19</v>
      </c>
      <c r="B17" s="66" t="s">
        <v>151</v>
      </c>
      <c r="C17" s="15" t="n">
        <v>43493</v>
      </c>
      <c r="D17" s="0" t="n">
        <v>1</v>
      </c>
      <c r="E17" s="13" t="n">
        <v>105.65</v>
      </c>
      <c r="F17" s="13" t="n">
        <f aca="false">D17*E17</f>
        <v>105.65</v>
      </c>
      <c r="G17" s="31" t="n">
        <f aca="false">G2</f>
        <v>43893.5345302524</v>
      </c>
      <c r="H17" s="8" t="n">
        <v>108.5</v>
      </c>
      <c r="I17" s="13" t="n">
        <f aca="false">D17*H17-F17</f>
        <v>2.84999999999999</v>
      </c>
      <c r="J17" s="14" t="n">
        <f aca="false">I17/F17</f>
        <v>0.0269758637008991</v>
      </c>
      <c r="K17" s="8" t="n">
        <v>108</v>
      </c>
      <c r="L17" s="13" t="n">
        <f aca="false">K17*D17</f>
        <v>108</v>
      </c>
      <c r="M17" s="13" t="n">
        <f aca="false">L17-F17</f>
        <v>2.34999999999999</v>
      </c>
      <c r="N17" s="63" t="n">
        <f aca="false">M17/F17</f>
        <v>0.0222432560340747</v>
      </c>
      <c r="Q17" s="65"/>
    </row>
    <row r="18" customFormat="false" ht="14.65" hidden="false" customHeight="true" outlineLevel="0" collapsed="false">
      <c r="A18" s="0" t="s">
        <v>20</v>
      </c>
      <c r="B18" s="0" t="s">
        <v>175</v>
      </c>
      <c r="C18" s="15" t="n">
        <v>43497</v>
      </c>
      <c r="D18" s="0" t="n">
        <v>100</v>
      </c>
      <c r="E18" s="13" t="n">
        <v>19.2</v>
      </c>
      <c r="F18" s="13" t="n">
        <f aca="false">D18*E18</f>
        <v>1920</v>
      </c>
      <c r="G18" s="31" t="n">
        <f aca="false">G2</f>
        <v>43893.5345302524</v>
      </c>
      <c r="H18" s="8" t="n">
        <v>18.75</v>
      </c>
      <c r="I18" s="13" t="n">
        <f aca="false">D18*H18-F18</f>
        <v>-45</v>
      </c>
      <c r="J18" s="14" t="n">
        <f aca="false">I18/F18</f>
        <v>-0.0234375</v>
      </c>
      <c r="K18" s="8" t="n">
        <v>21.2</v>
      </c>
      <c r="L18" s="13" t="n">
        <f aca="false">K18*D18</f>
        <v>2120</v>
      </c>
      <c r="M18" s="13" t="n">
        <f aca="false">L18-F18</f>
        <v>200</v>
      </c>
      <c r="N18" s="63" t="n">
        <f aca="false">M18/F18</f>
        <v>0.104166666666667</v>
      </c>
      <c r="Q18" s="65"/>
    </row>
    <row r="19" customFormat="false" ht="14.65" hidden="false" customHeight="true" outlineLevel="0" collapsed="false">
      <c r="A19" s="0" t="s">
        <v>31</v>
      </c>
      <c r="B19" s="0" t="s">
        <v>149</v>
      </c>
      <c r="C19" s="15" t="n">
        <v>43496</v>
      </c>
      <c r="D19" s="0" t="n">
        <v>100</v>
      </c>
      <c r="E19" s="13" t="n">
        <v>47.21</v>
      </c>
      <c r="F19" s="13" t="n">
        <f aca="false">D19*E19</f>
        <v>4721</v>
      </c>
      <c r="G19" s="31" t="n">
        <f aca="false">G2</f>
        <v>43893.5345302524</v>
      </c>
      <c r="H19" s="8" t="n">
        <v>49.7</v>
      </c>
      <c r="I19" s="13" t="n">
        <f aca="false">D19*H19-F19</f>
        <v>249</v>
      </c>
      <c r="J19" s="14" t="n">
        <f aca="false">I19/F19</f>
        <v>0.0527430629104003</v>
      </c>
      <c r="K19" s="8" t="n">
        <v>52</v>
      </c>
      <c r="L19" s="13" t="n">
        <f aca="false">K19*D19</f>
        <v>5200</v>
      </c>
      <c r="M19" s="13" t="n">
        <f aca="false">L19-F19</f>
        <v>479</v>
      </c>
      <c r="N19" s="63" t="n">
        <f aca="false">M19/F19</f>
        <v>0.101461554755348</v>
      </c>
      <c r="Q19" s="65"/>
    </row>
    <row r="20" customFormat="false" ht="14.65" hidden="false" customHeight="true" outlineLevel="0" collapsed="false">
      <c r="A20" s="0" t="s">
        <v>40</v>
      </c>
      <c r="B20" s="0" t="s">
        <v>176</v>
      </c>
      <c r="C20" s="15" t="n">
        <v>43528</v>
      </c>
      <c r="D20" s="0" t="n">
        <v>100</v>
      </c>
      <c r="E20" s="13" t="n">
        <v>26.6</v>
      </c>
      <c r="F20" s="13" t="n">
        <f aca="false">D20*E20</f>
        <v>2660</v>
      </c>
      <c r="G20" s="31" t="n">
        <f aca="false">G2</f>
        <v>43893.5345302524</v>
      </c>
      <c r="H20" s="8" t="n">
        <v>25.85</v>
      </c>
      <c r="I20" s="13" t="n">
        <f aca="false">D20*H20-F20</f>
        <v>-75</v>
      </c>
      <c r="J20" s="14" t="n">
        <f aca="false">I20/F20</f>
        <v>-0.0281954887218045</v>
      </c>
      <c r="K20" s="8" t="n">
        <v>29.6</v>
      </c>
      <c r="L20" s="13" t="n">
        <f aca="false">K20*D20</f>
        <v>2960</v>
      </c>
      <c r="M20" s="13" t="n">
        <f aca="false">L20-F20</f>
        <v>300</v>
      </c>
      <c r="N20" s="63" t="n">
        <f aca="false">M20/F20</f>
        <v>0.112781954887218</v>
      </c>
      <c r="Q20" s="65"/>
    </row>
    <row r="21" customFormat="false" ht="14.65" hidden="false" customHeight="true" outlineLevel="0" collapsed="false">
      <c r="A21" s="0" t="s">
        <v>32</v>
      </c>
      <c r="B21" s="0" t="s">
        <v>177</v>
      </c>
      <c r="C21" s="15" t="n">
        <v>43370</v>
      </c>
      <c r="D21" s="0" t="n">
        <v>300</v>
      </c>
      <c r="E21" s="13" t="n">
        <v>0</v>
      </c>
      <c r="F21" s="13" t="n">
        <f aca="false">D21*E21</f>
        <v>0</v>
      </c>
      <c r="G21" s="31"/>
      <c r="H21" s="8" t="n">
        <v>0</v>
      </c>
      <c r="I21" s="13"/>
      <c r="J21" s="14"/>
      <c r="K21" s="8"/>
      <c r="L21" s="13"/>
      <c r="M21" s="13"/>
      <c r="N21" s="63"/>
      <c r="Q21" s="65"/>
    </row>
    <row r="22" customFormat="false" ht="14.65" hidden="false" customHeight="true" outlineLevel="0" collapsed="false">
      <c r="A22" s="0" t="s">
        <v>178</v>
      </c>
      <c r="B22" s="0" t="s">
        <v>179</v>
      </c>
      <c r="C22" s="31" t="n">
        <v>43472</v>
      </c>
      <c r="D22" s="0" t="n">
        <v>100</v>
      </c>
      <c r="E22" s="0" t="n">
        <v>11.5</v>
      </c>
      <c r="F22" s="13" t="n">
        <f aca="false">D22*E22</f>
        <v>1150</v>
      </c>
      <c r="G22" s="31"/>
      <c r="H22" s="0" t="n">
        <v>13.52</v>
      </c>
      <c r="I22" s="13" t="n">
        <f aca="false">D22*H22-F22</f>
        <v>202</v>
      </c>
      <c r="J22" s="14" t="n">
        <f aca="false">I22/F22</f>
        <v>0.175652173913043</v>
      </c>
      <c r="L22" s="13"/>
      <c r="M22" s="13"/>
      <c r="N22" s="14"/>
    </row>
    <row r="23" customFormat="false" ht="14.65" hidden="false" customHeight="true" outlineLevel="0" collapsed="false">
      <c r="A23" s="0" t="s">
        <v>30</v>
      </c>
      <c r="C23" s="31"/>
      <c r="E23" s="0" t="n">
        <v>21</v>
      </c>
      <c r="F23" s="13"/>
      <c r="G23" s="31"/>
      <c r="I23" s="13"/>
      <c r="J23" s="14"/>
      <c r="L23" s="13"/>
      <c r="M23" s="13"/>
      <c r="N23" s="14"/>
    </row>
    <row r="24" customFormat="false" ht="14.65" hidden="false" customHeight="true" outlineLevel="0" collapsed="false">
      <c r="A24" s="0" t="s">
        <v>180</v>
      </c>
      <c r="C24" s="31"/>
      <c r="E24" s="0" t="n">
        <v>5.3</v>
      </c>
      <c r="F24" s="13"/>
      <c r="G24" s="31"/>
      <c r="I24" s="13"/>
      <c r="J24" s="14"/>
      <c r="L24" s="13"/>
      <c r="M24" s="13"/>
      <c r="N24" s="14"/>
    </row>
    <row r="25" customFormat="false" ht="14.65" hidden="false" customHeight="true" outlineLevel="0" collapsed="false">
      <c r="A25" s="0" t="s">
        <v>155</v>
      </c>
      <c r="C25" s="31"/>
      <c r="E25" s="0" t="n">
        <v>4.8</v>
      </c>
      <c r="F25" s="13"/>
      <c r="G25" s="31"/>
      <c r="I25" s="13"/>
      <c r="J25" s="14"/>
      <c r="L25" s="13"/>
      <c r="M25" s="13"/>
      <c r="N25" s="14"/>
    </row>
    <row r="26" customFormat="false" ht="14.65" hidden="false" customHeight="true" outlineLevel="0" collapsed="false">
      <c r="C26" s="15"/>
      <c r="E26" s="13"/>
      <c r="F26" s="13"/>
      <c r="G26" s="31"/>
      <c r="J26" s="14"/>
      <c r="L26" s="13"/>
      <c r="M26" s="13"/>
      <c r="N26" s="14"/>
    </row>
    <row r="27" customFormat="false" ht="14.65" hidden="false" customHeight="true" outlineLevel="0" collapsed="false">
      <c r="A27" s="23" t="s">
        <v>43</v>
      </c>
      <c r="B27" s="23"/>
      <c r="C27" s="23"/>
      <c r="D27" s="22"/>
      <c r="E27" s="22"/>
      <c r="F27" s="24" t="n">
        <f aca="false">SUM(F12:F20)</f>
        <v>28414.05</v>
      </c>
      <c r="G27" s="22"/>
      <c r="H27" s="22"/>
      <c r="I27" s="24" t="n">
        <f aca="false">SUM(I12:I20)</f>
        <v>3936.45</v>
      </c>
      <c r="J27" s="25" t="n">
        <f aca="false">I27/F27</f>
        <v>0.138538856657182</v>
      </c>
      <c r="K27" s="22"/>
      <c r="L27" s="24" t="n">
        <f aca="false">SUM(L12:L20)</f>
        <v>36671</v>
      </c>
      <c r="M27" s="24" t="n">
        <f aca="false">SUM(M12:M20)</f>
        <v>8256.95</v>
      </c>
      <c r="N27" s="67" t="n">
        <f aca="false">M27/F27</f>
        <v>0.290593913926385</v>
      </c>
    </row>
    <row r="29" customFormat="false" ht="14.65" hidden="false" customHeight="true" outlineLevel="0" collapsed="false"/>
    <row r="30" customFormat="false" ht="14.65" hidden="false" customHeight="true" outlineLevel="0" collapsed="false">
      <c r="A30" s="1"/>
      <c r="B30" s="1"/>
      <c r="C30" s="3" t="s">
        <v>0</v>
      </c>
      <c r="D30" s="3"/>
      <c r="E30" s="3"/>
      <c r="F30" s="3"/>
      <c r="G30" s="3" t="s">
        <v>1</v>
      </c>
      <c r="H30" s="3"/>
      <c r="I30" s="3"/>
      <c r="J30" s="3"/>
      <c r="K30" s="3"/>
      <c r="L30" s="3" t="s">
        <v>2</v>
      </c>
      <c r="M30" s="3"/>
      <c r="N30" s="3"/>
      <c r="O30" s="3"/>
      <c r="U30" s="0" t="s">
        <v>181</v>
      </c>
      <c r="W30" s="0" t="s">
        <v>182</v>
      </c>
    </row>
    <row r="31" customFormat="false" ht="14.65" hidden="false" customHeight="true" outlineLevel="0" collapsed="false">
      <c r="A31" s="4" t="s">
        <v>4</v>
      </c>
      <c r="B31" s="4" t="s">
        <v>5</v>
      </c>
      <c r="C31" s="4" t="s">
        <v>67</v>
      </c>
      <c r="D31" s="4" t="s">
        <v>7</v>
      </c>
      <c r="E31" s="4" t="s">
        <v>8</v>
      </c>
      <c r="F31" s="4" t="s">
        <v>9</v>
      </c>
      <c r="G31" s="4" t="s">
        <v>6</v>
      </c>
      <c r="H31" s="4" t="s">
        <v>8</v>
      </c>
      <c r="I31" s="4" t="s">
        <v>11</v>
      </c>
      <c r="J31" s="4" t="s">
        <v>12</v>
      </c>
      <c r="K31" s="7" t="s">
        <v>13</v>
      </c>
      <c r="L31" s="7" t="s">
        <v>8</v>
      </c>
      <c r="M31" s="7" t="s">
        <v>11</v>
      </c>
      <c r="N31" s="7" t="s">
        <v>14</v>
      </c>
      <c r="O31" s="7" t="s">
        <v>13</v>
      </c>
      <c r="S31" s="0" t="n">
        <v>3.65</v>
      </c>
      <c r="T31" s="0" t="s">
        <v>183</v>
      </c>
      <c r="U31" s="0" t="n">
        <v>2</v>
      </c>
      <c r="V31" s="0" t="n">
        <f aca="false">U31*S31</f>
        <v>7.3</v>
      </c>
      <c r="W31" s="0" t="n">
        <v>2</v>
      </c>
      <c r="X31" s="0" t="n">
        <f aca="false">W31*S31</f>
        <v>7.3</v>
      </c>
    </row>
    <row r="32" customFormat="false" ht="14.65" hidden="false" customHeight="true" outlineLevel="0" collapsed="false">
      <c r="A32" s="68" t="s">
        <v>35</v>
      </c>
      <c r="B32" s="68" t="s">
        <v>140</v>
      </c>
      <c r="C32" s="69" t="n">
        <v>43325</v>
      </c>
      <c r="D32" s="68" t="n">
        <v>100</v>
      </c>
      <c r="E32" s="70" t="n">
        <v>12.15</v>
      </c>
      <c r="F32" s="70" t="n">
        <f aca="false">D32*E32</f>
        <v>1215</v>
      </c>
      <c r="G32" s="71" t="n">
        <v>43369</v>
      </c>
      <c r="H32" s="68" t="n">
        <v>12.83</v>
      </c>
      <c r="I32" s="70" t="n">
        <f aca="false">D32*H32-4</f>
        <v>1279</v>
      </c>
      <c r="J32" s="70" t="n">
        <f aca="false">D32*H32-F32</f>
        <v>68</v>
      </c>
      <c r="K32" s="72" t="n">
        <f aca="false">J32/F32</f>
        <v>0.0559670781893004</v>
      </c>
      <c r="L32" s="73" t="n">
        <v>13.25</v>
      </c>
      <c r="M32" s="73" t="n">
        <f aca="false">L32*D32</f>
        <v>1325</v>
      </c>
      <c r="N32" s="73" t="n">
        <f aca="false">M32-F32</f>
        <v>110</v>
      </c>
      <c r="O32" s="74" t="n">
        <f aca="false">N32/F32</f>
        <v>0.0905349794238683</v>
      </c>
      <c r="S32" s="0" t="n">
        <v>33</v>
      </c>
      <c r="T32" s="0" t="s">
        <v>184</v>
      </c>
      <c r="U32" s="0" t="n">
        <v>2</v>
      </c>
      <c r="V32" s="0" t="n">
        <f aca="false">U32*S32</f>
        <v>66</v>
      </c>
      <c r="W32" s="0" t="n">
        <v>2</v>
      </c>
      <c r="X32" s="0" t="n">
        <f aca="false">W32*S32</f>
        <v>66</v>
      </c>
    </row>
    <row r="33" customFormat="false" ht="14.65" hidden="false" customHeight="true" outlineLevel="0" collapsed="false">
      <c r="A33" s="68" t="s">
        <v>36</v>
      </c>
      <c r="B33" s="68" t="s">
        <v>81</v>
      </c>
      <c r="C33" s="69" t="n">
        <v>43332</v>
      </c>
      <c r="D33" s="68" t="n">
        <v>100</v>
      </c>
      <c r="E33" s="70" t="n">
        <v>25</v>
      </c>
      <c r="F33" s="70" t="n">
        <f aca="false">D33*E33</f>
        <v>2500</v>
      </c>
      <c r="G33" s="71" t="n">
        <v>43376</v>
      </c>
      <c r="H33" s="70" t="n">
        <v>28.9</v>
      </c>
      <c r="I33" s="70" t="n">
        <f aca="false">H33*D33-8.15</f>
        <v>2881.85</v>
      </c>
      <c r="J33" s="70" t="n">
        <f aca="false">D33*H33-F33</f>
        <v>390</v>
      </c>
      <c r="K33" s="72" t="n">
        <f aca="false">J33/F33</f>
        <v>0.156</v>
      </c>
      <c r="L33" s="73" t="n">
        <v>29.4</v>
      </c>
      <c r="M33" s="73" t="n">
        <f aca="false">L33*D33</f>
        <v>2940</v>
      </c>
      <c r="N33" s="73" t="n">
        <f aca="false">M33-F33</f>
        <v>440</v>
      </c>
      <c r="O33" s="74" t="n">
        <f aca="false">N33/F33</f>
        <v>0.176</v>
      </c>
      <c r="R33" s="8"/>
      <c r="S33" s="0" t="n">
        <v>4</v>
      </c>
      <c r="T33" s="0" t="s">
        <v>185</v>
      </c>
      <c r="U33" s="0" t="n">
        <v>2</v>
      </c>
      <c r="V33" s="0" t="n">
        <f aca="false">U33*S33</f>
        <v>8</v>
      </c>
      <c r="W33" s="0" t="n">
        <v>2</v>
      </c>
      <c r="X33" s="0" t="n">
        <f aca="false">W33*S33</f>
        <v>8</v>
      </c>
    </row>
    <row r="34" customFormat="false" ht="14.65" hidden="false" customHeight="true" outlineLevel="0" collapsed="false">
      <c r="A34" s="68" t="s">
        <v>37</v>
      </c>
      <c r="B34" s="68" t="s">
        <v>123</v>
      </c>
      <c r="C34" s="69" t="n">
        <v>43333</v>
      </c>
      <c r="D34" s="68" t="n">
        <v>300</v>
      </c>
      <c r="E34" s="70" t="n">
        <v>9.5</v>
      </c>
      <c r="F34" s="70" t="n">
        <f aca="false">D34*E34</f>
        <v>2850</v>
      </c>
      <c r="G34" s="71" t="n">
        <v>43381</v>
      </c>
      <c r="H34" s="70" t="n">
        <v>11.09</v>
      </c>
      <c r="I34" s="70" t="n">
        <f aca="false">H34*D34-8.75</f>
        <v>3318.25</v>
      </c>
      <c r="J34" s="70" t="n">
        <f aca="false">D34*H34-F34</f>
        <v>477</v>
      </c>
      <c r="K34" s="72" t="n">
        <f aca="false">J34/F34</f>
        <v>0.167368421052632</v>
      </c>
      <c r="L34" s="73" t="n">
        <v>10.5</v>
      </c>
      <c r="M34" s="73" t="n">
        <f aca="false">L34*D34</f>
        <v>3150</v>
      </c>
      <c r="N34" s="73" t="n">
        <f aca="false">M34-F34</f>
        <v>300</v>
      </c>
      <c r="O34" s="74" t="n">
        <f aca="false">N34/F34</f>
        <v>0.105263157894737</v>
      </c>
      <c r="V34" s="0" t="n">
        <f aca="false">SUM(V31:V33)</f>
        <v>81.3</v>
      </c>
      <c r="X34" s="0" t="n">
        <f aca="false">SUM(X31:X33)</f>
        <v>81.3</v>
      </c>
    </row>
    <row r="35" customFormat="false" ht="14.65" hidden="false" customHeight="true" outlineLevel="0" collapsed="false">
      <c r="A35" s="68" t="s">
        <v>38</v>
      </c>
      <c r="B35" s="68" t="s">
        <v>98</v>
      </c>
      <c r="C35" s="69" t="n">
        <v>43356</v>
      </c>
      <c r="D35" s="68" t="n">
        <v>400</v>
      </c>
      <c r="E35" s="70" t="n">
        <v>6.3875</v>
      </c>
      <c r="F35" s="70" t="n">
        <f aca="false">D35*E35</f>
        <v>2555</v>
      </c>
      <c r="G35" s="71" t="n">
        <v>43381</v>
      </c>
      <c r="H35" s="70" t="n">
        <v>9.41</v>
      </c>
      <c r="I35" s="70" t="n">
        <f aca="false">H35*D35-8.75</f>
        <v>3755.25</v>
      </c>
      <c r="J35" s="70" t="n">
        <f aca="false">D35*H35-F35</f>
        <v>1209</v>
      </c>
      <c r="K35" s="72" t="n">
        <f aca="false">J35/F35</f>
        <v>0.473189823874755</v>
      </c>
      <c r="L35" s="73" t="n">
        <v>8.8</v>
      </c>
      <c r="M35" s="73" t="n">
        <f aca="false">L35*D35</f>
        <v>3520</v>
      </c>
      <c r="N35" s="73" t="n">
        <f aca="false">M35-F35</f>
        <v>965</v>
      </c>
      <c r="O35" s="74" t="n">
        <f aca="false">N35/F35</f>
        <v>0.377690802348337</v>
      </c>
      <c r="R35" s="13"/>
      <c r="T35" s="0" t="s">
        <v>186</v>
      </c>
      <c r="U35" s="0" t="n">
        <f aca="false">V34+X34</f>
        <v>162.6</v>
      </c>
    </row>
    <row r="36" customFormat="false" ht="14.65" hidden="false" customHeight="true" outlineLevel="0" collapsed="false">
      <c r="A36" s="68" t="s">
        <v>16</v>
      </c>
      <c r="B36" s="68" t="s">
        <v>96</v>
      </c>
      <c r="C36" s="69" t="n">
        <v>43361</v>
      </c>
      <c r="D36" s="68" t="n">
        <v>400</v>
      </c>
      <c r="E36" s="70" t="n">
        <v>12.81</v>
      </c>
      <c r="F36" s="70" t="n">
        <f aca="false">D36*E36</f>
        <v>5124</v>
      </c>
      <c r="G36" s="71" t="n">
        <v>43404</v>
      </c>
      <c r="H36" s="70" t="n">
        <v>13.35</v>
      </c>
      <c r="I36" s="70" t="n">
        <f aca="false">H36*D36-8.75</f>
        <v>5331.25</v>
      </c>
      <c r="J36" s="70" t="n">
        <f aca="false">D36*H36-F36</f>
        <v>216</v>
      </c>
      <c r="K36" s="72" t="n">
        <f aca="false">J36/F36</f>
        <v>0.0421545667447307</v>
      </c>
      <c r="L36" s="73" t="n">
        <v>12.9</v>
      </c>
      <c r="M36" s="73" t="n">
        <f aca="false">L36*D36</f>
        <v>5160</v>
      </c>
      <c r="N36" s="73" t="n">
        <f aca="false">M36-F36</f>
        <v>36</v>
      </c>
      <c r="O36" s="74" t="n">
        <f aca="false">N36/F36</f>
        <v>0.00702576112412178</v>
      </c>
      <c r="T36" s="0" t="s">
        <v>187</v>
      </c>
      <c r="U36" s="0" t="n">
        <f aca="false">U35/5</f>
        <v>32.52</v>
      </c>
    </row>
    <row r="37" customFormat="false" ht="14.65" hidden="false" customHeight="true" outlineLevel="0" collapsed="false">
      <c r="A37" s="68" t="s">
        <v>20</v>
      </c>
      <c r="B37" s="68" t="s">
        <v>175</v>
      </c>
      <c r="C37" s="69" t="n">
        <v>43381</v>
      </c>
      <c r="D37" s="68" t="n">
        <v>200</v>
      </c>
      <c r="E37" s="70" t="n">
        <v>19.15</v>
      </c>
      <c r="F37" s="70" t="n">
        <f aca="false">D37*E37</f>
        <v>3830</v>
      </c>
      <c r="G37" s="71" t="n">
        <v>43411</v>
      </c>
      <c r="H37" s="70" t="n">
        <v>21.85</v>
      </c>
      <c r="I37" s="70" t="n">
        <f aca="false">H37*D37-8.75</f>
        <v>4361.25</v>
      </c>
      <c r="J37" s="70" t="n">
        <f aca="false">D37*H37-F37</f>
        <v>540.000000000001</v>
      </c>
      <c r="K37" s="72" t="n">
        <f aca="false">J37/F37</f>
        <v>0.140992167101828</v>
      </c>
      <c r="L37" s="73" t="n">
        <v>21.5</v>
      </c>
      <c r="M37" s="73" t="n">
        <f aca="false">L37*D37</f>
        <v>4300</v>
      </c>
      <c r="N37" s="73" t="n">
        <f aca="false">M37-F37</f>
        <v>470</v>
      </c>
      <c r="O37" s="74" t="n">
        <f aca="false">N37/F37</f>
        <v>0.122715404699739</v>
      </c>
      <c r="T37" s="0" t="s">
        <v>188</v>
      </c>
      <c r="U37" s="0" t="n">
        <f aca="false">22*U36</f>
        <v>715.44</v>
      </c>
      <c r="W37" s="0" t="n">
        <f aca="false">U35*5</f>
        <v>813</v>
      </c>
    </row>
    <row r="38" customFormat="false" ht="14.65" hidden="false" customHeight="true" outlineLevel="0" collapsed="false">
      <c r="A38" s="68" t="s">
        <v>39</v>
      </c>
      <c r="B38" s="68" t="s">
        <v>102</v>
      </c>
      <c r="C38" s="69" t="n">
        <v>43336</v>
      </c>
      <c r="D38" s="68" t="n">
        <v>200</v>
      </c>
      <c r="E38" s="70" t="n">
        <v>14.75</v>
      </c>
      <c r="F38" s="70" t="n">
        <f aca="false">D38*E38</f>
        <v>2950</v>
      </c>
      <c r="G38" s="71" t="n">
        <v>43423</v>
      </c>
      <c r="H38" s="70" t="n">
        <v>24.98</v>
      </c>
      <c r="I38" s="70" t="n">
        <f aca="false">H38*D38-8.75</f>
        <v>4987.25</v>
      </c>
      <c r="J38" s="70" t="n">
        <f aca="false">D38*H38-F38</f>
        <v>2046</v>
      </c>
      <c r="K38" s="72" t="n">
        <f aca="false">J38/F38</f>
        <v>0.693559322033898</v>
      </c>
      <c r="L38" s="73" t="n">
        <v>22.5</v>
      </c>
      <c r="M38" s="73" t="n">
        <f aca="false">L38*D38</f>
        <v>4500</v>
      </c>
      <c r="N38" s="73" t="n">
        <f aca="false">M38-F38</f>
        <v>1550</v>
      </c>
      <c r="O38" s="74" t="n">
        <f aca="false">N38/F38</f>
        <v>0.525423728813559</v>
      </c>
    </row>
    <row r="39" customFormat="false" ht="14.65" hidden="false" customHeight="true" outlineLevel="0" collapsed="false">
      <c r="A39" s="68" t="s">
        <v>35</v>
      </c>
      <c r="B39" s="68" t="s">
        <v>140</v>
      </c>
      <c r="C39" s="69" t="n">
        <v>43403</v>
      </c>
      <c r="D39" s="68" t="n">
        <v>300</v>
      </c>
      <c r="E39" s="68" t="n">
        <v>11.78</v>
      </c>
      <c r="F39" s="70" t="n">
        <f aca="false">D39*E39</f>
        <v>3534</v>
      </c>
      <c r="G39" s="71" t="n">
        <v>43509</v>
      </c>
      <c r="H39" s="68" t="n">
        <v>13.01</v>
      </c>
      <c r="I39" s="70" t="n">
        <f aca="false">H39*D39-8.75</f>
        <v>3894.25</v>
      </c>
      <c r="J39" s="70" t="n">
        <f aca="false">D39*H39-F39</f>
        <v>369</v>
      </c>
      <c r="K39" s="72" t="n">
        <f aca="false">J39/F39</f>
        <v>0.104414261460102</v>
      </c>
      <c r="L39" s="73" t="n">
        <v>13</v>
      </c>
      <c r="M39" s="73" t="n">
        <f aca="false">L39*D39</f>
        <v>3900</v>
      </c>
      <c r="N39" s="73" t="n">
        <f aca="false">M39-F39</f>
        <v>366</v>
      </c>
      <c r="O39" s="74" t="n">
        <f aca="false">N39/F39</f>
        <v>0.103565365025467</v>
      </c>
    </row>
    <row r="40" customFormat="false" ht="14.65" hidden="false" customHeight="true" outlineLevel="0" collapsed="false">
      <c r="A40" s="68"/>
      <c r="B40" s="68"/>
      <c r="C40" s="69"/>
      <c r="D40" s="68"/>
      <c r="E40" s="70"/>
      <c r="F40" s="70"/>
      <c r="G40" s="71"/>
      <c r="H40" s="70"/>
      <c r="I40" s="70"/>
      <c r="J40" s="70"/>
      <c r="K40" s="72"/>
      <c r="L40" s="73"/>
      <c r="M40" s="73"/>
      <c r="N40" s="73"/>
      <c r="O40" s="74"/>
    </row>
    <row r="41" customFormat="false" ht="14.65" hidden="false" customHeight="true" outlineLevel="0" collapsed="false">
      <c r="I41" s="70"/>
    </row>
    <row r="42" customFormat="false" ht="14.65" hidden="false" customHeight="true" outlineLevel="0" collapsed="false">
      <c r="A42" s="23" t="s">
        <v>43</v>
      </c>
      <c r="B42" s="23"/>
      <c r="C42" s="23"/>
      <c r="D42" s="22"/>
      <c r="E42" s="22"/>
      <c r="F42" s="24" t="n">
        <f aca="false">SUM(F32:F41)</f>
        <v>24558</v>
      </c>
      <c r="G42" s="22"/>
      <c r="H42" s="22"/>
      <c r="I42" s="24" t="n">
        <f aca="false">SUM(I32:I41)</f>
        <v>29808.35</v>
      </c>
      <c r="J42" s="24" t="n">
        <f aca="false">SUM(J32:J41)</f>
        <v>5315</v>
      </c>
      <c r="K42" s="25" t="n">
        <f aca="false">J42/F42</f>
        <v>0.216426419089502</v>
      </c>
      <c r="L42" s="22"/>
      <c r="M42" s="24" t="n">
        <f aca="false">SUM(M32:M41)</f>
        <v>28795</v>
      </c>
      <c r="N42" s="24" t="n">
        <f aca="false">SUM(N32:N41)</f>
        <v>4237</v>
      </c>
      <c r="O42" s="25" t="n">
        <f aca="false">N42/F42</f>
        <v>0.172530336346608</v>
      </c>
      <c r="P42" s="59"/>
    </row>
    <row r="43" customFormat="false" ht="14.65" hidden="false" customHeight="true" outlineLevel="0" collapsed="false">
      <c r="A43" s="75"/>
      <c r="B43" s="75"/>
      <c r="C43" s="75"/>
      <c r="D43" s="76"/>
      <c r="E43" s="76"/>
      <c r="F43" s="77"/>
      <c r="G43" s="76"/>
      <c r="H43" s="76"/>
      <c r="I43" s="77"/>
      <c r="J43" s="77"/>
      <c r="K43" s="78"/>
      <c r="L43" s="76"/>
      <c r="M43" s="77"/>
      <c r="N43" s="77"/>
      <c r="O43" s="78"/>
    </row>
    <row r="44" customFormat="false" ht="14.65" hidden="false" customHeight="true" outlineLevel="0" collapsed="false">
      <c r="A44" s="79" t="s">
        <v>189</v>
      </c>
      <c r="B44" s="79"/>
      <c r="C44" s="75"/>
      <c r="D44" s="76"/>
      <c r="E44" s="76"/>
      <c r="F44" s="77"/>
      <c r="G44" s="76"/>
      <c r="H44" s="76"/>
      <c r="I44" s="77"/>
      <c r="J44" s="77"/>
      <c r="K44" s="78"/>
      <c r="L44" s="76"/>
      <c r="M44" s="77"/>
      <c r="N44" s="77"/>
      <c r="O44" s="78"/>
    </row>
    <row r="45" customFormat="false" ht="14.65" hidden="false" customHeight="true" outlineLevel="0" collapsed="false">
      <c r="A45" s="75"/>
      <c r="B45" s="75"/>
      <c r="C45" s="75"/>
      <c r="D45" s="76"/>
      <c r="E45" s="76"/>
      <c r="F45" s="77"/>
      <c r="G45" s="76"/>
      <c r="H45" s="76"/>
      <c r="I45" s="77"/>
      <c r="J45" s="77"/>
      <c r="K45" s="78"/>
      <c r="L45" s="76"/>
      <c r="M45" s="77"/>
      <c r="N45" s="77"/>
      <c r="O45" s="78"/>
    </row>
    <row r="46" customFormat="false" ht="14.65" hidden="false" customHeight="true" outlineLevel="0" collapsed="false">
      <c r="A46" s="4" t="s">
        <v>4</v>
      </c>
      <c r="B46" s="4" t="s">
        <v>5</v>
      </c>
      <c r="C46" s="4" t="s">
        <v>190</v>
      </c>
      <c r="D46" s="4" t="s">
        <v>191</v>
      </c>
      <c r="E46" s="4" t="s">
        <v>192</v>
      </c>
      <c r="F46" s="4" t="s">
        <v>193</v>
      </c>
      <c r="G46" s="4" t="s">
        <v>194</v>
      </c>
      <c r="H46" s="4" t="s">
        <v>47</v>
      </c>
      <c r="I46" s="4" t="s">
        <v>195</v>
      </c>
      <c r="J46" s="4" t="s">
        <v>8</v>
      </c>
      <c r="K46" s="4" t="s">
        <v>196</v>
      </c>
      <c r="L46" s="4" t="s">
        <v>197</v>
      </c>
      <c r="M46" s="77"/>
      <c r="N46" s="77"/>
      <c r="O46" s="78"/>
    </row>
    <row r="47" customFormat="false" ht="14.65" hidden="false" customHeight="true" outlineLevel="0" collapsed="false">
      <c r="A47" s="80" t="s">
        <v>198</v>
      </c>
      <c r="B47" s="64" t="s">
        <v>199</v>
      </c>
      <c r="C47" s="64" t="s">
        <v>200</v>
      </c>
      <c r="D47" s="81" t="n">
        <v>40128</v>
      </c>
      <c r="E47" s="82" t="s">
        <v>201</v>
      </c>
      <c r="F47" s="83" t="n">
        <v>149.72</v>
      </c>
      <c r="G47" s="84" t="n">
        <v>0.5</v>
      </c>
      <c r="H47" s="85" t="n">
        <v>0.8</v>
      </c>
      <c r="I47" s="86" t="n">
        <v>165000</v>
      </c>
      <c r="J47" s="83" t="n">
        <v>170.2</v>
      </c>
      <c r="K47" s="87" t="n">
        <v>0.017</v>
      </c>
      <c r="L47" s="87" t="s">
        <v>202</v>
      </c>
      <c r="M47" s="76" t="str">
        <f aca="false">CONCATENATE("https://www.fundsexplorer.com.br/funds/",A47)</f>
        <v>https://www.fundsexplorer.com.br/funds/HGJH11</v>
      </c>
      <c r="N47" s="77"/>
      <c r="O47" s="78"/>
    </row>
    <row r="48" customFormat="false" ht="14.65" hidden="false" customHeight="true" outlineLevel="0" collapsed="false">
      <c r="A48" s="80" t="s">
        <v>117</v>
      </c>
      <c r="B48" s="64" t="s">
        <v>118</v>
      </c>
      <c r="C48" s="64" t="s">
        <v>203</v>
      </c>
      <c r="D48" s="81" t="n">
        <v>39126</v>
      </c>
      <c r="E48" s="82" t="s">
        <v>201</v>
      </c>
      <c r="F48" s="83" t="n">
        <v>140</v>
      </c>
      <c r="G48" s="84" t="n">
        <v>0.5</v>
      </c>
      <c r="H48" s="82" t="n">
        <v>1.3107</v>
      </c>
      <c r="I48" s="82" t="n">
        <v>714516</v>
      </c>
      <c r="J48" s="83" t="n">
        <v>149</v>
      </c>
      <c r="K48" s="87" t="n">
        <v>0.25</v>
      </c>
      <c r="L48" s="87" t="s">
        <v>204</v>
      </c>
      <c r="M48" s="76" t="str">
        <f aca="false">CONCATENATE("https://www.fundsexplorer.com.br/funds/",A48)</f>
        <v>https://www.fundsexplorer.com.br/funds/HTMX11</v>
      </c>
      <c r="N48" s="77"/>
      <c r="O48" s="78"/>
    </row>
    <row r="49" customFormat="false" ht="14.65" hidden="false" customHeight="true" outlineLevel="0" collapsed="false">
      <c r="A49" s="80" t="s">
        <v>205</v>
      </c>
      <c r="B49" s="64" t="s">
        <v>206</v>
      </c>
      <c r="C49" s="64" t="s">
        <v>207</v>
      </c>
      <c r="D49" s="81" t="n">
        <v>39307</v>
      </c>
      <c r="E49" s="82" t="s">
        <v>201</v>
      </c>
      <c r="F49" s="83" t="n">
        <v>77.11</v>
      </c>
      <c r="G49" s="84" t="n">
        <v>0.17</v>
      </c>
      <c r="H49" s="82" t="n">
        <v>0.52</v>
      </c>
      <c r="I49" s="86" t="n">
        <v>1851786</v>
      </c>
      <c r="J49" s="83" t="n">
        <v>89.7</v>
      </c>
      <c r="K49" s="87" t="n">
        <v>0</v>
      </c>
      <c r="L49" s="0" t="s">
        <v>208</v>
      </c>
      <c r="M49" s="76" t="str">
        <f aca="false">CONCATENATE("https://www.fundsexplorer.com.br/funds/",A49)</f>
        <v>https://www.fundsexplorer.com.br/funds/RBRD11</v>
      </c>
      <c r="N49" s="77"/>
      <c r="O49" s="78"/>
    </row>
    <row r="50" customFormat="false" ht="14.65" hidden="false" customHeight="true" outlineLevel="0" collapsed="false">
      <c r="A50" s="80" t="s">
        <v>209</v>
      </c>
      <c r="B50" s="64" t="s">
        <v>210</v>
      </c>
      <c r="C50" s="64" t="s">
        <v>211</v>
      </c>
      <c r="D50" s="81" t="n">
        <v>39548</v>
      </c>
      <c r="E50" s="82" t="s">
        <v>201</v>
      </c>
      <c r="F50" s="83" t="n">
        <v>100.73</v>
      </c>
      <c r="G50" s="84" t="n">
        <v>0.3</v>
      </c>
      <c r="H50" s="82" t="n">
        <v>0.62</v>
      </c>
      <c r="I50" s="86" t="n">
        <v>275000</v>
      </c>
      <c r="J50" s="83" t="n">
        <v>104.2</v>
      </c>
      <c r="K50" s="87"/>
      <c r="M50" s="76" t="str">
        <f aca="false">CONCATENATE("https://www.fundsexplorer.com.br/funds/",A50)</f>
        <v>https://www.fundsexplorer.com.br/funds/FEXC11</v>
      </c>
      <c r="N50" s="77"/>
      <c r="O50" s="78"/>
    </row>
    <row r="51" customFormat="false" ht="14.65" hidden="false" customHeight="true" outlineLevel="0" collapsed="false">
      <c r="A51" s="80" t="s">
        <v>212</v>
      </c>
      <c r="B51" s="64" t="s">
        <v>213</v>
      </c>
      <c r="C51" s="64" t="s">
        <v>214</v>
      </c>
      <c r="D51" s="81" t="n">
        <v>40716</v>
      </c>
      <c r="E51" s="82" t="s">
        <v>201</v>
      </c>
      <c r="F51" s="83" t="n">
        <v>1178.4</v>
      </c>
      <c r="G51" s="84" t="n">
        <v>0.3</v>
      </c>
      <c r="H51" s="82" t="n">
        <v>8</v>
      </c>
      <c r="I51" s="86" t="n">
        <v>101664</v>
      </c>
      <c r="J51" s="83" t="n">
        <v>1110.52</v>
      </c>
      <c r="K51" s="87" t="n">
        <v>0</v>
      </c>
      <c r="L51" s="0" t="s">
        <v>215</v>
      </c>
      <c r="M51" s="76" t="str">
        <f aca="false">CONCATENATE("https://www.fundsexplorer.com.br/funds/",A51)</f>
        <v>https://www.fundsexplorer.com.br/funds/MBRF11</v>
      </c>
      <c r="N51" s="77"/>
      <c r="O51" s="78"/>
    </row>
    <row r="52" customFormat="false" ht="14.65" hidden="false" customHeight="true" outlineLevel="0" collapsed="false">
      <c r="A52" s="80" t="s">
        <v>216</v>
      </c>
      <c r="B52" s="64" t="s">
        <v>217</v>
      </c>
      <c r="C52" s="64" t="s">
        <v>211</v>
      </c>
      <c r="D52" s="81" t="n">
        <v>40191</v>
      </c>
      <c r="E52" s="82" t="s">
        <v>201</v>
      </c>
      <c r="F52" s="83" t="n">
        <v>104.6</v>
      </c>
      <c r="G52" s="84" t="n">
        <v>0.8</v>
      </c>
      <c r="H52" s="82" t="n">
        <v>0.97</v>
      </c>
      <c r="I52" s="86" t="n">
        <v>30000</v>
      </c>
      <c r="J52" s="83" t="n">
        <v>119.25</v>
      </c>
      <c r="K52" s="87"/>
      <c r="M52" s="76" t="str">
        <f aca="false">CONCATENATE("https://www.fundsexplorer.com.br/funds/",A52)</f>
        <v>https://www.fundsexplorer.com.br/funds/HGCR11</v>
      </c>
      <c r="N52" s="77"/>
      <c r="O52" s="78"/>
    </row>
    <row r="53" customFormat="false" ht="14.65" hidden="false" customHeight="true" outlineLevel="0" collapsed="false">
      <c r="A53" s="80" t="s">
        <v>218</v>
      </c>
      <c r="B53" s="64" t="s">
        <v>219</v>
      </c>
      <c r="C53" s="64" t="s">
        <v>207</v>
      </c>
      <c r="D53" s="81" t="n">
        <v>40753</v>
      </c>
      <c r="E53" s="82" t="s">
        <v>201</v>
      </c>
      <c r="F53" s="83" t="n">
        <v>388.22</v>
      </c>
      <c r="G53" s="88" t="s">
        <v>220</v>
      </c>
      <c r="H53" s="82" t="n">
        <v>2.68</v>
      </c>
      <c r="I53" s="86" t="n">
        <v>664516</v>
      </c>
      <c r="J53" s="83" t="n">
        <v>435</v>
      </c>
      <c r="K53" s="87"/>
      <c r="L53" s="0" t="s">
        <v>221</v>
      </c>
      <c r="M53" s="76" t="str">
        <f aca="false">CONCATENATE("https://www.fundsexplorer.com.br/funds/",A53)</f>
        <v>https://www.fundsexplorer.com.br/funds/FIIB11</v>
      </c>
      <c r="N53" s="77"/>
      <c r="O53" s="78"/>
    </row>
    <row r="54" customFormat="false" ht="14.65" hidden="false" customHeight="true" outlineLevel="0" collapsed="false">
      <c r="A54" s="80" t="s">
        <v>19</v>
      </c>
      <c r="B54" s="64" t="s">
        <v>222</v>
      </c>
      <c r="C54" s="64" t="s">
        <v>223</v>
      </c>
      <c r="D54" s="81" t="n">
        <v>43040</v>
      </c>
      <c r="E54" s="82" t="s">
        <v>201</v>
      </c>
      <c r="F54" s="83" t="n">
        <v>101.8</v>
      </c>
      <c r="G54" s="84" t="n">
        <v>1.35</v>
      </c>
      <c r="H54" s="82" t="n">
        <v>0.6</v>
      </c>
      <c r="I54" s="86" t="n">
        <v>3215033</v>
      </c>
      <c r="J54" s="83" t="n">
        <v>107.98</v>
      </c>
      <c r="K54" s="87" t="n">
        <v>0.048</v>
      </c>
      <c r="L54" s="0" t="s">
        <v>224</v>
      </c>
      <c r="M54" s="76" t="str">
        <f aca="false">CONCATENATE("https://www.fundsexplorer.com.br/funds/",A54)</f>
        <v>https://www.fundsexplorer.com.br/funds/VISC11</v>
      </c>
      <c r="N54" s="77"/>
      <c r="O54" s="78"/>
    </row>
    <row r="55" customFormat="false" ht="14.65" hidden="false" customHeight="true" outlineLevel="0" collapsed="false">
      <c r="A55" s="80" t="s">
        <v>18</v>
      </c>
      <c r="B55" s="64" t="s">
        <v>159</v>
      </c>
      <c r="C55" s="64" t="s">
        <v>225</v>
      </c>
      <c r="D55" s="81" t="n">
        <v>43252</v>
      </c>
      <c r="E55" s="82" t="s">
        <v>201</v>
      </c>
      <c r="F55" s="83" t="n">
        <v>96.08</v>
      </c>
      <c r="G55" s="84" t="n">
        <v>0.95</v>
      </c>
      <c r="H55" s="82" t="n">
        <v>0.65</v>
      </c>
      <c r="I55" s="86" t="n">
        <v>3661150</v>
      </c>
      <c r="J55" s="83" t="n">
        <v>102</v>
      </c>
      <c r="K55" s="87" t="n">
        <v>0</v>
      </c>
      <c r="L55" s="0" t="s">
        <v>226</v>
      </c>
      <c r="M55" s="76" t="str">
        <f aca="false">CONCATENATE("https://www.fundsexplorer.com.br/funds/",A55)</f>
        <v>https://www.fundsexplorer.com.br/funds/XPLG11</v>
      </c>
      <c r="N55" s="77"/>
      <c r="O55" s="78"/>
    </row>
    <row r="56" customFormat="false" ht="14.65" hidden="false" customHeight="true" outlineLevel="0" collapsed="false">
      <c r="A56" s="80" t="s">
        <v>227</v>
      </c>
      <c r="B56" s="89" t="s">
        <v>228</v>
      </c>
      <c r="C56" s="64" t="s">
        <v>223</v>
      </c>
      <c r="D56" s="90" t="s">
        <v>220</v>
      </c>
      <c r="E56" s="82" t="s">
        <v>201</v>
      </c>
      <c r="F56" s="83" t="n">
        <v>102.47</v>
      </c>
      <c r="G56" s="84" t="n">
        <v>0.95</v>
      </c>
      <c r="H56" s="82" t="n">
        <v>0.88</v>
      </c>
      <c r="I56" s="86" t="n">
        <v>3750000</v>
      </c>
      <c r="J56" s="83" t="n">
        <v>107</v>
      </c>
      <c r="K56" s="87" t="n">
        <v>0.046</v>
      </c>
      <c r="L56" s="0" t="s">
        <v>229</v>
      </c>
      <c r="M56" s="76" t="str">
        <f aca="false">CONCATENATE("https://www.fundsexplorer.com.br/funds/",A56)</f>
        <v>https://www.fundsexplorer.com.br/funds/XPML11</v>
      </c>
      <c r="N56" s="77"/>
      <c r="O56" s="78"/>
    </row>
    <row r="57" customFormat="false" ht="14.65" hidden="false" customHeight="true" outlineLevel="0" collapsed="false">
      <c r="A57" s="80" t="s">
        <v>230</v>
      </c>
      <c r="B57" s="64" t="s">
        <v>231</v>
      </c>
      <c r="C57" s="64" t="s">
        <v>200</v>
      </c>
      <c r="D57" s="81" t="n">
        <v>40444</v>
      </c>
      <c r="E57" s="82" t="s">
        <v>201</v>
      </c>
      <c r="F57" s="83" t="n">
        <v>93.82</v>
      </c>
      <c r="G57" s="84" t="n">
        <v>0.17</v>
      </c>
      <c r="H57" s="82" t="n">
        <v>0.39</v>
      </c>
      <c r="I57" s="86" t="n">
        <v>2150000</v>
      </c>
      <c r="J57" s="83" t="n">
        <v>128</v>
      </c>
      <c r="K57" s="87" t="n">
        <v>0.209</v>
      </c>
      <c r="L57" s="0" t="s">
        <v>232</v>
      </c>
      <c r="M57" s="76" t="str">
        <f aca="false">CONCATENATE("https://www.fundsexplorer.com.br/funds/",A57)</f>
        <v>https://www.fundsexplorer.com.br/funds/FVBI11</v>
      </c>
      <c r="N57" s="77"/>
      <c r="O57" s="78"/>
    </row>
    <row r="58" customFormat="false" ht="14.65" hidden="false" customHeight="true" outlineLevel="0" collapsed="false">
      <c r="A58" s="75"/>
      <c r="B58" s="91"/>
      <c r="C58" s="91"/>
      <c r="D58" s="76"/>
      <c r="E58" s="76"/>
      <c r="F58" s="77"/>
      <c r="G58" s="76"/>
      <c r="H58" s="76"/>
      <c r="I58" s="86"/>
      <c r="J58" s="77"/>
      <c r="K58" s="78"/>
      <c r="L58" s="76"/>
      <c r="M58" s="77"/>
      <c r="N58" s="77"/>
      <c r="O58" s="78"/>
    </row>
    <row r="59" customFormat="false" ht="14.65" hidden="false" customHeight="true" outlineLevel="0" collapsed="false">
      <c r="A59" s="75"/>
      <c r="B59" s="75"/>
      <c r="C59" s="75"/>
      <c r="D59" s="76"/>
      <c r="E59" s="76"/>
      <c r="F59" s="77"/>
      <c r="G59" s="76"/>
      <c r="H59" s="76"/>
      <c r="I59" s="77"/>
      <c r="J59" s="77"/>
      <c r="K59" s="78"/>
      <c r="L59" s="76"/>
      <c r="M59" s="77"/>
      <c r="N59" s="77"/>
      <c r="O59" s="78"/>
    </row>
    <row r="60" customFormat="false" ht="14.65" hidden="false" customHeight="true" outlineLevel="0" collapsed="false">
      <c r="A60" s="75"/>
      <c r="B60" s="75"/>
      <c r="C60" s="75"/>
      <c r="D60" s="76"/>
      <c r="E60" s="76"/>
      <c r="F60" s="77"/>
      <c r="G60" s="76"/>
      <c r="H60" s="76"/>
      <c r="I60" s="77"/>
      <c r="J60" s="77"/>
      <c r="K60" s="78"/>
      <c r="L60" s="76"/>
      <c r="M60" s="77"/>
      <c r="N60" s="77"/>
      <c r="O60" s="78"/>
    </row>
    <row r="61" customFormat="false" ht="14.65" hidden="false" customHeight="true" outlineLevel="0" collapsed="false">
      <c r="A61" s="75"/>
      <c r="B61" s="75"/>
      <c r="C61" s="75"/>
      <c r="D61" s="76"/>
      <c r="E61" s="76"/>
      <c r="F61" s="77"/>
      <c r="G61" s="76"/>
      <c r="H61" s="76"/>
      <c r="I61" s="77"/>
      <c r="J61" s="77"/>
      <c r="K61" s="78"/>
      <c r="L61" s="76"/>
      <c r="M61" s="77"/>
      <c r="N61" s="77"/>
      <c r="O61" s="78"/>
    </row>
    <row r="62" customFormat="false" ht="14.65" hidden="false" customHeight="true" outlineLevel="0" collapsed="false">
      <c r="A62" s="92"/>
      <c r="B62" s="92"/>
      <c r="C62" s="92"/>
      <c r="D62" s="93"/>
      <c r="E62" s="93"/>
      <c r="F62" s="94"/>
      <c r="G62" s="93"/>
      <c r="H62" s="93"/>
      <c r="I62" s="94"/>
      <c r="J62" s="94"/>
      <c r="K62" s="95"/>
      <c r="L62" s="93"/>
      <c r="M62" s="94"/>
      <c r="N62" s="94"/>
      <c r="O62" s="95"/>
    </row>
    <row r="63" customFormat="false" ht="14.65" hidden="false" customHeight="true" outlineLevel="0" collapsed="false">
      <c r="L63" s="3" t="s">
        <v>1</v>
      </c>
      <c r="M63" s="3"/>
      <c r="N63" s="3"/>
      <c r="O63" s="3"/>
    </row>
    <row r="64" customFormat="false" ht="14.65" hidden="false" customHeight="true" outlineLevel="0" collapsed="false">
      <c r="A64" s="4" t="s">
        <v>4</v>
      </c>
      <c r="B64" s="4" t="s">
        <v>5</v>
      </c>
      <c r="C64" s="4" t="s">
        <v>67</v>
      </c>
      <c r="D64" s="4" t="s">
        <v>9</v>
      </c>
      <c r="E64" s="4" t="s">
        <v>7</v>
      </c>
      <c r="F64" s="4" t="s">
        <v>233</v>
      </c>
      <c r="G64" s="4" t="s">
        <v>8</v>
      </c>
      <c r="H64" s="4" t="s">
        <v>234</v>
      </c>
      <c r="I64" s="4" t="s">
        <v>235</v>
      </c>
      <c r="J64" s="4" t="s">
        <v>43</v>
      </c>
      <c r="K64" s="4" t="s">
        <v>236</v>
      </c>
      <c r="L64" s="4" t="s">
        <v>6</v>
      </c>
      <c r="M64" s="4" t="s">
        <v>8</v>
      </c>
      <c r="N64" s="4" t="s">
        <v>11</v>
      </c>
      <c r="O64" s="4" t="s">
        <v>14</v>
      </c>
      <c r="P64" s="4" t="s">
        <v>13</v>
      </c>
    </row>
    <row r="65" customFormat="false" ht="14.65" hidden="false" customHeight="true" outlineLevel="0" collapsed="false">
      <c r="A65" s="0" t="s">
        <v>237</v>
      </c>
      <c r="D65" s="13" t="n">
        <v>322510</v>
      </c>
    </row>
    <row r="66" customFormat="false" ht="14.65" hidden="false" customHeight="true" outlineLevel="0" collapsed="false">
      <c r="A66" s="0" t="s">
        <v>238</v>
      </c>
      <c r="B66" s="0" t="s">
        <v>239</v>
      </c>
      <c r="C66" s="15" t="n">
        <v>43349</v>
      </c>
      <c r="D66" s="13" t="n">
        <v>147832.09</v>
      </c>
      <c r="E66" s="0" t="n">
        <v>1</v>
      </c>
      <c r="J66" s="13" t="n">
        <f aca="false">D66*E66</f>
        <v>147832.09</v>
      </c>
    </row>
    <row r="67" customFormat="false" ht="14.65" hidden="false" customHeight="true" outlineLevel="0" collapsed="false">
      <c r="A67" s="0" t="s">
        <v>240</v>
      </c>
      <c r="B67" s="0" t="s">
        <v>241</v>
      </c>
      <c r="C67" s="15" t="n">
        <v>43349</v>
      </c>
      <c r="D67" s="13" t="n">
        <v>50000</v>
      </c>
      <c r="E67" s="0" t="n">
        <v>62</v>
      </c>
      <c r="F67" s="13" t="n">
        <f aca="false">D67/E67</f>
        <v>806.451612903226</v>
      </c>
      <c r="G67" s="0" t="n">
        <v>803.56</v>
      </c>
      <c r="H67" s="0" t="n">
        <v>199.28</v>
      </c>
      <c r="I67" s="14" t="n">
        <v>0.0995</v>
      </c>
      <c r="J67" s="13" t="n">
        <f aca="false">E67*G67+H67</f>
        <v>50020</v>
      </c>
      <c r="K67" s="15" t="n">
        <v>44197</v>
      </c>
      <c r="L67" s="96" t="n">
        <v>43732</v>
      </c>
      <c r="M67" s="13" t="n">
        <f aca="false">56695.74/62</f>
        <v>914.447419354839</v>
      </c>
      <c r="N67" s="13" t="n">
        <f aca="false">M67*E67</f>
        <v>56695.74</v>
      </c>
      <c r="O67" s="0" t="n">
        <f aca="false">N67-J67</f>
        <v>6675.74000000001</v>
      </c>
      <c r="P67" s="14" t="n">
        <f aca="false">O67/J67</f>
        <v>0.133461415433827</v>
      </c>
      <c r="S67" s="14"/>
    </row>
    <row r="68" customFormat="false" ht="14.65" hidden="false" customHeight="true" outlineLevel="0" collapsed="false">
      <c r="A68" s="0" t="s">
        <v>240</v>
      </c>
      <c r="B68" s="0" t="s">
        <v>242</v>
      </c>
      <c r="C68" s="15" t="n">
        <v>43353</v>
      </c>
      <c r="D68" s="13" t="n">
        <v>25166.96</v>
      </c>
      <c r="E68" s="0" t="n">
        <v>52</v>
      </c>
      <c r="F68" s="13" t="n">
        <f aca="false">(D68+H68)/E68</f>
        <v>485.915769230769</v>
      </c>
      <c r="G68" s="13" t="n">
        <f aca="false">D68/E68</f>
        <v>483.98</v>
      </c>
      <c r="H68" s="0" t="n">
        <v>100.66</v>
      </c>
      <c r="I68" s="14" t="n">
        <v>0.1223</v>
      </c>
      <c r="J68" s="13" t="n">
        <f aca="false">D68+H68</f>
        <v>25267.62</v>
      </c>
      <c r="K68" s="15" t="n">
        <v>45658</v>
      </c>
      <c r="L68" s="15" t="n">
        <f aca="false">L67</f>
        <v>43732</v>
      </c>
      <c r="M68" s="13" t="n">
        <f aca="false">34582.06/52</f>
        <v>665.039615384615</v>
      </c>
      <c r="N68" s="13" t="n">
        <f aca="false">M68*E68</f>
        <v>34582.06</v>
      </c>
      <c r="O68" s="0" t="n">
        <f aca="false">N68-J68</f>
        <v>9314.44</v>
      </c>
      <c r="P68" s="14" t="n">
        <f aca="false">O68/J68</f>
        <v>0.368631473799274</v>
      </c>
      <c r="Q68" s="97" t="s">
        <v>243</v>
      </c>
      <c r="S68" s="14"/>
    </row>
    <row r="69" customFormat="false" ht="14.65" hidden="false" customHeight="true" outlineLevel="0" collapsed="false">
      <c r="A69" s="0" t="s">
        <v>240</v>
      </c>
      <c r="B69" s="0" t="s">
        <v>244</v>
      </c>
      <c r="C69" s="15" t="n">
        <v>43353</v>
      </c>
      <c r="D69" s="13" t="n">
        <v>24614.48</v>
      </c>
      <c r="E69" s="0" t="n">
        <v>11</v>
      </c>
      <c r="F69" s="13" t="n">
        <f aca="false">(D69+H69)/E69</f>
        <v>2246.63</v>
      </c>
      <c r="G69" s="13" t="n">
        <f aca="false">D69/E69</f>
        <v>2237.68</v>
      </c>
      <c r="H69" s="0" t="n">
        <v>98.45</v>
      </c>
      <c r="I69" s="14" t="n">
        <v>0.0586</v>
      </c>
      <c r="J69" s="13" t="n">
        <f aca="false">D69+H69</f>
        <v>24712.93</v>
      </c>
      <c r="K69" s="15" t="n">
        <v>45519</v>
      </c>
      <c r="L69" s="15" t="n">
        <f aca="false">L68</f>
        <v>43732</v>
      </c>
      <c r="M69" s="13" t="n">
        <f aca="false">29994.7/11</f>
        <v>2726.79090909091</v>
      </c>
      <c r="N69" s="13" t="n">
        <f aca="false">M69*E69</f>
        <v>29994.7</v>
      </c>
      <c r="O69" s="0" t="n">
        <f aca="false">N69-J69</f>
        <v>5281.77</v>
      </c>
      <c r="P69" s="14" t="n">
        <f aca="false">O69/J69</f>
        <v>0.213724960981964</v>
      </c>
      <c r="S69" s="14"/>
    </row>
    <row r="70" customFormat="false" ht="14.65" hidden="false" customHeight="true" outlineLevel="0" collapsed="false">
      <c r="A70" s="0" t="s">
        <v>245</v>
      </c>
      <c r="B70" s="0" t="s">
        <v>246</v>
      </c>
      <c r="C70" s="15"/>
      <c r="D70" s="13" t="n">
        <v>136432.6</v>
      </c>
      <c r="E70" s="0" t="n">
        <v>1</v>
      </c>
      <c r="F70" s="13"/>
      <c r="G70" s="13"/>
      <c r="I70" s="14"/>
      <c r="J70" s="13" t="n">
        <f aca="false">D70+H70</f>
        <v>136432.6</v>
      </c>
      <c r="K70" s="15"/>
      <c r="L70" s="15" t="n">
        <f aca="false">L69</f>
        <v>43732</v>
      </c>
      <c r="M70" s="13" t="n">
        <f aca="false">52551.8+52086.43+46371.9</f>
        <v>151010.13</v>
      </c>
      <c r="N70" s="13" t="n">
        <f aca="false">M70*E70</f>
        <v>151010.13</v>
      </c>
      <c r="O70" s="0" t="n">
        <f aca="false">N70-J70</f>
        <v>14577.53</v>
      </c>
      <c r="P70" s="14" t="n">
        <f aca="false">O70/J70</f>
        <v>0.106847850147252</v>
      </c>
    </row>
    <row r="71" customFormat="false" ht="14.65" hidden="false" customHeight="true" outlineLevel="0" collapsed="false">
      <c r="A71" s="0" t="s">
        <v>245</v>
      </c>
      <c r="B71" s="0" t="s">
        <v>247</v>
      </c>
      <c r="C71" s="15"/>
      <c r="D71" s="13" t="n">
        <v>100000</v>
      </c>
      <c r="E71" s="0" t="n">
        <v>1</v>
      </c>
      <c r="F71" s="13"/>
      <c r="G71" s="13"/>
      <c r="I71" s="14"/>
      <c r="J71" s="13" t="n">
        <f aca="false">D71+H71</f>
        <v>100000</v>
      </c>
      <c r="K71" s="15"/>
      <c r="L71" s="15" t="n">
        <f aca="false">L70</f>
        <v>43732</v>
      </c>
      <c r="M71" s="13" t="n">
        <v>111532.32</v>
      </c>
      <c r="N71" s="13" t="n">
        <f aca="false">M71*E71</f>
        <v>111532.32</v>
      </c>
      <c r="O71" s="0" t="n">
        <f aca="false">N71-J71</f>
        <v>11532.32</v>
      </c>
      <c r="P71" s="14" t="n">
        <f aca="false">O71/J71</f>
        <v>0.1153232</v>
      </c>
    </row>
    <row r="72" customFormat="false" ht="14.65" hidden="false" customHeight="true" outlineLevel="0" collapsed="false">
      <c r="A72" s="0" t="s">
        <v>245</v>
      </c>
      <c r="B72" s="0" t="s">
        <v>248</v>
      </c>
      <c r="C72" s="15"/>
      <c r="D72" s="13" t="n">
        <f aca="false">4173.15+4552.57</f>
        <v>8725.72</v>
      </c>
      <c r="E72" s="0" t="n">
        <v>1</v>
      </c>
      <c r="F72" s="13"/>
      <c r="G72" s="13"/>
      <c r="I72" s="14"/>
      <c r="J72" s="13" t="n">
        <f aca="false">D72+H72</f>
        <v>8725.72</v>
      </c>
      <c r="K72" s="15"/>
      <c r="L72" s="15" t="n">
        <v>43723</v>
      </c>
      <c r="M72" s="13" t="n">
        <v>0</v>
      </c>
      <c r="N72" s="13" t="n">
        <f aca="false">M72*E72</f>
        <v>0</v>
      </c>
      <c r="O72" s="0" t="n">
        <v>0</v>
      </c>
      <c r="P72" s="14" t="n">
        <f aca="false">O72/J72</f>
        <v>0</v>
      </c>
    </row>
    <row r="73" customFormat="false" ht="14.65" hidden="false" customHeight="true" outlineLevel="0" collapsed="false">
      <c r="A73" s="0" t="s">
        <v>245</v>
      </c>
      <c r="B73" s="0" t="s">
        <v>249</v>
      </c>
      <c r="C73" s="15"/>
      <c r="D73" s="13" t="n">
        <v>86000</v>
      </c>
      <c r="E73" s="0" t="n">
        <v>1</v>
      </c>
      <c r="F73" s="13"/>
      <c r="G73" s="13"/>
      <c r="I73" s="14"/>
      <c r="J73" s="13" t="n">
        <f aca="false">D73+H73</f>
        <v>86000</v>
      </c>
      <c r="K73" s="15"/>
      <c r="L73" s="15" t="n">
        <f aca="false">L70</f>
        <v>43732</v>
      </c>
      <c r="M73" s="13" t="n">
        <v>86000</v>
      </c>
      <c r="N73" s="13" t="n">
        <f aca="false">M73*E73</f>
        <v>86000</v>
      </c>
      <c r="O73" s="0" t="n">
        <f aca="false">N73-J73</f>
        <v>0</v>
      </c>
      <c r="P73" s="14" t="n">
        <f aca="false">O73/J73</f>
        <v>0</v>
      </c>
    </row>
    <row r="74" customFormat="false" ht="14.65" hidden="false" customHeight="true" outlineLevel="0" collapsed="false">
      <c r="A74" s="0" t="s">
        <v>250</v>
      </c>
      <c r="B74" s="0" t="s">
        <v>251</v>
      </c>
      <c r="C74" s="15" t="n">
        <v>43508</v>
      </c>
      <c r="D74" s="13" t="n">
        <v>2000</v>
      </c>
      <c r="E74" s="0" t="n">
        <v>1</v>
      </c>
      <c r="F74" s="13"/>
      <c r="G74" s="13"/>
      <c r="I74" s="14"/>
      <c r="J74" s="13" t="n">
        <f aca="false">E74*D74</f>
        <v>2000</v>
      </c>
      <c r="K74" s="15"/>
      <c r="L74" s="15" t="n">
        <f aca="false">L73</f>
        <v>43732</v>
      </c>
      <c r="M74" s="13" t="n">
        <v>2550</v>
      </c>
      <c r="N74" s="13" t="n">
        <f aca="false">E74*M74</f>
        <v>2550</v>
      </c>
      <c r="O74" s="0" t="n">
        <f aca="false">N74-J74</f>
        <v>550</v>
      </c>
      <c r="P74" s="14" t="n">
        <f aca="false">O74/J74</f>
        <v>0.275</v>
      </c>
    </row>
    <row r="75" customFormat="false" ht="14.65" hidden="false" customHeight="true" outlineLevel="0" collapsed="false">
      <c r="A75" s="0" t="s">
        <v>220</v>
      </c>
      <c r="B75" s="0" t="s">
        <v>252</v>
      </c>
      <c r="C75" s="15"/>
      <c r="D75" s="13" t="n">
        <f aca="false">Resumo!G48</f>
        <v>85216.6796</v>
      </c>
      <c r="E75" s="0" t="n">
        <v>1</v>
      </c>
      <c r="J75" s="13" t="n">
        <f aca="false">E75*D75</f>
        <v>85216.6796</v>
      </c>
      <c r="M75" s="13" t="n">
        <f aca="false">Resumo!K48</f>
        <v>86597.4</v>
      </c>
      <c r="N75" s="13" t="n">
        <f aca="false">M75*E75</f>
        <v>86597.4</v>
      </c>
      <c r="O75" s="13" t="n">
        <f aca="false">N75-J75</f>
        <v>1380.72039999999</v>
      </c>
      <c r="P75" s="14" t="n">
        <f aca="false">O75/J75</f>
        <v>0.0162024665415383</v>
      </c>
    </row>
    <row r="76" customFormat="false" ht="14.65" hidden="false" customHeight="true" outlineLevel="0" collapsed="false">
      <c r="A76" s="0" t="s">
        <v>253</v>
      </c>
      <c r="B76" s="0" t="s">
        <v>254</v>
      </c>
      <c r="C76" s="15"/>
      <c r="D76" s="13" t="n">
        <f aca="false">SUM(I32:I35)</f>
        <v>11234.35</v>
      </c>
      <c r="J76" s="13"/>
    </row>
    <row r="77" customFormat="false" ht="14.65" hidden="false" customHeight="true" outlineLevel="0" collapsed="false">
      <c r="A77" s="0" t="s">
        <v>220</v>
      </c>
      <c r="B77" s="0" t="s">
        <v>255</v>
      </c>
      <c r="C77" s="15"/>
      <c r="D77" s="13" t="n">
        <f aca="false">4700*IF(A77="-",-1,1)</f>
        <v>-4700</v>
      </c>
      <c r="J77" s="13"/>
    </row>
    <row r="78" customFormat="false" ht="14.65" hidden="false" customHeight="true" outlineLevel="0" collapsed="false">
      <c r="A78" s="0" t="s">
        <v>220</v>
      </c>
      <c r="B78" s="0" t="s">
        <v>256</v>
      </c>
      <c r="C78" s="13" t="n">
        <v>1000</v>
      </c>
      <c r="D78" s="13" t="n">
        <f aca="false">C78*IF(A78="-",-1,1)</f>
        <v>-1000</v>
      </c>
      <c r="J78" s="13"/>
    </row>
    <row r="79" customFormat="false" ht="14.65" hidden="false" customHeight="true" outlineLevel="0" collapsed="false">
      <c r="A79" s="0" t="s">
        <v>220</v>
      </c>
      <c r="B79" s="0" t="s">
        <v>257</v>
      </c>
      <c r="C79" s="13" t="n">
        <v>2000</v>
      </c>
      <c r="D79" s="13" t="n">
        <f aca="false">C79*4*IF(A79="-",-1,1)</f>
        <v>-8000</v>
      </c>
      <c r="J79" s="13"/>
    </row>
    <row r="80" customFormat="false" ht="14.65" hidden="false" customHeight="true" outlineLevel="0" collapsed="false">
      <c r="A80" s="24" t="s">
        <v>258</v>
      </c>
      <c r="B80" s="98" t="s">
        <v>249</v>
      </c>
      <c r="C80" s="24" t="n">
        <f aca="false">D65-SUM(J66:J75)</f>
        <v>-343697.6396</v>
      </c>
      <c r="D80" s="24" t="n">
        <f aca="false">SUM(D75:D79)</f>
        <v>82751.0296</v>
      </c>
      <c r="E80" s="24"/>
      <c r="F80" s="24"/>
      <c r="G80" s="24"/>
      <c r="H80" s="24"/>
      <c r="I80" s="24"/>
      <c r="J80" s="24" t="n">
        <f aca="false">SUM(J67:J75)</f>
        <v>518375.5496</v>
      </c>
      <c r="K80" s="24"/>
      <c r="L80" s="24"/>
      <c r="M80" s="24"/>
      <c r="N80" s="24" t="n">
        <f aca="false">SUM(N67:N75)</f>
        <v>558962.35</v>
      </c>
      <c r="O80" s="24" t="n">
        <f aca="false">SUM(O67:O75)</f>
        <v>49312.5204</v>
      </c>
      <c r="P80" s="25" t="n">
        <f aca="false">O80/J80</f>
        <v>0.0951289474166974</v>
      </c>
    </row>
    <row r="82" customFormat="false" ht="14.65" hidden="false" customHeight="true" outlineLevel="0" collapsed="false">
      <c r="C82" s="13" t="n">
        <v>69576</v>
      </c>
    </row>
    <row r="84" customFormat="false" ht="12.75" hidden="false" customHeight="true" outlineLevel="0" collapsed="false">
      <c r="A84" s="0" t="s">
        <v>259</v>
      </c>
      <c r="C84" s="0" t="s">
        <v>260</v>
      </c>
      <c r="D84" s="0" t="s">
        <v>9</v>
      </c>
      <c r="E84" s="0" t="s">
        <v>6</v>
      </c>
      <c r="F84" s="0" t="s">
        <v>261</v>
      </c>
      <c r="G84" s="0" t="s">
        <v>11</v>
      </c>
    </row>
    <row r="85" customFormat="false" ht="14.65" hidden="false" customHeight="true" outlineLevel="0" collapsed="false">
      <c r="A85" s="0" t="s">
        <v>262</v>
      </c>
      <c r="B85" s="0" t="s">
        <v>263</v>
      </c>
      <c r="C85" s="0" t="n">
        <v>117920</v>
      </c>
      <c r="D85" s="0" t="n">
        <v>64000</v>
      </c>
      <c r="E85" s="15" t="n">
        <v>37822</v>
      </c>
      <c r="F85" s="99" t="n">
        <v>1</v>
      </c>
      <c r="G85" s="100" t="n">
        <f aca="false">D85*(1+F85)</f>
        <v>128000</v>
      </c>
    </row>
    <row r="86" customFormat="false" ht="14.65" hidden="false" customHeight="true" outlineLevel="0" collapsed="false">
      <c r="A86" s="0" t="s">
        <v>264</v>
      </c>
      <c r="B86" s="0" t="s">
        <v>265</v>
      </c>
      <c r="C86" s="0" t="n">
        <v>275822</v>
      </c>
      <c r="D86" s="0" t="n">
        <v>220000</v>
      </c>
      <c r="E86" s="15" t="n">
        <v>40744</v>
      </c>
      <c r="F86" s="99" t="n">
        <v>0.8</v>
      </c>
      <c r="G86" s="100" t="n">
        <f aca="false">D86*(1+F86)</f>
        <v>396000</v>
      </c>
    </row>
    <row r="87" customFormat="false" ht="14.65" hidden="false" customHeight="true" outlineLevel="0" collapsed="false">
      <c r="A87" s="0" t="s">
        <v>266</v>
      </c>
      <c r="B87" s="0" t="s">
        <v>267</v>
      </c>
      <c r="C87" s="0" t="n">
        <v>2882</v>
      </c>
      <c r="D87" s="0" t="n">
        <v>23000</v>
      </c>
      <c r="E87" s="15" t="n">
        <v>42114</v>
      </c>
      <c r="F87" s="99" t="n">
        <v>0.3</v>
      </c>
      <c r="G87" s="100" t="n">
        <f aca="false">D87*(1+F87)</f>
        <v>29900</v>
      </c>
    </row>
    <row r="88" customFormat="false" ht="14.65" hidden="false" customHeight="true" outlineLevel="0" collapsed="false">
      <c r="A88" s="0" t="s">
        <v>266</v>
      </c>
      <c r="B88" s="0" t="s">
        <v>268</v>
      </c>
      <c r="D88" s="0" t="n">
        <v>38000</v>
      </c>
      <c r="E88" s="15" t="n">
        <v>43605</v>
      </c>
      <c r="F88" s="99" t="n">
        <v>0.1</v>
      </c>
      <c r="G88" s="100" t="n">
        <f aca="false">D88*(1+F88)</f>
        <v>41800</v>
      </c>
    </row>
    <row r="89" customFormat="false" ht="14.65" hidden="false" customHeight="true" outlineLevel="0" collapsed="false">
      <c r="D89" s="0" t="n">
        <f aca="false">SUM(D85:D88)</f>
        <v>345000</v>
      </c>
      <c r="F89" s="99" t="n">
        <f aca="false">(G89-D89)/D89</f>
        <v>0.726666666666667</v>
      </c>
      <c r="G89" s="101" t="n">
        <f aca="false">SUM(G85:G88)</f>
        <v>595700</v>
      </c>
    </row>
    <row r="95" customFormat="false" ht="12.75" hidden="false" customHeight="true" outlineLevel="0" collapsed="false">
      <c r="A95" s="0" t="s">
        <v>269</v>
      </c>
      <c r="B95" s="0" t="n">
        <v>142</v>
      </c>
      <c r="C95" s="0" t="n">
        <v>0.6</v>
      </c>
      <c r="D95" s="33" t="n">
        <f aca="false">C95/B95</f>
        <v>0.00422535211267606</v>
      </c>
    </row>
    <row r="100" customFormat="false" ht="12.75" hidden="false" customHeight="true" outlineLevel="0" collapsed="false">
      <c r="F100" s="0" t="n">
        <f aca="false">142*0.42/100</f>
        <v>0.5964</v>
      </c>
    </row>
  </sheetData>
  <mergeCells count="9">
    <mergeCell ref="G10:J10"/>
    <mergeCell ref="K10:N10"/>
    <mergeCell ref="A27:C27"/>
    <mergeCell ref="C30:F30"/>
    <mergeCell ref="G30:K30"/>
    <mergeCell ref="L30:O30"/>
    <mergeCell ref="A42:C42"/>
    <mergeCell ref="A44:B44"/>
    <mergeCell ref="L63:O63"/>
  </mergeCells>
  <hyperlinks>
    <hyperlink ref="G5" r:id="rId1" display="F:\Cotacao"/>
    <hyperlink ref="Q68" r:id="rId2" display="https://tesourodireto.bmfbovespa.com.br/PortalInvestidor/login.aspx?QS=aD355CXhRV6vA5vBWwgW4lpPlJuzTA0wNGNbNI6JoG3fgJlp1nQFfZGInyuirTp8vJISuS0ehW0wo2oLBEs0dDTcaFcCzYhM%2fkCxYCCjZe4eeAUYBy%2fFscDay0Ykh4i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7271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2019-11-05T20:54:17Z</dcterms:created>
  <dc:creator>ewerton</dc:creator>
  <dc:description/>
  <dc:language>pt-BR</dc:language>
  <cp:lastModifiedBy/>
  <dcterms:modified xsi:type="dcterms:W3CDTF">2020-03-03T12:49:42Z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