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Barys\Documents\"/>
    </mc:Choice>
  </mc:AlternateContent>
  <xr:revisionPtr revIDLastSave="0" documentId="13_ncr:1_{CF82D3A9-7346-4460-9752-BACD131E687A}" xr6:coauthVersionLast="47" xr6:coauthVersionMax="47" xr10:uidLastSave="{00000000-0000-0000-0000-000000000000}"/>
  <bookViews>
    <workbookView xWindow="0" yWindow="0" windowWidth="28800" windowHeight="15480" activeTab="1" xr2:uid="{00000000-000D-0000-FFFF-FFFF00000000}"/>
  </bookViews>
  <sheets>
    <sheet name="СВОДКА" sheetId="2" r:id="rId1"/>
    <sheet name="УЗЛЫ" sheetId="1" r:id="rId2"/>
    <sheet name="ВЕТВИ" sheetId="3" r:id="rId3"/>
    <sheet name="СПРАВОЧНИК" sheetId="4" r:id="rId4"/>
  </sheets>
  <definedNames>
    <definedName name="R_оборуд.">ВЕТВИ!$N:$N</definedName>
    <definedName name="R_Оборуд.1">ВЕТВИ!$AK:$AK</definedName>
    <definedName name="Uj">ВЕТВИ!$T:$T</definedName>
    <definedName name="Uj_2">ВЕТВИ!$D:$T</definedName>
    <definedName name="X_оборуд.">ВЕТВИ!$O:$O</definedName>
    <definedName name="Ввод_данных">#REF!</definedName>
    <definedName name="Генератор">СПРАВОЧНИК!$C$151:$F$188</definedName>
    <definedName name="Источник">СПРАВОЧНИК!$S$3:$V$8</definedName>
    <definedName name="Кабель_04">СПРАВОЧНИК!$B$88:$G$104</definedName>
    <definedName name="Кабель_ВВ">СПРАВОЧНИК!$B$30:$F$85</definedName>
    <definedName name="Провод">СПРАВОЧНИК!$B$2:$E$27</definedName>
    <definedName name="СХН">СПРАВОЧНИК!$B$192:$H$198</definedName>
    <definedName name="Транс_2х_обм">СПРАВОЧНИК!$B$107:$J$139</definedName>
    <definedName name="Транс_3х_обм">СПРАВОЧНИК!$B$143:$AN$145</definedName>
    <definedName name="УЗЛЫ">УЗЛЫ!$A:$U</definedName>
    <definedName name="УЗЛЫ_I">ВЕТВИ!$C:$C</definedName>
    <definedName name="УЗЛЫ_J">ВЕТВИ!$D:$D</definedName>
    <definedName name="УЗЛЫ_Qн">ВЕТВИ!$W:$W</definedName>
    <definedName name="УЗЛЫ_Рн">ВЕТВИ!$V:$V</definedName>
    <definedName name="Х_оборуд.1">ВЕТВИ!$AM:$AM</definedName>
    <definedName name="ЧАС_МЕС">СВОДКА!$G$3</definedName>
    <definedName name="ЧАСЫ">СПРАВОЧНИК!$K$2:$M$13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3" l="1"/>
  <c r="B7" i="3"/>
  <c r="A8" i="3"/>
  <c r="B8" i="3"/>
  <c r="A9" i="3"/>
  <c r="B9" i="3"/>
  <c r="A10" i="3"/>
  <c r="B10" i="3"/>
  <c r="A11" i="3"/>
  <c r="B11" i="3"/>
  <c r="A12" i="3"/>
  <c r="B12" i="3"/>
  <c r="A13" i="3"/>
  <c r="B13" i="3"/>
  <c r="A14" i="3"/>
  <c r="B14" i="3"/>
  <c r="A15" i="3"/>
  <c r="B15" i="3"/>
  <c r="AC30" i="3"/>
  <c r="AC29" i="3"/>
  <c r="AL29" i="3"/>
  <c r="AL30" i="3"/>
  <c r="AL31" i="3"/>
  <c r="AL32" i="3"/>
  <c r="AL33" i="3"/>
  <c r="AL34" i="3"/>
  <c r="AJ29" i="3"/>
  <c r="AJ30" i="3"/>
  <c r="AJ31" i="3"/>
  <c r="AJ32" i="3"/>
  <c r="AJ33" i="3"/>
  <c r="AJ34" i="3"/>
  <c r="S30" i="3"/>
  <c r="S29" i="3"/>
  <c r="AD34" i="3" l="1"/>
  <c r="W34" i="3" s="1"/>
  <c r="AC34" i="3"/>
  <c r="S34" i="3"/>
  <c r="Q34" i="3"/>
  <c r="N34" i="3"/>
  <c r="K34" i="3"/>
  <c r="AD33" i="3"/>
  <c r="AC33" i="3"/>
  <c r="S33" i="3"/>
  <c r="AB33" i="3" s="1"/>
  <c r="Q33" i="3"/>
  <c r="N33" i="3"/>
  <c r="K33" i="3"/>
  <c r="AI32" i="3"/>
  <c r="AD32" i="3"/>
  <c r="AC32" i="3"/>
  <c r="AA32" i="3"/>
  <c r="Z32" i="3"/>
  <c r="S32" i="3"/>
  <c r="AB32" i="3" s="1"/>
  <c r="N32" i="3"/>
  <c r="AK32" i="3" s="1"/>
  <c r="L32" i="3"/>
  <c r="K32" i="3"/>
  <c r="AC31" i="3"/>
  <c r="S31" i="3"/>
  <c r="U31" i="3" s="1"/>
  <c r="AD31" i="3" s="1"/>
  <c r="O31" i="3"/>
  <c r="AM31" i="3" s="1"/>
  <c r="N31" i="3"/>
  <c r="AK31" i="3" s="1"/>
  <c r="P30" i="3"/>
  <c r="U30" i="3" s="1"/>
  <c r="AD30" i="3" s="1"/>
  <c r="O30" i="3"/>
  <c r="AM30" i="3" s="1"/>
  <c r="N30" i="3"/>
  <c r="AK30" i="3" s="1"/>
  <c r="P29" i="3"/>
  <c r="O29" i="3"/>
  <c r="AM29" i="3" s="1"/>
  <c r="N29" i="3"/>
  <c r="AK29" i="3" s="1"/>
  <c r="AD28" i="3"/>
  <c r="AC28" i="3"/>
  <c r="S28" i="3"/>
  <c r="AB28" i="3" s="1"/>
  <c r="Q28" i="3"/>
  <c r="N28" i="3"/>
  <c r="M28" i="3"/>
  <c r="L28" i="3"/>
  <c r="K28" i="3"/>
  <c r="AK33" i="3" l="1"/>
  <c r="O28" i="3"/>
  <c r="AK34" i="3"/>
  <c r="P28" i="3"/>
  <c r="O33" i="3"/>
  <c r="AM33" i="3" s="1"/>
  <c r="Y34" i="3"/>
  <c r="AH34" i="3" s="1"/>
  <c r="Y28" i="3"/>
  <c r="Z28" i="3" s="1"/>
  <c r="AH28" i="3"/>
  <c r="U29" i="3"/>
  <c r="AD29" i="3" s="1"/>
  <c r="O32" i="3"/>
  <c r="AM32" i="3" s="1"/>
  <c r="V34" i="3"/>
  <c r="O34" i="3"/>
  <c r="AM34" i="3" s="1"/>
  <c r="Y32" i="3"/>
  <c r="AH32" i="3" s="1"/>
  <c r="W32" i="3"/>
  <c r="Y33" i="3"/>
  <c r="V32" i="3"/>
  <c r="AF34" i="3" l="1"/>
  <c r="AA28" i="3"/>
  <c r="W28" i="3" s="1"/>
  <c r="AE34" i="3"/>
  <c r="AF32" i="3"/>
  <c r="AE32" i="3"/>
  <c r="AA33" i="3"/>
  <c r="W33" i="3" s="1"/>
  <c r="AH33" i="3"/>
  <c r="Z33" i="3"/>
  <c r="AI28" i="3"/>
  <c r="V28" i="3"/>
  <c r="A6" i="3"/>
  <c r="B6" i="3"/>
  <c r="A16" i="3"/>
  <c r="B16" i="3"/>
  <c r="A17" i="3"/>
  <c r="B17" i="3"/>
  <c r="A18" i="3"/>
  <c r="B18" i="3"/>
  <c r="A19" i="3"/>
  <c r="B19" i="3"/>
  <c r="A20" i="3"/>
  <c r="B20" i="3"/>
  <c r="A21" i="3"/>
  <c r="B21" i="3"/>
  <c r="A22" i="3"/>
  <c r="B22" i="3"/>
  <c r="A23" i="3"/>
  <c r="B23" i="3"/>
  <c r="A24" i="3"/>
  <c r="B24" i="3"/>
  <c r="A25" i="3"/>
  <c r="B25" i="3"/>
  <c r="A26" i="3"/>
  <c r="B26" i="3"/>
  <c r="A27" i="3"/>
  <c r="B27" i="3"/>
  <c r="A28" i="3"/>
  <c r="B28" i="3"/>
  <c r="A29" i="3"/>
  <c r="B29" i="3"/>
  <c r="A30" i="3"/>
  <c r="B30" i="3"/>
  <c r="A31" i="3"/>
  <c r="B31" i="3"/>
  <c r="A32" i="3"/>
  <c r="B32" i="3"/>
  <c r="A33" i="3"/>
  <c r="B33" i="3"/>
  <c r="A34" i="3"/>
  <c r="B34" i="3"/>
  <c r="T34" i="3" l="1"/>
  <c r="AN34" i="3" s="1"/>
  <c r="T32" i="3"/>
  <c r="AN32" i="3" s="1"/>
  <c r="AF28" i="3"/>
  <c r="AE28" i="3"/>
  <c r="V33" i="3"/>
  <c r="AI33" i="3"/>
  <c r="AG34" i="3" l="1"/>
  <c r="T28" i="3"/>
  <c r="AG32" i="3"/>
  <c r="AF33" i="3"/>
  <c r="AE33" i="3"/>
  <c r="AG28" i="3" l="1"/>
  <c r="T33" i="3"/>
  <c r="AN33" i="3" s="1"/>
  <c r="A35" i="3"/>
  <c r="B35" i="3"/>
  <c r="A36" i="3"/>
  <c r="B36" i="3"/>
  <c r="A37" i="3"/>
  <c r="B37" i="3"/>
  <c r="A38" i="3"/>
  <c r="B38" i="3"/>
  <c r="A39" i="3"/>
  <c r="B39" i="3"/>
  <c r="AJ4" i="3"/>
  <c r="AL4" i="3"/>
  <c r="AG33" i="3" l="1"/>
  <c r="A4" i="3"/>
  <c r="B4" i="3"/>
  <c r="AL61" i="3"/>
  <c r="AJ61" i="3"/>
  <c r="AD61" i="3"/>
  <c r="AC61" i="3"/>
  <c r="S61" i="3"/>
  <c r="P61" i="3"/>
  <c r="O61" i="3"/>
  <c r="N61" i="3"/>
  <c r="O4" i="3"/>
  <c r="AM4" i="3" s="1"/>
  <c r="N4" i="3"/>
  <c r="AK4" i="3" s="1"/>
  <c r="S4" i="3"/>
  <c r="C2" i="1" s="1"/>
  <c r="AJ28" i="3" l="1"/>
  <c r="AK28" i="3" s="1"/>
  <c r="AL28" i="3"/>
  <c r="AM28" i="3" s="1"/>
  <c r="AK61" i="3"/>
  <c r="AM61" i="3"/>
  <c r="AF4" i="3"/>
  <c r="AE61" i="3"/>
  <c r="AF61" i="3"/>
  <c r="AE4" i="3"/>
  <c r="AN28" i="3" l="1"/>
  <c r="T61" i="3"/>
  <c r="AG61" i="3" s="1"/>
  <c r="T4" i="3"/>
  <c r="AN61" i="3" l="1"/>
  <c r="AN4" i="3"/>
  <c r="L20" i="1" l="1"/>
  <c r="M20" i="1" s="1"/>
  <c r="L16" i="2" l="1"/>
  <c r="L14" i="2" l="1"/>
  <c r="L13" i="2"/>
  <c r="L9" i="2" l="1"/>
  <c r="L8" i="2"/>
  <c r="L17" i="2" l="1"/>
  <c r="L15" i="2"/>
  <c r="L12" i="2"/>
  <c r="L11" i="2"/>
  <c r="L10" i="2"/>
  <c r="L7" i="2"/>
  <c r="L6" i="2"/>
  <c r="A42" i="3" l="1"/>
  <c r="B42" i="3"/>
  <c r="A43" i="3"/>
  <c r="B43" i="3"/>
  <c r="A44" i="3"/>
  <c r="B44" i="3"/>
  <c r="A45" i="3"/>
  <c r="B45" i="3"/>
  <c r="A46" i="3"/>
  <c r="B46" i="3"/>
  <c r="A47" i="3"/>
  <c r="B47" i="3"/>
  <c r="A48" i="3"/>
  <c r="B48" i="3"/>
  <c r="A49" i="3"/>
  <c r="B49" i="3"/>
  <c r="A50" i="3"/>
  <c r="B50" i="3"/>
  <c r="A51" i="3"/>
  <c r="B51" i="3"/>
  <c r="A52" i="3"/>
  <c r="B52" i="3"/>
  <c r="F3" i="2"/>
  <c r="M13" i="4"/>
  <c r="M12" i="4"/>
  <c r="M11" i="4"/>
  <c r="M10" i="4"/>
  <c r="M9" i="4"/>
  <c r="M8" i="4"/>
  <c r="G3" i="2" s="1"/>
  <c r="M7" i="4"/>
  <c r="M6" i="4"/>
  <c r="M5" i="4"/>
  <c r="M4" i="4"/>
  <c r="M3" i="4"/>
  <c r="M2" i="4"/>
  <c r="U20" i="1" l="1"/>
  <c r="N20" i="1" s="1"/>
  <c r="E79" i="4" l="1"/>
  <c r="E80" i="4"/>
  <c r="E81" i="4"/>
  <c r="E82" i="4"/>
  <c r="E83" i="4"/>
  <c r="E84" i="4"/>
  <c r="E85" i="4"/>
  <c r="E78" i="4"/>
  <c r="A40" i="3" l="1"/>
  <c r="B40" i="3"/>
  <c r="A41" i="3"/>
  <c r="B41" i="3"/>
  <c r="C175" i="4" l="1"/>
  <c r="C172" i="4" s="1"/>
  <c r="C159" i="4"/>
  <c r="F156" i="4"/>
  <c r="F187" i="4" s="1"/>
  <c r="F188" i="4" s="1"/>
  <c r="C156" i="4"/>
  <c r="C187" i="4" s="1"/>
  <c r="C188" i="4" s="1"/>
  <c r="AM146" i="4"/>
  <c r="AL146" i="4"/>
  <c r="AN146" i="4" s="1"/>
  <c r="AK146" i="4"/>
  <c r="AJ146" i="4"/>
  <c r="AI146" i="4"/>
  <c r="AH146" i="4"/>
  <c r="AG146" i="4"/>
  <c r="AF146" i="4"/>
  <c r="AA146" i="4"/>
  <c r="Z146" i="4"/>
  <c r="Y146" i="4"/>
  <c r="X146" i="4"/>
  <c r="W146" i="4"/>
  <c r="V146" i="4"/>
  <c r="AE146" i="4" s="1"/>
  <c r="AM145" i="4"/>
  <c r="AL145" i="4"/>
  <c r="AK145" i="4"/>
  <c r="AJ145" i="4"/>
  <c r="AI145" i="4"/>
  <c r="AH145" i="4"/>
  <c r="AA145" i="4"/>
  <c r="Z145" i="4"/>
  <c r="Y145" i="4"/>
  <c r="X145" i="4"/>
  <c r="W145" i="4"/>
  <c r="V145" i="4"/>
  <c r="AM144" i="4"/>
  <c r="AL144" i="4"/>
  <c r="AK144" i="4"/>
  <c r="AJ144" i="4"/>
  <c r="AI144" i="4"/>
  <c r="AH144" i="4"/>
  <c r="AA144" i="4"/>
  <c r="Z144" i="4"/>
  <c r="Y144" i="4"/>
  <c r="X144" i="4"/>
  <c r="AG144" i="4" s="1"/>
  <c r="W144" i="4"/>
  <c r="AF144" i="4" s="1"/>
  <c r="V144" i="4"/>
  <c r="AE144" i="4" s="1"/>
  <c r="AM143" i="4"/>
  <c r="AL143" i="4"/>
  <c r="AK143" i="4"/>
  <c r="AJ143" i="4"/>
  <c r="AI143" i="4"/>
  <c r="AH143" i="4"/>
  <c r="AA143" i="4"/>
  <c r="Z143" i="4"/>
  <c r="Y143" i="4"/>
  <c r="X143" i="4"/>
  <c r="AG143" i="4" s="1"/>
  <c r="W143" i="4"/>
  <c r="AF143" i="4" s="1"/>
  <c r="V143" i="4"/>
  <c r="AE143" i="4" s="1"/>
  <c r="D85" i="4"/>
  <c r="D84" i="4"/>
  <c r="D83" i="4"/>
  <c r="D82" i="4"/>
  <c r="D81" i="4"/>
  <c r="D80" i="4"/>
  <c r="D79" i="4"/>
  <c r="D78" i="4"/>
  <c r="AB146" i="4" l="1"/>
  <c r="AE145" i="4"/>
  <c r="AC143" i="4"/>
  <c r="AF145" i="4"/>
  <c r="AG145" i="4"/>
  <c r="AN143" i="4"/>
  <c r="AC145" i="4"/>
  <c r="AB143" i="4"/>
  <c r="AD145" i="4"/>
  <c r="AD143" i="4"/>
  <c r="AN145" i="4"/>
  <c r="AB145" i="4"/>
  <c r="AC144" i="4"/>
  <c r="AD144" i="4"/>
  <c r="AC146" i="4"/>
  <c r="AB144" i="4"/>
  <c r="AD146" i="4"/>
  <c r="AN144" i="4"/>
  <c r="C173" i="4"/>
  <c r="D2" i="1"/>
  <c r="C13" i="1" l="1"/>
  <c r="D13" i="1" s="1"/>
  <c r="C21" i="1" l="1"/>
  <c r="D21" i="1" s="1"/>
  <c r="C22" i="1"/>
  <c r="D22" i="1" s="1"/>
  <c r="C23" i="1"/>
  <c r="D23" i="1" s="1"/>
  <c r="C12" i="1" l="1"/>
  <c r="D12" i="1" s="1"/>
  <c r="C18" i="1" l="1"/>
  <c r="D18" i="1" s="1"/>
  <c r="R18" i="1" s="1"/>
  <c r="C19" i="1"/>
  <c r="D19" i="1" s="1"/>
  <c r="C20" i="1"/>
  <c r="Q18" i="1" l="1"/>
  <c r="D20" i="1"/>
  <c r="R20" i="1" s="1"/>
  <c r="R19" i="1"/>
  <c r="Q19" i="1"/>
  <c r="C7" i="1"/>
  <c r="D7" i="1" s="1"/>
  <c r="C8" i="1"/>
  <c r="D8" i="1" s="1"/>
  <c r="C9" i="1"/>
  <c r="D9" i="1" s="1"/>
  <c r="C10" i="1"/>
  <c r="D10" i="1" s="1"/>
  <c r="C11" i="1"/>
  <c r="D11" i="1" s="1"/>
  <c r="C14" i="1"/>
  <c r="D14" i="1" s="1"/>
  <c r="C15" i="1"/>
  <c r="D15" i="1" s="1"/>
  <c r="C16" i="1"/>
  <c r="D16" i="1" s="1"/>
  <c r="C17" i="1"/>
  <c r="D17" i="1" s="1"/>
  <c r="Q20" i="1" l="1"/>
  <c r="AC4" i="3"/>
  <c r="S2" i="1" s="1"/>
  <c r="AD4" i="3"/>
  <c r="T2" i="1" s="1"/>
  <c r="C3" i="1"/>
  <c r="D3" i="1" s="1"/>
  <c r="C4" i="1"/>
  <c r="D4" i="1" s="1"/>
  <c r="C5" i="1"/>
  <c r="D5" i="1" s="1"/>
  <c r="C6" i="1"/>
  <c r="U2" i="1" l="1"/>
  <c r="O2" i="1" s="1"/>
  <c r="AG4" i="3"/>
  <c r="D6" i="1"/>
  <c r="T29" i="3"/>
  <c r="V29" i="3"/>
  <c r="W29" i="3"/>
  <c r="X29" i="3"/>
  <c r="AE29" i="3"/>
  <c r="AF29" i="3"/>
  <c r="AG29" i="3"/>
  <c r="AH29" i="3"/>
  <c r="AI29" i="3"/>
  <c r="AN29" i="3"/>
  <c r="T30" i="3"/>
  <c r="V30" i="3"/>
  <c r="W30" i="3"/>
  <c r="X30" i="3"/>
  <c r="AE30" i="3"/>
  <c r="AF30" i="3"/>
  <c r="AG30" i="3"/>
  <c r="AH30" i="3"/>
  <c r="AI30" i="3"/>
  <c r="AN30" i="3"/>
  <c r="T31" i="3"/>
  <c r="V31" i="3"/>
  <c r="W31" i="3"/>
  <c r="X31" i="3"/>
  <c r="AE31" i="3"/>
  <c r="AF31" i="3"/>
  <c r="AG31" i="3"/>
  <c r="AH31" i="3"/>
  <c r="AI31" i="3"/>
  <c r="AN31" i="3"/>
  <c r="M6" i="2"/>
  <c r="M7" i="2"/>
  <c r="M8" i="2"/>
  <c r="M9" i="2"/>
  <c r="M10" i="2"/>
  <c r="M11" i="2"/>
  <c r="M12" i="2"/>
  <c r="M13" i="2"/>
  <c r="M14" i="2"/>
  <c r="M15" i="2"/>
  <c r="M16" i="2"/>
  <c r="M17" i="2"/>
  <c r="L18" i="2"/>
  <c r="M18" i="2"/>
  <c r="L2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Барышников Евгений Михайлович</author>
  </authors>
  <commentList>
    <comment ref="G4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Множитель</t>
        </r>
      </text>
    </comment>
    <comment ref="G61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>Множитель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Mobile-ser</author>
  </authors>
  <commentList>
    <comment ref="C141" authorId="0" shapeId="0" xr:uid="{00000000-0006-0000-0300-000001000000}">
      <text>
        <r>
          <rPr>
            <sz val="8"/>
            <color indexed="81"/>
            <rFont val="Tahoma"/>
            <family val="2"/>
            <charset val="204"/>
          </rPr>
          <t>Количество трансформаторов (в том числе и однофазных)</t>
        </r>
      </text>
    </comment>
    <comment ref="D141" authorId="0" shapeId="0" xr:uid="{00000000-0006-0000-0300-000002000000}">
      <text>
        <r>
          <rPr>
            <sz val="8"/>
            <color indexed="81"/>
            <rFont val="Tahoma"/>
            <family val="2"/>
            <charset val="204"/>
          </rPr>
          <t>Номинальная мощность одного тр-ра.</t>
        </r>
      </text>
    </comment>
    <comment ref="E141" authorId="0" shapeId="0" xr:uid="{00000000-0006-0000-0300-000003000000}">
      <text>
        <r>
          <rPr>
            <sz val="8"/>
            <color indexed="81"/>
            <rFont val="Tahoma"/>
            <family val="2"/>
            <charset val="204"/>
          </rPr>
          <t>Номинальное линейное напряжение обмоток.</t>
        </r>
      </text>
    </comment>
    <comment ref="H141" authorId="0" shapeId="0" xr:uid="{00000000-0006-0000-0300-000004000000}">
      <text>
        <r>
          <rPr>
            <sz val="8"/>
            <color indexed="81"/>
            <rFont val="Tahoma"/>
            <family val="2"/>
            <charset val="204"/>
          </rPr>
          <t>Мощность обмоток в % от номинальной мощности тр-ра. Обычно для АТ мощность обмотки НН минимум в 2 раза ниже СН и ВН.</t>
        </r>
      </text>
    </comment>
    <comment ref="K141" authorId="0" shapeId="0" xr:uid="{00000000-0006-0000-0300-000005000000}">
      <text>
        <r>
          <rPr>
            <sz val="8"/>
            <color indexed="81"/>
            <rFont val="Tahoma"/>
            <family val="2"/>
            <charset val="204"/>
          </rPr>
          <t>Потери короткого замыкания в кВт.</t>
        </r>
      </text>
    </comment>
    <comment ref="L141" authorId="0" shapeId="0" xr:uid="{00000000-0006-0000-0300-000006000000}">
      <text>
        <r>
          <rPr>
            <sz val="8"/>
            <color indexed="81"/>
            <rFont val="Tahoma"/>
            <family val="2"/>
            <charset val="204"/>
          </rPr>
          <t>Потери холостого хода в кВт.</t>
        </r>
      </text>
    </comment>
    <comment ref="M141" authorId="0" shapeId="0" xr:uid="{00000000-0006-0000-0300-000007000000}">
      <text>
        <r>
          <rPr>
            <sz val="8"/>
            <color indexed="81"/>
            <rFont val="Tahoma"/>
            <family val="2"/>
            <charset val="204"/>
          </rPr>
          <t>Относительное значение тока холостого хода в % от номинала.</t>
        </r>
      </text>
    </comment>
    <comment ref="N141" authorId="0" shapeId="0" xr:uid="{00000000-0006-0000-0300-000008000000}">
      <text>
        <r>
          <rPr>
            <sz val="8"/>
            <color indexed="81"/>
            <rFont val="Tahoma"/>
            <family val="2"/>
            <charset val="204"/>
          </rPr>
          <t>Параметры РПН.
Если нет, то в ячейки +\- Nст поставить 0.</t>
        </r>
      </text>
    </comment>
    <comment ref="S141" authorId="0" shapeId="0" xr:uid="{00000000-0006-0000-0300-000009000000}">
      <text>
        <r>
          <rPr>
            <sz val="8"/>
            <color indexed="81"/>
            <rFont val="Tahoma"/>
            <family val="2"/>
            <charset val="204"/>
          </rPr>
          <t>Относительное напряжение короткого замыкания в %.
В справочниках обычно указывают величины uk пар обмоток ВН-СН, ВН-НН и СН-НН. Из них уже расчитываются uk ВН, СН и НН. 
Но иногда бывает, что в справочнике указывают сразу uk ВН, СН и НН.
Будьте внимательны, часто даже в справочнике путают обозначения! uk СН обычно всегда на порядок ниже uk ВН и uk НН, часто отрицательно и близко к 0.</t>
        </r>
      </text>
    </comment>
    <comment ref="N142" authorId="0" shapeId="0" xr:uid="{00000000-0006-0000-0300-00000A000000}">
      <text>
        <r>
          <rPr>
            <sz val="8"/>
            <color indexed="81"/>
            <rFont val="Tahoma"/>
            <family val="2"/>
            <charset val="204"/>
          </rPr>
          <t>В обмотке какого напряжения стоит РПН: СН или ВН. Другие варианты считайте вручную.</t>
        </r>
      </text>
    </comment>
    <comment ref="O142" authorId="0" shapeId="0" xr:uid="{00000000-0006-0000-0300-00000B000000}">
      <text>
        <r>
          <rPr>
            <sz val="8"/>
            <color indexed="81"/>
            <rFont val="Tahoma"/>
            <family val="2"/>
            <charset val="204"/>
          </rPr>
          <t>Количество ступеней в плюс.</t>
        </r>
      </text>
    </comment>
    <comment ref="P142" authorId="0" shapeId="0" xr:uid="{00000000-0006-0000-0300-00000C000000}">
      <text>
        <r>
          <rPr>
            <sz val="8"/>
            <color indexed="81"/>
            <rFont val="Tahoma"/>
            <family val="2"/>
            <charset val="204"/>
          </rPr>
          <t>Процент изменения напряжения в обмотке на одну ступень в плюс.</t>
        </r>
      </text>
    </comment>
    <comment ref="Q142" authorId="0" shapeId="0" xr:uid="{00000000-0006-0000-0300-00000D000000}">
      <text>
        <r>
          <rPr>
            <sz val="8"/>
            <color indexed="81"/>
            <rFont val="Tahoma"/>
            <family val="2"/>
            <charset val="204"/>
          </rPr>
          <t>Количество ступеней в минус.</t>
        </r>
      </text>
    </comment>
    <comment ref="R142" authorId="0" shapeId="0" xr:uid="{00000000-0006-0000-0300-00000E000000}">
      <text>
        <r>
          <rPr>
            <sz val="8"/>
            <color indexed="81"/>
            <rFont val="Tahoma"/>
            <family val="2"/>
            <charset val="204"/>
          </rPr>
          <t>Процент изменения напряжения в обмотке на одну ступень в минус.</t>
        </r>
      </text>
    </comment>
  </commentList>
</comments>
</file>

<file path=xl/sharedStrings.xml><?xml version="1.0" encoding="utf-8"?>
<sst xmlns="http://schemas.openxmlformats.org/spreadsheetml/2006/main" count="455" uniqueCount="379">
  <si>
    <t>№узла</t>
  </si>
  <si>
    <t>Наименование</t>
  </si>
  <si>
    <t>Uрасч.</t>
  </si>
  <si>
    <t>Uном
(баз)</t>
  </si>
  <si>
    <t>Предыдущ. кВт*ч</t>
  </si>
  <si>
    <t>Текущ. кВт*ч</t>
  </si>
  <si>
    <t>Сч. кВт*ч/мес</t>
  </si>
  <si>
    <t>Pнагр. МВт</t>
  </si>
  <si>
    <t>Qнагр. МВАр</t>
  </si>
  <si>
    <t>cosф</t>
  </si>
  <si>
    <t>Nсхн</t>
  </si>
  <si>
    <t>a0</t>
  </si>
  <si>
    <t>a1</t>
  </si>
  <si>
    <t>a2</t>
  </si>
  <si>
    <t>b1</t>
  </si>
  <si>
    <t>b2</t>
  </si>
  <si>
    <t>ka</t>
  </si>
  <si>
    <t>kb</t>
  </si>
  <si>
    <t>Pген. МВт</t>
  </si>
  <si>
    <t>Qген. МВАр</t>
  </si>
  <si>
    <t>Sнагр. МВА</t>
  </si>
  <si>
    <t>Наименование узла</t>
  </si>
  <si>
    <t>№ узла</t>
  </si>
  <si>
    <t>Оборудование</t>
  </si>
  <si>
    <t>Сетевое оборудование</t>
  </si>
  <si>
    <t>Расчетные параметры ветви</t>
  </si>
  <si>
    <t>Ui, кВ</t>
  </si>
  <si>
    <t>Uj, кВ</t>
  </si>
  <si>
    <t>Реакт мощн ВЛ МВАр, Qcij</t>
  </si>
  <si>
    <r>
      <t>Мощн в начале ветви, S</t>
    </r>
    <r>
      <rPr>
        <vertAlign val="super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ij</t>
    </r>
  </si>
  <si>
    <t>Потери мощн.ВЛ</t>
  </si>
  <si>
    <t>Расч.по тр-ру</t>
  </si>
  <si>
    <r>
      <t>Мощн в конце ветви, S</t>
    </r>
    <r>
      <rPr>
        <vertAlign val="superscript"/>
        <sz val="11"/>
        <color theme="1"/>
        <rFont val="Calibri"/>
        <family val="2"/>
        <charset val="204"/>
        <scheme val="minor"/>
      </rPr>
      <t>к</t>
    </r>
    <r>
      <rPr>
        <sz val="11"/>
        <color theme="1"/>
        <rFont val="Calibri"/>
        <family val="2"/>
        <charset val="204"/>
        <scheme val="minor"/>
      </rPr>
      <t>ij</t>
    </r>
  </si>
  <si>
    <t>Напряжения, кВ</t>
  </si>
  <si>
    <t>Загрузка</t>
  </si>
  <si>
    <t>Активные потери</t>
  </si>
  <si>
    <t>Тип</t>
  </si>
  <si>
    <t>L, км</t>
  </si>
  <si>
    <t>А-В</t>
  </si>
  <si>
    <t>В-С</t>
  </si>
  <si>
    <t>С-А</t>
  </si>
  <si>
    <t>Rл.</t>
  </si>
  <si>
    <t>Xл.</t>
  </si>
  <si>
    <t>bл.</t>
  </si>
  <si>
    <t>Ni</t>
  </si>
  <si>
    <t>Nj</t>
  </si>
  <si>
    <t>Баз.U</t>
  </si>
  <si>
    <t>// лин.</t>
  </si>
  <si>
    <t>Zт</t>
  </si>
  <si>
    <t>Bт</t>
  </si>
  <si>
    <t>Gт</t>
  </si>
  <si>
    <r>
      <t>P</t>
    </r>
    <r>
      <rPr>
        <vertAlign val="super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ij</t>
    </r>
  </si>
  <si>
    <r>
      <t>Q</t>
    </r>
    <r>
      <rPr>
        <vertAlign val="super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ij</t>
    </r>
  </si>
  <si>
    <t>Sк</t>
  </si>
  <si>
    <t>ΔPт</t>
  </si>
  <si>
    <t>ΔQт</t>
  </si>
  <si>
    <t>ΔQх</t>
  </si>
  <si>
    <r>
      <t>P</t>
    </r>
    <r>
      <rPr>
        <vertAlign val="superscript"/>
        <sz val="11"/>
        <color theme="1"/>
        <rFont val="Calibri"/>
        <family val="2"/>
        <charset val="204"/>
        <scheme val="minor"/>
      </rPr>
      <t>к</t>
    </r>
    <r>
      <rPr>
        <sz val="11"/>
        <color theme="1"/>
        <rFont val="Calibri"/>
        <family val="2"/>
        <charset val="204"/>
        <scheme val="minor"/>
      </rPr>
      <t>ij</t>
    </r>
  </si>
  <si>
    <r>
      <t>Q</t>
    </r>
    <r>
      <rPr>
        <vertAlign val="superscript"/>
        <sz val="11"/>
        <color theme="1"/>
        <rFont val="Calibri"/>
        <family val="2"/>
        <charset val="204"/>
        <scheme val="minor"/>
      </rPr>
      <t>к</t>
    </r>
    <r>
      <rPr>
        <sz val="11"/>
        <color theme="1"/>
        <rFont val="Calibri"/>
        <family val="2"/>
        <charset val="204"/>
        <scheme val="minor"/>
      </rPr>
      <t>ij</t>
    </r>
  </si>
  <si>
    <t>ΔU</t>
  </si>
  <si>
    <t>δU</t>
  </si>
  <si>
    <t>кА</t>
  </si>
  <si>
    <t>%</t>
  </si>
  <si>
    <t>кВт.ч/мес</t>
  </si>
  <si>
    <t>R1</t>
  </si>
  <si>
    <t>dпр.,мм</t>
  </si>
  <si>
    <t>Iдд, А</t>
  </si>
  <si>
    <t>Провод</t>
  </si>
  <si>
    <t>АС-70/11</t>
  </si>
  <si>
    <t>АС</t>
  </si>
  <si>
    <t>АС-95/16</t>
  </si>
  <si>
    <t>АС-100/16,7</t>
  </si>
  <si>
    <t>АС-120/19</t>
  </si>
  <si>
    <t>АС-120/27</t>
  </si>
  <si>
    <t>АС-150/19</t>
  </si>
  <si>
    <t>АС-150/24</t>
  </si>
  <si>
    <t>АС-150/34</t>
  </si>
  <si>
    <t>АС-185/24</t>
  </si>
  <si>
    <t>АС-185/29</t>
  </si>
  <si>
    <t>АС-185/43</t>
  </si>
  <si>
    <t>АС-240/32</t>
  </si>
  <si>
    <t>АС-240/39</t>
  </si>
  <si>
    <t>АС-240/56</t>
  </si>
  <si>
    <t>АС-330/30</t>
  </si>
  <si>
    <t>АС-330/43</t>
  </si>
  <si>
    <t>СИП 1х25</t>
  </si>
  <si>
    <t>СИП</t>
  </si>
  <si>
    <t>СИП 1х35</t>
  </si>
  <si>
    <t>СИП 1х50</t>
  </si>
  <si>
    <t>СИП 1х54,6</t>
  </si>
  <si>
    <t>СИП 1х70</t>
  </si>
  <si>
    <t>СИП 1х95</t>
  </si>
  <si>
    <t>СИП 1х120</t>
  </si>
  <si>
    <t>СИП 1х150</t>
  </si>
  <si>
    <t>СИП 1х185</t>
  </si>
  <si>
    <t>СИП 1х240</t>
  </si>
  <si>
    <t>X1</t>
  </si>
  <si>
    <t>B</t>
  </si>
  <si>
    <t>Каб 6 кВ</t>
  </si>
  <si>
    <t>М 3х16 6 кВ</t>
  </si>
  <si>
    <t>Медь</t>
  </si>
  <si>
    <t>М 3х25 6 кВ</t>
  </si>
  <si>
    <t>М 3х35 6 кВ</t>
  </si>
  <si>
    <t>М 3х50 6 кВ</t>
  </si>
  <si>
    <t>М 3х70 6 кВ</t>
  </si>
  <si>
    <t>М 3х95 6 кВ</t>
  </si>
  <si>
    <t>М 3х120 6 кВ</t>
  </si>
  <si>
    <t>М 3х150 6 кВ</t>
  </si>
  <si>
    <t>М 3х185 6 кВ</t>
  </si>
  <si>
    <t>М 3х240 6 кВ</t>
  </si>
  <si>
    <t>Каб 10 кВ</t>
  </si>
  <si>
    <t>М 3х16 10 кВ</t>
  </si>
  <si>
    <t>М 3х25 10 кВ</t>
  </si>
  <si>
    <t>М 3х35 10 кВ</t>
  </si>
  <si>
    <t>М 3х50 10 кВ</t>
  </si>
  <si>
    <t>М 3х70 10 кВ</t>
  </si>
  <si>
    <t>М 3х95 10 кВ</t>
  </si>
  <si>
    <t>М 3х120 10 кВ</t>
  </si>
  <si>
    <t>М 3х150 10 кВ</t>
  </si>
  <si>
    <t>М 3х185 10 кВ</t>
  </si>
  <si>
    <t>М 3х240 10 кВ</t>
  </si>
  <si>
    <t>А 3х16 6 кВ</t>
  </si>
  <si>
    <t>Алюм</t>
  </si>
  <si>
    <t>А 3х25 6 кВ</t>
  </si>
  <si>
    <t>А 3х35 6 кВ</t>
  </si>
  <si>
    <t>А 3х50 6 кВ</t>
  </si>
  <si>
    <t>А 3х70 6 кВ</t>
  </si>
  <si>
    <t>А 3х95 6 кВ</t>
  </si>
  <si>
    <t>А 3х120 6 кВ</t>
  </si>
  <si>
    <t>А 3х150 6 кВ</t>
  </si>
  <si>
    <t>А 3х185 6 кВ</t>
  </si>
  <si>
    <t>А 3х240 6 кВ</t>
  </si>
  <si>
    <t>А 3х16 10 кВ</t>
  </si>
  <si>
    <t>А 3х25 10 кВ</t>
  </si>
  <si>
    <t>А 3х35 10 кВ</t>
  </si>
  <si>
    <t>А 3х50 10 кВ</t>
  </si>
  <si>
    <t>А 3х70 10 кВ</t>
  </si>
  <si>
    <t>А 3х95 10 кВ</t>
  </si>
  <si>
    <t>А 3х120 10 кВ</t>
  </si>
  <si>
    <t>А 3х150 10 кВ</t>
  </si>
  <si>
    <t>А 3х185 10 кВ</t>
  </si>
  <si>
    <t>А 3х240 10 кВ</t>
  </si>
  <si>
    <t>Каб 35 кВ</t>
  </si>
  <si>
    <t>М 3х70 35 кВ</t>
  </si>
  <si>
    <t>М 3х95 35 кВ</t>
  </si>
  <si>
    <t>М 3х120 35 кВ</t>
  </si>
  <si>
    <t>М 3х150 35 кВ</t>
  </si>
  <si>
    <t>М 3х185 35 кВ</t>
  </si>
  <si>
    <t>М 3х240 35 кВ</t>
  </si>
  <si>
    <t>М 3х300 35 кВ</t>
  </si>
  <si>
    <t>М 3х400 35 кВ</t>
  </si>
  <si>
    <t>АНХАМК-WM3х35</t>
  </si>
  <si>
    <t>АНХАМК-WM3х50</t>
  </si>
  <si>
    <t>АНХАМК-WM3х70</t>
  </si>
  <si>
    <t>АНХАМК-WM3х95</t>
  </si>
  <si>
    <t>АНХАМК-WM3х120</t>
  </si>
  <si>
    <t>АНХАМК-WM3х150</t>
  </si>
  <si>
    <t>АНХАМК-WM3х180</t>
  </si>
  <si>
    <t>АНХАМК-WM3х240</t>
  </si>
  <si>
    <t>R0</t>
  </si>
  <si>
    <t>X0</t>
  </si>
  <si>
    <t>каб медн</t>
  </si>
  <si>
    <t>М 4х1,5</t>
  </si>
  <si>
    <t>0,4 кв</t>
  </si>
  <si>
    <t>М 4х2,5</t>
  </si>
  <si>
    <t>М 4х4</t>
  </si>
  <si>
    <t>М 4х6</t>
  </si>
  <si>
    <t>М 4х10</t>
  </si>
  <si>
    <t>М 4х16</t>
  </si>
  <si>
    <t>М 4х25</t>
  </si>
  <si>
    <t>М 4х35</t>
  </si>
  <si>
    <t>М 4х50</t>
  </si>
  <si>
    <t>М 4х70</t>
  </si>
  <si>
    <t>М 4х95</t>
  </si>
  <si>
    <t>М 4х120</t>
  </si>
  <si>
    <t>М 4х150</t>
  </si>
  <si>
    <t>М 4х185</t>
  </si>
  <si>
    <t>М 4х240</t>
  </si>
  <si>
    <t>М 4х300</t>
  </si>
  <si>
    <t>М 4х400</t>
  </si>
  <si>
    <t>Pк,</t>
  </si>
  <si>
    <t>Pхх,</t>
  </si>
  <si>
    <t>Iхх,</t>
  </si>
  <si>
    <t>Uк,</t>
  </si>
  <si>
    <t>2-х обм.</t>
  </si>
  <si>
    <t>ТМГ-25/6</t>
  </si>
  <si>
    <t>трансформ.</t>
  </si>
  <si>
    <t>ТМГ-40/6</t>
  </si>
  <si>
    <t>ТМГ-63/6</t>
  </si>
  <si>
    <t>ТМГ-100/6</t>
  </si>
  <si>
    <t>ТМГ-160/6</t>
  </si>
  <si>
    <t>ТМГ-250/6</t>
  </si>
  <si>
    <t>ТМГ-320/6</t>
  </si>
  <si>
    <t>ТМГ-400/6</t>
  </si>
  <si>
    <t>ТМГ-630/6</t>
  </si>
  <si>
    <t>ТМГ-1000/6</t>
  </si>
  <si>
    <t>ТМГ-1600/6</t>
  </si>
  <si>
    <t>ТМГ-2500/6</t>
  </si>
  <si>
    <t>ТМГ-25/10</t>
  </si>
  <si>
    <t>ТМГ-40/10</t>
  </si>
  <si>
    <t>ТМГ-63/10</t>
  </si>
  <si>
    <t>ТМГ-100/10</t>
  </si>
  <si>
    <t>ТМГ-160/10</t>
  </si>
  <si>
    <t>ТМГ-250/10</t>
  </si>
  <si>
    <t>ТМГ-320/10</t>
  </si>
  <si>
    <t>ТМГ-400/10</t>
  </si>
  <si>
    <t>ТМГ-630/10</t>
  </si>
  <si>
    <t>ТМГ-1000/10</t>
  </si>
  <si>
    <t>ТМГ-1300/10</t>
  </si>
  <si>
    <t>ТМГ-1600/10</t>
  </si>
  <si>
    <t>ТМГ-2500/10</t>
  </si>
  <si>
    <t>ТМГ-2500 - 10/6</t>
  </si>
  <si>
    <t>ТМГ-4000/10</t>
  </si>
  <si>
    <t>ТМГ-6300 - 10/6</t>
  </si>
  <si>
    <t>ТДНС-10000/35</t>
  </si>
  <si>
    <t>ТДНС-16000/35</t>
  </si>
  <si>
    <t>ТДНС-25000/35</t>
  </si>
  <si>
    <t>Nтр,</t>
  </si>
  <si>
    <t>S,</t>
  </si>
  <si>
    <t>Uном,кВ</t>
  </si>
  <si>
    <t>Sобм, %</t>
  </si>
  <si>
    <t>РПН</t>
  </si>
  <si>
    <t>Uк, %</t>
  </si>
  <si>
    <t>R, Ом[ВН]</t>
  </si>
  <si>
    <t>X, Ом[ВН]</t>
  </si>
  <si>
    <t>Z, Ом[ВН]</t>
  </si>
  <si>
    <t>Kt,  ВН-СН</t>
  </si>
  <si>
    <t>Ktн-в,</t>
  </si>
  <si>
    <t>Y,</t>
  </si>
  <si>
    <t>G,</t>
  </si>
  <si>
    <t>B,</t>
  </si>
  <si>
    <t>шт</t>
  </si>
  <si>
    <t>МВА</t>
  </si>
  <si>
    <t>ВН</t>
  </si>
  <si>
    <t>СН</t>
  </si>
  <si>
    <t>НН</t>
  </si>
  <si>
    <t>кВт</t>
  </si>
  <si>
    <t>Uрпн</t>
  </si>
  <si>
    <t>+Nст</t>
  </si>
  <si>
    <t>+%</t>
  </si>
  <si>
    <t>-Nст</t>
  </si>
  <si>
    <t>-%</t>
  </si>
  <si>
    <t>В-Н</t>
  </si>
  <si>
    <t>С-Н</t>
  </si>
  <si>
    <t>min</t>
  </si>
  <si>
    <t>ном</t>
  </si>
  <si>
    <t>max</t>
  </si>
  <si>
    <t>ВН-НН</t>
  </si>
  <si>
    <t>мкСм</t>
  </si>
  <si>
    <t>АТДЦТН-125000/220/110</t>
  </si>
  <si>
    <t>АТДЦТН-250000/220/110</t>
  </si>
  <si>
    <t>ТДЦТН-80000/110</t>
  </si>
  <si>
    <t>STAMFORD PI736F2</t>
  </si>
  <si>
    <t>CATERPILLAR G3516</t>
  </si>
  <si>
    <t>CATERPILLAR G3517</t>
  </si>
  <si>
    <t>СГСБ-14-100-6У2</t>
  </si>
  <si>
    <t>Место</t>
  </si>
  <si>
    <t>ВЭЦ-2 ЭТС</t>
  </si>
  <si>
    <t>ВЭЦ ЗЭР</t>
  </si>
  <si>
    <t>1Г-6Г</t>
  </si>
  <si>
    <t>7Г, 8Г(пасп.)</t>
  </si>
  <si>
    <t>7Г, 8Г(шилд.)</t>
  </si>
  <si>
    <t>Un=</t>
  </si>
  <si>
    <t>S=</t>
  </si>
  <si>
    <t>P=</t>
  </si>
  <si>
    <t>n=</t>
  </si>
  <si>
    <r>
      <t>cos</t>
    </r>
    <r>
      <rPr>
        <b/>
        <sz val="11"/>
        <color theme="1"/>
        <rFont val="Calibri"/>
        <family val="2"/>
        <charset val="204"/>
      </rPr>
      <t>ϕ=</t>
    </r>
  </si>
  <si>
    <t>ОКЗ=</t>
  </si>
  <si>
    <t>Rстат.=</t>
  </si>
  <si>
    <t>Xd(X)=</t>
  </si>
  <si>
    <t>X'd=</t>
  </si>
  <si>
    <t>X''d=</t>
  </si>
  <si>
    <t>Xq=</t>
  </si>
  <si>
    <t>X'q=</t>
  </si>
  <si>
    <t>X''q=</t>
  </si>
  <si>
    <t>X1=</t>
  </si>
  <si>
    <t>0,04(?)</t>
  </si>
  <si>
    <t>X2=</t>
  </si>
  <si>
    <t>R2=</t>
  </si>
  <si>
    <t>X0=</t>
  </si>
  <si>
    <t>Xp(?)=</t>
  </si>
  <si>
    <r>
      <t>X</t>
    </r>
    <r>
      <rPr>
        <b/>
        <sz val="11"/>
        <color theme="1"/>
        <rFont val="Calibri"/>
        <family val="2"/>
        <charset val="204"/>
      </rPr>
      <t>σ=</t>
    </r>
  </si>
  <si>
    <t>Xf=</t>
  </si>
  <si>
    <t>Rf=</t>
  </si>
  <si>
    <t>Xad=</t>
  </si>
  <si>
    <t>Xag=</t>
  </si>
  <si>
    <t>T'd=</t>
  </si>
  <si>
    <t>T''d=</t>
  </si>
  <si>
    <t>T'd0=</t>
  </si>
  <si>
    <t>T''d0=</t>
  </si>
  <si>
    <t>T''q0=</t>
  </si>
  <si>
    <t>T'q=</t>
  </si>
  <si>
    <t>T''q=</t>
  </si>
  <si>
    <t>Tе=</t>
  </si>
  <si>
    <t>Ta=</t>
  </si>
  <si>
    <t>GD=</t>
  </si>
  <si>
    <t>Tj=</t>
  </si>
  <si>
    <t>Mj=</t>
  </si>
  <si>
    <t>bo</t>
  </si>
  <si>
    <t>Примечания</t>
  </si>
  <si>
    <t>Типовая</t>
  </si>
  <si>
    <t>Типовая для 6 кВ</t>
  </si>
  <si>
    <t>Сельхоз р-н</t>
  </si>
  <si>
    <t>Сель-хоз районы</t>
  </si>
  <si>
    <t>Промышл.</t>
  </si>
  <si>
    <t>АД</t>
  </si>
  <si>
    <t>СД</t>
  </si>
  <si>
    <t>110-220</t>
  </si>
  <si>
    <t>110-220 кВ</t>
  </si>
  <si>
    <t>Без СХН</t>
  </si>
  <si>
    <t>Не учитывает СХН</t>
  </si>
  <si>
    <t>Пром.пердпр.</t>
  </si>
  <si>
    <t>ТМГ-400-10/10</t>
  </si>
  <si>
    <t>ТМГ-100/35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</si>
  <si>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</si>
  <si>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</si>
  <si>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</si>
  <si>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</si>
  <si>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</si>
  <si>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</si>
  <si>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</si>
  <si>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</si>
  <si>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</si>
  <si>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</si>
  <si>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</si>
  <si>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</si>
  <si>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Месяц</t>
  </si>
  <si>
    <t>Количество</t>
  </si>
  <si>
    <t>Дней</t>
  </si>
  <si>
    <t>Часов</t>
  </si>
  <si>
    <t>Сводка за месяц:</t>
  </si>
  <si>
    <t>Потребитель</t>
  </si>
  <si>
    <t>Бурение</t>
  </si>
  <si>
    <t>Добыча</t>
  </si>
  <si>
    <t>Водозабор</t>
  </si>
  <si>
    <t>ППД</t>
  </si>
  <si>
    <t>Подготовка</t>
  </si>
  <si>
    <t>Прочие</t>
  </si>
  <si>
    <t>База</t>
  </si>
  <si>
    <t>Источник</t>
  </si>
  <si>
    <t>R</t>
  </si>
  <si>
    <t>X</t>
  </si>
  <si>
    <t>U</t>
  </si>
  <si>
    <t>0,4 кВ</t>
  </si>
  <si>
    <t>6 кВ</t>
  </si>
  <si>
    <t>10 кВ</t>
  </si>
  <si>
    <t>35 кВ</t>
  </si>
  <si>
    <t>110 кВ</t>
  </si>
  <si>
    <t>220 кВ</t>
  </si>
  <si>
    <t>кВт*ч/мес</t>
  </si>
  <si>
    <t>Потери</t>
  </si>
  <si>
    <t>кВт*час/мес</t>
  </si>
  <si>
    <t>Показания:</t>
  </si>
  <si>
    <t>Внешний транспорт</t>
  </si>
  <si>
    <t>Внутренний транспорт</t>
  </si>
  <si>
    <t>Путевой подогреватель</t>
  </si>
  <si>
    <t>Электрообогрев</t>
  </si>
  <si>
    <t>Подрядчик</t>
  </si>
  <si>
    <t>Ф-9</t>
  </si>
  <si>
    <t>Ктт</t>
  </si>
  <si>
    <t>ИТОГО:</t>
  </si>
  <si>
    <t>Тип счетчика</t>
  </si>
  <si>
    <t>Примечание</t>
  </si>
  <si>
    <t>№ счетчика</t>
  </si>
  <si>
    <t>ТКЗ
в конце</t>
  </si>
  <si>
    <t>ПИТАНИЕ ЭТС</t>
  </si>
  <si>
    <t>ТКЗ</t>
  </si>
  <si>
    <t>Угол</t>
  </si>
  <si>
    <r>
      <rPr>
        <sz val="11"/>
        <color theme="1"/>
        <rFont val="Calibri"/>
        <family val="2"/>
        <charset val="204"/>
      </rPr>
      <t>∑</t>
    </r>
    <r>
      <rPr>
        <sz val="11"/>
        <color theme="1"/>
        <rFont val="Calibri"/>
        <family val="2"/>
        <charset val="204"/>
        <scheme val="minor"/>
      </rPr>
      <t>R</t>
    </r>
  </si>
  <si>
    <r>
      <rPr>
        <sz val="11"/>
        <color theme="1"/>
        <rFont val="Calibri"/>
        <family val="2"/>
        <charset val="204"/>
      </rPr>
      <t>∑</t>
    </r>
    <r>
      <rPr>
        <sz val="11"/>
        <color theme="1"/>
        <rFont val="Calibri"/>
        <family val="2"/>
        <charset val="204"/>
        <scheme val="minor"/>
      </rPr>
      <t>X</t>
    </r>
  </si>
  <si>
    <t>ПБВ, N</t>
  </si>
  <si>
    <t>U%РПН</t>
  </si>
  <si>
    <t>Y</t>
  </si>
  <si>
    <t>ГЕНЕРАТОРЫ</t>
  </si>
  <si>
    <t>КЛ-0,4</t>
  </si>
  <si>
    <t>Ток
ветви</t>
  </si>
  <si>
    <t>2-х обм. Тр-р</t>
  </si>
  <si>
    <t>КЛ-6/10/35 кВ</t>
  </si>
  <si>
    <t>ВЛ-6/10/35/110 кВ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</si>
</sst>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\ _?_-;\-* #,##0.00\ _?_-;_-* &quot;-&quot;??\ _?_-;_-@_-"/>
    <numFmt numFmtId="165" formatCode="0.0000"/>
    <numFmt numFmtId="166" formatCode="0.000"/>
    <numFmt numFmtId="167" formatCode="0.0"/>
    <numFmt numFmtId="168" formatCode="0.00000"/>
    <numFmt numFmtId="169" formatCode="_-* #,##0.00\ _?_-;\-* #,##0.00\ _?_-;_-* &quot;-&quot;&quot;?&quot;&quot;?&quot;\ _?_-;_-@_-"/>
  </numFmts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0"/>
      <color indexed="10"/>
      <name val="Arial Cyr"/>
      <charset val="204"/>
    </font>
    <font>
      <sz val="10"/>
      <color indexed="10"/>
      <name val="Arial Cyr"/>
      <charset val="204"/>
    </font>
    <font>
      <b/>
      <sz val="10"/>
      <name val="Arial Cyr"/>
      <charset val="204"/>
    </font>
    <font>
      <sz val="8"/>
      <color indexed="10"/>
      <name val="Arial Cyr"/>
      <charset val="204"/>
    </font>
    <font>
      <sz val="8"/>
      <name val="Arial Cyr"/>
      <charset val="204"/>
    </font>
    <font>
      <b/>
      <sz val="10"/>
      <color theme="4" tint="-0.249977111117893"/>
      <name val="Arial Cyr"/>
      <charset val="204"/>
    </font>
    <font>
      <sz val="8"/>
      <color indexed="81"/>
      <name val="Tahoma"/>
      <family val="2"/>
      <charset val="204"/>
    </font>
    <font>
      <b/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b/>
      <sz val="1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0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/>
    <xf numFmtId="165" fontId="0" fillId="5" borderId="1" xfId="0" applyNumberFormat="1" applyFill="1" applyBorder="1"/>
    <xf numFmtId="2" fontId="0" fillId="5" borderId="1" xfId="0" applyNumberFormat="1" applyFill="1" applyBorder="1"/>
    <xf numFmtId="0" fontId="0" fillId="5" borderId="3" xfId="0" applyFill="1" applyBorder="1"/>
    <xf numFmtId="165" fontId="0" fillId="5" borderId="3" xfId="0" applyNumberFormat="1" applyFill="1" applyBorder="1"/>
    <xf numFmtId="2" fontId="0" fillId="5" borderId="3" xfId="0" applyNumberFormat="1" applyFill="1" applyBorder="1"/>
    <xf numFmtId="0" fontId="0" fillId="6" borderId="3" xfId="0" applyFill="1" applyBorder="1"/>
    <xf numFmtId="165" fontId="0" fillId="6" borderId="3" xfId="0" applyNumberFormat="1" applyFill="1" applyBorder="1"/>
    <xf numFmtId="2" fontId="0" fillId="6" borderId="3" xfId="0" applyNumberFormat="1" applyFill="1" applyBorder="1"/>
    <xf numFmtId="0" fontId="0" fillId="0" borderId="0" xfId="0" applyAlignment="1">
      <alignment horizontal="center" vertical="center"/>
    </xf>
    <xf numFmtId="0" fontId="0" fillId="7" borderId="3" xfId="0" applyFill="1" applyBorder="1"/>
    <xf numFmtId="165" fontId="0" fillId="7" borderId="1" xfId="0" applyNumberFormat="1" applyFill="1" applyBorder="1"/>
    <xf numFmtId="0" fontId="0" fillId="8" borderId="3" xfId="0" applyFill="1" applyBorder="1"/>
    <xf numFmtId="166" fontId="0" fillId="8" borderId="1" xfId="0" applyNumberFormat="1" applyFill="1" applyBorder="1" applyAlignment="1">
      <alignment horizontal="right" vertical="center"/>
    </xf>
    <xf numFmtId="166" fontId="0" fillId="7" borderId="1" xfId="0" applyNumberFormat="1" applyFill="1" applyBorder="1"/>
    <xf numFmtId="2" fontId="0" fillId="7" borderId="1" xfId="0" applyNumberFormat="1" applyFill="1" applyBorder="1"/>
    <xf numFmtId="0" fontId="0" fillId="0" borderId="3" xfId="0" applyBorder="1"/>
    <xf numFmtId="0" fontId="0" fillId="7" borderId="1" xfId="0" applyFill="1" applyBorder="1"/>
    <xf numFmtId="1" fontId="0" fillId="8" borderId="0" xfId="0" applyNumberFormat="1" applyFill="1" applyAlignment="1">
      <alignment horizontal="right" vertical="center"/>
    </xf>
    <xf numFmtId="1" fontId="0" fillId="0" borderId="0" xfId="0" applyNumberFormat="1"/>
    <xf numFmtId="0" fontId="0" fillId="9" borderId="3" xfId="0" applyFill="1" applyBorder="1"/>
    <xf numFmtId="166" fontId="0" fillId="9" borderId="1" xfId="0" applyNumberFormat="1" applyFill="1" applyBorder="1" applyAlignment="1">
      <alignment horizontal="center" vertical="center"/>
    </xf>
    <xf numFmtId="165" fontId="0" fillId="9" borderId="1" xfId="0" applyNumberFormat="1" applyFill="1" applyBorder="1" applyAlignment="1">
      <alignment horizontal="center" vertical="center"/>
    </xf>
    <xf numFmtId="1" fontId="0" fillId="9" borderId="1" xfId="0" applyNumberFormat="1" applyFill="1" applyBorder="1" applyAlignment="1">
      <alignment horizontal="right" vertical="center"/>
    </xf>
    <xf numFmtId="1" fontId="0" fillId="9" borderId="1" xfId="0" applyNumberFormat="1" applyFill="1" applyBorder="1" applyAlignment="1">
      <alignment horizontal="right"/>
    </xf>
    <xf numFmtId="0" fontId="0" fillId="9" borderId="1" xfId="0" applyFill="1" applyBorder="1"/>
    <xf numFmtId="0" fontId="9" fillId="0" borderId="6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166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7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0" fillId="0" borderId="5" xfId="0" applyFont="1" applyBorder="1"/>
    <xf numFmtId="0" fontId="10" fillId="0" borderId="0" xfId="0" applyFont="1"/>
    <xf numFmtId="0" fontId="10" fillId="0" borderId="12" xfId="0" applyFont="1" applyBorder="1"/>
    <xf numFmtId="2" fontId="10" fillId="0" borderId="0" xfId="0" applyNumberFormat="1" applyFont="1"/>
    <xf numFmtId="0" fontId="10" fillId="0" borderId="13" xfId="0" applyFont="1" applyBorder="1"/>
    <xf numFmtId="167" fontId="10" fillId="0" borderId="0" xfId="0" applyNumberFormat="1" applyFont="1"/>
    <xf numFmtId="167" fontId="10" fillId="0" borderId="12" xfId="0" applyNumberFormat="1" applyFont="1" applyBorder="1"/>
    <xf numFmtId="0" fontId="0" fillId="0" borderId="12" xfId="0" applyBorder="1"/>
    <xf numFmtId="2" fontId="0" fillId="0" borderId="0" xfId="0" applyNumberFormat="1"/>
    <xf numFmtId="2" fontId="0" fillId="0" borderId="12" xfId="0" applyNumberFormat="1" applyBorder="1"/>
    <xf numFmtId="167" fontId="0" fillId="0" borderId="12" xfId="0" applyNumberFormat="1" applyBorder="1"/>
    <xf numFmtId="166" fontId="0" fillId="0" borderId="0" xfId="0" applyNumberFormat="1"/>
    <xf numFmtId="166" fontId="0" fillId="0" borderId="12" xfId="0" applyNumberFormat="1" applyBorder="1"/>
    <xf numFmtId="2" fontId="0" fillId="0" borderId="5" xfId="0" applyNumberFormat="1" applyBorder="1"/>
    <xf numFmtId="0" fontId="14" fillId="0" borderId="0" xfId="0" applyFont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vertical="center" wrapText="1"/>
    </xf>
    <xf numFmtId="0" fontId="3" fillId="1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/>
    </xf>
    <xf numFmtId="0" fontId="0" fillId="10" borderId="1" xfId="0" applyFill="1" applyBorder="1"/>
    <xf numFmtId="166" fontId="2" fillId="10" borderId="1" xfId="0" applyNumberFormat="1" applyFont="1" applyFill="1" applyBorder="1"/>
    <xf numFmtId="166" fontId="17" fillId="10" borderId="1" xfId="0" applyNumberFormat="1" applyFont="1" applyFill="1" applyBorder="1"/>
    <xf numFmtId="0" fontId="18" fillId="10" borderId="1" xfId="0" applyFont="1" applyFill="1" applyBorder="1"/>
    <xf numFmtId="0" fontId="0" fillId="10" borderId="1" xfId="0" applyFill="1" applyBorder="1" applyAlignment="1">
      <alignment horizontal="right"/>
    </xf>
    <xf numFmtId="165" fontId="2" fillId="10" borderId="1" xfId="0" applyNumberFormat="1" applyFont="1" applyFill="1" applyBorder="1"/>
    <xf numFmtId="165" fontId="2" fillId="0" borderId="1" xfId="0" applyNumberFormat="1" applyFont="1" applyBorder="1"/>
    <xf numFmtId="168" fontId="2" fillId="10" borderId="1" xfId="0" applyNumberFormat="1" applyFont="1" applyFill="1" applyBorder="1"/>
    <xf numFmtId="168" fontId="2" fillId="0" borderId="1" xfId="0" applyNumberFormat="1" applyFont="1" applyBorder="1"/>
    <xf numFmtId="0" fontId="3" fillId="0" borderId="1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166" fontId="0" fillId="0" borderId="1" xfId="0" applyNumberFormat="1" applyBorder="1"/>
    <xf numFmtId="2" fontId="0" fillId="0" borderId="1" xfId="0" applyNumberFormat="1" applyBorder="1"/>
    <xf numFmtId="0" fontId="3" fillId="0" borderId="1" xfId="0" applyFont="1" applyBorder="1"/>
    <xf numFmtId="166" fontId="0" fillId="9" borderId="1" xfId="0" applyNumberFormat="1" applyFill="1" applyBorder="1"/>
    <xf numFmtId="0" fontId="0" fillId="11" borderId="1" xfId="0" applyFill="1" applyBorder="1"/>
    <xf numFmtId="169" fontId="19" fillId="12" borderId="1" xfId="1" applyNumberFormat="1" applyFont="1" applyFill="1" applyBorder="1" applyAlignment="1">
      <alignment horizontal="center"/>
    </xf>
    <xf numFmtId="167" fontId="0" fillId="0" borderId="1" xfId="0" applyNumberFormat="1" applyBorder="1" applyAlignment="1">
      <alignment horizontal="right"/>
    </xf>
    <xf numFmtId="0" fontId="0" fillId="3" borderId="1" xfId="0" applyFill="1" applyBorder="1"/>
    <xf numFmtId="0" fontId="0" fillId="13" borderId="1" xfId="0" applyFill="1" applyBorder="1"/>
    <xf numFmtId="0" fontId="0" fillId="4" borderId="1" xfId="0" applyFill="1" applyBorder="1"/>
    <xf numFmtId="166" fontId="19" fillId="12" borderId="1" xfId="0" applyNumberFormat="1" applyFont="1" applyFill="1" applyBorder="1"/>
    <xf numFmtId="0" fontId="19" fillId="12" borderId="1" xfId="0" applyFont="1" applyFill="1" applyBorder="1"/>
    <xf numFmtId="164" fontId="3" fillId="0" borderId="1" xfId="1" applyFont="1" applyBorder="1"/>
    <xf numFmtId="166" fontId="0" fillId="11" borderId="1" xfId="0" applyNumberFormat="1" applyFill="1" applyBorder="1"/>
    <xf numFmtId="0" fontId="3" fillId="0" borderId="16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9" fillId="12" borderId="1" xfId="0" applyFont="1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3" fillId="13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center"/>
    </xf>
    <xf numFmtId="166" fontId="0" fillId="13" borderId="1" xfId="0" applyNumberFormat="1" applyFill="1" applyBorder="1"/>
    <xf numFmtId="2" fontId="0" fillId="13" borderId="1" xfId="0" applyNumberFormat="1" applyFill="1" applyBorder="1"/>
    <xf numFmtId="0" fontId="0" fillId="13" borderId="4" xfId="0" applyFill="1" applyBorder="1"/>
    <xf numFmtId="166" fontId="0" fillId="13" borderId="11" xfId="0" applyNumberFormat="1" applyFill="1" applyBorder="1"/>
    <xf numFmtId="167" fontId="0" fillId="0" borderId="11" xfId="0" applyNumberFormat="1" applyBorder="1"/>
    <xf numFmtId="167" fontId="0" fillId="0" borderId="1" xfId="0" applyNumberFormat="1" applyBorder="1"/>
    <xf numFmtId="2" fontId="3" fillId="0" borderId="4" xfId="0" applyNumberFormat="1" applyFont="1" applyBorder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2" fontId="0" fillId="3" borderId="1" xfId="0" applyNumberFormat="1" applyFill="1" applyBorder="1"/>
    <xf numFmtId="166" fontId="0" fillId="3" borderId="1" xfId="0" applyNumberFormat="1" applyFill="1" applyBorder="1"/>
    <xf numFmtId="167" fontId="0" fillId="3" borderId="1" xfId="0" applyNumberFormat="1" applyFill="1" applyBorder="1"/>
    <xf numFmtId="0" fontId="3" fillId="3" borderId="4" xfId="0" applyFont="1" applyFill="1" applyBorder="1" applyAlignment="1">
      <alignment horizontal="center" vertical="center"/>
    </xf>
    <xf numFmtId="166" fontId="0" fillId="3" borderId="11" xfId="0" applyNumberFormat="1" applyFill="1" applyBorder="1"/>
    <xf numFmtId="165" fontId="0" fillId="3" borderId="1" xfId="0" applyNumberFormat="1" applyFill="1" applyBorder="1"/>
    <xf numFmtId="167" fontId="0" fillId="3" borderId="4" xfId="0" applyNumberFormat="1" applyFill="1" applyBorder="1"/>
    <xf numFmtId="0" fontId="0" fillId="2" borderId="1" xfId="0" applyFill="1" applyBorder="1"/>
    <xf numFmtId="166" fontId="0" fillId="2" borderId="1" xfId="0" applyNumberFormat="1" applyFill="1" applyBorder="1"/>
    <xf numFmtId="0" fontId="0" fillId="2" borderId="4" xfId="0" applyFill="1" applyBorder="1"/>
    <xf numFmtId="166" fontId="0" fillId="0" borderId="11" xfId="0" applyNumberFormat="1" applyBorder="1"/>
    <xf numFmtId="165" fontId="0" fillId="0" borderId="1" xfId="0" applyNumberFormat="1" applyBorder="1"/>
    <xf numFmtId="167" fontId="0" fillId="0" borderId="4" xfId="0" applyNumberFormat="1" applyBorder="1"/>
    <xf numFmtId="167" fontId="0" fillId="13" borderId="1" xfId="0" applyNumberFormat="1" applyFill="1" applyBorder="1"/>
    <xf numFmtId="0" fontId="3" fillId="13" borderId="4" xfId="0" applyFont="1" applyFill="1" applyBorder="1" applyAlignment="1">
      <alignment horizontal="center" vertical="center"/>
    </xf>
    <xf numFmtId="167" fontId="0" fillId="13" borderId="4" xfId="0" applyNumberFormat="1" applyFill="1" applyBorder="1"/>
    <xf numFmtId="0" fontId="0" fillId="0" borderId="11" xfId="0" applyBorder="1"/>
    <xf numFmtId="0" fontId="3" fillId="0" borderId="4" xfId="0" applyFont="1" applyBorder="1"/>
    <xf numFmtId="0" fontId="3" fillId="4" borderId="1" xfId="0" applyFont="1" applyFill="1" applyBorder="1" applyAlignment="1">
      <alignment horizontal="center"/>
    </xf>
    <xf numFmtId="166" fontId="0" fillId="4" borderId="1" xfId="0" applyNumberFormat="1" applyFill="1" applyBorder="1"/>
    <xf numFmtId="1" fontId="0" fillId="4" borderId="1" xfId="0" applyNumberFormat="1" applyFill="1" applyBorder="1"/>
    <xf numFmtId="0" fontId="0" fillId="4" borderId="4" xfId="0" applyFill="1" applyBorder="1"/>
    <xf numFmtId="166" fontId="0" fillId="4" borderId="11" xfId="0" applyNumberFormat="1" applyFill="1" applyBorder="1"/>
    <xf numFmtId="165" fontId="0" fillId="4" borderId="1" xfId="0" applyNumberFormat="1" applyFill="1" applyBorder="1"/>
    <xf numFmtId="167" fontId="0" fillId="4" borderId="1" xfId="0" applyNumberFormat="1" applyFill="1" applyBorder="1"/>
    <xf numFmtId="167" fontId="0" fillId="4" borderId="4" xfId="0" applyNumberFormat="1" applyFill="1" applyBorder="1"/>
    <xf numFmtId="166" fontId="3" fillId="4" borderId="1" xfId="0" applyNumberFormat="1" applyFont="1" applyFill="1" applyBorder="1"/>
    <xf numFmtId="0" fontId="0" fillId="0" borderId="4" xfId="0" applyBorder="1"/>
    <xf numFmtId="166" fontId="3" fillId="2" borderId="1" xfId="0" applyNumberFormat="1" applyFont="1" applyFill="1" applyBorder="1"/>
    <xf numFmtId="2" fontId="0" fillId="10" borderId="1" xfId="0" applyNumberFormat="1" applyFill="1" applyBorder="1"/>
    <xf numFmtId="167" fontId="0" fillId="10" borderId="1" xfId="0" applyNumberFormat="1" applyFill="1" applyBorder="1"/>
    <xf numFmtId="166" fontId="0" fillId="10" borderId="1" xfId="0" applyNumberFormat="1" applyFill="1" applyBorder="1"/>
    <xf numFmtId="0" fontId="0" fillId="10" borderId="4" xfId="0" applyFill="1" applyBorder="1" applyAlignment="1">
      <alignment horizontal="center" vertical="center"/>
    </xf>
    <xf numFmtId="2" fontId="0" fillId="10" borderId="11" xfId="0" applyNumberFormat="1" applyFill="1" applyBorder="1"/>
    <xf numFmtId="0" fontId="0" fillId="10" borderId="4" xfId="0" applyFill="1" applyBorder="1"/>
    <xf numFmtId="0" fontId="3" fillId="10" borderId="4" xfId="0" applyFont="1" applyFill="1" applyBorder="1" applyAlignment="1">
      <alignment horizontal="center" vertical="center"/>
    </xf>
    <xf numFmtId="167" fontId="0" fillId="10" borderId="4" xfId="0" applyNumberFormat="1" applyFill="1" applyBorder="1"/>
    <xf numFmtId="0" fontId="3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/>
    </xf>
    <xf numFmtId="0" fontId="21" fillId="2" borderId="1" xfId="0" applyFont="1" applyFill="1" applyBorder="1" applyAlignment="1">
      <alignment horizontal="center"/>
    </xf>
    <xf numFmtId="0" fontId="19" fillId="1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166" fontId="3" fillId="0" borderId="4" xfId="0" applyNumberFormat="1" applyFont="1" applyBorder="1"/>
    <xf numFmtId="0" fontId="0" fillId="0" borderId="1" xfId="0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3" fillId="10" borderId="3" xfId="0" applyFont="1" applyFill="1" applyBorder="1" applyAlignment="1">
      <alignment horizontal="left" vertical="center" wrapText="1"/>
    </xf>
    <xf numFmtId="0" fontId="3" fillId="10" borderId="5" xfId="0" applyFont="1" applyFill="1" applyBorder="1" applyAlignment="1">
      <alignment horizontal="left" vertical="center" wrapText="1"/>
    </xf>
    <xf numFmtId="0" fontId="3" fillId="10" borderId="6" xfId="0" applyFont="1" applyFill="1" applyBorder="1" applyAlignment="1">
      <alignment horizontal="left" vertical="center" wrapText="1"/>
    </xf>
    <xf numFmtId="0" fontId="3" fillId="10" borderId="3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9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3" fillId="10" borderId="2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C1:M20"/>
  <sheetViews>
    <sheetView zoomScale="85" zoomScaleNormal="85" workbookViewId="0">
      <selection activeCell="I31" sqref="I31"/>
    </sheetView>
  </sheetViews>
  <sheetFormatPr defaultRowHeight="15" x14ac:dyDescent="0.25"/>
  <cols>
    <col min="5" max="5" width="11.5703125" customWidth="1"/>
    <col min="6" max="6" width="9" customWidth="1"/>
    <col min="9" max="9" width="9.140625" customWidth="1"/>
    <col min="11" max="11" width="23.85546875" customWidth="1"/>
    <col min="12" max="12" width="17" customWidth="1"/>
    <col min="13" max="13" width="11.85546875" customWidth="1"/>
  </cols>
  <sheetData>
    <row r="1" spans="3:13" x14ac:dyDescent="0.25">
      <c r="E1" s="170" t="s">
        <v>326</v>
      </c>
      <c r="F1" s="170" t="s">
        <v>327</v>
      </c>
      <c r="G1" s="170"/>
    </row>
    <row r="2" spans="3:13" x14ac:dyDescent="0.25">
      <c r="E2" s="170"/>
      <c r="F2" s="1" t="s">
        <v>328</v>
      </c>
      <c r="G2" s="1" t="s">
        <v>329</v>
      </c>
    </row>
    <row r="3" spans="3:13" x14ac:dyDescent="0.25">
      <c r="C3" s="8" t="s">
        <v>330</v>
      </c>
      <c r="E3" s="9" t="s">
        <v>320</v>
      </c>
      <c r="F3" s="9">
        <f>VLOOKUP(E3,ЧАСЫ,2,0)</f>
        <v>31</v>
      </c>
      <c r="G3" s="9">
        <f>VLOOKUP(E3,ЧАСЫ,3,0)</f>
        <v>744</v>
      </c>
      <c r="K3" s="83" t="s">
        <v>352</v>
      </c>
      <c r="L3" s="86">
        <v>6178570.7999999998</v>
      </c>
      <c r="M3" s="5" t="s">
        <v>349</v>
      </c>
    </row>
    <row r="5" spans="3:13" x14ac:dyDescent="0.25">
      <c r="K5" s="5"/>
      <c r="L5" s="10" t="s">
        <v>351</v>
      </c>
      <c r="M5" s="10" t="s">
        <v>62</v>
      </c>
    </row>
    <row r="6" spans="3:13" x14ac:dyDescent="0.25">
      <c r="K6" s="5" t="s">
        <v>332</v>
      </c>
      <c r="L6" s="5">
        <f>SUMIF(УЗЛЫ!E:E,"Бурение",УЗЛЫ!L:L)</f>
        <v>0</v>
      </c>
      <c r="M6" s="87" t="e">
        <f ca="1">L6/SUM(L6:L18)*100</f>
        <v>#DIV/0!</v>
      </c>
    </row>
    <row r="7" spans="3:13" x14ac:dyDescent="0.25">
      <c r="K7" s="5" t="s">
        <v>333</v>
      </c>
      <c r="L7" s="5">
        <f>SUMIF(УЗЛЫ!E:E,"Добыча",УЗЛЫ!L:L)</f>
        <v>0</v>
      </c>
      <c r="M7" s="87" t="e">
        <f ca="1">L7/SUM(L6:L18)*100</f>
        <v>#DIV/0!</v>
      </c>
    </row>
    <row r="8" spans="3:13" x14ac:dyDescent="0.25">
      <c r="K8" s="5" t="s">
        <v>354</v>
      </c>
      <c r="L8" s="5">
        <f>SUMIF(УЗЛЫ!E:E,"Внутренний транспорт",УЗЛЫ!L:L)</f>
        <v>0</v>
      </c>
      <c r="M8" s="87" t="e">
        <f ca="1">L8/SUM(L6:L18)*100</f>
        <v>#DIV/0!</v>
      </c>
    </row>
    <row r="9" spans="3:13" x14ac:dyDescent="0.25">
      <c r="K9" s="5" t="s">
        <v>353</v>
      </c>
      <c r="L9" s="5">
        <f>SUMIF(УЗЛЫ!E:E,"Внешний транспорт",УЗЛЫ!L:L)</f>
        <v>0</v>
      </c>
      <c r="M9" s="87" t="e">
        <f ca="1">L9/SUM(L6:L18)*100</f>
        <v>#DIV/0!</v>
      </c>
    </row>
    <row r="10" spans="3:13" x14ac:dyDescent="0.25">
      <c r="K10" s="5" t="s">
        <v>334</v>
      </c>
      <c r="L10" s="5">
        <f>SUMIF(УЗЛЫ!E:E,"Водозабор",УЗЛЫ!L:L)</f>
        <v>0</v>
      </c>
      <c r="M10" s="87" t="e">
        <f ca="1">L10/SUM(L6:L18)*100</f>
        <v>#DIV/0!</v>
      </c>
    </row>
    <row r="11" spans="3:13" x14ac:dyDescent="0.25">
      <c r="K11" s="5" t="s">
        <v>335</v>
      </c>
      <c r="L11" s="5">
        <f>SUMIF(УЗЛЫ!E:E,"ППД",УЗЛЫ!L:L)</f>
        <v>0</v>
      </c>
      <c r="M11" s="87" t="e">
        <f ca="1">L11/SUM(L6:L18)*100</f>
        <v>#DIV/0!</v>
      </c>
    </row>
    <row r="12" spans="3:13" x14ac:dyDescent="0.25">
      <c r="K12" s="5" t="s">
        <v>336</v>
      </c>
      <c r="L12" s="5">
        <f>SUMIF(УЗЛЫ!E:E,"Подготовка",УЗЛЫ!L:L)</f>
        <v>0</v>
      </c>
      <c r="M12" s="87" t="e">
        <f ca="1">L12/SUM(L6:L18)*100</f>
        <v>#DIV/0!</v>
      </c>
    </row>
    <row r="13" spans="3:13" x14ac:dyDescent="0.25">
      <c r="K13" s="5" t="s">
        <v>355</v>
      </c>
      <c r="L13" s="5">
        <f>SUMIF(УЗЛЫ!E:E,"Путевой подогреватель",УЗЛЫ!L:L)</f>
        <v>0</v>
      </c>
      <c r="M13" s="87" t="e">
        <f ca="1">L13/SUM(L6:L18)*100</f>
        <v>#DIV/0!</v>
      </c>
    </row>
    <row r="14" spans="3:13" x14ac:dyDescent="0.25">
      <c r="K14" s="5" t="s">
        <v>356</v>
      </c>
      <c r="L14" s="5">
        <f>SUMIF(УЗЛЫ!E:E,"Электрообогрев",УЗЛЫ!L:L)</f>
        <v>0</v>
      </c>
      <c r="M14" s="87" t="e">
        <f ca="1">L14/SUM(L6:L18)*100</f>
        <v>#DIV/0!</v>
      </c>
    </row>
    <row r="15" spans="3:13" x14ac:dyDescent="0.25">
      <c r="K15" s="5" t="s">
        <v>338</v>
      </c>
      <c r="L15" s="5">
        <f>SUMIF(УЗЛЫ!E:E,"База",УЗЛЫ!L:L)</f>
        <v>0</v>
      </c>
      <c r="M15" s="87" t="e">
        <f ca="1">L15/SUM(L6:L18)*100</f>
        <v>#DIV/0!</v>
      </c>
    </row>
    <row r="16" spans="3:13" x14ac:dyDescent="0.25">
      <c r="K16" s="5" t="s">
        <v>357</v>
      </c>
      <c r="L16" s="5">
        <f>SUMIF(УЗЛЫ!E:E,"Подрядчик",УЗЛЫ!L:L)</f>
        <v>0</v>
      </c>
      <c r="M16" s="87" t="e">
        <f ca="1">L16/SUM(L6:L18)*100</f>
        <v>#DIV/0!</v>
      </c>
    </row>
    <row r="17" spans="11:13" x14ac:dyDescent="0.25">
      <c r="K17" s="5" t="s">
        <v>337</v>
      </c>
      <c r="L17" s="5">
        <f>SUMIF(УЗЛЫ!E:E,"Прочие",УЗЛЫ!L:L)</f>
        <v>0</v>
      </c>
      <c r="M17" s="87" t="e">
        <f ca="1">L17/SUM(L6:L18)*100</f>
        <v>#DIV/0!</v>
      </c>
    </row>
    <row r="18" spans="11:13" x14ac:dyDescent="0.25">
      <c r="K18" s="5" t="s">
        <v>350</v>
      </c>
      <c r="L18" s="82">
        <f ca="1">SUM(ВЕТВИ!AI:AI)</f>
        <v>0</v>
      </c>
      <c r="M18" s="87" t="e">
        <f ca="1">L18/SUM(L6:L18)*100</f>
        <v>#DIV/0!</v>
      </c>
    </row>
    <row r="20" spans="11:13" x14ac:dyDescent="0.25">
      <c r="K20" s="5" t="s">
        <v>360</v>
      </c>
      <c r="L20" s="93">
        <f ca="1">SUM((L6:L18))</f>
        <v>0</v>
      </c>
      <c r="M20" s="5" t="s">
        <v>349</v>
      </c>
    </row>
  </sheetData>
  <mergeCells count="2">
    <mergeCell ref="E1:E2"/>
    <mergeCell ref="F1:G1"/>
  </mergeCells>
  <conditionalFormatting sqref="M6:M13 M15:M18">
    <cfRule type="dataBar" priority="3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{60A0BCE0-F660-46EE-89AE-8081AE0AD92A}</x14:id>
        </ext>
      </extLst>
    </cfRule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{19AF3C09-B990-4124-925C-A72D60251387}</x14:id>
        </ext>
      </extLst>
    </cfRule>
  </conditionalFormatting>
  <conditionalFormatting sqref="M14">
    <cfRule type="dataBar" priority="1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{A44CBEEF-0700-4DA5-B202-31A61424952C}</x14:id>
        </ext>
      </extLst>
    </cfRule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{74B7DFA0-9D7F-4CE1-BB19-95AAA6D14680}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0A0BCE0-F660-46EE-89AE-8081AE0AD92A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14:cfRule type="dataBar" id="{19AF3C09-B990-4124-925C-A72D6025138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M6:M13 M15:M18</xm:sqref>
        </x14:conditionalFormatting>
        <x14:conditionalFormatting xmlns:xm="http://schemas.microsoft.com/office/excel/2006/main">
          <x14:cfRule type="dataBar" id="{A44CBEEF-0700-4DA5-B202-31A61424952C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14:cfRule type="dataBar" id="{74B7DFA0-9D7F-4CE1-BB19-95AAA6D1468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M14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000-000000000000}">
          <x14:formula1>
            <xm:f>СПРАВОЧНИК!$K$2:$K$13</xm:f>
          </x14:formula1>
          <xm:sqref>E3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U23"/>
  <sheetViews>
    <sheetView tabSelected="1" zoomScale="115" zoomScaleNormal="115" workbookViewId="0">
      <pane ySplit="2" topLeftCell="A3" activePane="bottomLeft" state="frozen"/>
      <selection pane="bottomLeft" activeCell="V18" sqref="V18"/>
    </sheetView>
  </sheetViews>
  <sheetFormatPr defaultRowHeight="15" x14ac:dyDescent="0.25"/>
  <cols>
    <col min="2" max="2" width="36.42578125" customWidth="1"/>
    <col min="3" max="3" width="9" customWidth="1"/>
    <col min="4" max="4" width="7.7109375" customWidth="1"/>
    <col min="5" max="5" width="19.140625" customWidth="1"/>
    <col min="6" max="6" width="13.140625" hidden="1" customWidth="1"/>
    <col min="7" max="7" width="12.85546875" hidden="1" customWidth="1"/>
    <col min="8" max="8" width="7.140625" hidden="1" customWidth="1"/>
    <col min="9" max="9" width="15" hidden="1" customWidth="1"/>
    <col min="10" max="10" width="16" hidden="1" customWidth="1"/>
    <col min="11" max="11" width="15.140625" hidden="1" customWidth="1"/>
    <col min="12" max="12" width="12.42578125" hidden="1" customWidth="1"/>
    <col min="13" max="13" width="7.28515625" customWidth="1"/>
    <col min="14" max="14" width="7.5703125" customWidth="1"/>
    <col min="15" max="15" width="8.42578125" bestFit="1" customWidth="1"/>
    <col min="16" max="16" width="8.140625" bestFit="1" customWidth="1"/>
    <col min="17" max="18" width="8.28515625" hidden="1" customWidth="1"/>
    <col min="19" max="19" width="8.7109375" customWidth="1"/>
    <col min="20" max="20" width="8.5703125" customWidth="1"/>
    <col min="21" max="21" width="8.28515625" bestFit="1" customWidth="1"/>
  </cols>
  <sheetData>
    <row r="1" spans="1:21" ht="3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331</v>
      </c>
      <c r="F1" s="1" t="s">
        <v>361</v>
      </c>
      <c r="G1" s="1" t="s">
        <v>363</v>
      </c>
      <c r="H1" s="1" t="s">
        <v>359</v>
      </c>
      <c r="I1" s="1" t="s">
        <v>362</v>
      </c>
      <c r="J1" s="3" t="s">
        <v>4</v>
      </c>
      <c r="K1" s="3" t="s">
        <v>5</v>
      </c>
      <c r="L1" s="3" t="s">
        <v>6</v>
      </c>
      <c r="M1" s="2" t="s">
        <v>7</v>
      </c>
      <c r="N1" s="2" t="s">
        <v>8</v>
      </c>
      <c r="O1" s="4" t="s">
        <v>9</v>
      </c>
      <c r="P1" s="2" t="s">
        <v>10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9">
        <v>1</v>
      </c>
      <c r="B2" s="5" t="s">
        <v>339</v>
      </c>
      <c r="C2" s="5">
        <f>ВЕТВИ!S4</f>
        <v>6.4889999999999999</v>
      </c>
      <c r="D2" s="5">
        <f>IF(AND(C2&gt;0.05,C2&lt;0.55),0.4,IF(AND(C2&gt;4.5,C2&lt;8),6.3,IF(AND(C2&gt;8,C2&lt;13),10.5,IF(AND(C2&gt;15,C2&lt;25),20,IF(AND(C2&gt;30,C2&lt;50),37,IF(AND(C2&gt;80,C2&lt;135),115,IF(AND(C2&gt;175,C2&lt;250),230)))))))</f>
        <v>6.3</v>
      </c>
      <c r="E2" s="5"/>
      <c r="F2" s="5"/>
      <c r="G2" s="5"/>
      <c r="H2" s="5"/>
      <c r="I2" s="5"/>
      <c r="J2" s="5"/>
      <c r="K2" s="5"/>
      <c r="L2" s="5"/>
      <c r="M2" s="5"/>
      <c r="N2" s="5"/>
      <c r="O2" s="91" t="e">
        <f>S2/U2</f>
        <v>#DIV/0!</v>
      </c>
      <c r="P2" s="92"/>
      <c r="Q2" s="92"/>
      <c r="R2" s="92"/>
      <c r="S2" s="91">
        <f>ВЕТВИ!AC4</f>
        <v>0</v>
      </c>
      <c r="T2" s="91">
        <f>ВЕТВИ!AD4</f>
        <v>0</v>
      </c>
      <c r="U2" s="82">
        <f>SQRT(S2^2+T2^2)</f>
        <v>0</v>
      </c>
    </row>
    <row r="3" spans="1:21" x14ac:dyDescent="0.25">
      <c r="A3" s="9">
        <v>2</v>
      </c>
      <c r="B3" s="5"/>
      <c r="C3" s="81" t="e">
        <f t="shared" ref="C3:C20" si="0">VLOOKUP(A3,Uj_2,17,0)</f>
        <v>#N/A</v>
      </c>
      <c r="D3" s="5" t="e">
        <f t="shared" ref="D3:D20" si="1">IF(AND(C3&gt;0.05,C3&lt;0.55),0.4,IF(AND(C3&gt;4.5,C3&lt;8),6.3,IF(AND(C3&gt;8,C3&lt;13),10.5,IF(AND(C3&gt;15,C3&lt;25),20,IF(AND(C3&gt;30,C3&lt;50),37,IF(AND(C3&gt;80,C3&lt;135),115,IF(AND(C3&gt;175,C3&lt;250),230)))))))</f>
        <v>#N/A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x14ac:dyDescent="0.25">
      <c r="A4" s="9">
        <v>3</v>
      </c>
      <c r="B4" s="5"/>
      <c r="C4" s="81" t="e">
        <f t="shared" si="0"/>
        <v>#N/A</v>
      </c>
      <c r="D4" s="5" t="e">
        <f t="shared" si="1"/>
        <v>#N/A</v>
      </c>
      <c r="E4" s="5"/>
      <c r="F4" s="5"/>
      <c r="G4" s="5"/>
      <c r="H4" s="5"/>
      <c r="I4" s="5"/>
      <c r="J4" s="5"/>
      <c r="K4" s="5"/>
      <c r="L4" s="90"/>
      <c r="M4" s="81"/>
      <c r="N4" s="81"/>
      <c r="O4" s="82"/>
      <c r="P4" s="5"/>
      <c r="Q4" s="82"/>
      <c r="R4" s="82"/>
      <c r="S4" s="5"/>
      <c r="T4" s="5"/>
      <c r="U4" s="81"/>
    </row>
    <row r="5" spans="1:21" x14ac:dyDescent="0.25">
      <c r="A5" s="9">
        <v>4</v>
      </c>
      <c r="B5" s="5"/>
      <c r="C5" s="81" t="e">
        <f t="shared" si="0"/>
        <v>#N/A</v>
      </c>
      <c r="D5" s="5" t="e">
        <f t="shared" si="1"/>
        <v>#N/A</v>
      </c>
      <c r="E5" s="5"/>
      <c r="F5" s="5"/>
      <c r="G5" s="5"/>
      <c r="H5" s="5"/>
      <c r="I5" s="5"/>
      <c r="J5" s="5"/>
      <c r="K5" s="5"/>
      <c r="L5" s="5"/>
      <c r="M5" s="81"/>
      <c r="N5" s="81"/>
      <c r="O5" s="5"/>
      <c r="P5" s="5"/>
      <c r="Q5" s="82"/>
      <c r="R5" s="82"/>
      <c r="S5" s="5"/>
      <c r="T5" s="5"/>
      <c r="U5" s="81"/>
    </row>
    <row r="6" spans="1:21" x14ac:dyDescent="0.25">
      <c r="A6" s="9">
        <v>5</v>
      </c>
      <c r="B6" s="5"/>
      <c r="C6" s="81" t="e">
        <f t="shared" si="0"/>
        <v>#N/A</v>
      </c>
      <c r="D6" s="5" t="e">
        <f t="shared" si="1"/>
        <v>#N/A</v>
      </c>
      <c r="E6" s="5"/>
      <c r="F6" s="5"/>
      <c r="G6" s="5"/>
      <c r="H6" s="5"/>
      <c r="I6" s="5"/>
      <c r="J6" s="5"/>
      <c r="K6" s="5"/>
      <c r="L6" s="90"/>
      <c r="M6" s="81"/>
      <c r="N6" s="81"/>
      <c r="O6" s="82"/>
      <c r="P6" s="5"/>
      <c r="Q6" s="82"/>
      <c r="R6" s="82"/>
      <c r="S6" s="5"/>
      <c r="T6" s="5"/>
      <c r="U6" s="81"/>
    </row>
    <row r="7" spans="1:21" x14ac:dyDescent="0.25">
      <c r="A7" s="9">
        <v>6</v>
      </c>
      <c r="B7" s="5"/>
      <c r="C7" s="81" t="e">
        <f t="shared" si="0"/>
        <v>#N/A</v>
      </c>
      <c r="D7" s="5" t="e">
        <f t="shared" si="1"/>
        <v>#N/A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5">
      <c r="A8" s="9">
        <v>7</v>
      </c>
      <c r="B8" s="5"/>
      <c r="C8" s="81" t="e">
        <f t="shared" si="0"/>
        <v>#N/A</v>
      </c>
      <c r="D8" s="5" t="e">
        <f t="shared" si="1"/>
        <v>#N/A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5">
      <c r="A9" s="9">
        <v>8</v>
      </c>
      <c r="B9" s="5"/>
      <c r="C9" s="81" t="e">
        <f t="shared" si="0"/>
        <v>#N/A</v>
      </c>
      <c r="D9" s="5" t="e">
        <f t="shared" si="1"/>
        <v>#N/A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x14ac:dyDescent="0.25">
      <c r="A10" s="9">
        <v>9</v>
      </c>
      <c r="B10" s="5"/>
      <c r="C10" s="81" t="e">
        <f t="shared" si="0"/>
        <v>#N/A</v>
      </c>
      <c r="D10" s="5" t="e">
        <f t="shared" si="1"/>
        <v>#N/A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x14ac:dyDescent="0.25">
      <c r="A11" s="9">
        <v>10</v>
      </c>
      <c r="B11" s="5"/>
      <c r="C11" s="81" t="e">
        <f t="shared" si="0"/>
        <v>#N/A</v>
      </c>
      <c r="D11" s="5" t="e">
        <f t="shared" si="1"/>
        <v>#N/A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x14ac:dyDescent="0.25">
      <c r="A12" s="9">
        <v>11</v>
      </c>
      <c r="B12" s="5"/>
      <c r="C12" s="81" t="e">
        <f t="shared" si="0"/>
        <v>#N/A</v>
      </c>
      <c r="D12" s="5" t="e">
        <f t="shared" si="1"/>
        <v>#N/A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x14ac:dyDescent="0.25">
      <c r="A13" s="9">
        <v>12</v>
      </c>
      <c r="B13" s="5"/>
      <c r="C13" s="81" t="e">
        <f t="shared" si="0"/>
        <v>#N/A</v>
      </c>
      <c r="D13" s="5" t="e">
        <f t="shared" si="1"/>
        <v>#N/A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x14ac:dyDescent="0.25">
      <c r="A14" s="9">
        <v>13</v>
      </c>
      <c r="B14" s="5"/>
      <c r="C14" s="81" t="e">
        <f t="shared" si="0"/>
        <v>#N/A</v>
      </c>
      <c r="D14" s="5" t="e">
        <f t="shared" si="1"/>
        <v>#N/A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x14ac:dyDescent="0.25">
      <c r="A15" s="9">
        <v>14</v>
      </c>
      <c r="B15" s="5"/>
      <c r="C15" s="81" t="e">
        <f t="shared" si="0"/>
        <v>#N/A</v>
      </c>
      <c r="D15" s="5" t="e">
        <f t="shared" si="1"/>
        <v>#N/A</v>
      </c>
      <c r="E15" s="5"/>
      <c r="F15" s="5"/>
      <c r="G15" s="5"/>
      <c r="H15" s="5"/>
      <c r="I15" s="5"/>
      <c r="J15" s="5"/>
      <c r="K15" s="5"/>
      <c r="L15" s="5"/>
      <c r="M15" s="81"/>
      <c r="N15" s="81"/>
      <c r="O15" s="5"/>
      <c r="P15" s="5"/>
      <c r="Q15" s="82"/>
      <c r="R15" s="82"/>
      <c r="S15" s="5"/>
      <c r="T15" s="5"/>
      <c r="U15" s="81"/>
    </row>
    <row r="16" spans="1:21" x14ac:dyDescent="0.25">
      <c r="A16" s="9">
        <v>15</v>
      </c>
      <c r="B16" s="5"/>
      <c r="C16" s="81" t="e">
        <f t="shared" si="0"/>
        <v>#N/A</v>
      </c>
      <c r="D16" s="5" t="e">
        <f t="shared" si="1"/>
        <v>#N/A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x14ac:dyDescent="0.25">
      <c r="A17" s="9">
        <v>16</v>
      </c>
      <c r="B17" s="5"/>
      <c r="C17" s="81" t="e">
        <f t="shared" si="0"/>
        <v>#N/A</v>
      </c>
      <c r="D17" s="5" t="e">
        <f t="shared" si="1"/>
        <v>#N/A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x14ac:dyDescent="0.25">
      <c r="A18" s="9">
        <v>17</v>
      </c>
      <c r="B18" s="5"/>
      <c r="C18" s="81" t="e">
        <f t="shared" si="0"/>
        <v>#N/A</v>
      </c>
      <c r="D18" s="5" t="e">
        <f t="shared" si="1"/>
        <v>#N/A</v>
      </c>
      <c r="E18" s="5" t="s">
        <v>338</v>
      </c>
      <c r="F18" s="85"/>
      <c r="G18" s="85"/>
      <c r="H18" s="85"/>
      <c r="I18" s="85"/>
      <c r="J18" s="85"/>
      <c r="K18" s="85"/>
      <c r="L18" s="85"/>
      <c r="M18" s="94"/>
      <c r="N18" s="84">
        <v>-1E-3</v>
      </c>
      <c r="O18" s="82"/>
      <c r="P18" s="5" t="s">
        <v>309</v>
      </c>
      <c r="Q18" s="82" t="e">
        <f t="shared" ref="Q18:Q19" si="2">VLOOKUP(P18,СХН,2,0)+VLOOKUP(P18,СХН,3,0)*(C18/D18)+VLOOKUP(P18,СХН,4,0)*(C18/D18)^2</f>
        <v>#N/A</v>
      </c>
      <c r="R18" s="82" t="e">
        <f t="shared" ref="R18:R19" si="3">VLOOKUP(P18,СХН,5,0)+VLOOKUP(P18,СХН,6,0)*(C18/D18)+VLOOKUP(P18,СХН,7,0)*(C18/D18)^2</f>
        <v>#N/A</v>
      </c>
      <c r="S18" s="5"/>
      <c r="T18" s="5"/>
      <c r="U18" s="81"/>
    </row>
    <row r="19" spans="1:21" x14ac:dyDescent="0.25">
      <c r="A19" s="9">
        <v>18</v>
      </c>
      <c r="B19" s="5"/>
      <c r="C19" s="81" t="e">
        <f t="shared" si="0"/>
        <v>#N/A</v>
      </c>
      <c r="D19" s="5" t="e">
        <f t="shared" si="1"/>
        <v>#N/A</v>
      </c>
      <c r="E19" s="5" t="s">
        <v>338</v>
      </c>
      <c r="F19" s="85"/>
      <c r="G19" s="85"/>
      <c r="H19" s="85"/>
      <c r="I19" s="85"/>
      <c r="J19" s="85"/>
      <c r="K19" s="85"/>
      <c r="L19" s="85"/>
      <c r="M19" s="94"/>
      <c r="N19" s="84">
        <v>-1E-3</v>
      </c>
      <c r="O19" s="82"/>
      <c r="P19" s="5" t="s">
        <v>309</v>
      </c>
      <c r="Q19" s="82" t="e">
        <f t="shared" si="2"/>
        <v>#N/A</v>
      </c>
      <c r="R19" s="82" t="e">
        <f t="shared" si="3"/>
        <v>#N/A</v>
      </c>
      <c r="S19" s="5"/>
      <c r="T19" s="5"/>
      <c r="U19" s="81"/>
    </row>
    <row r="20" spans="1:21" x14ac:dyDescent="0.25">
      <c r="A20" s="9">
        <v>19</v>
      </c>
      <c r="B20" s="5"/>
      <c r="C20" s="81" t="e">
        <f t="shared" si="0"/>
        <v>#N/A</v>
      </c>
      <c r="D20" s="5" t="e">
        <f t="shared" si="1"/>
        <v>#N/A</v>
      </c>
      <c r="E20" s="5" t="s">
        <v>336</v>
      </c>
      <c r="F20" s="5"/>
      <c r="G20" s="5"/>
      <c r="H20" s="5">
        <v>120</v>
      </c>
      <c r="I20" s="5"/>
      <c r="J20" s="5"/>
      <c r="K20" s="5"/>
      <c r="L20" s="90">
        <f>(K20-J20)*H20</f>
        <v>0</v>
      </c>
      <c r="M20" s="81">
        <f>L20/ЧАС_МЕС/1000</f>
        <v>0</v>
      </c>
      <c r="N20" s="81">
        <f>SQRT(U20^2-M20^2)</f>
        <v>0</v>
      </c>
      <c r="O20" s="82">
        <v>0.96</v>
      </c>
      <c r="P20" s="5" t="s">
        <v>309</v>
      </c>
      <c r="Q20" s="82" t="e">
        <f>VLOOKUP(P20,СХН,2,0)+VLOOKUP(P20,СХН,3,0)*(C20/D20)+VLOOKUP(P20,СХН,4,0)*(C20/D20)^2</f>
        <v>#N/A</v>
      </c>
      <c r="R20" s="82" t="e">
        <f>VLOOKUP(P20,СХН,5,0)+VLOOKUP(P20,СХН,6,0)*(C20/D20)+VLOOKUP(P20,СХН,7,0)*(C20/D20)^2</f>
        <v>#N/A</v>
      </c>
      <c r="S20" s="5"/>
      <c r="T20" s="5"/>
      <c r="U20" s="81">
        <f>M20/O20</f>
        <v>0</v>
      </c>
    </row>
    <row r="21" spans="1:21" x14ac:dyDescent="0.25">
      <c r="A21" s="9">
        <v>20</v>
      </c>
      <c r="B21" s="5"/>
      <c r="C21" s="81" t="e">
        <f t="shared" ref="C21:C23" si="4">VLOOKUP(A21,Uj_2,17,0)</f>
        <v>#N/A</v>
      </c>
      <c r="D21" s="5" t="e">
        <f t="shared" ref="D21:D23" si="5">IF(AND(C21&gt;0.05,C21&lt;0.55),0.4,IF(AND(C21&gt;4.5,C21&lt;8),6.3,IF(AND(C21&gt;8,C21&lt;13),10.5,IF(AND(C21&gt;15,C21&lt;25),20,IF(AND(C21&gt;30,C21&lt;50),37,IF(AND(C21&gt;80,C21&lt;135),115,IF(AND(C21&gt;175,C21&lt;250),230)))))))</f>
        <v>#N/A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x14ac:dyDescent="0.25">
      <c r="A22" s="9">
        <v>21</v>
      </c>
      <c r="B22" s="5"/>
      <c r="C22" s="81" t="e">
        <f t="shared" si="4"/>
        <v>#N/A</v>
      </c>
      <c r="D22" s="5" t="e">
        <f t="shared" si="5"/>
        <v>#N/A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x14ac:dyDescent="0.25">
      <c r="A23" s="9">
        <v>22</v>
      </c>
      <c r="B23" s="5"/>
      <c r="C23" s="81" t="e">
        <f t="shared" si="4"/>
        <v>#N/A</v>
      </c>
      <c r="D23" s="5" t="e">
        <f t="shared" si="5"/>
        <v>#N/A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</sheetData>
  <phoneticPr fontId="22" type="noConversion"/>
  <dataValidations count="1">
    <dataValidation type="list" allowBlank="1" showInputMessage="1" showErrorMessage="1" sqref="E15" xr:uid="{00000000-0002-0000-0100-000000000000}">
      <formula1>$O$6:$O$17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1000000}">
          <x14:formula1>
            <xm:f>СПРАВОЧНИК!$B$192:$B$198</xm:f>
          </x14:formula1>
          <xm:sqref>P18:P20 P15 P4:P7</xm:sqref>
        </x14:dataValidation>
        <x14:dataValidation type="list" allowBlank="1" showInputMessage="1" showErrorMessage="1" xr:uid="{00000000-0002-0000-0100-000002000000}">
          <x14:formula1>
            <xm:f>СВОДКА!$K$6:$K$17</xm:f>
          </x14:formula1>
          <xm:sqref>E18:E20 E4:E6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AN61"/>
  <sheetViews>
    <sheetView zoomScaleNormal="100" workbookViewId="0">
      <pane ySplit="4" topLeftCell="A23" activePane="bottomLeft" state="frozen"/>
      <selection pane="bottomLeft" activeCell="AI20" sqref="AI20"/>
    </sheetView>
  </sheetViews>
  <sheetFormatPr defaultRowHeight="15" x14ac:dyDescent="0.25"/>
  <cols>
    <col min="1" max="1" width="28.5703125" customWidth="1"/>
    <col min="2" max="2" width="28.7109375" customWidth="1"/>
    <col min="3" max="4" width="6.7109375" customWidth="1"/>
    <col min="5" max="5" width="22.140625" customWidth="1"/>
    <col min="6" max="6" width="17.85546875" customWidth="1"/>
    <col min="7" max="7" width="6.85546875" customWidth="1"/>
    <col min="8" max="10" width="6.28515625" customWidth="1"/>
    <col min="11" max="11" width="6.7109375" hidden="1" customWidth="1"/>
    <col min="12" max="12" width="9.7109375" hidden="1" customWidth="1"/>
    <col min="13" max="13" width="8.7109375" hidden="1" customWidth="1"/>
    <col min="14" max="14" width="7.7109375" hidden="1" customWidth="1"/>
    <col min="15" max="15" width="6.7109375" hidden="1" customWidth="1"/>
    <col min="16" max="16" width="9.7109375" hidden="1" customWidth="1"/>
    <col min="17" max="17" width="12.28515625" hidden="1" customWidth="1"/>
    <col min="18" max="18" width="4.85546875" customWidth="1"/>
    <col min="19" max="20" width="6.7109375" bestFit="1" customWidth="1"/>
    <col min="21" max="21" width="25.28515625" hidden="1" customWidth="1"/>
    <col min="22" max="22" width="6.7109375" bestFit="1" customWidth="1"/>
    <col min="23" max="23" width="6.42578125" bestFit="1" customWidth="1"/>
    <col min="24" max="24" width="16.5703125" hidden="1" customWidth="1"/>
    <col min="25" max="28" width="5.5703125" hidden="1" customWidth="1"/>
    <col min="29" max="29" width="6.7109375" bestFit="1" customWidth="1"/>
    <col min="30" max="30" width="6.42578125" bestFit="1" customWidth="1"/>
    <col min="31" max="32" width="5.5703125" hidden="1" customWidth="1"/>
    <col min="33" max="33" width="6.7109375" bestFit="1" customWidth="1"/>
    <col min="34" max="34" width="9.42578125" customWidth="1"/>
    <col min="35" max="35" width="11" customWidth="1"/>
    <col min="36" max="39" width="5.5703125" hidden="1" customWidth="1"/>
  </cols>
  <sheetData>
    <row r="1" spans="1:40" ht="15" customHeight="1" x14ac:dyDescent="0.25">
      <c r="A1" s="170" t="s">
        <v>21</v>
      </c>
      <c r="B1" s="170"/>
      <c r="C1" s="170" t="s">
        <v>22</v>
      </c>
      <c r="D1" s="170"/>
      <c r="E1" s="173" t="s">
        <v>23</v>
      </c>
      <c r="F1" s="194" t="s">
        <v>24</v>
      </c>
      <c r="G1" s="194"/>
      <c r="H1" s="194"/>
      <c r="I1" s="194"/>
      <c r="J1" s="194"/>
      <c r="K1" s="194"/>
      <c r="L1" s="194"/>
      <c r="M1" s="194"/>
      <c r="N1" s="194" t="s">
        <v>25</v>
      </c>
      <c r="O1" s="194"/>
      <c r="P1" s="194"/>
      <c r="Q1" s="179"/>
      <c r="R1" s="180"/>
      <c r="S1" s="184" t="s">
        <v>26</v>
      </c>
      <c r="T1" s="170" t="s">
        <v>27</v>
      </c>
      <c r="U1" s="181" t="s">
        <v>28</v>
      </c>
      <c r="V1" s="173" t="s">
        <v>29</v>
      </c>
      <c r="W1" s="173"/>
      <c r="X1" s="173" t="s">
        <v>30</v>
      </c>
      <c r="Y1" s="173" t="s">
        <v>31</v>
      </c>
      <c r="Z1" s="173"/>
      <c r="AA1" s="173"/>
      <c r="AB1" s="173"/>
      <c r="AC1" s="173" t="s">
        <v>32</v>
      </c>
      <c r="AD1" s="173"/>
      <c r="AE1" s="174" t="s">
        <v>33</v>
      </c>
      <c r="AF1" s="175"/>
      <c r="AG1" s="178" t="s">
        <v>375</v>
      </c>
      <c r="AH1" s="181" t="s">
        <v>34</v>
      </c>
      <c r="AI1" s="183" t="s">
        <v>35</v>
      </c>
      <c r="AJ1" s="95"/>
      <c r="AK1" s="96"/>
      <c r="AL1" s="96"/>
      <c r="AM1" s="96"/>
      <c r="AN1" s="171" t="s">
        <v>364</v>
      </c>
    </row>
    <row r="2" spans="1:40" x14ac:dyDescent="0.25">
      <c r="A2" s="170"/>
      <c r="B2" s="170"/>
      <c r="C2" s="170"/>
      <c r="D2" s="170"/>
      <c r="E2" s="173"/>
      <c r="F2" s="173" t="s">
        <v>36</v>
      </c>
      <c r="G2" s="97" t="s">
        <v>37</v>
      </c>
      <c r="H2" s="98" t="s">
        <v>38</v>
      </c>
      <c r="I2" s="97" t="s">
        <v>39</v>
      </c>
      <c r="J2" s="97" t="s">
        <v>40</v>
      </c>
      <c r="K2" s="99" t="s">
        <v>41</v>
      </c>
      <c r="L2" s="99" t="s">
        <v>42</v>
      </c>
      <c r="M2" s="99" t="s">
        <v>43</v>
      </c>
      <c r="N2" s="194"/>
      <c r="O2" s="194"/>
      <c r="P2" s="194"/>
      <c r="Q2" s="179"/>
      <c r="R2" s="180"/>
      <c r="S2" s="184"/>
      <c r="T2" s="170"/>
      <c r="U2" s="187"/>
      <c r="V2" s="173"/>
      <c r="W2" s="173"/>
      <c r="X2" s="173"/>
      <c r="Y2" s="2"/>
      <c r="Z2" s="2"/>
      <c r="AA2" s="2"/>
      <c r="AB2" s="100"/>
      <c r="AC2" s="173"/>
      <c r="AD2" s="173"/>
      <c r="AE2" s="176"/>
      <c r="AF2" s="177"/>
      <c r="AG2" s="178"/>
      <c r="AH2" s="182"/>
      <c r="AI2" s="183"/>
      <c r="AN2" s="172"/>
    </row>
    <row r="3" spans="1:40" ht="25.5" x14ac:dyDescent="0.25">
      <c r="A3" s="101" t="s">
        <v>44</v>
      </c>
      <c r="B3" s="101" t="s">
        <v>45</v>
      </c>
      <c r="C3" s="101" t="s">
        <v>44</v>
      </c>
      <c r="D3" s="101" t="s">
        <v>45</v>
      </c>
      <c r="E3" s="181"/>
      <c r="F3" s="181"/>
      <c r="G3" s="102" t="s">
        <v>46</v>
      </c>
      <c r="H3" s="103" t="s">
        <v>47</v>
      </c>
      <c r="I3" s="104"/>
      <c r="J3" s="104"/>
      <c r="K3" s="105" t="s">
        <v>48</v>
      </c>
      <c r="L3" s="105" t="s">
        <v>49</v>
      </c>
      <c r="M3" s="105" t="s">
        <v>50</v>
      </c>
      <c r="N3" s="106" t="s">
        <v>340</v>
      </c>
      <c r="O3" s="106" t="s">
        <v>341</v>
      </c>
      <c r="P3" s="106" t="s">
        <v>372</v>
      </c>
      <c r="Q3" s="107"/>
      <c r="R3" s="108" t="s">
        <v>370</v>
      </c>
      <c r="S3" s="185"/>
      <c r="T3" s="186"/>
      <c r="U3" s="187"/>
      <c r="V3" s="109" t="s">
        <v>51</v>
      </c>
      <c r="W3" s="109" t="s">
        <v>52</v>
      </c>
      <c r="X3" s="181"/>
      <c r="Y3" s="110" t="s">
        <v>53</v>
      </c>
      <c r="Z3" s="110" t="s">
        <v>54</v>
      </c>
      <c r="AA3" s="110" t="s">
        <v>55</v>
      </c>
      <c r="AB3" s="110" t="s">
        <v>56</v>
      </c>
      <c r="AC3" s="109" t="s">
        <v>57</v>
      </c>
      <c r="AD3" s="109" t="s">
        <v>58</v>
      </c>
      <c r="AE3" s="111" t="s">
        <v>59</v>
      </c>
      <c r="AF3" s="111" t="s">
        <v>60</v>
      </c>
      <c r="AG3" s="101" t="s">
        <v>61</v>
      </c>
      <c r="AH3" s="101" t="s">
        <v>62</v>
      </c>
      <c r="AI3" s="112" t="s">
        <v>63</v>
      </c>
      <c r="AJ3" s="1" t="s">
        <v>340</v>
      </c>
      <c r="AK3" s="1" t="s">
        <v>368</v>
      </c>
      <c r="AL3" s="1" t="s">
        <v>341</v>
      </c>
      <c r="AM3" s="1" t="s">
        <v>369</v>
      </c>
      <c r="AN3" s="113" t="s">
        <v>61</v>
      </c>
    </row>
    <row r="4" spans="1:40" x14ac:dyDescent="0.25">
      <c r="A4" s="5" t="e">
        <f t="shared" ref="A4" si="0">VLOOKUP(C4,УЗЛЫ,2)</f>
        <v>#N/A</v>
      </c>
      <c r="B4" s="5" t="str">
        <f t="shared" ref="B4" si="1">VLOOKUP(D4,УЗЛЫ,2)</f>
        <v>Источник</v>
      </c>
      <c r="C4" s="6"/>
      <c r="D4" s="6">
        <v>1</v>
      </c>
      <c r="E4" s="114" t="s">
        <v>373</v>
      </c>
      <c r="F4" s="115" t="s">
        <v>255</v>
      </c>
      <c r="G4" s="116">
        <v>1.03</v>
      </c>
      <c r="H4" s="117">
        <v>11</v>
      </c>
      <c r="I4" s="117"/>
      <c r="J4" s="117"/>
      <c r="K4" s="89"/>
      <c r="L4" s="89"/>
      <c r="M4" s="89"/>
      <c r="N4" s="118">
        <f>HLOOKUP(F4,Генератор,10,0)/H4</f>
        <v>7.3636363636363639E-3</v>
      </c>
      <c r="O4" s="118">
        <f>HLOOKUP(F4,Генератор,13,0)*HLOOKUP(F4,Генератор,4,0)^2/HLOOKUP(F4,Генератор,5,0)*1000/H4</f>
        <v>0.20898589090909089</v>
      </c>
      <c r="P4" s="119"/>
      <c r="Q4" s="89">
        <v>1</v>
      </c>
      <c r="R4" s="120"/>
      <c r="S4" s="121">
        <f>HLOOKUP(F4,Генератор,4,0)*G4</f>
        <v>6.4889999999999999</v>
      </c>
      <c r="T4" s="81">
        <f>SQRT((S4-AE4)^2+AF4^2)</f>
        <v>6.4889999999999999</v>
      </c>
      <c r="U4" s="5"/>
      <c r="V4" s="5"/>
      <c r="W4" s="5"/>
      <c r="X4" s="5"/>
      <c r="Y4" s="5"/>
      <c r="Z4" s="5"/>
      <c r="AA4" s="5"/>
      <c r="AB4" s="5"/>
      <c r="AC4" s="81">
        <f>IFERROR(VLOOKUP(D4,УЗЛЫ,13,0)*VLOOKUP(D4,УЗЛЫ,17,0)+SUMIF(УЗЛЫ_I,D4,УЗЛЫ_Рн),0)</f>
        <v>0</v>
      </c>
      <c r="AD4" s="81">
        <f>IFERROR(VLOOKUP(D4,УЗЛЫ,14,0)*VLOOKUP(D4,УЗЛЫ,18,0)+SUMIF(УЗЛЫ_I,D4,УЗЛЫ_Qн)-U4,0)</f>
        <v>0</v>
      </c>
      <c r="AE4" s="81">
        <f t="shared" ref="AE4" si="2">IFERROR((V4*N4+W4*O4)/S4,0)</f>
        <v>0</v>
      </c>
      <c r="AF4" s="81">
        <f t="shared" ref="AF4" si="3">IFERROR((V4*O4-W4*N4)/S4,0)</f>
        <v>0</v>
      </c>
      <c r="AG4" s="81">
        <f t="shared" ref="AG4" si="4">IFERROR(SQRT(AC4^2+AD4^2)/(SQRT(3)*T4),0)</f>
        <v>0</v>
      </c>
      <c r="AH4" s="89"/>
      <c r="AI4" s="120"/>
      <c r="AJ4" s="122">
        <f t="shared" ref="AJ4" si="5">SUMIF(УЗЛЫ_J,C4,R_Оборуд.1)</f>
        <v>0</v>
      </c>
      <c r="AK4" s="123">
        <f t="shared" ref="AK4" si="6">(AJ4+N4)*(1/Q4)^2</f>
        <v>7.3636363636363639E-3</v>
      </c>
      <c r="AL4" s="123">
        <f t="shared" ref="AL4" si="7">SUMIF(УЗЛЫ_J,C4,Х_оборуд.1)</f>
        <v>0</v>
      </c>
      <c r="AM4" s="123">
        <f t="shared" ref="AM4" si="8">(AL4+O4)*(1/Q4)^2</f>
        <v>0.20898589090909089</v>
      </c>
      <c r="AN4" s="124">
        <f>T4/(1.73*SQRT(AK4^2+AM4^2))</f>
        <v>17.93681300341629</v>
      </c>
    </row>
    <row r="5" spans="1:40" x14ac:dyDescent="0.25">
      <c r="A5" s="89"/>
      <c r="B5" s="116" t="s">
        <v>358</v>
      </c>
      <c r="C5" s="117"/>
      <c r="D5" s="117"/>
      <c r="E5" s="89"/>
      <c r="F5" s="89"/>
      <c r="G5" s="117"/>
      <c r="H5" s="116"/>
      <c r="I5" s="89"/>
      <c r="J5" s="89"/>
      <c r="K5" s="119"/>
      <c r="L5" s="119"/>
      <c r="M5" s="119"/>
      <c r="N5" s="118"/>
      <c r="O5" s="119"/>
      <c r="P5" s="140"/>
      <c r="Q5" s="89"/>
      <c r="R5" s="141"/>
      <c r="S5" s="121"/>
      <c r="T5" s="118"/>
      <c r="U5" s="89"/>
      <c r="V5" s="118"/>
      <c r="W5" s="118"/>
      <c r="X5" s="89"/>
      <c r="Y5" s="118"/>
      <c r="Z5" s="118"/>
      <c r="AA5" s="118"/>
      <c r="AB5" s="118"/>
      <c r="AC5" s="118"/>
      <c r="AD5" s="118"/>
      <c r="AE5" s="118"/>
      <c r="AF5" s="118"/>
      <c r="AG5" s="118"/>
      <c r="AH5" s="140"/>
      <c r="AI5" s="142"/>
      <c r="AJ5" s="143"/>
      <c r="AK5" s="5"/>
      <c r="AL5" s="5"/>
      <c r="AM5" s="5"/>
      <c r="AN5" s="144"/>
    </row>
    <row r="6" spans="1:40" x14ac:dyDescent="0.25">
      <c r="A6" s="5" t="e">
        <f t="shared" ref="A6:A34" si="9">VLOOKUP(C6,УЗЛЫ,2)</f>
        <v>#N/A</v>
      </c>
      <c r="B6" s="5" t="e">
        <f t="shared" ref="B6:B34" si="10">VLOOKUP(D6,УЗЛЫ,2)</f>
        <v>#N/A</v>
      </c>
      <c r="C6" s="6"/>
      <c r="D6" s="6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154"/>
      <c r="S6" s="143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154"/>
      <c r="AJ6" s="143"/>
      <c r="AK6" s="5"/>
      <c r="AL6" s="5"/>
      <c r="AM6" s="5"/>
      <c r="AN6" s="144"/>
    </row>
    <row r="7" spans="1:40" x14ac:dyDescent="0.25">
      <c r="A7" s="5" t="e">
        <f t="shared" ref="A7:A15" si="11">VLOOKUP(C7,УЗЛЫ,2)</f>
        <v>#N/A</v>
      </c>
      <c r="B7" s="5" t="e">
        <f t="shared" ref="B7:B15" si="12">VLOOKUP(D7,УЗЛЫ,2)</f>
        <v>#N/A</v>
      </c>
      <c r="C7" s="6"/>
      <c r="D7" s="6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154"/>
      <c r="S7" s="143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154"/>
      <c r="AJ7" s="143"/>
      <c r="AK7" s="5"/>
      <c r="AL7" s="5"/>
      <c r="AM7" s="5"/>
      <c r="AN7" s="144"/>
    </row>
    <row r="8" spans="1:40" x14ac:dyDescent="0.25">
      <c r="A8" s="5" t="e">
        <f t="shared" si="11"/>
        <v>#N/A</v>
      </c>
      <c r="B8" s="5" t="e">
        <f t="shared" si="12"/>
        <v>#N/A</v>
      </c>
      <c r="C8" s="6"/>
      <c r="D8" s="6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154"/>
      <c r="S8" s="143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154"/>
      <c r="AJ8" s="143"/>
      <c r="AK8" s="5"/>
      <c r="AL8" s="5"/>
      <c r="AM8" s="5"/>
      <c r="AN8" s="144"/>
    </row>
    <row r="9" spans="1:40" x14ac:dyDescent="0.25">
      <c r="A9" s="5" t="e">
        <f t="shared" si="11"/>
        <v>#N/A</v>
      </c>
      <c r="B9" s="5" t="e">
        <f t="shared" si="12"/>
        <v>#N/A</v>
      </c>
      <c r="C9" s="6"/>
      <c r="D9" s="6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154"/>
      <c r="S9" s="143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154"/>
      <c r="AJ9" s="143"/>
      <c r="AK9" s="5"/>
      <c r="AL9" s="5"/>
      <c r="AM9" s="5"/>
      <c r="AN9" s="144"/>
    </row>
    <row r="10" spans="1:40" x14ac:dyDescent="0.25">
      <c r="A10" s="5" t="e">
        <f t="shared" si="11"/>
        <v>#N/A</v>
      </c>
      <c r="B10" s="5" t="e">
        <f t="shared" si="12"/>
        <v>#N/A</v>
      </c>
      <c r="C10" s="6"/>
      <c r="D10" s="6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154"/>
      <c r="S10" s="143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154"/>
      <c r="AJ10" s="143"/>
      <c r="AK10" s="5"/>
      <c r="AL10" s="5"/>
      <c r="AM10" s="5"/>
      <c r="AN10" s="144"/>
    </row>
    <row r="11" spans="1:40" x14ac:dyDescent="0.25">
      <c r="A11" s="5" t="e">
        <f t="shared" si="11"/>
        <v>#N/A</v>
      </c>
      <c r="B11" s="5" t="e">
        <f t="shared" si="12"/>
        <v>#N/A</v>
      </c>
      <c r="C11" s="6"/>
      <c r="D11" s="6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154"/>
      <c r="S11" s="143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154"/>
      <c r="AJ11" s="143"/>
      <c r="AK11" s="5"/>
      <c r="AL11" s="5"/>
      <c r="AM11" s="5"/>
      <c r="AN11" s="144"/>
    </row>
    <row r="12" spans="1:40" x14ac:dyDescent="0.25">
      <c r="A12" s="5" t="e">
        <f t="shared" si="11"/>
        <v>#N/A</v>
      </c>
      <c r="B12" s="5" t="e">
        <f t="shared" si="12"/>
        <v>#N/A</v>
      </c>
      <c r="C12" s="6"/>
      <c r="D12" s="6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154"/>
      <c r="S12" s="143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154"/>
      <c r="AJ12" s="143"/>
      <c r="AK12" s="5"/>
      <c r="AL12" s="5"/>
      <c r="AM12" s="5"/>
      <c r="AN12" s="144"/>
    </row>
    <row r="13" spans="1:40" x14ac:dyDescent="0.25">
      <c r="A13" s="5" t="e">
        <f t="shared" si="11"/>
        <v>#N/A</v>
      </c>
      <c r="B13" s="5" t="e">
        <f t="shared" si="12"/>
        <v>#N/A</v>
      </c>
      <c r="C13" s="6"/>
      <c r="D13" s="6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154"/>
      <c r="S13" s="143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154"/>
      <c r="AJ13" s="143"/>
      <c r="AK13" s="5"/>
      <c r="AL13" s="5"/>
      <c r="AM13" s="5"/>
      <c r="AN13" s="144"/>
    </row>
    <row r="14" spans="1:40" x14ac:dyDescent="0.25">
      <c r="A14" s="5" t="e">
        <f t="shared" si="11"/>
        <v>#N/A</v>
      </c>
      <c r="B14" s="5" t="e">
        <f t="shared" si="12"/>
        <v>#N/A</v>
      </c>
      <c r="C14" s="6"/>
      <c r="D14" s="6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154"/>
      <c r="S14" s="143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154"/>
      <c r="AJ14" s="143"/>
      <c r="AK14" s="5"/>
      <c r="AL14" s="5"/>
      <c r="AM14" s="5"/>
      <c r="AN14" s="144"/>
    </row>
    <row r="15" spans="1:40" x14ac:dyDescent="0.25">
      <c r="A15" s="5" t="e">
        <f t="shared" si="11"/>
        <v>#N/A</v>
      </c>
      <c r="B15" s="5" t="e">
        <f t="shared" si="12"/>
        <v>#N/A</v>
      </c>
      <c r="C15" s="6"/>
      <c r="D15" s="6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154"/>
      <c r="S15" s="143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154"/>
      <c r="AJ15" s="143"/>
      <c r="AK15" s="5"/>
      <c r="AL15" s="5"/>
      <c r="AM15" s="5"/>
      <c r="AN15" s="144"/>
    </row>
    <row r="16" spans="1:40" x14ac:dyDescent="0.25">
      <c r="A16" s="5" t="e">
        <f t="shared" si="9"/>
        <v>#N/A</v>
      </c>
      <c r="B16" s="5" t="e">
        <f t="shared" si="10"/>
        <v>#N/A</v>
      </c>
      <c r="C16" s="6"/>
      <c r="D16" s="6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154"/>
      <c r="S16" s="143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154"/>
      <c r="AJ16" s="143"/>
      <c r="AK16" s="5"/>
      <c r="AL16" s="5"/>
      <c r="AM16" s="5"/>
      <c r="AN16" s="144"/>
    </row>
    <row r="17" spans="1:40" x14ac:dyDescent="0.25">
      <c r="A17" s="5" t="e">
        <f t="shared" si="9"/>
        <v>#N/A</v>
      </c>
      <c r="B17" s="5" t="e">
        <f t="shared" si="10"/>
        <v>#N/A</v>
      </c>
      <c r="C17" s="6"/>
      <c r="D17" s="6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154"/>
      <c r="S17" s="143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154"/>
      <c r="AJ17" s="143"/>
      <c r="AK17" s="5"/>
      <c r="AL17" s="5"/>
      <c r="AM17" s="5"/>
      <c r="AN17" s="144"/>
    </row>
    <row r="18" spans="1:40" x14ac:dyDescent="0.25">
      <c r="A18" s="5" t="e">
        <f t="shared" si="9"/>
        <v>#N/A</v>
      </c>
      <c r="B18" s="5" t="e">
        <f t="shared" si="10"/>
        <v>#N/A</v>
      </c>
      <c r="C18" s="6"/>
      <c r="D18" s="6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154"/>
      <c r="S18" s="143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154"/>
      <c r="AJ18" s="143"/>
      <c r="AK18" s="5"/>
      <c r="AL18" s="5"/>
      <c r="AM18" s="5"/>
      <c r="AN18" s="144"/>
    </row>
    <row r="19" spans="1:40" x14ac:dyDescent="0.25">
      <c r="A19" s="5" t="e">
        <f t="shared" si="9"/>
        <v>#N/A</v>
      </c>
      <c r="B19" s="5" t="e">
        <f t="shared" si="10"/>
        <v>#N/A</v>
      </c>
      <c r="C19" s="6"/>
      <c r="D19" s="6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154"/>
      <c r="S19" s="143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154"/>
      <c r="AJ19" s="143"/>
      <c r="AK19" s="5"/>
      <c r="AL19" s="5"/>
      <c r="AM19" s="5"/>
      <c r="AN19" s="144"/>
    </row>
    <row r="20" spans="1:40" x14ac:dyDescent="0.25">
      <c r="A20" s="5" t="e">
        <f t="shared" si="9"/>
        <v>#N/A</v>
      </c>
      <c r="B20" s="5" t="e">
        <f t="shared" si="10"/>
        <v>#N/A</v>
      </c>
      <c r="C20" s="6"/>
      <c r="D20" s="6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154"/>
      <c r="S20" s="143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154"/>
      <c r="AJ20" s="143"/>
      <c r="AK20" s="5"/>
      <c r="AL20" s="5"/>
      <c r="AM20" s="5"/>
      <c r="AN20" s="144"/>
    </row>
    <row r="21" spans="1:40" x14ac:dyDescent="0.25">
      <c r="A21" s="5" t="e">
        <f t="shared" si="9"/>
        <v>#N/A</v>
      </c>
      <c r="B21" s="5" t="e">
        <f t="shared" si="10"/>
        <v>#N/A</v>
      </c>
      <c r="C21" s="6"/>
      <c r="D21" s="6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154"/>
      <c r="S21" s="143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154"/>
      <c r="AJ21" s="143"/>
      <c r="AK21" s="5"/>
      <c r="AL21" s="5"/>
      <c r="AM21" s="5"/>
      <c r="AN21" s="144"/>
    </row>
    <row r="22" spans="1:40" x14ac:dyDescent="0.25">
      <c r="A22" s="5" t="e">
        <f t="shared" si="9"/>
        <v>#N/A</v>
      </c>
      <c r="B22" s="5" t="e">
        <f t="shared" si="10"/>
        <v>#N/A</v>
      </c>
      <c r="C22" s="6"/>
      <c r="D22" s="6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154"/>
      <c r="S22" s="143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154"/>
      <c r="AJ22" s="143"/>
      <c r="AK22" s="5"/>
      <c r="AL22" s="5"/>
      <c r="AM22" s="5"/>
      <c r="AN22" s="144"/>
    </row>
    <row r="23" spans="1:40" x14ac:dyDescent="0.25">
      <c r="A23" s="5" t="e">
        <f t="shared" si="9"/>
        <v>#N/A</v>
      </c>
      <c r="B23" s="5" t="e">
        <f t="shared" si="10"/>
        <v>#N/A</v>
      </c>
      <c r="C23" s="6"/>
      <c r="D23" s="6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154"/>
      <c r="S23" s="143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154"/>
      <c r="AJ23" s="143"/>
      <c r="AK23" s="5"/>
      <c r="AL23" s="5"/>
      <c r="AM23" s="5"/>
      <c r="AN23" s="144"/>
    </row>
    <row r="24" spans="1:40" x14ac:dyDescent="0.25">
      <c r="A24" s="5" t="e">
        <f t="shared" si="9"/>
        <v>#N/A</v>
      </c>
      <c r="B24" s="5" t="e">
        <f t="shared" si="10"/>
        <v>#N/A</v>
      </c>
      <c r="C24" s="6"/>
      <c r="D24" s="6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154"/>
      <c r="S24" s="143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154"/>
      <c r="AJ24" s="143"/>
      <c r="AK24" s="5"/>
      <c r="AL24" s="5"/>
      <c r="AM24" s="5"/>
      <c r="AN24" s="144"/>
    </row>
    <row r="25" spans="1:40" x14ac:dyDescent="0.25">
      <c r="A25" s="5" t="e">
        <f t="shared" si="9"/>
        <v>#N/A</v>
      </c>
      <c r="B25" s="5" t="e">
        <f t="shared" si="10"/>
        <v>#N/A</v>
      </c>
      <c r="C25" s="6"/>
      <c r="D25" s="6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154"/>
      <c r="S25" s="143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154"/>
      <c r="AJ25" s="143"/>
      <c r="AK25" s="5"/>
      <c r="AL25" s="5"/>
      <c r="AM25" s="5"/>
      <c r="AN25" s="144"/>
    </row>
    <row r="26" spans="1:40" x14ac:dyDescent="0.25">
      <c r="A26" s="5" t="e">
        <f t="shared" si="9"/>
        <v>#N/A</v>
      </c>
      <c r="B26" s="5" t="e">
        <f t="shared" si="10"/>
        <v>#N/A</v>
      </c>
      <c r="C26" s="6"/>
      <c r="D26" s="6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154"/>
      <c r="S26" s="143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154"/>
      <c r="AJ26" s="143"/>
      <c r="AK26" s="5"/>
      <c r="AL26" s="5"/>
      <c r="AM26" s="5"/>
      <c r="AN26" s="144"/>
    </row>
    <row r="27" spans="1:40" x14ac:dyDescent="0.25">
      <c r="A27" s="5" t="e">
        <f t="shared" si="9"/>
        <v>#N/A</v>
      </c>
      <c r="B27" s="5" t="e">
        <f t="shared" si="10"/>
        <v>#N/A</v>
      </c>
      <c r="C27" s="6"/>
      <c r="D27" s="6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154"/>
      <c r="S27" s="143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154"/>
      <c r="AJ27" s="143"/>
      <c r="AK27" s="5"/>
      <c r="AL27" s="5"/>
      <c r="AM27" s="5"/>
      <c r="AN27" s="144"/>
    </row>
    <row r="28" spans="1:40" x14ac:dyDescent="0.25">
      <c r="A28" s="5" t="e">
        <f t="shared" si="9"/>
        <v>#N/A</v>
      </c>
      <c r="B28" s="5" t="e">
        <f t="shared" si="10"/>
        <v>#N/A</v>
      </c>
      <c r="C28" s="6"/>
      <c r="D28" s="6"/>
      <c r="E28" s="88" t="s">
        <v>376</v>
      </c>
      <c r="F28" s="88" t="s">
        <v>210</v>
      </c>
      <c r="G28" s="125" t="s">
        <v>233</v>
      </c>
      <c r="H28" s="126">
        <v>1</v>
      </c>
      <c r="I28" s="88"/>
      <c r="J28" s="88"/>
      <c r="K28" s="127">
        <f>IF(G28="ВН",VLOOKUP(F28,Транс_2х_обм,8,0)*VLOOKUP(F28,Транс_2х_обм,3,0)^2/100/VLOOKUP(F28,Транс_2х_обм,2,0),VLOOKUP(F28,Транс_2х_обм,8,0)*VLOOKUP(F28,Транс_2х_обм,4,0)^2/100/VLOOKUP(F28,Транс_2х_обм,2,0))/H28</f>
        <v>2.4</v>
      </c>
      <c r="L28" s="127">
        <f>IF(G28="ВН",VLOOKUP(F28,Транс_2х_обм,7,FALSE)/100*VLOOKUP(F28,Транс_2х_обм,2,0)/VLOOKUP(F28,Транс_2х_обм,3,0)^2*1000000,VLOOKUP(F28,Транс_2х_обм,7,FALSE)/100*VLOOKUP(F28,Транс_2х_обм,2,0)/VLOOKUP(F28,Транс_2х_обм,4,0)^2*1000000)*H28</f>
        <v>250</v>
      </c>
      <c r="M28" s="127">
        <f>IF(G28="ВН",VLOOKUP(F28,Транс_2х_обм,6,0)/VLOOKUP(F28,Транс_2х_обм,3,FALSE)^2*1000,VLOOKUP(F28,Транс_2х_обм,6,0)/VLOOKUP(F28,Транс_2х_обм,4,FALSE)^2*1000)*H28</f>
        <v>46</v>
      </c>
      <c r="N28" s="128">
        <f>IF(G28="ВН",VLOOKUP(F28,Транс_2х_обм,5,0)*VLOOKUP(F28,Транс_2х_обм,3,0)^2/VLOOKUP(F28,Транс_2х_обм,2,0)^2/1000,VLOOKUP(F28,Транс_2х_обм,5,0)*VLOOKUP(F28,Транс_2х_обм,4,0)^2/VLOOKUP(F28,Транс_2х_обм,2,0)^2/1000)/H28</f>
        <v>0.41599999999999998</v>
      </c>
      <c r="O28" s="127">
        <f>SQRT(K28^2-N28^2)</f>
        <v>2.3636717200152817</v>
      </c>
      <c r="P28" s="129">
        <f>SQRT(L28^2-M28^2)</f>
        <v>245.73156085452271</v>
      </c>
      <c r="Q28" s="128">
        <f>IF(G28="ВН",VLOOKUP(F28,Транс_2х_обм,3,0)/VLOOKUP(F28,Транс_2х_обм,4,0)*(1-R28*VLOOKUP(F28,Транс_2х_обм,9,0)/100),VLOOKUP(F28,Транс_2х_обм,4,0)/VLOOKUP(F28,Транс_2х_обм,3,0)*(1-R28*VLOOKUP(F28,Транс_2х_обм,9,0)/100))</f>
        <v>25</v>
      </c>
      <c r="R28" s="130">
        <v>0</v>
      </c>
      <c r="S28" s="131">
        <f t="shared" ref="S28" si="13">SUMIF(УЗЛЫ_J,C28,Uj)</f>
        <v>0</v>
      </c>
      <c r="T28" s="128">
        <f t="shared" ref="T28" si="14">SQRT((S28-AE28)^2+AF28^2)/Q28</f>
        <v>0</v>
      </c>
      <c r="U28" s="88"/>
      <c r="V28" s="128">
        <f>AC28+Z28*H28+VLOOKUP(F28,Транс_2х_обм,6,0)/1000*IF(S28=0,0,1)</f>
        <v>0</v>
      </c>
      <c r="W28" s="128">
        <f>AD28+AA28+AB28</f>
        <v>0</v>
      </c>
      <c r="X28" s="132"/>
      <c r="Y28" s="128">
        <f>SQRT(AC28^2+AD28^2)/H28</f>
        <v>0</v>
      </c>
      <c r="Z28" s="128">
        <f>VLOOKUP(F28,Транс_2х_обм,5,FALSE)*(Y28/VLOOKUP(F28,Транс_2х_обм,2,0))^2/1000</f>
        <v>0</v>
      </c>
      <c r="AA28" s="128">
        <f>VLOOKUP(F28,Транс_2х_обм,8,0)/100*Y28^2/VLOOKUP(F28,Транс_2х_обм,2,0)</f>
        <v>0</v>
      </c>
      <c r="AB28" s="128">
        <f>VLOOKUP(F28,Транс_2х_обм,7,0)*VLOOKUP(F28,Транс_2х_обм,2,0)/100*IF(S28=0,0,1)</f>
        <v>0</v>
      </c>
      <c r="AC28" s="128">
        <f t="shared" ref="AC28" si="15">IFERROR(VLOOKUP(D28,УЗЛЫ,13,0)*VLOOKUP(D28,УЗЛЫ,17,0)+SUMIF(УЗЛЫ_I,D28,УЗЛЫ_Рн),0)</f>
        <v>0</v>
      </c>
      <c r="AD28" s="128">
        <f t="shared" ref="AD28" si="16">IFERROR(VLOOKUP(D28,УЗЛЫ,14,0)*VLOOKUP(D28,УЗЛЫ,18,0)+SUMIF(УЗЛЫ_I,D28,УЗЛЫ_Qн)-U28,0)</f>
        <v>0</v>
      </c>
      <c r="AE28" s="128">
        <f t="shared" ref="AE28:AE29" si="17">IFERROR((V28*N28+W28*O28)/S28,0)</f>
        <v>0</v>
      </c>
      <c r="AF28" s="128">
        <f t="shared" ref="AF28:AF29" si="18">IFERROR((V28*O28-W28*N28)/S28,0)</f>
        <v>0</v>
      </c>
      <c r="AG28" s="128">
        <f t="shared" ref="AG28" si="19">IFERROR(SQRT(AC28^2+AD28^2)/(SQRT(3)*T28),0)</f>
        <v>0</v>
      </c>
      <c r="AH28" s="129">
        <f>SQRT(AC28^2+AD28^2)/VLOOKUP(F28,Транс_2х_обм,2,0)*100/H28</f>
        <v>0</v>
      </c>
      <c r="AI28" s="133">
        <f>(VLOOKUP(F28,Транс_2х_обм,6,0)*(S28/VLOOKUP(F28,Транс_2х_обм,3,0))^2/1000+Z28)*ЧАС_МЕС*1000*H28</f>
        <v>0</v>
      </c>
      <c r="AJ28" s="137">
        <f t="shared" ref="AJ28:AJ34" si="20">SUMIF(УЗЛЫ_J,C28,R_Оборуд.1)</f>
        <v>0</v>
      </c>
      <c r="AK28" s="81">
        <f>(AJ28+N28)*(1/Q28)^2</f>
        <v>6.6560000000000002E-4</v>
      </c>
      <c r="AL28" s="81">
        <f t="shared" ref="AL28:AL34" si="21">SUMIF(УЗЛЫ_J,C28,Х_оборуд.1)</f>
        <v>0</v>
      </c>
      <c r="AM28" s="81">
        <f>(AL28+O28)*(1/Q28)^2</f>
        <v>3.7818747520244507E-3</v>
      </c>
      <c r="AN28" s="124">
        <f t="shared" ref="AN28" si="22">T28/(1.73*SQRT(AK28^2+AM28^2))</f>
        <v>0</v>
      </c>
    </row>
    <row r="29" spans="1:40" x14ac:dyDescent="0.25">
      <c r="A29" s="5" t="e">
        <f t="shared" si="9"/>
        <v>#N/A</v>
      </c>
      <c r="B29" s="5" t="e">
        <f t="shared" si="10"/>
        <v>#N/A</v>
      </c>
      <c r="C29" s="6"/>
      <c r="D29" s="6"/>
      <c r="E29" s="90" t="s">
        <v>377</v>
      </c>
      <c r="F29" s="90" t="s">
        <v>117</v>
      </c>
      <c r="G29" s="153">
        <v>3.2000000000000001E-2</v>
      </c>
      <c r="H29" s="145">
        <v>1</v>
      </c>
      <c r="I29" s="90"/>
      <c r="J29" s="90"/>
      <c r="K29" s="90"/>
      <c r="L29" s="90"/>
      <c r="M29" s="90"/>
      <c r="N29" s="146">
        <f>VLOOKUP(F29,Кабель_ВВ,2,0)*G29/H29</f>
        <v>4.8960000000000002E-3</v>
      </c>
      <c r="O29" s="146">
        <f>VLOOKUP(F29,Кабель_ВВ,3,0)*G29/H29</f>
        <v>2.5920000000000001E-3</v>
      </c>
      <c r="P29" s="147">
        <f>VLOOKUP(F29,Кабель_ВВ,4,0)*G29*H29</f>
        <v>3.7120000000000002</v>
      </c>
      <c r="Q29" s="90">
        <v>1</v>
      </c>
      <c r="R29" s="148"/>
      <c r="S29" s="149">
        <f>SUMIF(УЗЛЫ_J,C29,Uj)</f>
        <v>0</v>
      </c>
      <c r="T29" s="146">
        <f ca="1">SQRT((S29-AE29)^2+AF29^2)/Q29</f>
        <v>0</v>
      </c>
      <c r="U29" s="150">
        <f t="shared" ref="U29" si="23">S29^2*P29/1000000</f>
        <v>0</v>
      </c>
      <c r="V29" s="146">
        <f t="shared" ref="V29" ca="1" si="24">X29*N29+AC29</f>
        <v>0</v>
      </c>
      <c r="W29" s="146">
        <f t="shared" ref="W29" ca="1" si="25">X29*O29+AD29</f>
        <v>0</v>
      </c>
      <c r="X29" s="150">
        <f t="shared" ref="X29" ca="1" si="26">IFERROR(((AC29^2+AD29^2)/T29^2),0)</f>
        <v>0</v>
      </c>
      <c r="Y29" s="90"/>
      <c r="Z29" s="90"/>
      <c r="AA29" s="90"/>
      <c r="AB29" s="90"/>
      <c r="AC29" s="146">
        <f>IFERROR(VLOOKUP(D29,УЗЛЫ,13,0)*VLOOKUP(D29,УЗЛЫ,17,0)+SUMIF(УЗЛЫ_I,D29,УЗЛЫ_Рн),0)</f>
        <v>0</v>
      </c>
      <c r="AD29" s="146">
        <f>IFERROR(VLOOKUP(D29,УЗЛЫ,14,0)*VLOOKUP(D29,УЗЛЫ,18,0)+SUMIF(УЗЛЫ_I,D29,УЗЛЫ_Qн)-U29,0)</f>
        <v>0</v>
      </c>
      <c r="AE29" s="146">
        <f t="shared" ca="1" si="17"/>
        <v>0</v>
      </c>
      <c r="AF29" s="146">
        <f t="shared" ca="1" si="18"/>
        <v>0</v>
      </c>
      <c r="AG29" s="146">
        <f ca="1">IFERROR(SQRT(AC29^2+AD29^2)/(SQRT(3)*T29),0)</f>
        <v>0</v>
      </c>
      <c r="AH29" s="151">
        <f ca="1">AG29*1000/VLOOKUP(F29,Кабель_ВВ,5,0)*100/H29</f>
        <v>0</v>
      </c>
      <c r="AI29" s="152">
        <f ca="1">3*AG29^2*N29*ЧАС_МЕС*1000</f>
        <v>0</v>
      </c>
      <c r="AJ29" s="137">
        <f t="shared" si="20"/>
        <v>0</v>
      </c>
      <c r="AK29" s="81">
        <f t="shared" ref="AK29:AK34" si="27">(AJ29+N29)*(1/Q29)^2</f>
        <v>4.8960000000000002E-3</v>
      </c>
      <c r="AL29" s="81">
        <f t="shared" si="21"/>
        <v>0</v>
      </c>
      <c r="AM29" s="81">
        <f t="shared" ref="AM29:AM34" si="28">(AL29+O29)*(1/Q29)^2</f>
        <v>2.5920000000000001E-3</v>
      </c>
      <c r="AN29" s="124">
        <f ca="1">T29/(1.73*SQRT(AK29^2+AM29^2))</f>
        <v>0</v>
      </c>
    </row>
    <row r="30" spans="1:40" x14ac:dyDescent="0.25">
      <c r="A30" s="5" t="e">
        <f t="shared" si="9"/>
        <v>#N/A</v>
      </c>
      <c r="B30" s="5" t="e">
        <f t="shared" si="10"/>
        <v>#N/A</v>
      </c>
      <c r="C30" s="6"/>
      <c r="D30" s="6"/>
      <c r="E30" s="134" t="s">
        <v>378</v>
      </c>
      <c r="F30" s="134" t="s">
        <v>72</v>
      </c>
      <c r="G30" s="155">
        <v>7.2999999999999995E-2</v>
      </c>
      <c r="H30" s="166">
        <v>2973</v>
      </c>
      <c r="I30" s="166">
        <v>2209</v>
      </c>
      <c r="J30" s="166">
        <v>2200</v>
      </c>
      <c r="K30" s="134"/>
      <c r="L30" s="134"/>
      <c r="M30" s="134"/>
      <c r="N30" s="135">
        <f>VLOOKUP(F30,Провод,2,0)*G30</f>
        <v>1.7811999999999998E-2</v>
      </c>
      <c r="O30" s="135">
        <f>(0.1445*LOG(2*POWER(H30*I30*J30,1/3)/VLOOKUP(F30,Провод,3,0))+0.0157)*G30</f>
        <v>2.7578434707583116E-2</v>
      </c>
      <c r="P30" s="135">
        <f>7.58/LOG(2*POWER(H30*I30*J30,1/3)/VLOOKUP(F30,Провод,3,0))*G30</f>
        <v>0.22082449600358081</v>
      </c>
      <c r="Q30" s="134">
        <v>1</v>
      </c>
      <c r="R30" s="136"/>
      <c r="S30" s="137">
        <f>SUMIF(УЗЛЫ_J,C30,Uj)</f>
        <v>0</v>
      </c>
      <c r="T30" s="81">
        <f ca="1">SQRT((S30-AE30)^2+AF30^2)/Q30</f>
        <v>0</v>
      </c>
      <c r="U30" s="138">
        <f>S30^2*P30/1000000</f>
        <v>0</v>
      </c>
      <c r="V30" s="81">
        <f ca="1">X30*N30+AC30</f>
        <v>0</v>
      </c>
      <c r="W30" s="81">
        <f ca="1">X30*O30+AD30</f>
        <v>0</v>
      </c>
      <c r="X30" s="138">
        <f ca="1">IFERROR(((AC30^2+AD30^2)/T30^2),0)</f>
        <v>0</v>
      </c>
      <c r="Y30" s="5"/>
      <c r="Z30" s="5"/>
      <c r="AA30" s="5"/>
      <c r="AB30" s="5"/>
      <c r="AC30" s="81">
        <f>IFERROR(VLOOKUP(D30,УЗЛЫ,13,0)*VLOOKUP(D30,УЗЛЫ,17,0)+SUMIF(УЗЛЫ_I,D30,УЗЛЫ_Рн),0)</f>
        <v>0</v>
      </c>
      <c r="AD30" s="81">
        <f>IFERROR(VLOOKUP(D30,УЗЛЫ,14,0)*VLOOKUP(D30,УЗЛЫ,18,0)+SUMIF(УЗЛЫ_I,D30,УЗЛЫ_Qн)-U30,0)</f>
        <v>0</v>
      </c>
      <c r="AE30" s="81">
        <f ca="1">IFERROR((V30*N30+W30*O30)/S30,0)</f>
        <v>0</v>
      </c>
      <c r="AF30" s="81">
        <f ca="1">IFERROR((V30*O30-W30*N30)/S30,0)</f>
        <v>0</v>
      </c>
      <c r="AG30" s="81">
        <f t="shared" ref="AG30:AG34" ca="1" si="29">IFERROR(SQRT(AC30^2+AD30^2)/(SQRT(3)*T30),0)</f>
        <v>0</v>
      </c>
      <c r="AH30" s="123">
        <f ca="1">AG30*1000/VLOOKUP(F30,Провод,4,0)*100</f>
        <v>0</v>
      </c>
      <c r="AI30" s="139">
        <f ca="1">3*AG30^2*N30*ЧАС_МЕС*1000</f>
        <v>0</v>
      </c>
      <c r="AJ30" s="137">
        <f t="shared" si="20"/>
        <v>0</v>
      </c>
      <c r="AK30" s="81">
        <f t="shared" si="27"/>
        <v>1.7811999999999998E-2</v>
      </c>
      <c r="AL30" s="81">
        <f t="shared" si="21"/>
        <v>0</v>
      </c>
      <c r="AM30" s="81">
        <f t="shared" si="28"/>
        <v>2.7578434707583116E-2</v>
      </c>
      <c r="AN30" s="124">
        <f t="shared" ref="AN30:AN34" ca="1" si="30">T30/(1.73*SQRT(AK30^2+AM30^2))</f>
        <v>0</v>
      </c>
    </row>
    <row r="31" spans="1:40" x14ac:dyDescent="0.25">
      <c r="A31" s="5" t="e">
        <f t="shared" si="9"/>
        <v>#N/A</v>
      </c>
      <c r="B31" s="5" t="e">
        <f t="shared" si="10"/>
        <v>#N/A</v>
      </c>
      <c r="C31" s="6"/>
      <c r="D31" s="6"/>
      <c r="E31" s="90" t="s">
        <v>374</v>
      </c>
      <c r="F31" s="90" t="s">
        <v>174</v>
      </c>
      <c r="G31" s="153">
        <v>0.06</v>
      </c>
      <c r="H31" s="145">
        <v>2</v>
      </c>
      <c r="I31" s="90"/>
      <c r="J31" s="90"/>
      <c r="K31" s="90"/>
      <c r="L31" s="90"/>
      <c r="M31" s="90"/>
      <c r="N31" s="146">
        <f>VLOOKUP(F31,Кабель_04,2,0)*G31/H31</f>
        <v>5.5354221703511784E-3</v>
      </c>
      <c r="O31" s="146">
        <f>VLOOKUP(F31,Кабель_04,3,0)*G31/H31</f>
        <v>2.1998222257649967E-3</v>
      </c>
      <c r="P31" s="146"/>
      <c r="Q31" s="90">
        <v>1</v>
      </c>
      <c r="R31" s="148"/>
      <c r="S31" s="149">
        <f>SUMIF(УЗЛЫ_J,C31,Uj)</f>
        <v>0</v>
      </c>
      <c r="T31" s="146">
        <f t="shared" ref="T31:T34" ca="1" si="31">SQRT((S31-AE31)^2+AF31^2)/Q31</f>
        <v>0</v>
      </c>
      <c r="U31" s="150">
        <f t="shared" ref="U31" si="32">S31^2*P31/1000000</f>
        <v>0</v>
      </c>
      <c r="V31" s="146">
        <f t="shared" ref="V31" ca="1" si="33">X31*N31+AC31</f>
        <v>0</v>
      </c>
      <c r="W31" s="146">
        <f t="shared" ref="W31" ca="1" si="34">X31*O31+AD31</f>
        <v>0</v>
      </c>
      <c r="X31" s="90">
        <f t="shared" ref="X31" ca="1" si="35">IFERROR(((AC31^2+AD31^2)/T31^2),0)</f>
        <v>0</v>
      </c>
      <c r="Y31" s="90"/>
      <c r="Z31" s="90"/>
      <c r="AA31" s="90"/>
      <c r="AB31" s="90"/>
      <c r="AC31" s="146">
        <f t="shared" ref="AC31" si="36">IFERROR(VLOOKUP(D31,УЗЛЫ,13,0)*VLOOKUP(D31,УЗЛЫ,17,0)+SUMIF(УЗЛЫ_I,D31,УЗЛЫ_Рн),0)</f>
        <v>0</v>
      </c>
      <c r="AD31" s="146">
        <f t="shared" ref="AD31" si="37">IFERROR(VLOOKUP(D31,УЗЛЫ,14,0)*VLOOKUP(D31,УЗЛЫ,18,0)+SUMIF(УЗЛЫ_I,D31,УЗЛЫ_Qн)-U31,0)</f>
        <v>0</v>
      </c>
      <c r="AE31" s="146">
        <f t="shared" ref="AE31:AE34" ca="1" si="38">IFERROR((V31*N31+W31*O31)/S31,0)</f>
        <v>0</v>
      </c>
      <c r="AF31" s="146">
        <f t="shared" ref="AF31:AF34" ca="1" si="39">IFERROR((V31*O31-W31*N31)/S31,0)</f>
        <v>0</v>
      </c>
      <c r="AG31" s="146">
        <f t="shared" ca="1" si="29"/>
        <v>0</v>
      </c>
      <c r="AH31" s="151">
        <f ca="1">AG31*1000/VLOOKUP(F31,Кабель_04,6,0)*100/H31</f>
        <v>0</v>
      </c>
      <c r="AI31" s="152">
        <f ca="1">3*AG31^2*N31*ЧАС_МЕС*1000</f>
        <v>0</v>
      </c>
      <c r="AJ31" s="137">
        <f t="shared" si="20"/>
        <v>0</v>
      </c>
      <c r="AK31" s="81">
        <f t="shared" si="27"/>
        <v>5.5354221703511784E-3</v>
      </c>
      <c r="AL31" s="81">
        <f t="shared" si="21"/>
        <v>0</v>
      </c>
      <c r="AM31" s="81">
        <f t="shared" si="28"/>
        <v>2.1998222257649967E-3</v>
      </c>
      <c r="AN31" s="124">
        <f t="shared" ca="1" si="30"/>
        <v>0</v>
      </c>
    </row>
    <row r="32" spans="1:40" x14ac:dyDescent="0.25">
      <c r="A32" s="5" t="e">
        <f t="shared" si="9"/>
        <v>#N/A</v>
      </c>
      <c r="B32" s="5" t="e">
        <f t="shared" si="10"/>
        <v>#N/A</v>
      </c>
      <c r="C32" s="6"/>
      <c r="D32" s="6"/>
      <c r="E32" s="70" t="s">
        <v>233</v>
      </c>
      <c r="F32" s="188" t="s">
        <v>251</v>
      </c>
      <c r="G32" s="191" t="s">
        <v>234</v>
      </c>
      <c r="H32" s="70"/>
      <c r="I32" s="70"/>
      <c r="J32" s="70"/>
      <c r="K32" s="156">
        <f>IF(G32="ВН",VLOOKUP(F32,Транс_3х_обм,21,0)*VLOOKUP(F32,Транс_3х_обм,4,0)^2/(100*VLOOKUP(F32,Транс_3х_обм,3,0)),IF(G32="СН",VLOOKUP(F32,Транс_3х_обм,21,0)*VLOOKUP(F32,Транс_3х_обм,5,0)^2/(100*VLOOKUP(F32,Транс_3х_обм,3,0)),VLOOKUP(F32,Транс_3х_обм,21,0)*VLOOKUP(F32,Транс_3х_обм,6,0)^2/(100*VLOOKUP(F32,Транс_3х_обм,3,0))))</f>
        <v>2.0705179687499999</v>
      </c>
      <c r="L32" s="157">
        <f>IF(G32="ВН",VLOOKUP(F32,Транс_3х_обм,12,0)*VLOOKUP(F32,Транс_3х_обм,3,0)/VLOOKUP(F32,Транс_3х_обм,4,0)^2*10000,IF(G32="СН",VLOOKUP(F32,Транс_3х_обм,12,0)*VLOOKUP(F32,Транс_3х_обм,3,0)/VLOOKUP(F32,Транс_3х_обм,5,0)^2*10000,VLOOKUP(F32,Транс_3х_обм,12,0)*VLOOKUP(F32,Транс_3х_обм,3,0)/VLOOKUP(F32,Транс_3х_обм,6,0)^2*10000))</f>
        <v>361.61241356046548</v>
      </c>
      <c r="M32" s="70"/>
      <c r="N32" s="158">
        <f>IF(G32="ВН",VLOOKUP(F32,Транс_3х_обм,10,0)*VLOOKUP(F32,Транс_3х_обм,4,0)^2/VLOOKUP(F32,Транс_3х_обм,3,0)^2/1000,IF(G32="СН",VLOOKUP(F32,Транс_3х_обм,10,0)*VLOOKUP(F32,Транс_3х_обм,5,0)^2/VLOOKUP(F32,Транс_3х_обм,3,0)^2/1000,VLOOKUP(F32,Транс_3х_обм,10,0)*VLOOKUP(F32,Транс_3х_обм,6,0)^2/VLOOKUP(F32,Транс_3х_обм,3,0)^2/1000))</f>
        <v>7.8976132812500002E-2</v>
      </c>
      <c r="O32" s="156">
        <f>SQRT(K32^2-N32^2)</f>
        <v>2.0690112202118693</v>
      </c>
      <c r="P32" s="70"/>
      <c r="Q32" s="70">
        <v>1</v>
      </c>
      <c r="R32" s="159"/>
      <c r="S32" s="160">
        <f t="shared" ref="S32:S34" si="40">SUMIF(УЗЛЫ_J,C32,Uj)</f>
        <v>0</v>
      </c>
      <c r="T32" s="156">
        <f t="shared" si="31"/>
        <v>0</v>
      </c>
      <c r="U32" s="70"/>
      <c r="V32" s="158">
        <f>AC32+Z32+VLOOKUP(F32,Транс_3х_обм,11,0)/1000*IF(S32=0,0,1)</f>
        <v>0</v>
      </c>
      <c r="W32" s="158">
        <f>AD32+AA32+AB32</f>
        <v>0</v>
      </c>
      <c r="X32" s="158"/>
      <c r="Y32" s="158">
        <f>SQRT(AC32^2+AD32^2)</f>
        <v>0</v>
      </c>
      <c r="Z32" s="158">
        <f>IF(G32="ВН",VLOOKUP(F32,Транс_3х_обм,10,0)*(Y32/VLOOKUP(F32,Транс_3х_обм,3,0))^2/1000,0)</f>
        <v>0</v>
      </c>
      <c r="AA32" s="158">
        <f>IF(G32="ВН",VLOOKUP(F32,Транс_3х_обм,18,0)/100*Y32^2/VLOOKUP(F32,Транс_3х_обм,2,0),0)</f>
        <v>0</v>
      </c>
      <c r="AB32" s="158">
        <f>IF(G32="ВН",VLOOKUP(F32,Транс_3х_обм,12,0)*VLOOKUP(F32,Транс_3х_обм,3,0)/100,0)*IF(S32=0,0,1)</f>
        <v>0</v>
      </c>
      <c r="AC32" s="158">
        <f t="shared" ref="AC32:AC34" si="41">IFERROR(VLOOKUP(D32,УЗЛЫ,9,0)*VLOOKUP(D32,УЗЛЫ,13,0)+SUMIF(УЗЛЫ_I,D32,УЗЛЫ_Рн),0)</f>
        <v>0</v>
      </c>
      <c r="AD32" s="158">
        <f t="shared" ref="AD32:AD34" si="42">IFERROR(VLOOKUP(D32,УЗЛЫ,10,0)*VLOOKUP(D32,УЗЛЫ,14,0)+SUMIF(УЗЛЫ_I,D32,УЗЛЫ_Qн)-U32,0)</f>
        <v>0</v>
      </c>
      <c r="AE32" s="158">
        <f t="shared" si="38"/>
        <v>0</v>
      </c>
      <c r="AF32" s="158">
        <f t="shared" si="39"/>
        <v>0</v>
      </c>
      <c r="AG32" s="158">
        <f t="shared" si="29"/>
        <v>0</v>
      </c>
      <c r="AH32" s="157">
        <f>Y32/VLOOKUP(F32,Транс_3х_обм,3,0)*100</f>
        <v>0</v>
      </c>
      <c r="AI32" s="161">
        <f>IF(G32="ВН",(VLOOKUP(F32,Транс_3х_обм,11,0)*(S32/VLOOKUP(F32,Транс_3х_обм,4,0))^2/1000+Z32)*ЧАС_МЕС*1000,0)</f>
        <v>0</v>
      </c>
      <c r="AJ32" s="137">
        <f t="shared" si="20"/>
        <v>0</v>
      </c>
      <c r="AK32" s="81">
        <f t="shared" si="27"/>
        <v>7.8976132812500002E-2</v>
      </c>
      <c r="AL32" s="81">
        <f t="shared" si="21"/>
        <v>0</v>
      </c>
      <c r="AM32" s="81">
        <f t="shared" si="28"/>
        <v>2.0690112202118693</v>
      </c>
      <c r="AN32" s="169">
        <f t="shared" si="30"/>
        <v>0</v>
      </c>
    </row>
    <row r="33" spans="1:40" x14ac:dyDescent="0.25">
      <c r="A33" s="5" t="e">
        <f t="shared" si="9"/>
        <v>#N/A</v>
      </c>
      <c r="B33" s="5" t="e">
        <f t="shared" si="10"/>
        <v>#N/A</v>
      </c>
      <c r="C33" s="6"/>
      <c r="D33" s="6"/>
      <c r="E33" s="70" t="s">
        <v>234</v>
      </c>
      <c r="F33" s="189"/>
      <c r="G33" s="192"/>
      <c r="H33" s="70"/>
      <c r="I33" s="70"/>
      <c r="J33" s="70"/>
      <c r="K33" s="156">
        <f>IF(G32="ВН",VLOOKUP(F32,Транс_3х_обм,22,0)*VLOOKUP(F32,Транс_3х_обм,4,0)^2/(100*VLOOKUP(F32,Транс_3х_обм,3,0)),IF(G32="СН",VLOOKUP(F32,Транс_3х_обм,22,0)*VLOOKUP(F32,Транс_3х_обм,5,0)^2/(100*VLOOKUP(F32,Транс_3х_обм,3,0)),VLOOKUP(F32,Транс_3х_обм,22,0)*VLOOKUP(F32,Транс_3х_обм,6,0)^2/(100*VLOOKUP(F32,Транс_3х_обм,3,0))))</f>
        <v>-6.948046874999983E-2</v>
      </c>
      <c r="L33" s="70"/>
      <c r="M33" s="70"/>
      <c r="N33" s="158">
        <f>IF(G32="ВН",VLOOKUP(F32,Транс_3х_обм,10,0)*VLOOKUP(F32,Транс_3х_обм,4,0)^2/VLOOKUP(F32,Транс_3х_обм,3,0)^2/1000,IF(G32="СН",VLOOKUP(F32,Транс_3х_обм,10,0)*VLOOKUP(F32,Транс_3х_обм,5,0)^2/VLOOKUP(F32,Транс_3х_обм,3,0)^2/1000,VLOOKUP(F32,Транс_3х_обм,10,0)*VLOOKUP(F32,Транс_3х_обм,6,0)^2/VLOOKUP(F32,Транс_3х_обм,3,0)^2/1000))</f>
        <v>7.8976132812500002E-2</v>
      </c>
      <c r="O33" s="156">
        <f>IFERROR(SQRT(K33^2-N33^2),0)</f>
        <v>0</v>
      </c>
      <c r="P33" s="70"/>
      <c r="Q33" s="157">
        <f>IF(G32="ВН",VLOOKUP(F32,Транс_3х_обм,4,0)/VLOOKUP(F32,Транс_3х_обм,5,0)*(1-R33*1.78/100),IF(G32="СН",VLOOKUP(F32,Транс_3х_обм,5,0)/VLOOKUP(F32,Транс_3х_обм,4,0)*(1-R33*1.78/100)))</f>
        <v>0.34074173913043482</v>
      </c>
      <c r="R33" s="162">
        <v>-1</v>
      </c>
      <c r="S33" s="160">
        <f t="shared" si="40"/>
        <v>0</v>
      </c>
      <c r="T33" s="156">
        <f t="shared" si="31"/>
        <v>0</v>
      </c>
      <c r="U33" s="70"/>
      <c r="V33" s="158">
        <f>AC33+Z33+VLOOKUP(F32,Транс_3х_обм,11,0)/1000*IF(S33=0,0,1)</f>
        <v>0</v>
      </c>
      <c r="W33" s="158">
        <f t="shared" ref="W33:W34" si="43">AD33+AA33+AB33</f>
        <v>0</v>
      </c>
      <c r="X33" s="158"/>
      <c r="Y33" s="158">
        <f t="shared" ref="Y33:Y34" si="44">SQRT(AC33^2+AD33^2)</f>
        <v>0</v>
      </c>
      <c r="Z33" s="158">
        <f>IF(G32="СН",VLOOKUP(F32,Транс_3х_обм,10,0)*(Y33/VLOOKUP(F32,Транс_3х_обм,3,0))^2/1000,0)</f>
        <v>0</v>
      </c>
      <c r="AA33" s="158">
        <f>IF(G32="СН",VLOOKUP(F32,Транс_3х_обм,18,0)/100*Y33^2/VLOOKUP(F32,Транс_3х_обм,2,0),0)</f>
        <v>0</v>
      </c>
      <c r="AB33" s="158">
        <f>IF(G32="СН",VLOOKUP(F32,Транс_3х_обм,12,0)*VLOOKUP(F32,Транс_3х_обм,3,0)/100,0)*IF(S33=0,0,1)</f>
        <v>0</v>
      </c>
      <c r="AC33" s="158">
        <f t="shared" si="41"/>
        <v>0</v>
      </c>
      <c r="AD33" s="158">
        <f t="shared" si="42"/>
        <v>0</v>
      </c>
      <c r="AE33" s="158">
        <f t="shared" si="38"/>
        <v>0</v>
      </c>
      <c r="AF33" s="158">
        <f t="shared" si="39"/>
        <v>0</v>
      </c>
      <c r="AG33" s="158">
        <f t="shared" si="29"/>
        <v>0</v>
      </c>
      <c r="AH33" s="157">
        <f>Y33/VLOOKUP(F32,Транс_3х_обм,3,0)*100</f>
        <v>0</v>
      </c>
      <c r="AI33" s="163">
        <f>IF(G32="СН",(VLOOKUP(F32,Транс_3х_обм,11,0)*(S33/VLOOKUP(F32,Транс_3х_обм,5,0))^2/1000+Z33)*ЧАС_МЕС*1000,0)</f>
        <v>0</v>
      </c>
      <c r="AJ33" s="137">
        <f t="shared" si="20"/>
        <v>0</v>
      </c>
      <c r="AK33" s="81">
        <f t="shared" si="27"/>
        <v>0.68021341486252884</v>
      </c>
      <c r="AL33" s="81">
        <f t="shared" si="21"/>
        <v>0</v>
      </c>
      <c r="AM33" s="81">
        <f t="shared" si="28"/>
        <v>0</v>
      </c>
      <c r="AN33" s="169">
        <f t="shared" si="30"/>
        <v>0</v>
      </c>
    </row>
    <row r="34" spans="1:40" x14ac:dyDescent="0.25">
      <c r="A34" s="5" t="e">
        <f t="shared" si="9"/>
        <v>#N/A</v>
      </c>
      <c r="B34" s="5" t="e">
        <f t="shared" si="10"/>
        <v>#N/A</v>
      </c>
      <c r="C34" s="6"/>
      <c r="D34" s="6"/>
      <c r="E34" s="70" t="s">
        <v>235</v>
      </c>
      <c r="F34" s="190"/>
      <c r="G34" s="193"/>
      <c r="H34" s="70"/>
      <c r="I34" s="70"/>
      <c r="J34" s="70"/>
      <c r="K34" s="156">
        <f>IF(G32="ВН",VLOOKUP(F32,Транс_3х_обм,23,0)*VLOOKUP(F32,Транс_3х_обм,4,0)^2/(100*VLOOKUP(F32,Транс_3х_обм,3,0)),IF(G32="СН",VLOOKUP(F32,Транс_3х_обм,23,0)*VLOOKUP(F32,Транс_3х_обм,5,0)^2/(100*VLOOKUP(F32,Транс_3х_обм,3,0)),VLOOKUP(F32,Транс_3х_обм,23,0)*VLOOKUP(F32,Транс_3х_обм,6,0)^2/(100*VLOOKUP(F32,Транс_3х_обм,3,0))))</f>
        <v>1.4312976562499997</v>
      </c>
      <c r="L34" s="70"/>
      <c r="M34" s="70"/>
      <c r="N34" s="158">
        <f>IF(G32="ВН",VLOOKUP(F32,Транс_3х_обм,10,0)*VLOOKUP(F32,Транс_3х_обм,4,0)^2/VLOOKUP(F32,Транс_3х_обм,3,0)^2/1000,IF(G32="СН",VLOOKUP(F32,Транс_3х_обм,10,0)*VLOOKUP(F32,Транс_3х_обм,5,0)^2/VLOOKUP(F32,Транс_3х_обм,3,0)^2/1000,VLOOKUP(F32,Транс_3х_обм,10,0)*VLOOKUP(F32,Транс_3х_обм,6,0)^2/VLOOKUP(F32,Транс_3х_обм,3,0)^2/1000))</f>
        <v>7.8976132812500002E-2</v>
      </c>
      <c r="O34" s="156">
        <f>SQRT(K34^2-N34^2)</f>
        <v>1.4291171229933273</v>
      </c>
      <c r="P34" s="70"/>
      <c r="Q34" s="157">
        <f>VLOOKUP(F32,Транс_3х_обм,4,0)/VLOOKUP(F32,Транс_3х_обм,6,0)*(1-R34/100)</f>
        <v>10.454545454545455</v>
      </c>
      <c r="R34" s="162">
        <v>0</v>
      </c>
      <c r="S34" s="160">
        <f t="shared" si="40"/>
        <v>0</v>
      </c>
      <c r="T34" s="156">
        <f t="shared" si="31"/>
        <v>0</v>
      </c>
      <c r="U34" s="70"/>
      <c r="V34" s="158">
        <f>AC34+Z34+VLOOKUP(F32,Транс_3х_обм,11,0)/1000*IF(S34=0,0,1)</f>
        <v>0</v>
      </c>
      <c r="W34" s="158">
        <f t="shared" si="43"/>
        <v>0</v>
      </c>
      <c r="X34" s="158"/>
      <c r="Y34" s="158">
        <f t="shared" si="44"/>
        <v>0</v>
      </c>
      <c r="Z34" s="158"/>
      <c r="AA34" s="158"/>
      <c r="AB34" s="158"/>
      <c r="AC34" s="158">
        <f t="shared" si="41"/>
        <v>0</v>
      </c>
      <c r="AD34" s="158">
        <f t="shared" si="42"/>
        <v>0</v>
      </c>
      <c r="AE34" s="158">
        <f t="shared" si="38"/>
        <v>0</v>
      </c>
      <c r="AF34" s="158">
        <f t="shared" si="39"/>
        <v>0</v>
      </c>
      <c r="AG34" s="158">
        <f t="shared" si="29"/>
        <v>0</v>
      </c>
      <c r="AH34" s="157">
        <f>Y34/VLOOKUP(F32,Транс_3х_обм,3,0)*100</f>
        <v>0</v>
      </c>
      <c r="AI34" s="161"/>
      <c r="AJ34" s="137">
        <f t="shared" si="20"/>
        <v>0</v>
      </c>
      <c r="AK34" s="81">
        <f t="shared" si="27"/>
        <v>7.2257936259451788E-4</v>
      </c>
      <c r="AL34" s="81">
        <f t="shared" si="21"/>
        <v>0</v>
      </c>
      <c r="AM34" s="81">
        <f t="shared" si="28"/>
        <v>1.3075476134759362E-2</v>
      </c>
      <c r="AN34" s="124">
        <f t="shared" si="30"/>
        <v>0</v>
      </c>
    </row>
    <row r="35" spans="1:40" x14ac:dyDescent="0.25">
      <c r="A35" s="5" t="e">
        <f t="shared" ref="A35:A39" si="45">VLOOKUP(C35,УЗЛЫ,2)</f>
        <v>#N/A</v>
      </c>
      <c r="B35" s="5" t="e">
        <f t="shared" ref="B35:B39" si="46">VLOOKUP(D35,УЗЛЫ,2)</f>
        <v>#N/A</v>
      </c>
      <c r="C35" s="6"/>
      <c r="D35" s="6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154"/>
      <c r="S35" s="143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154"/>
      <c r="AJ35" s="143"/>
      <c r="AK35" s="5"/>
      <c r="AL35" s="5"/>
      <c r="AM35" s="5"/>
      <c r="AN35" s="144"/>
    </row>
    <row r="36" spans="1:40" x14ac:dyDescent="0.25">
      <c r="A36" s="5" t="e">
        <f t="shared" si="45"/>
        <v>#N/A</v>
      </c>
      <c r="B36" s="5" t="e">
        <f t="shared" si="46"/>
        <v>#N/A</v>
      </c>
      <c r="C36" s="6"/>
      <c r="D36" s="6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154"/>
      <c r="S36" s="143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154"/>
      <c r="AJ36" s="143"/>
      <c r="AK36" s="5"/>
      <c r="AL36" s="5"/>
      <c r="AM36" s="5"/>
      <c r="AN36" s="144"/>
    </row>
    <row r="37" spans="1:40" x14ac:dyDescent="0.25">
      <c r="A37" s="5" t="e">
        <f t="shared" si="45"/>
        <v>#N/A</v>
      </c>
      <c r="B37" s="5" t="e">
        <f t="shared" si="46"/>
        <v>#N/A</v>
      </c>
      <c r="C37" s="6"/>
      <c r="D37" s="6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154"/>
      <c r="S37" s="143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154"/>
      <c r="AJ37" s="143"/>
      <c r="AK37" s="5"/>
      <c r="AL37" s="5"/>
      <c r="AM37" s="5"/>
      <c r="AN37" s="144"/>
    </row>
    <row r="38" spans="1:40" x14ac:dyDescent="0.25">
      <c r="A38" s="5" t="e">
        <f t="shared" si="45"/>
        <v>#N/A</v>
      </c>
      <c r="B38" s="5" t="e">
        <f t="shared" si="46"/>
        <v>#N/A</v>
      </c>
      <c r="C38" s="6"/>
      <c r="D38" s="6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154"/>
      <c r="S38" s="143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154"/>
      <c r="AJ38" s="143"/>
      <c r="AK38" s="5"/>
      <c r="AL38" s="5"/>
      <c r="AM38" s="5"/>
      <c r="AN38" s="144"/>
    </row>
    <row r="39" spans="1:40" x14ac:dyDescent="0.25">
      <c r="A39" s="5" t="e">
        <f t="shared" si="45"/>
        <v>#N/A</v>
      </c>
      <c r="B39" s="5" t="e">
        <f t="shared" si="46"/>
        <v>#N/A</v>
      </c>
      <c r="C39" s="6"/>
      <c r="D39" s="6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154"/>
      <c r="S39" s="143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154"/>
      <c r="AJ39" s="143"/>
      <c r="AK39" s="5"/>
      <c r="AL39" s="5"/>
      <c r="AM39" s="5"/>
      <c r="AN39" s="144"/>
    </row>
    <row r="40" spans="1:40" x14ac:dyDescent="0.25">
      <c r="A40" s="5" t="e">
        <f t="shared" ref="A40:A52" si="47">VLOOKUP(C40,УЗЛЫ,2)</f>
        <v>#N/A</v>
      </c>
      <c r="B40" s="5" t="e">
        <f t="shared" ref="B40:B52" si="48">VLOOKUP(D40,УЗЛЫ,2)</f>
        <v>#N/A</v>
      </c>
      <c r="C40" s="6"/>
      <c r="D40" s="6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154"/>
      <c r="S40" s="143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154"/>
      <c r="AJ40" s="143"/>
      <c r="AK40" s="5"/>
      <c r="AL40" s="5"/>
      <c r="AM40" s="5"/>
      <c r="AN40" s="144"/>
    </row>
    <row r="41" spans="1:40" x14ac:dyDescent="0.25">
      <c r="A41" s="5" t="e">
        <f t="shared" si="47"/>
        <v>#N/A</v>
      </c>
      <c r="B41" s="5" t="e">
        <f t="shared" si="48"/>
        <v>#N/A</v>
      </c>
      <c r="C41" s="6"/>
      <c r="D41" s="6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154"/>
      <c r="S41" s="143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154"/>
      <c r="AJ41" s="143"/>
      <c r="AK41" s="5"/>
      <c r="AL41" s="5"/>
      <c r="AM41" s="5"/>
      <c r="AN41" s="144"/>
    </row>
    <row r="42" spans="1:40" x14ac:dyDescent="0.25">
      <c r="A42" s="5" t="e">
        <f t="shared" si="47"/>
        <v>#N/A</v>
      </c>
      <c r="B42" s="5" t="e">
        <f t="shared" si="48"/>
        <v>#N/A</v>
      </c>
      <c r="C42" s="6"/>
      <c r="D42" s="6"/>
      <c r="E42" s="5"/>
      <c r="F42" s="164"/>
      <c r="G42" s="165"/>
      <c r="H42" s="5"/>
      <c r="I42" s="5"/>
      <c r="J42" s="5"/>
      <c r="K42" s="5"/>
      <c r="L42" s="5"/>
      <c r="M42" s="5"/>
      <c r="N42" s="5"/>
      <c r="O42" s="5"/>
      <c r="P42" s="5"/>
      <c r="Q42" s="5"/>
      <c r="R42" s="154"/>
      <c r="S42" s="143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154"/>
      <c r="AJ42" s="143"/>
      <c r="AK42" s="5"/>
      <c r="AL42" s="5"/>
      <c r="AM42" s="5"/>
      <c r="AN42" s="144"/>
    </row>
    <row r="43" spans="1:40" x14ac:dyDescent="0.25">
      <c r="A43" s="5" t="e">
        <f t="shared" si="47"/>
        <v>#N/A</v>
      </c>
      <c r="B43" s="5" t="e">
        <f t="shared" si="48"/>
        <v>#N/A</v>
      </c>
      <c r="C43" s="6"/>
      <c r="D43" s="6"/>
      <c r="E43" s="5"/>
      <c r="F43" s="164"/>
      <c r="G43" s="165"/>
      <c r="H43" s="5"/>
      <c r="I43" s="5"/>
      <c r="J43" s="5"/>
      <c r="K43" s="5"/>
      <c r="L43" s="5"/>
      <c r="M43" s="5"/>
      <c r="N43" s="5"/>
      <c r="O43" s="5"/>
      <c r="P43" s="5"/>
      <c r="Q43" s="5"/>
      <c r="R43" s="154"/>
      <c r="S43" s="143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154"/>
      <c r="AJ43" s="143"/>
      <c r="AK43" s="5"/>
      <c r="AL43" s="5"/>
      <c r="AM43" s="5"/>
      <c r="AN43" s="144"/>
    </row>
    <row r="44" spans="1:40" x14ac:dyDescent="0.25">
      <c r="A44" s="5" t="e">
        <f t="shared" si="47"/>
        <v>#N/A</v>
      </c>
      <c r="B44" s="5" t="e">
        <f t="shared" si="48"/>
        <v>#N/A</v>
      </c>
      <c r="C44" s="6"/>
      <c r="D44" s="6"/>
      <c r="E44" s="5"/>
      <c r="F44" s="164"/>
      <c r="G44" s="165"/>
      <c r="H44" s="5"/>
      <c r="I44" s="5"/>
      <c r="J44" s="5"/>
      <c r="K44" s="5"/>
      <c r="L44" s="5"/>
      <c r="M44" s="5"/>
      <c r="N44" s="5"/>
      <c r="O44" s="5"/>
      <c r="P44" s="5"/>
      <c r="Q44" s="5"/>
      <c r="R44" s="154"/>
      <c r="S44" s="143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154"/>
      <c r="AJ44" s="143"/>
      <c r="AK44" s="5"/>
      <c r="AL44" s="5"/>
      <c r="AM44" s="5"/>
      <c r="AN44" s="144"/>
    </row>
    <row r="45" spans="1:40" x14ac:dyDescent="0.25">
      <c r="A45" s="5" t="e">
        <f t="shared" si="47"/>
        <v>#N/A</v>
      </c>
      <c r="B45" s="5" t="e">
        <f t="shared" si="48"/>
        <v>#N/A</v>
      </c>
      <c r="C45" s="6"/>
      <c r="D45" s="6"/>
      <c r="E45" s="5"/>
      <c r="F45" s="164"/>
      <c r="G45" s="165"/>
      <c r="H45" s="5"/>
      <c r="I45" s="5"/>
      <c r="J45" s="5"/>
      <c r="K45" s="5"/>
      <c r="L45" s="5"/>
      <c r="M45" s="5"/>
      <c r="N45" s="5"/>
      <c r="O45" s="5"/>
      <c r="P45" s="5"/>
      <c r="Q45" s="5"/>
      <c r="R45" s="154"/>
      <c r="S45" s="143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154"/>
      <c r="AJ45" s="143"/>
      <c r="AK45" s="5"/>
      <c r="AL45" s="5"/>
      <c r="AM45" s="5"/>
      <c r="AN45" s="144"/>
    </row>
    <row r="46" spans="1:40" x14ac:dyDescent="0.25">
      <c r="A46" s="5" t="e">
        <f t="shared" si="47"/>
        <v>#N/A</v>
      </c>
      <c r="B46" s="5" t="e">
        <f t="shared" si="48"/>
        <v>#N/A</v>
      </c>
      <c r="C46" s="6"/>
      <c r="D46" s="6"/>
      <c r="E46" s="5"/>
      <c r="F46" s="164"/>
      <c r="G46" s="165"/>
      <c r="H46" s="5"/>
      <c r="I46" s="5"/>
      <c r="J46" s="5"/>
      <c r="K46" s="5"/>
      <c r="L46" s="5"/>
      <c r="M46" s="5"/>
      <c r="N46" s="5"/>
      <c r="O46" s="5"/>
      <c r="P46" s="5"/>
      <c r="Q46" s="5"/>
      <c r="R46" s="154"/>
      <c r="S46" s="143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154"/>
      <c r="AJ46" s="143"/>
      <c r="AK46" s="5"/>
      <c r="AL46" s="5"/>
      <c r="AM46" s="5"/>
      <c r="AN46" s="144"/>
    </row>
    <row r="47" spans="1:40" x14ac:dyDescent="0.25">
      <c r="A47" s="5" t="e">
        <f t="shared" si="47"/>
        <v>#N/A</v>
      </c>
      <c r="B47" s="5" t="e">
        <f t="shared" si="48"/>
        <v>#N/A</v>
      </c>
      <c r="C47" s="6"/>
      <c r="D47" s="6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154"/>
      <c r="S47" s="143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154"/>
      <c r="AJ47" s="143"/>
      <c r="AK47" s="5"/>
      <c r="AL47" s="5"/>
      <c r="AM47" s="5"/>
      <c r="AN47" s="144"/>
    </row>
    <row r="48" spans="1:40" x14ac:dyDescent="0.25">
      <c r="A48" s="5" t="e">
        <f t="shared" si="47"/>
        <v>#N/A</v>
      </c>
      <c r="B48" s="5" t="e">
        <f t="shared" si="48"/>
        <v>#N/A</v>
      </c>
      <c r="C48" s="6"/>
      <c r="D48" s="6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154"/>
      <c r="S48" s="143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154"/>
      <c r="AJ48" s="143"/>
      <c r="AK48" s="5"/>
      <c r="AL48" s="5"/>
      <c r="AM48" s="5"/>
      <c r="AN48" s="144"/>
    </row>
    <row r="49" spans="1:40" x14ac:dyDescent="0.25">
      <c r="A49" s="5" t="e">
        <f t="shared" si="47"/>
        <v>#N/A</v>
      </c>
      <c r="B49" s="5" t="e">
        <f t="shared" si="48"/>
        <v>#N/A</v>
      </c>
      <c r="C49" s="6"/>
      <c r="D49" s="6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154"/>
      <c r="S49" s="143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154"/>
      <c r="AJ49" s="143"/>
      <c r="AK49" s="5"/>
      <c r="AL49" s="5"/>
      <c r="AM49" s="5"/>
      <c r="AN49" s="144"/>
    </row>
    <row r="50" spans="1:40" x14ac:dyDescent="0.25">
      <c r="A50" s="5" t="e">
        <f t="shared" si="47"/>
        <v>#N/A</v>
      </c>
      <c r="B50" s="5" t="e">
        <f t="shared" si="48"/>
        <v>#N/A</v>
      </c>
      <c r="C50" s="6"/>
      <c r="D50" s="6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154"/>
      <c r="S50" s="143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154"/>
      <c r="AJ50" s="143"/>
      <c r="AK50" s="5"/>
      <c r="AL50" s="5"/>
      <c r="AM50" s="5"/>
      <c r="AN50" s="144"/>
    </row>
    <row r="51" spans="1:40" x14ac:dyDescent="0.25">
      <c r="A51" s="5" t="e">
        <f t="shared" si="47"/>
        <v>#N/A</v>
      </c>
      <c r="B51" s="5" t="e">
        <f t="shared" si="48"/>
        <v>#N/A</v>
      </c>
      <c r="C51" s="6"/>
      <c r="D51" s="6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154"/>
      <c r="S51" s="143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154"/>
      <c r="AJ51" s="143"/>
      <c r="AK51" s="5"/>
      <c r="AL51" s="5"/>
      <c r="AM51" s="5"/>
      <c r="AN51" s="144"/>
    </row>
    <row r="52" spans="1:40" x14ac:dyDescent="0.25">
      <c r="A52" s="5" t="e">
        <f t="shared" si="47"/>
        <v>#N/A</v>
      </c>
      <c r="B52" s="5" t="e">
        <f t="shared" si="48"/>
        <v>#N/A</v>
      </c>
      <c r="C52" s="6"/>
      <c r="D52" s="6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154"/>
      <c r="S52" s="143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154"/>
      <c r="AJ52" s="143"/>
      <c r="AK52" s="5"/>
      <c r="AL52" s="5"/>
      <c r="AM52" s="5"/>
      <c r="AN52" s="144"/>
    </row>
    <row r="61" spans="1:40" x14ac:dyDescent="0.25">
      <c r="E61" s="167" t="s">
        <v>365</v>
      </c>
      <c r="F61" s="168" t="s">
        <v>345</v>
      </c>
      <c r="G61" s="9">
        <v>1.05</v>
      </c>
      <c r="H61" s="5"/>
      <c r="I61" s="125">
        <v>10</v>
      </c>
      <c r="J61" s="125">
        <v>2</v>
      </c>
      <c r="K61" s="5"/>
      <c r="L61" s="5"/>
      <c r="M61" s="5"/>
      <c r="N61" s="5">
        <f>VLOOKUP(F61,Источник,3,0)</f>
        <v>1</v>
      </c>
      <c r="O61" s="5">
        <f>VLOOKUP(F61,Источник,4,0)</f>
        <v>0.8</v>
      </c>
      <c r="P61" s="82">
        <f>VLOOKUP(F61,Источник,2,0)*G61/(1.73*I61)</f>
        <v>0.60693641618497107</v>
      </c>
      <c r="Q61" s="5"/>
      <c r="R61" s="154"/>
      <c r="S61" s="137">
        <f>VLOOKUP(F61,Источник,2,0)*G61</f>
        <v>10.5</v>
      </c>
      <c r="T61" s="81">
        <f>SQRT((S61-AE61)^2+AF61^2)</f>
        <v>10.5</v>
      </c>
      <c r="U61" s="5"/>
      <c r="V61" s="5"/>
      <c r="W61" s="5"/>
      <c r="X61" s="5"/>
      <c r="Y61" s="5"/>
      <c r="Z61" s="5"/>
      <c r="AA61" s="5"/>
      <c r="AB61" s="5"/>
      <c r="AC61" s="81">
        <f>IFERROR(VLOOKUP(D61,УЗЛЫ,13,0)*VLOOKUP(D61,УЗЛЫ,17,0)+SUMIF(УЗЛЫ_I,D61,УЗЛЫ_Рн),0)</f>
        <v>0</v>
      </c>
      <c r="AD61" s="81">
        <f>IFERROR(VLOOKUP(D61,УЗЛЫ,14,0)*VLOOKUP(D61,УЗЛЫ,18,0)+SUMIF(УЗЛЫ_I,D61,УЗЛЫ_Qн)-U61,0)</f>
        <v>0</v>
      </c>
      <c r="AE61" s="81">
        <f t="shared" ref="AE61" si="49">IFERROR((V61*N61+W61*O61)/S61,0)</f>
        <v>0</v>
      </c>
      <c r="AF61" s="81">
        <f t="shared" ref="AF61" si="50">IFERROR((V61*O61-W61*N61)/S61,0)</f>
        <v>0</v>
      </c>
      <c r="AG61" s="81">
        <f t="shared" ref="AG61" si="51">IFERROR(SQRT(AC61^2+AD61^2)/(SQRT(3)*T61),0)</f>
        <v>0</v>
      </c>
      <c r="AH61" s="5"/>
      <c r="AI61" s="154"/>
      <c r="AJ61" s="137">
        <f>SUMIF(УЗЛЫ_J,C61,R_Оборуд.1)</f>
        <v>0</v>
      </c>
      <c r="AK61" s="81">
        <f>AJ61+N61</f>
        <v>1</v>
      </c>
      <c r="AL61" s="81">
        <f>SUMIF(УЗЛЫ_J,C61,Х_оборуд.1)</f>
        <v>0</v>
      </c>
      <c r="AM61" s="81">
        <f>AL61+O61</f>
        <v>0.8</v>
      </c>
      <c r="AN61" s="124">
        <f>T61/(1.73*SQRT(AK61^2+AM61^2))</f>
        <v>4.7393771671397786</v>
      </c>
    </row>
  </sheetData>
  <sheetProtection insertRows="0" deleteRows="0"/>
  <mergeCells count="21">
    <mergeCell ref="F32:F34"/>
    <mergeCell ref="G32:G34"/>
    <mergeCell ref="Y1:AB1"/>
    <mergeCell ref="A1:B2"/>
    <mergeCell ref="C1:D2"/>
    <mergeCell ref="E1:E3"/>
    <mergeCell ref="F1:M1"/>
    <mergeCell ref="N1:P2"/>
    <mergeCell ref="F2:F3"/>
    <mergeCell ref="AN1:AN2"/>
    <mergeCell ref="AC1:AD2"/>
    <mergeCell ref="AE1:AF2"/>
    <mergeCell ref="AG1:AG2"/>
    <mergeCell ref="Q1:R2"/>
    <mergeCell ref="AH1:AH2"/>
    <mergeCell ref="AI1:AI2"/>
    <mergeCell ref="S1:S3"/>
    <mergeCell ref="T1:T3"/>
    <mergeCell ref="U1:U3"/>
    <mergeCell ref="V1:W2"/>
    <mergeCell ref="X1:X3"/>
  </mergeCells>
  <dataValidations count="1">
    <dataValidation type="list" allowBlank="1" showInputMessage="1" showErrorMessage="1" sqref="AK2" xr:uid="{00000000-0002-0000-0200-000008000000}"/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СПРАВОЧНИК!$B$30:$B$85</xm:f>
          </x14:formula1>
          <xm:sqref>F29</xm:sqref>
        </x14:dataValidation>
        <x14:dataValidation type="list" allowBlank="1" showInputMessage="1" showErrorMessage="1" xr:uid="{00000000-0002-0000-0200-000001000000}">
          <x14:formula1>
            <xm:f>СПРАВОЧНИК!$B$2:$B$27</xm:f>
          </x14:formula1>
          <xm:sqref>F30</xm:sqref>
        </x14:dataValidation>
        <x14:dataValidation type="list" allowBlank="1" showInputMessage="1" showErrorMessage="1" xr:uid="{00000000-0002-0000-0200-000002000000}">
          <x14:formula1>
            <xm:f>СПРАВОЧНИК!$B$88:$B$104</xm:f>
          </x14:formula1>
          <xm:sqref>F31</xm:sqref>
        </x14:dataValidation>
        <x14:dataValidation type="list" allowBlank="1" showInputMessage="1" showErrorMessage="1" xr:uid="{00000000-0002-0000-0200-000003000000}">
          <x14:formula1>
            <xm:f>СПРАВОЧНИК!$B$107:$B$139</xm:f>
          </x14:formula1>
          <xm:sqref>F5 F28</xm:sqref>
        </x14:dataValidation>
        <x14:dataValidation type="list" allowBlank="1" showInputMessage="1" showErrorMessage="1" xr:uid="{00000000-0002-0000-0200-000004000000}">
          <x14:formula1>
            <xm:f>СПРАВОЧНИК!$M$106:$M$107</xm:f>
          </x14:formula1>
          <xm:sqref>G5 G28</xm:sqref>
        </x14:dataValidation>
        <x14:dataValidation type="list" allowBlank="1" showInputMessage="1" showErrorMessage="1" xr:uid="{00000000-0002-0000-0200-000005000000}">
          <x14:formula1>
            <xm:f>СПРАВОЧНИК!$N$106:$N$108</xm:f>
          </x14:formula1>
          <xm:sqref>G42:G46 G32:G34</xm:sqref>
        </x14:dataValidation>
        <x14:dataValidation type="list" allowBlank="1" showInputMessage="1" showErrorMessage="1" xr:uid="{00000000-0002-0000-0200-000006000000}">
          <x14:formula1>
            <xm:f>СПРАВОЧНИК!$B$143:$B$145</xm:f>
          </x14:formula1>
          <xm:sqref>F42:F46 F32:F34</xm:sqref>
        </x14:dataValidation>
        <x14:dataValidation type="list" allowBlank="1" showInputMessage="1" showErrorMessage="1" xr:uid="{00000000-0002-0000-0200-000007000000}">
          <x14:formula1>
            <xm:f>СПРАВОЧНИК!$S$3:$S$8</xm:f>
          </x14:formula1>
          <xm:sqref>F61</xm:sqref>
        </x14:dataValidation>
        <x14:dataValidation type="list" allowBlank="1" showInputMessage="1" showErrorMessage="1" xr:uid="{00000000-0002-0000-0200-00000A000000}">
          <x14:formula1>
            <xm:f>СПРАВОЧНИК!$C$151:$F$151</xm:f>
          </x14:formula1>
          <xm:sqref>F4</xm:sqref>
        </x14:dataValidation>
        <x14:dataValidation type="list" allowBlank="1" showInputMessage="1" showErrorMessage="1" xr:uid="{00000000-0002-0000-0200-000009000000}">
          <x14:formula1>
            <xm:f>УЗЛЫ!$A:$A</xm:f>
          </x14:formula1>
          <xm:sqref>C5:D5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198"/>
  <sheetViews>
    <sheetView topLeftCell="B1" workbookViewId="0">
      <selection activeCell="S21" sqref="S21"/>
    </sheetView>
  </sheetViews>
  <sheetFormatPr defaultRowHeight="15" x14ac:dyDescent="0.25"/>
  <cols>
    <col min="2" max="2" width="17.85546875" customWidth="1"/>
    <col min="9" max="9" width="9.140625" customWidth="1"/>
  </cols>
  <sheetData>
    <row r="1" spans="1:24" x14ac:dyDescent="0.25">
      <c r="B1" s="5"/>
      <c r="C1" s="10" t="s">
        <v>64</v>
      </c>
      <c r="D1" s="10" t="s">
        <v>65</v>
      </c>
      <c r="E1" s="1" t="s">
        <v>66</v>
      </c>
    </row>
    <row r="2" spans="1:24" x14ac:dyDescent="0.25">
      <c r="A2" t="s">
        <v>67</v>
      </c>
      <c r="B2" s="11" t="s">
        <v>68</v>
      </c>
      <c r="C2" s="12">
        <v>0.42180000000000001</v>
      </c>
      <c r="D2" s="13">
        <v>11.4</v>
      </c>
      <c r="E2" s="13">
        <v>265</v>
      </c>
      <c r="K2" t="s">
        <v>314</v>
      </c>
      <c r="L2">
        <v>31</v>
      </c>
      <c r="M2">
        <f>L2*24</f>
        <v>744</v>
      </c>
      <c r="S2" t="s">
        <v>339</v>
      </c>
      <c r="T2" t="s">
        <v>342</v>
      </c>
      <c r="U2" t="s">
        <v>340</v>
      </c>
      <c r="V2" t="s">
        <v>341</v>
      </c>
      <c r="W2" t="s">
        <v>366</v>
      </c>
      <c r="X2" t="s">
        <v>367</v>
      </c>
    </row>
    <row r="3" spans="1:24" x14ac:dyDescent="0.25">
      <c r="A3" t="s">
        <v>69</v>
      </c>
      <c r="B3" s="11" t="s">
        <v>70</v>
      </c>
      <c r="C3" s="12">
        <v>0.30070000000000002</v>
      </c>
      <c r="D3" s="13">
        <v>13.5</v>
      </c>
      <c r="E3" s="13">
        <v>330</v>
      </c>
      <c r="K3" t="s">
        <v>315</v>
      </c>
      <c r="L3">
        <v>28</v>
      </c>
      <c r="M3">
        <f t="shared" ref="M3:M13" si="0">L3*24</f>
        <v>672</v>
      </c>
      <c r="S3" t="s">
        <v>343</v>
      </c>
      <c r="T3">
        <v>0.4</v>
      </c>
      <c r="U3">
        <v>6.0000000000000001E-3</v>
      </c>
      <c r="V3">
        <v>3.0000000000000001E-3</v>
      </c>
    </row>
    <row r="4" spans="1:24" x14ac:dyDescent="0.25">
      <c r="B4" s="11" t="s">
        <v>71</v>
      </c>
      <c r="C4" s="12">
        <v>0.2868</v>
      </c>
      <c r="D4" s="13">
        <v>13.82</v>
      </c>
      <c r="E4" s="13">
        <v>330</v>
      </c>
      <c r="K4" t="s">
        <v>316</v>
      </c>
      <c r="L4">
        <v>31</v>
      </c>
      <c r="M4">
        <f t="shared" si="0"/>
        <v>744</v>
      </c>
      <c r="S4" t="s">
        <v>344</v>
      </c>
      <c r="T4">
        <v>6</v>
      </c>
      <c r="U4">
        <v>0.2</v>
      </c>
      <c r="V4">
        <v>0.1</v>
      </c>
    </row>
    <row r="5" spans="1:24" x14ac:dyDescent="0.25">
      <c r="B5" s="11" t="s">
        <v>72</v>
      </c>
      <c r="C5" s="12">
        <v>0.24399999999999999</v>
      </c>
      <c r="D5" s="13">
        <v>15.2</v>
      </c>
      <c r="E5" s="13">
        <v>390</v>
      </c>
      <c r="K5" t="s">
        <v>317</v>
      </c>
      <c r="L5">
        <v>30</v>
      </c>
      <c r="M5">
        <f t="shared" si="0"/>
        <v>720</v>
      </c>
      <c r="S5" t="s">
        <v>345</v>
      </c>
      <c r="T5">
        <v>10</v>
      </c>
      <c r="U5">
        <v>1</v>
      </c>
      <c r="V5">
        <v>0.8</v>
      </c>
    </row>
    <row r="6" spans="1:24" x14ac:dyDescent="0.25">
      <c r="B6" s="11" t="s">
        <v>73</v>
      </c>
      <c r="C6" s="12">
        <v>0.25309999999999999</v>
      </c>
      <c r="D6" s="13">
        <v>15.4</v>
      </c>
      <c r="E6" s="13">
        <v>375</v>
      </c>
      <c r="K6" t="s">
        <v>318</v>
      </c>
      <c r="L6">
        <v>31</v>
      </c>
      <c r="M6">
        <f t="shared" si="0"/>
        <v>744</v>
      </c>
      <c r="S6" t="s">
        <v>346</v>
      </c>
      <c r="T6">
        <v>35</v>
      </c>
      <c r="U6">
        <v>0.5</v>
      </c>
      <c r="V6">
        <v>0.4</v>
      </c>
    </row>
    <row r="7" spans="1:24" x14ac:dyDescent="0.25">
      <c r="B7" s="11" t="s">
        <v>74</v>
      </c>
      <c r="C7" s="12">
        <v>0.2046</v>
      </c>
      <c r="D7" s="13">
        <v>16.8</v>
      </c>
      <c r="E7" s="13">
        <v>450</v>
      </c>
      <c r="K7" t="s">
        <v>319</v>
      </c>
      <c r="L7">
        <v>30</v>
      </c>
      <c r="M7">
        <f t="shared" si="0"/>
        <v>720</v>
      </c>
      <c r="S7" t="s">
        <v>347</v>
      </c>
      <c r="T7">
        <v>110</v>
      </c>
      <c r="U7">
        <v>1</v>
      </c>
      <c r="V7">
        <v>0.7</v>
      </c>
    </row>
    <row r="8" spans="1:24" x14ac:dyDescent="0.25">
      <c r="B8" s="11" t="s">
        <v>75</v>
      </c>
      <c r="C8" s="12">
        <v>0.2039</v>
      </c>
      <c r="D8" s="13">
        <v>17.100000000000001</v>
      </c>
      <c r="E8" s="13">
        <v>450</v>
      </c>
      <c r="K8" t="s">
        <v>320</v>
      </c>
      <c r="L8">
        <v>31</v>
      </c>
      <c r="M8">
        <f t="shared" si="0"/>
        <v>744</v>
      </c>
      <c r="S8" t="s">
        <v>348</v>
      </c>
      <c r="T8">
        <v>220</v>
      </c>
      <c r="U8">
        <v>2</v>
      </c>
      <c r="V8">
        <v>1.4</v>
      </c>
    </row>
    <row r="9" spans="1:24" x14ac:dyDescent="0.25">
      <c r="B9" s="11" t="s">
        <v>76</v>
      </c>
      <c r="C9" s="12">
        <v>0.20610000000000001</v>
      </c>
      <c r="D9" s="13">
        <v>17.5</v>
      </c>
      <c r="E9" s="13">
        <v>450</v>
      </c>
      <c r="K9" t="s">
        <v>321</v>
      </c>
      <c r="L9">
        <v>31</v>
      </c>
      <c r="M9">
        <f t="shared" si="0"/>
        <v>744</v>
      </c>
    </row>
    <row r="10" spans="1:24" x14ac:dyDescent="0.25">
      <c r="B10" s="11" t="s">
        <v>77</v>
      </c>
      <c r="C10" s="12">
        <v>0.154</v>
      </c>
      <c r="D10" s="13">
        <v>18.899999999999999</v>
      </c>
      <c r="E10" s="13">
        <v>520</v>
      </c>
      <c r="K10" t="s">
        <v>322</v>
      </c>
      <c r="L10">
        <v>30</v>
      </c>
      <c r="M10">
        <f t="shared" si="0"/>
        <v>720</v>
      </c>
    </row>
    <row r="11" spans="1:24" x14ac:dyDescent="0.25">
      <c r="B11" s="11" t="s">
        <v>78</v>
      </c>
      <c r="C11" s="12">
        <v>0.15909999999999999</v>
      </c>
      <c r="D11" s="13">
        <v>18.8</v>
      </c>
      <c r="E11" s="13">
        <v>510</v>
      </c>
      <c r="K11" t="s">
        <v>323</v>
      </c>
      <c r="L11">
        <v>31</v>
      </c>
      <c r="M11">
        <f t="shared" si="0"/>
        <v>744</v>
      </c>
    </row>
    <row r="12" spans="1:24" x14ac:dyDescent="0.25">
      <c r="B12" s="11" t="s">
        <v>79</v>
      </c>
      <c r="C12" s="12">
        <v>0.15590000000000001</v>
      </c>
      <c r="D12" s="13">
        <v>19.600000000000001</v>
      </c>
      <c r="E12" s="13">
        <v>515</v>
      </c>
      <c r="K12" t="s">
        <v>324</v>
      </c>
      <c r="L12">
        <v>30</v>
      </c>
      <c r="M12">
        <f t="shared" si="0"/>
        <v>720</v>
      </c>
    </row>
    <row r="13" spans="1:24" x14ac:dyDescent="0.25">
      <c r="B13" s="11" t="s">
        <v>80</v>
      </c>
      <c r="C13" s="12">
        <v>0.1182</v>
      </c>
      <c r="D13" s="13">
        <v>21.6</v>
      </c>
      <c r="E13" s="13">
        <v>605</v>
      </c>
      <c r="K13" t="s">
        <v>325</v>
      </c>
      <c r="L13">
        <v>31</v>
      </c>
      <c r="M13">
        <f t="shared" si="0"/>
        <v>744</v>
      </c>
    </row>
    <row r="14" spans="1:24" x14ac:dyDescent="0.25">
      <c r="B14" s="11" t="s">
        <v>81</v>
      </c>
      <c r="C14" s="12">
        <v>0.1222</v>
      </c>
      <c r="D14" s="13">
        <v>21.6</v>
      </c>
      <c r="E14" s="13">
        <v>610</v>
      </c>
    </row>
    <row r="15" spans="1:24" x14ac:dyDescent="0.25">
      <c r="B15" s="11" t="s">
        <v>82</v>
      </c>
      <c r="C15" s="12">
        <v>0.1197</v>
      </c>
      <c r="D15" s="13">
        <v>22.4</v>
      </c>
      <c r="E15" s="13">
        <v>610</v>
      </c>
    </row>
    <row r="16" spans="1:24" x14ac:dyDescent="0.25">
      <c r="B16" s="11" t="s">
        <v>83</v>
      </c>
      <c r="C16" s="12">
        <v>8.6099999999999996E-2</v>
      </c>
      <c r="D16" s="13">
        <v>24.8</v>
      </c>
      <c r="E16" s="13">
        <v>730</v>
      </c>
    </row>
    <row r="17" spans="1:6" x14ac:dyDescent="0.25">
      <c r="B17" s="14" t="s">
        <v>84</v>
      </c>
      <c r="C17" s="15">
        <v>8.6900000000000005E-2</v>
      </c>
      <c r="D17" s="16">
        <v>25.2</v>
      </c>
      <c r="E17" s="16">
        <v>710</v>
      </c>
    </row>
    <row r="18" spans="1:6" x14ac:dyDescent="0.25">
      <c r="A18" t="s">
        <v>67</v>
      </c>
      <c r="B18" s="17" t="s">
        <v>85</v>
      </c>
      <c r="C18" s="18">
        <v>1.38</v>
      </c>
      <c r="D18" s="19">
        <v>4.8499999999999996</v>
      </c>
      <c r="E18" s="19">
        <v>130</v>
      </c>
    </row>
    <row r="19" spans="1:6" x14ac:dyDescent="0.25">
      <c r="A19" t="s">
        <v>86</v>
      </c>
      <c r="B19" s="17" t="s">
        <v>87</v>
      </c>
      <c r="C19" s="18">
        <v>0.98599999999999999</v>
      </c>
      <c r="D19" s="19">
        <v>5.85</v>
      </c>
      <c r="E19" s="19">
        <v>200</v>
      </c>
    </row>
    <row r="20" spans="1:6" x14ac:dyDescent="0.25">
      <c r="B20" s="17" t="s">
        <v>88</v>
      </c>
      <c r="C20" s="18">
        <v>0.72</v>
      </c>
      <c r="D20" s="19">
        <v>6.85</v>
      </c>
      <c r="E20" s="19">
        <v>245</v>
      </c>
    </row>
    <row r="21" spans="1:6" x14ac:dyDescent="0.25">
      <c r="B21" s="17" t="s">
        <v>89</v>
      </c>
      <c r="C21" s="18">
        <v>0.63</v>
      </c>
      <c r="D21" s="19">
        <v>7.1</v>
      </c>
      <c r="E21" s="19"/>
    </row>
    <row r="22" spans="1:6" x14ac:dyDescent="0.25">
      <c r="B22" s="17" t="s">
        <v>90</v>
      </c>
      <c r="C22" s="18">
        <v>0.49299999999999999</v>
      </c>
      <c r="D22" s="19">
        <v>9.6999999999999993</v>
      </c>
      <c r="E22" s="19">
        <v>310</v>
      </c>
    </row>
    <row r="23" spans="1:6" x14ac:dyDescent="0.25">
      <c r="B23" s="17" t="s">
        <v>91</v>
      </c>
      <c r="C23" s="18">
        <v>0.36299999999999999</v>
      </c>
      <c r="D23" s="19">
        <v>11.4</v>
      </c>
      <c r="E23" s="19">
        <v>370</v>
      </c>
    </row>
    <row r="24" spans="1:6" x14ac:dyDescent="0.25">
      <c r="B24" s="17" t="s">
        <v>92</v>
      </c>
      <c r="C24" s="18">
        <v>0.28799999999999998</v>
      </c>
      <c r="D24" s="19">
        <v>11.5</v>
      </c>
      <c r="E24" s="19">
        <v>430</v>
      </c>
    </row>
    <row r="25" spans="1:6" x14ac:dyDescent="0.25">
      <c r="B25" s="17" t="s">
        <v>93</v>
      </c>
      <c r="C25" s="18">
        <v>0.23599999999999999</v>
      </c>
      <c r="D25" s="19">
        <v>12.8</v>
      </c>
      <c r="E25" s="19">
        <v>485</v>
      </c>
    </row>
    <row r="26" spans="1:6" x14ac:dyDescent="0.25">
      <c r="B26" s="17" t="s">
        <v>94</v>
      </c>
      <c r="C26" s="18">
        <v>0.188</v>
      </c>
      <c r="D26" s="19">
        <v>14.25</v>
      </c>
      <c r="E26" s="19">
        <v>560</v>
      </c>
    </row>
    <row r="27" spans="1:6" x14ac:dyDescent="0.25">
      <c r="B27" s="17" t="s">
        <v>95</v>
      </c>
      <c r="C27" s="18">
        <v>0.14499999999999999</v>
      </c>
      <c r="D27" s="19">
        <v>17.100000000000001</v>
      </c>
      <c r="E27" s="19">
        <v>600</v>
      </c>
    </row>
    <row r="29" spans="1:6" x14ac:dyDescent="0.25">
      <c r="C29" s="1" t="s">
        <v>64</v>
      </c>
      <c r="D29" s="20" t="s">
        <v>96</v>
      </c>
      <c r="E29" s="1" t="s">
        <v>97</v>
      </c>
      <c r="F29" s="1" t="s">
        <v>66</v>
      </c>
    </row>
    <row r="30" spans="1:6" x14ac:dyDescent="0.25">
      <c r="A30" t="s">
        <v>98</v>
      </c>
      <c r="B30" s="21" t="s">
        <v>99</v>
      </c>
      <c r="C30" s="22">
        <v>1.1499999999999999</v>
      </c>
      <c r="D30" s="22">
        <v>0.10199999999999999</v>
      </c>
      <c r="E30" s="22">
        <v>72.2</v>
      </c>
      <c r="F30" s="5">
        <v>120</v>
      </c>
    </row>
    <row r="31" spans="1:6" x14ac:dyDescent="0.25">
      <c r="A31" t="s">
        <v>100</v>
      </c>
      <c r="B31" s="21" t="s">
        <v>101</v>
      </c>
      <c r="C31" s="22">
        <v>0.74</v>
      </c>
      <c r="D31" s="22">
        <v>9.0999999999999998E-2</v>
      </c>
      <c r="E31" s="22">
        <v>88</v>
      </c>
      <c r="F31" s="5">
        <v>153</v>
      </c>
    </row>
    <row r="32" spans="1:6" x14ac:dyDescent="0.25">
      <c r="B32" s="21" t="s">
        <v>102</v>
      </c>
      <c r="C32" s="22">
        <v>0.52</v>
      </c>
      <c r="D32" s="22">
        <v>8.6999999999999994E-2</v>
      </c>
      <c r="E32" s="22">
        <v>97.2</v>
      </c>
      <c r="F32" s="5">
        <v>186</v>
      </c>
    </row>
    <row r="33" spans="1:6" x14ac:dyDescent="0.25">
      <c r="B33" s="21" t="s">
        <v>103</v>
      </c>
      <c r="C33" s="22">
        <v>0.37</v>
      </c>
      <c r="D33" s="22">
        <v>8.3000000000000004E-2</v>
      </c>
      <c r="E33" s="22">
        <v>114</v>
      </c>
      <c r="F33" s="5">
        <v>224</v>
      </c>
    </row>
    <row r="34" spans="1:6" x14ac:dyDescent="0.25">
      <c r="B34" s="21" t="s">
        <v>104</v>
      </c>
      <c r="C34" s="22">
        <v>0.26</v>
      </c>
      <c r="D34" s="22">
        <v>0.08</v>
      </c>
      <c r="E34" s="22">
        <v>127</v>
      </c>
      <c r="F34" s="5">
        <v>278</v>
      </c>
    </row>
    <row r="35" spans="1:6" x14ac:dyDescent="0.25">
      <c r="B35" s="21" t="s">
        <v>105</v>
      </c>
      <c r="C35" s="22">
        <v>0.19400000000000001</v>
      </c>
      <c r="D35" s="22">
        <v>7.8E-2</v>
      </c>
      <c r="E35" s="22">
        <v>134</v>
      </c>
      <c r="F35" s="5">
        <v>338</v>
      </c>
    </row>
    <row r="36" spans="1:6" x14ac:dyDescent="0.25">
      <c r="B36" s="21" t="s">
        <v>106</v>
      </c>
      <c r="C36" s="22">
        <v>0.153</v>
      </c>
      <c r="D36" s="22">
        <v>7.5999999999999998E-2</v>
      </c>
      <c r="E36" s="22">
        <v>146</v>
      </c>
      <c r="F36" s="5">
        <v>389</v>
      </c>
    </row>
    <row r="37" spans="1:6" x14ac:dyDescent="0.25">
      <c r="B37" s="21" t="s">
        <v>107</v>
      </c>
      <c r="C37" s="22">
        <v>0.122</v>
      </c>
      <c r="D37" s="22">
        <v>7.3999999999999996E-2</v>
      </c>
      <c r="E37" s="22">
        <v>162</v>
      </c>
      <c r="F37" s="5">
        <v>439</v>
      </c>
    </row>
    <row r="38" spans="1:6" x14ac:dyDescent="0.25">
      <c r="B38" s="21" t="s">
        <v>108</v>
      </c>
      <c r="C38" s="22">
        <v>9.9000000000000005E-2</v>
      </c>
      <c r="D38" s="22">
        <v>7.2999999999999995E-2</v>
      </c>
      <c r="E38" s="22">
        <v>169</v>
      </c>
      <c r="F38" s="5">
        <v>500</v>
      </c>
    </row>
    <row r="39" spans="1:6" x14ac:dyDescent="0.25">
      <c r="B39" s="21" t="s">
        <v>109</v>
      </c>
      <c r="C39" s="22">
        <v>7.6999999999999999E-2</v>
      </c>
      <c r="D39" s="22">
        <v>7.0999999999999994E-2</v>
      </c>
      <c r="E39" s="22">
        <v>185</v>
      </c>
      <c r="F39" s="5">
        <v>580</v>
      </c>
    </row>
    <row r="40" spans="1:6" x14ac:dyDescent="0.25">
      <c r="A40" t="s">
        <v>110</v>
      </c>
      <c r="B40" s="21" t="s">
        <v>111</v>
      </c>
      <c r="C40" s="22">
        <v>1.1499999999999999</v>
      </c>
      <c r="D40" s="22">
        <v>0.113</v>
      </c>
      <c r="E40" s="22">
        <v>52</v>
      </c>
      <c r="F40" s="5">
        <v>120</v>
      </c>
    </row>
    <row r="41" spans="1:6" x14ac:dyDescent="0.25">
      <c r="A41" t="s">
        <v>100</v>
      </c>
      <c r="B41" s="21" t="s">
        <v>112</v>
      </c>
      <c r="C41" s="22">
        <v>0.74</v>
      </c>
      <c r="D41" s="22">
        <v>9.9000000000000005E-2</v>
      </c>
      <c r="E41" s="22">
        <v>72.2</v>
      </c>
      <c r="F41" s="5">
        <v>153</v>
      </c>
    </row>
    <row r="42" spans="1:6" x14ac:dyDescent="0.25">
      <c r="B42" s="21" t="s">
        <v>113</v>
      </c>
      <c r="C42" s="22">
        <v>0.52</v>
      </c>
      <c r="D42" s="22">
        <v>9.5000000000000001E-2</v>
      </c>
      <c r="E42" s="22">
        <v>85</v>
      </c>
      <c r="F42" s="5">
        <v>186</v>
      </c>
    </row>
    <row r="43" spans="1:6" x14ac:dyDescent="0.25">
      <c r="B43" s="21" t="s">
        <v>114</v>
      </c>
      <c r="C43" s="22">
        <v>0.37</v>
      </c>
      <c r="D43" s="22">
        <v>0.09</v>
      </c>
      <c r="E43" s="22">
        <v>91</v>
      </c>
      <c r="F43" s="5">
        <v>224</v>
      </c>
    </row>
    <row r="44" spans="1:6" x14ac:dyDescent="0.25">
      <c r="B44" s="21" t="s">
        <v>115</v>
      </c>
      <c r="C44" s="22">
        <v>0.26</v>
      </c>
      <c r="D44" s="22">
        <v>8.5999999999999993E-2</v>
      </c>
      <c r="E44" s="22">
        <v>97.5</v>
      </c>
      <c r="F44" s="5">
        <v>278</v>
      </c>
    </row>
    <row r="45" spans="1:6" x14ac:dyDescent="0.25">
      <c r="B45" s="21" t="s">
        <v>116</v>
      </c>
      <c r="C45" s="22">
        <v>0.19400000000000001</v>
      </c>
      <c r="D45" s="22">
        <v>8.3000000000000004E-2</v>
      </c>
      <c r="E45" s="22">
        <v>110</v>
      </c>
      <c r="F45" s="5">
        <v>338</v>
      </c>
    </row>
    <row r="46" spans="1:6" x14ac:dyDescent="0.25">
      <c r="B46" s="21" t="s">
        <v>117</v>
      </c>
      <c r="C46" s="22">
        <v>0.153</v>
      </c>
      <c r="D46" s="22">
        <v>8.1000000000000003E-2</v>
      </c>
      <c r="E46" s="22">
        <v>116</v>
      </c>
      <c r="F46" s="5">
        <v>389</v>
      </c>
    </row>
    <row r="47" spans="1:6" x14ac:dyDescent="0.25">
      <c r="B47" s="21" t="s">
        <v>118</v>
      </c>
      <c r="C47" s="22">
        <v>0.122</v>
      </c>
      <c r="D47" s="22">
        <v>7.9000000000000001E-2</v>
      </c>
      <c r="E47" s="22">
        <v>138</v>
      </c>
      <c r="F47" s="5">
        <v>439</v>
      </c>
    </row>
    <row r="48" spans="1:6" x14ac:dyDescent="0.25">
      <c r="B48" s="21" t="s">
        <v>119</v>
      </c>
      <c r="C48" s="22">
        <v>9.9000000000000005E-2</v>
      </c>
      <c r="D48" s="22">
        <v>7.6999999999999999E-2</v>
      </c>
      <c r="E48" s="22">
        <v>141</v>
      </c>
      <c r="F48" s="5">
        <v>500</v>
      </c>
    </row>
    <row r="49" spans="1:6" x14ac:dyDescent="0.25">
      <c r="B49" s="21" t="s">
        <v>120</v>
      </c>
      <c r="C49" s="22">
        <v>7.6999999999999999E-2</v>
      </c>
      <c r="D49" s="22">
        <v>7.4999999999999997E-2</v>
      </c>
      <c r="E49" s="22">
        <v>144</v>
      </c>
      <c r="F49" s="5">
        <v>580</v>
      </c>
    </row>
    <row r="50" spans="1:6" x14ac:dyDescent="0.25">
      <c r="A50" t="s">
        <v>98</v>
      </c>
      <c r="B50" s="23" t="s">
        <v>121</v>
      </c>
      <c r="C50" s="24">
        <v>1.94</v>
      </c>
      <c r="D50" s="24">
        <v>0.10199999999999999</v>
      </c>
      <c r="E50" s="24">
        <v>72.2</v>
      </c>
    </row>
    <row r="51" spans="1:6" x14ac:dyDescent="0.25">
      <c r="A51" t="s">
        <v>122</v>
      </c>
      <c r="B51" s="23" t="s">
        <v>123</v>
      </c>
      <c r="C51" s="24">
        <v>1.24</v>
      </c>
      <c r="D51" s="24">
        <v>9.0999999999999998E-2</v>
      </c>
      <c r="E51" s="24">
        <v>88</v>
      </c>
    </row>
    <row r="52" spans="1:6" x14ac:dyDescent="0.25">
      <c r="B52" s="23" t="s">
        <v>124</v>
      </c>
      <c r="C52" s="24">
        <v>0.89</v>
      </c>
      <c r="D52" s="24">
        <v>8.6999999999999994E-2</v>
      </c>
      <c r="E52" s="24">
        <v>97.2</v>
      </c>
    </row>
    <row r="53" spans="1:6" x14ac:dyDescent="0.25">
      <c r="B53" s="23" t="s">
        <v>125</v>
      </c>
      <c r="C53" s="24">
        <v>0.62</v>
      </c>
      <c r="D53" s="24">
        <v>8.3000000000000004E-2</v>
      </c>
      <c r="E53" s="24">
        <v>114</v>
      </c>
    </row>
    <row r="54" spans="1:6" x14ac:dyDescent="0.25">
      <c r="B54" s="23" t="s">
        <v>126</v>
      </c>
      <c r="C54" s="24">
        <v>0.443</v>
      </c>
      <c r="D54" s="24">
        <v>0.08</v>
      </c>
      <c r="E54" s="24">
        <v>127</v>
      </c>
    </row>
    <row r="55" spans="1:6" x14ac:dyDescent="0.25">
      <c r="B55" s="23" t="s">
        <v>127</v>
      </c>
      <c r="C55" s="24">
        <v>0.32600000000000001</v>
      </c>
      <c r="D55" s="24">
        <v>7.8E-2</v>
      </c>
      <c r="E55" s="24">
        <v>134</v>
      </c>
    </row>
    <row r="56" spans="1:6" x14ac:dyDescent="0.25">
      <c r="B56" s="23" t="s">
        <v>128</v>
      </c>
      <c r="C56" s="24">
        <v>0.25800000000000001</v>
      </c>
      <c r="D56" s="24">
        <v>7.5999999999999998E-2</v>
      </c>
      <c r="E56" s="24">
        <v>146</v>
      </c>
    </row>
    <row r="57" spans="1:6" x14ac:dyDescent="0.25">
      <c r="B57" s="23" t="s">
        <v>129</v>
      </c>
      <c r="C57" s="24">
        <v>0.20599999999999999</v>
      </c>
      <c r="D57" s="24">
        <v>7.3999999999999996E-2</v>
      </c>
      <c r="E57" s="24">
        <v>162</v>
      </c>
    </row>
    <row r="58" spans="1:6" x14ac:dyDescent="0.25">
      <c r="B58" s="23" t="s">
        <v>130</v>
      </c>
      <c r="C58" s="24">
        <v>0.16700000000000001</v>
      </c>
      <c r="D58" s="24">
        <v>7.2999999999999995E-2</v>
      </c>
      <c r="E58" s="24">
        <v>169</v>
      </c>
    </row>
    <row r="59" spans="1:6" x14ac:dyDescent="0.25">
      <c r="B59" s="23" t="s">
        <v>131</v>
      </c>
      <c r="C59" s="24">
        <v>0.129</v>
      </c>
      <c r="D59" s="24">
        <v>7.0999999999999994E-2</v>
      </c>
      <c r="E59" s="24">
        <v>185</v>
      </c>
    </row>
    <row r="60" spans="1:6" x14ac:dyDescent="0.25">
      <c r="A60" t="s">
        <v>110</v>
      </c>
      <c r="B60" s="23" t="s">
        <v>132</v>
      </c>
      <c r="C60" s="24">
        <v>1.94</v>
      </c>
      <c r="D60" s="24">
        <v>0.113</v>
      </c>
      <c r="E60" s="24">
        <v>60</v>
      </c>
    </row>
    <row r="61" spans="1:6" x14ac:dyDescent="0.25">
      <c r="A61" t="s">
        <v>122</v>
      </c>
      <c r="B61" s="23" t="s">
        <v>133</v>
      </c>
      <c r="C61" s="24">
        <v>1.24</v>
      </c>
      <c r="D61" s="24">
        <v>9.9000000000000005E-2</v>
      </c>
      <c r="E61" s="24">
        <v>72.2</v>
      </c>
    </row>
    <row r="62" spans="1:6" x14ac:dyDescent="0.25">
      <c r="B62" s="23" t="s">
        <v>134</v>
      </c>
      <c r="C62" s="24">
        <v>0.89</v>
      </c>
      <c r="D62" s="24">
        <v>9.5000000000000001E-2</v>
      </c>
      <c r="E62" s="24">
        <v>85</v>
      </c>
    </row>
    <row r="63" spans="1:6" x14ac:dyDescent="0.25">
      <c r="B63" s="23" t="s">
        <v>135</v>
      </c>
      <c r="C63" s="24">
        <v>0.62</v>
      </c>
      <c r="D63" s="24">
        <v>0.09</v>
      </c>
      <c r="E63" s="24">
        <v>91</v>
      </c>
    </row>
    <row r="64" spans="1:6" x14ac:dyDescent="0.25">
      <c r="B64" s="23" t="s">
        <v>136</v>
      </c>
      <c r="C64" s="24">
        <v>0.443</v>
      </c>
      <c r="D64" s="24">
        <v>8.5999999999999993E-2</v>
      </c>
      <c r="E64" s="24">
        <v>97.5</v>
      </c>
    </row>
    <row r="65" spans="1:6" x14ac:dyDescent="0.25">
      <c r="B65" s="23" t="s">
        <v>137</v>
      </c>
      <c r="C65" s="24">
        <v>0.32600000000000001</v>
      </c>
      <c r="D65" s="24">
        <v>8.3000000000000004E-2</v>
      </c>
      <c r="E65" s="24">
        <v>110</v>
      </c>
    </row>
    <row r="66" spans="1:6" x14ac:dyDescent="0.25">
      <c r="B66" s="23" t="s">
        <v>138</v>
      </c>
      <c r="C66" s="24">
        <v>0.25800000000000001</v>
      </c>
      <c r="D66" s="24">
        <v>8.1000000000000003E-2</v>
      </c>
      <c r="E66" s="24">
        <v>116</v>
      </c>
    </row>
    <row r="67" spans="1:6" x14ac:dyDescent="0.25">
      <c r="B67" s="23" t="s">
        <v>139</v>
      </c>
      <c r="C67" s="24">
        <v>0.20599999999999999</v>
      </c>
      <c r="D67" s="24">
        <v>7.9000000000000001E-2</v>
      </c>
      <c r="E67" s="24">
        <v>138</v>
      </c>
    </row>
    <row r="68" spans="1:6" x14ac:dyDescent="0.25">
      <c r="B68" s="23" t="s">
        <v>140</v>
      </c>
      <c r="C68" s="24">
        <v>0.16700000000000001</v>
      </c>
      <c r="D68" s="24">
        <v>7.6999999999999999E-2</v>
      </c>
      <c r="E68" s="24">
        <v>141</v>
      </c>
    </row>
    <row r="69" spans="1:6" x14ac:dyDescent="0.25">
      <c r="B69" s="23" t="s">
        <v>141</v>
      </c>
      <c r="C69" s="24">
        <v>0.129</v>
      </c>
      <c r="D69" s="24">
        <v>7.4999999999999997E-2</v>
      </c>
      <c r="E69" s="24">
        <v>144</v>
      </c>
    </row>
    <row r="70" spans="1:6" x14ac:dyDescent="0.25">
      <c r="A70" t="s">
        <v>142</v>
      </c>
      <c r="B70" s="21" t="s">
        <v>143</v>
      </c>
      <c r="C70" s="25">
        <v>0.26</v>
      </c>
      <c r="D70" s="25">
        <v>0.13700000000000001</v>
      </c>
      <c r="E70" s="26">
        <v>56.5</v>
      </c>
      <c r="F70" s="5">
        <v>278</v>
      </c>
    </row>
    <row r="71" spans="1:6" x14ac:dyDescent="0.25">
      <c r="A71" t="s">
        <v>100</v>
      </c>
      <c r="B71" s="21" t="s">
        <v>144</v>
      </c>
      <c r="C71" s="25">
        <v>0.19400000000000001</v>
      </c>
      <c r="D71" s="25">
        <v>0.126</v>
      </c>
      <c r="E71" s="26">
        <v>63</v>
      </c>
      <c r="F71" s="5">
        <v>338</v>
      </c>
    </row>
    <row r="72" spans="1:6" x14ac:dyDescent="0.25">
      <c r="B72" s="21" t="s">
        <v>145</v>
      </c>
      <c r="C72" s="25">
        <v>0.153</v>
      </c>
      <c r="D72" s="25">
        <v>0.12</v>
      </c>
      <c r="E72" s="26">
        <v>75.5</v>
      </c>
      <c r="F72" s="5">
        <v>389</v>
      </c>
    </row>
    <row r="73" spans="1:6" x14ac:dyDescent="0.25">
      <c r="B73" s="21" t="s">
        <v>146</v>
      </c>
      <c r="C73" s="25">
        <v>0.122</v>
      </c>
      <c r="D73" s="25">
        <v>0.11600000000000001</v>
      </c>
      <c r="E73" s="26">
        <v>81.5</v>
      </c>
      <c r="F73" s="5">
        <v>439</v>
      </c>
    </row>
    <row r="74" spans="1:6" x14ac:dyDescent="0.25">
      <c r="B74" s="21" t="s">
        <v>147</v>
      </c>
      <c r="C74" s="25">
        <v>9.9000000000000005E-2</v>
      </c>
      <c r="D74" s="25">
        <v>0.13</v>
      </c>
      <c r="E74" s="26">
        <v>88</v>
      </c>
      <c r="F74" s="5">
        <v>500</v>
      </c>
    </row>
    <row r="75" spans="1:6" x14ac:dyDescent="0.25">
      <c r="B75" s="21" t="s">
        <v>148</v>
      </c>
      <c r="C75" s="25">
        <v>7.6999999999999999E-2</v>
      </c>
      <c r="D75" s="25">
        <v>0.105</v>
      </c>
      <c r="E75" s="26">
        <v>94</v>
      </c>
      <c r="F75" s="5">
        <v>580</v>
      </c>
    </row>
    <row r="76" spans="1:6" x14ac:dyDescent="0.25">
      <c r="B76" s="21" t="s">
        <v>149</v>
      </c>
      <c r="C76" s="25">
        <v>6.0999999999999999E-2</v>
      </c>
      <c r="D76" s="25">
        <v>9.7000000000000003E-2</v>
      </c>
      <c r="E76" s="26">
        <v>104</v>
      </c>
      <c r="F76" s="27">
        <v>670</v>
      </c>
    </row>
    <row r="77" spans="1:6" x14ac:dyDescent="0.25">
      <c r="B77" s="28" t="s">
        <v>150</v>
      </c>
      <c r="C77" s="25">
        <v>4.5999999999999999E-2</v>
      </c>
      <c r="D77" s="25">
        <v>8.5000000000000006E-2</v>
      </c>
      <c r="E77" s="26">
        <v>115</v>
      </c>
      <c r="F77" s="5">
        <v>760</v>
      </c>
    </row>
    <row r="78" spans="1:6" x14ac:dyDescent="0.25">
      <c r="A78" s="29">
        <v>35</v>
      </c>
      <c r="B78" s="28" t="s">
        <v>151</v>
      </c>
      <c r="C78" s="25">
        <v>0.86799999999999999</v>
      </c>
      <c r="D78" s="81">
        <f>0.145*LOG(2*((2*(A78/PI())^0.5+0.3)/2+25)/(2*(A78/PI())^0.5+0.3))</f>
        <v>0.13225571317387255</v>
      </c>
      <c r="E78" s="81">
        <f>7.58/LOG(2*((2*(A78/PI())^0.5+0.3)/2+1.5)/(2*(A78/PI())^0.5+0.3))</f>
        <v>48.790595092358899</v>
      </c>
      <c r="F78" s="5">
        <v>155</v>
      </c>
    </row>
    <row r="79" spans="1:6" x14ac:dyDescent="0.25">
      <c r="A79" s="30">
        <v>50</v>
      </c>
      <c r="B79" s="28" t="s">
        <v>152</v>
      </c>
      <c r="C79" s="25">
        <v>0.64100000000000001</v>
      </c>
      <c r="D79" s="81">
        <f>0.145*LOG(2*((2*(A79/PI())^0.5+0.3)/2+25)/(2*(A79/PI())^0.5+0.3))</f>
        <v>0.12289346778263147</v>
      </c>
      <c r="E79" s="81">
        <f t="shared" ref="E79:E85" si="1">7.58/LOG(2*((2*(A79/PI())^0.5+0.3)/2+1.5)/(2*(A79/PI())^0.5+0.3))</f>
        <v>56.442960905432571</v>
      </c>
      <c r="F79" s="5">
        <v>195</v>
      </c>
    </row>
    <row r="80" spans="1:6" x14ac:dyDescent="0.25">
      <c r="A80" s="30">
        <v>70</v>
      </c>
      <c r="B80" s="28" t="s">
        <v>153</v>
      </c>
      <c r="C80" s="25">
        <v>0.443</v>
      </c>
      <c r="D80" s="81">
        <f t="shared" ref="D80:D85" si="2">0.145*LOG(2*((2*(A80/PI())^0.5+0.3)/2+25)/(2*(A80/PI())^0.5+0.3))</f>
        <v>0.11421363403804421</v>
      </c>
      <c r="E80" s="81">
        <f t="shared" si="1"/>
        <v>65.006820877577681</v>
      </c>
      <c r="F80" s="5">
        <v>235</v>
      </c>
    </row>
    <row r="81" spans="1:7" x14ac:dyDescent="0.25">
      <c r="A81" s="30">
        <v>95</v>
      </c>
      <c r="B81" s="28" t="s">
        <v>154</v>
      </c>
      <c r="C81" s="25">
        <v>0.32</v>
      </c>
      <c r="D81" s="81">
        <f t="shared" si="2"/>
        <v>0.10649412420694969</v>
      </c>
      <c r="E81" s="81">
        <f t="shared" si="1"/>
        <v>74.11530020016059</v>
      </c>
      <c r="F81" s="5">
        <v>280</v>
      </c>
    </row>
    <row r="82" spans="1:7" x14ac:dyDescent="0.25">
      <c r="A82" s="30">
        <v>120</v>
      </c>
      <c r="B82" s="28" t="s">
        <v>155</v>
      </c>
      <c r="C82" s="25">
        <v>0.253</v>
      </c>
      <c r="D82" s="81">
        <f t="shared" si="2"/>
        <v>0.10070764544659162</v>
      </c>
      <c r="E82" s="81">
        <f t="shared" si="1"/>
        <v>82.076413953099504</v>
      </c>
      <c r="F82" s="5">
        <v>325</v>
      </c>
    </row>
    <row r="83" spans="1:7" x14ac:dyDescent="0.25">
      <c r="A83" s="30">
        <v>150</v>
      </c>
      <c r="B83" s="28" t="s">
        <v>156</v>
      </c>
      <c r="C83" s="25">
        <v>0.20599999999999999</v>
      </c>
      <c r="D83" s="81">
        <f t="shared" si="2"/>
        <v>9.5288842327421019E-2</v>
      </c>
      <c r="E83" s="81">
        <f t="shared" si="1"/>
        <v>90.593648393631824</v>
      </c>
      <c r="F83" s="5">
        <v>370</v>
      </c>
    </row>
    <row r="84" spans="1:7" x14ac:dyDescent="0.25">
      <c r="A84" s="30">
        <v>185</v>
      </c>
      <c r="B84" s="28" t="s">
        <v>157</v>
      </c>
      <c r="C84" s="25">
        <v>0.16400000000000001</v>
      </c>
      <c r="D84" s="81">
        <f t="shared" si="2"/>
        <v>9.0301763135643823E-2</v>
      </c>
      <c r="E84" s="81">
        <f t="shared" si="1"/>
        <v>99.50753249420417</v>
      </c>
      <c r="F84" s="5">
        <v>425</v>
      </c>
    </row>
    <row r="85" spans="1:7" x14ac:dyDescent="0.25">
      <c r="A85" s="30">
        <v>240</v>
      </c>
      <c r="B85" s="28" t="s">
        <v>158</v>
      </c>
      <c r="C85" s="25">
        <v>0.125</v>
      </c>
      <c r="D85" s="81">
        <f t="shared" si="2"/>
        <v>8.4267597645257292E-2</v>
      </c>
      <c r="E85" s="81">
        <f t="shared" si="1"/>
        <v>111.94627074376552</v>
      </c>
      <c r="F85" s="5">
        <v>490</v>
      </c>
    </row>
    <row r="87" spans="1:7" x14ac:dyDescent="0.25">
      <c r="C87" s="1" t="s">
        <v>64</v>
      </c>
      <c r="D87" s="1" t="s">
        <v>96</v>
      </c>
      <c r="E87" s="1" t="s">
        <v>159</v>
      </c>
      <c r="F87" s="1" t="s">
        <v>160</v>
      </c>
      <c r="G87" s="1" t="s">
        <v>66</v>
      </c>
    </row>
    <row r="88" spans="1:7" x14ac:dyDescent="0.25">
      <c r="A88" t="s">
        <v>161</v>
      </c>
      <c r="B88" s="31" t="s">
        <v>162</v>
      </c>
      <c r="C88" s="32">
        <v>14.47765640663569</v>
      </c>
      <c r="D88" s="33">
        <v>0.11176364941597175</v>
      </c>
      <c r="E88" s="32">
        <v>14.552129143619517</v>
      </c>
      <c r="F88" s="32">
        <v>2.1322046846128506</v>
      </c>
      <c r="G88" s="34">
        <v>19</v>
      </c>
    </row>
    <row r="89" spans="1:7" x14ac:dyDescent="0.25">
      <c r="A89" t="s">
        <v>163</v>
      </c>
      <c r="B89" s="31" t="s">
        <v>164</v>
      </c>
      <c r="C89" s="32">
        <v>8.8660820982630675</v>
      </c>
      <c r="D89" s="33">
        <v>0.10333655344608757</v>
      </c>
      <c r="E89" s="32">
        <v>8.987339316286528</v>
      </c>
      <c r="F89" s="32">
        <v>2.1018037436765713</v>
      </c>
      <c r="G89" s="34">
        <v>25</v>
      </c>
    </row>
    <row r="90" spans="1:7" x14ac:dyDescent="0.25">
      <c r="B90" s="31" t="s">
        <v>165</v>
      </c>
      <c r="C90" s="32">
        <v>5.5158942596334128</v>
      </c>
      <c r="D90" s="33">
        <v>9.9019607397404744E-2</v>
      </c>
      <c r="E90" s="32">
        <v>5.7094024124554252</v>
      </c>
      <c r="F90" s="32">
        <v>2.0760096710975509</v>
      </c>
      <c r="G90" s="34">
        <v>35</v>
      </c>
    </row>
    <row r="91" spans="1:7" x14ac:dyDescent="0.25">
      <c r="B91" s="31" t="s">
        <v>166</v>
      </c>
      <c r="C91" s="32">
        <v>3.685266089387548</v>
      </c>
      <c r="D91" s="33">
        <v>9.6289270114873871E-2</v>
      </c>
      <c r="E91" s="32">
        <v>3.9707573907611877</v>
      </c>
      <c r="F91" s="32">
        <v>2.0423868299569472</v>
      </c>
      <c r="G91" s="34">
        <v>42</v>
      </c>
    </row>
    <row r="92" spans="1:7" x14ac:dyDescent="0.25">
      <c r="B92" s="31" t="s">
        <v>167</v>
      </c>
      <c r="C92" s="32">
        <v>2.1896826180598441</v>
      </c>
      <c r="D92" s="33">
        <v>8.9662628072867429E-2</v>
      </c>
      <c r="E92" s="32">
        <v>2.6484586194763913</v>
      </c>
      <c r="F92" s="32">
        <v>1.9432776106932885</v>
      </c>
      <c r="G92" s="34">
        <v>55</v>
      </c>
    </row>
    <row r="93" spans="1:7" x14ac:dyDescent="0.25">
      <c r="B93" s="31" t="s">
        <v>168</v>
      </c>
      <c r="C93" s="32">
        <v>1.3761282868952744</v>
      </c>
      <c r="D93" s="33">
        <v>8.4401412583092819E-2</v>
      </c>
      <c r="E93" s="32">
        <v>2.0355769202338365</v>
      </c>
      <c r="F93" s="32">
        <v>1.7656807679019872</v>
      </c>
      <c r="G93" s="34">
        <v>75</v>
      </c>
    </row>
    <row r="94" spans="1:7" x14ac:dyDescent="0.25">
      <c r="B94" s="31" t="s">
        <v>169</v>
      </c>
      <c r="C94" s="32">
        <v>0.87010368363639012</v>
      </c>
      <c r="D94" s="33">
        <v>8.3276090947974404E-2</v>
      </c>
      <c r="E94" s="32">
        <v>1.7113251044663831</v>
      </c>
      <c r="F94" s="32">
        <v>1.4697447012072815</v>
      </c>
      <c r="G94" s="34">
        <v>95</v>
      </c>
    </row>
    <row r="95" spans="1:7" x14ac:dyDescent="0.25">
      <c r="B95" s="31" t="s">
        <v>170</v>
      </c>
      <c r="C95" s="32">
        <v>0.62731385825370456</v>
      </c>
      <c r="D95" s="33">
        <v>8.2758243073758869E-2</v>
      </c>
      <c r="E95" s="32">
        <v>1.5264227873036931</v>
      </c>
      <c r="F95" s="32">
        <v>1.188313881342451</v>
      </c>
      <c r="G95" s="34">
        <v>120</v>
      </c>
    </row>
    <row r="96" spans="1:7" x14ac:dyDescent="0.25">
      <c r="B96" s="31" t="s">
        <v>171</v>
      </c>
      <c r="C96" s="32">
        <v>0.46353342035611184</v>
      </c>
      <c r="D96" s="33">
        <v>8.101638611172543E-2</v>
      </c>
      <c r="E96" s="32">
        <v>1.3343772425090292</v>
      </c>
      <c r="F96" s="32">
        <v>0.91582451746606175</v>
      </c>
      <c r="G96" s="35">
        <v>145</v>
      </c>
    </row>
    <row r="97" spans="1:14" x14ac:dyDescent="0.25">
      <c r="B97" s="31" t="s">
        <v>172</v>
      </c>
      <c r="C97" s="32">
        <v>0.32141900545880203</v>
      </c>
      <c r="D97" s="33">
        <v>7.7924777165134573E-2</v>
      </c>
      <c r="E97" s="32">
        <v>1.2482723562912477</v>
      </c>
      <c r="F97" s="32">
        <v>0.4199670078896055</v>
      </c>
      <c r="G97" s="35">
        <v>180</v>
      </c>
    </row>
    <row r="98" spans="1:14" x14ac:dyDescent="0.25">
      <c r="B98" s="31" t="s">
        <v>173</v>
      </c>
      <c r="C98" s="32">
        <v>0.23203304565221822</v>
      </c>
      <c r="D98" s="33">
        <v>7.5053944962528346E-2</v>
      </c>
      <c r="E98" s="32">
        <v>0.92263197746984316</v>
      </c>
      <c r="F98" s="32">
        <v>0.28679328622366651</v>
      </c>
      <c r="G98" s="35">
        <v>220</v>
      </c>
    </row>
    <row r="99" spans="1:14" x14ac:dyDescent="0.25">
      <c r="B99" s="31" t="s">
        <v>174</v>
      </c>
      <c r="C99" s="32">
        <v>0.18451407234503928</v>
      </c>
      <c r="D99" s="33">
        <v>7.3327407525499891E-2</v>
      </c>
      <c r="E99" s="32">
        <v>0.73660596430457148</v>
      </c>
      <c r="F99" s="32">
        <v>0.24827909015820268</v>
      </c>
      <c r="G99" s="35">
        <v>260</v>
      </c>
    </row>
    <row r="100" spans="1:14" x14ac:dyDescent="0.25">
      <c r="B100" s="31" t="s">
        <v>175</v>
      </c>
      <c r="C100" s="32">
        <v>0.15019793366713766</v>
      </c>
      <c r="D100" s="33">
        <v>7.2099673885072615E-2</v>
      </c>
      <c r="E100" s="32">
        <v>0.60031185240882923</v>
      </c>
      <c r="F100" s="32">
        <v>0.23099601741822212</v>
      </c>
      <c r="G100" s="35">
        <v>305</v>
      </c>
    </row>
    <row r="101" spans="1:14" x14ac:dyDescent="0.25">
      <c r="B101" s="31" t="s">
        <v>176</v>
      </c>
      <c r="C101" s="32">
        <v>0.12093600854010009</v>
      </c>
      <c r="D101" s="33">
        <v>7.0496974085011446E-2</v>
      </c>
      <c r="E101" s="32">
        <v>0.48357490846470669</v>
      </c>
      <c r="F101" s="32">
        <v>0.21932236887972256</v>
      </c>
      <c r="G101" s="35">
        <v>350</v>
      </c>
    </row>
    <row r="102" spans="1:14" x14ac:dyDescent="0.25">
      <c r="B102" s="31" t="s">
        <v>177</v>
      </c>
      <c r="C102" s="32">
        <v>9.3379684057476445E-2</v>
      </c>
      <c r="D102" s="33">
        <v>6.9180080094108004E-2</v>
      </c>
      <c r="E102" s="32">
        <v>0.37346266970268205</v>
      </c>
      <c r="F102" s="32">
        <v>0.21150297675344887</v>
      </c>
      <c r="G102" s="35"/>
    </row>
    <row r="103" spans="1:14" x14ac:dyDescent="0.25">
      <c r="B103" s="31" t="s">
        <v>178</v>
      </c>
      <c r="C103" s="32">
        <v>7.5904215300911224E-2</v>
      </c>
      <c r="D103" s="33">
        <v>6.8124721692955789E-2</v>
      </c>
      <c r="E103" s="32">
        <v>0.30359414956671438</v>
      </c>
      <c r="F103" s="32">
        <v>0.20664819478838869</v>
      </c>
      <c r="G103" s="35"/>
    </row>
    <row r="104" spans="1:14" x14ac:dyDescent="0.25">
      <c r="B104" s="36" t="s">
        <v>179</v>
      </c>
      <c r="C104" s="32">
        <v>6.1310692538257369E-2</v>
      </c>
      <c r="D104" s="33">
        <v>6.6949510012785679E-2</v>
      </c>
      <c r="E104" s="32">
        <v>0.24523342232002837</v>
      </c>
      <c r="F104" s="32">
        <v>0.20215974282166493</v>
      </c>
      <c r="G104" s="35"/>
    </row>
    <row r="106" spans="1:14" x14ac:dyDescent="0.25">
      <c r="F106" s="37" t="s">
        <v>180</v>
      </c>
      <c r="G106" s="38" t="s">
        <v>181</v>
      </c>
      <c r="H106" s="39" t="s">
        <v>182</v>
      </c>
      <c r="I106" s="38" t="s">
        <v>183</v>
      </c>
      <c r="J106" s="38" t="s">
        <v>371</v>
      </c>
      <c r="K106" s="196"/>
      <c r="L106" s="196"/>
      <c r="M106" t="s">
        <v>233</v>
      </c>
      <c r="N106" t="s">
        <v>233</v>
      </c>
    </row>
    <row r="107" spans="1:14" x14ac:dyDescent="0.25">
      <c r="A107" t="s">
        <v>184</v>
      </c>
      <c r="B107" s="5" t="s">
        <v>185</v>
      </c>
      <c r="C107" s="40">
        <v>2.5000000000000001E-2</v>
      </c>
      <c r="D107" s="41">
        <v>6</v>
      </c>
      <c r="E107" s="41">
        <v>0.4</v>
      </c>
      <c r="F107" s="41">
        <v>0.6</v>
      </c>
      <c r="G107" s="41">
        <v>0.13</v>
      </c>
      <c r="H107" s="41">
        <v>3.2</v>
      </c>
      <c r="I107" s="41">
        <v>4.5</v>
      </c>
      <c r="J107" s="41">
        <v>2.5</v>
      </c>
      <c r="K107" s="41"/>
      <c r="L107" s="41"/>
      <c r="M107" t="s">
        <v>235</v>
      </c>
      <c r="N107" t="s">
        <v>234</v>
      </c>
    </row>
    <row r="108" spans="1:14" x14ac:dyDescent="0.25">
      <c r="A108" t="s">
        <v>186</v>
      </c>
      <c r="B108" s="5" t="s">
        <v>187</v>
      </c>
      <c r="C108" s="40">
        <v>0.04</v>
      </c>
      <c r="D108" s="41">
        <v>6</v>
      </c>
      <c r="E108" s="41">
        <v>0.4</v>
      </c>
      <c r="F108" s="41">
        <v>0.88</v>
      </c>
      <c r="G108" s="41">
        <v>0.19</v>
      </c>
      <c r="H108" s="41">
        <v>3</v>
      </c>
      <c r="I108" s="41">
        <v>4.5</v>
      </c>
      <c r="J108" s="41">
        <v>2.5</v>
      </c>
      <c r="K108" s="41"/>
      <c r="L108" s="41"/>
      <c r="N108" t="s">
        <v>235</v>
      </c>
    </row>
    <row r="109" spans="1:14" x14ac:dyDescent="0.25">
      <c r="B109" s="5" t="s">
        <v>188</v>
      </c>
      <c r="C109" s="40">
        <v>6.3E-2</v>
      </c>
      <c r="D109" s="41">
        <v>6</v>
      </c>
      <c r="E109" s="41">
        <v>0.4</v>
      </c>
      <c r="F109" s="41">
        <v>1.4</v>
      </c>
      <c r="G109" s="41">
        <v>0.36</v>
      </c>
      <c r="H109" s="41">
        <v>4.5</v>
      </c>
      <c r="I109" s="41">
        <v>4.7</v>
      </c>
      <c r="J109" s="41">
        <v>2.5</v>
      </c>
      <c r="K109" s="41"/>
      <c r="L109" s="41"/>
    </row>
    <row r="110" spans="1:14" x14ac:dyDescent="0.25">
      <c r="B110" s="5" t="s">
        <v>189</v>
      </c>
      <c r="C110" s="40">
        <v>0.1</v>
      </c>
      <c r="D110" s="41">
        <v>6</v>
      </c>
      <c r="E110" s="41">
        <v>0.4</v>
      </c>
      <c r="F110" s="41">
        <v>1.97</v>
      </c>
      <c r="G110" s="41">
        <v>0.36</v>
      </c>
      <c r="H110" s="41">
        <v>2.6</v>
      </c>
      <c r="I110" s="41">
        <v>4.5</v>
      </c>
      <c r="J110" s="41">
        <v>2.5</v>
      </c>
      <c r="K110" s="41"/>
      <c r="L110" s="41"/>
    </row>
    <row r="111" spans="1:14" x14ac:dyDescent="0.25">
      <c r="B111" s="5" t="s">
        <v>190</v>
      </c>
      <c r="C111" s="40">
        <v>0.16</v>
      </c>
      <c r="D111" s="41">
        <v>6</v>
      </c>
      <c r="E111" s="41">
        <v>0.4</v>
      </c>
      <c r="F111" s="41">
        <v>2.8</v>
      </c>
      <c r="G111" s="41">
        <v>0.5</v>
      </c>
      <c r="H111" s="41">
        <v>2.4</v>
      </c>
      <c r="I111" s="41">
        <v>4.5</v>
      </c>
      <c r="J111" s="41">
        <v>2.5</v>
      </c>
      <c r="K111" s="41"/>
      <c r="L111" s="41"/>
    </row>
    <row r="112" spans="1:14" x14ac:dyDescent="0.25">
      <c r="B112" s="5" t="s">
        <v>191</v>
      </c>
      <c r="C112" s="40">
        <v>0.25</v>
      </c>
      <c r="D112" s="41">
        <v>6</v>
      </c>
      <c r="E112" s="41">
        <v>0.4</v>
      </c>
      <c r="F112" s="41">
        <v>3.7</v>
      </c>
      <c r="G112" s="41">
        <v>0.82</v>
      </c>
      <c r="H112" s="41">
        <v>2.2999999999999998</v>
      </c>
      <c r="I112" s="41">
        <v>4.5</v>
      </c>
      <c r="J112" s="41">
        <v>2.5</v>
      </c>
      <c r="K112" s="41"/>
      <c r="L112" s="41"/>
    </row>
    <row r="113" spans="2:12" x14ac:dyDescent="0.25">
      <c r="B113" s="5" t="s">
        <v>192</v>
      </c>
      <c r="C113" s="40">
        <v>0.32</v>
      </c>
      <c r="D113" s="41">
        <v>6</v>
      </c>
      <c r="E113" s="41">
        <v>0.4</v>
      </c>
      <c r="F113" s="41">
        <v>6.07</v>
      </c>
      <c r="G113" s="41">
        <v>1.6</v>
      </c>
      <c r="H113" s="41">
        <v>0.6</v>
      </c>
      <c r="I113" s="41">
        <v>5.5</v>
      </c>
      <c r="J113" s="41">
        <v>2.5</v>
      </c>
      <c r="K113" s="41"/>
      <c r="L113" s="41"/>
    </row>
    <row r="114" spans="2:12" x14ac:dyDescent="0.25">
      <c r="B114" s="5" t="s">
        <v>193</v>
      </c>
      <c r="C114" s="40">
        <v>0.4</v>
      </c>
      <c r="D114" s="41">
        <v>6</v>
      </c>
      <c r="E114" s="41">
        <v>0.4</v>
      </c>
      <c r="F114" s="41">
        <v>5.5</v>
      </c>
      <c r="G114" s="41">
        <v>1.06</v>
      </c>
      <c r="H114" s="41">
        <v>4.5</v>
      </c>
      <c r="I114" s="41">
        <v>4.5</v>
      </c>
      <c r="J114" s="41">
        <v>2.5</v>
      </c>
      <c r="K114" s="41"/>
      <c r="L114" s="41"/>
    </row>
    <row r="115" spans="2:12" x14ac:dyDescent="0.25">
      <c r="B115" s="5" t="s">
        <v>194</v>
      </c>
      <c r="C115" s="40">
        <v>0.63</v>
      </c>
      <c r="D115" s="41">
        <v>6</v>
      </c>
      <c r="E115" s="41">
        <v>0.4</v>
      </c>
      <c r="F115" s="41">
        <v>7.6</v>
      </c>
      <c r="G115" s="41">
        <v>1.56</v>
      </c>
      <c r="H115" s="41">
        <v>2</v>
      </c>
      <c r="I115" s="41">
        <v>5.5</v>
      </c>
      <c r="J115" s="41">
        <v>2.5</v>
      </c>
      <c r="K115" s="41"/>
      <c r="L115" s="41"/>
    </row>
    <row r="116" spans="2:12" x14ac:dyDescent="0.25">
      <c r="B116" s="5" t="s">
        <v>195</v>
      </c>
      <c r="C116" s="40">
        <v>1</v>
      </c>
      <c r="D116" s="41">
        <v>6</v>
      </c>
      <c r="E116" s="41">
        <v>0.4</v>
      </c>
      <c r="F116" s="41">
        <v>11.5</v>
      </c>
      <c r="G116" s="41">
        <v>2.4500000000000002</v>
      </c>
      <c r="H116" s="41">
        <v>1.4</v>
      </c>
      <c r="I116" s="41">
        <v>5.5</v>
      </c>
      <c r="J116" s="41">
        <v>2.5</v>
      </c>
      <c r="K116" s="41"/>
      <c r="L116" s="41"/>
    </row>
    <row r="117" spans="2:12" x14ac:dyDescent="0.25">
      <c r="B117" s="5" t="s">
        <v>196</v>
      </c>
      <c r="C117" s="40">
        <v>1.6</v>
      </c>
      <c r="D117" s="41">
        <v>6</v>
      </c>
      <c r="E117" s="41">
        <v>0.4</v>
      </c>
      <c r="F117" s="41">
        <v>18</v>
      </c>
      <c r="G117" s="41">
        <v>3</v>
      </c>
      <c r="H117" s="41">
        <v>1.2</v>
      </c>
      <c r="I117" s="41">
        <v>6</v>
      </c>
      <c r="J117" s="41">
        <v>2.5</v>
      </c>
      <c r="K117" s="41"/>
      <c r="L117" s="41"/>
    </row>
    <row r="118" spans="2:12" x14ac:dyDescent="0.25">
      <c r="B118" s="5" t="s">
        <v>197</v>
      </c>
      <c r="C118" s="40">
        <v>2.5</v>
      </c>
      <c r="D118" s="41">
        <v>6</v>
      </c>
      <c r="E118" s="41">
        <v>0.4</v>
      </c>
      <c r="F118" s="41">
        <v>26</v>
      </c>
      <c r="G118" s="41">
        <v>4.5999999999999996</v>
      </c>
      <c r="H118" s="41">
        <v>1</v>
      </c>
      <c r="I118" s="41">
        <v>6</v>
      </c>
      <c r="J118" s="41">
        <v>2.5</v>
      </c>
      <c r="K118" s="41"/>
      <c r="L118" s="41"/>
    </row>
    <row r="119" spans="2:12" x14ac:dyDescent="0.25">
      <c r="B119" s="5" t="s">
        <v>198</v>
      </c>
      <c r="C119" s="40">
        <v>2.5000000000000001E-2</v>
      </c>
      <c r="D119" s="41">
        <v>10</v>
      </c>
      <c r="E119" s="41">
        <v>0.4</v>
      </c>
      <c r="F119" s="41">
        <v>0.6</v>
      </c>
      <c r="G119" s="41">
        <v>0.13</v>
      </c>
      <c r="H119" s="41">
        <v>3.2</v>
      </c>
      <c r="I119" s="41">
        <v>4.5</v>
      </c>
      <c r="J119" s="41">
        <v>2.5</v>
      </c>
      <c r="K119" s="41"/>
      <c r="L119" s="41"/>
    </row>
    <row r="120" spans="2:12" x14ac:dyDescent="0.25">
      <c r="B120" s="5" t="s">
        <v>199</v>
      </c>
      <c r="C120" s="40">
        <v>0.04</v>
      </c>
      <c r="D120" s="41">
        <v>10</v>
      </c>
      <c r="E120" s="41">
        <v>0.4</v>
      </c>
      <c r="F120" s="41">
        <v>1</v>
      </c>
      <c r="G120" s="41">
        <v>0.19</v>
      </c>
      <c r="H120" s="41">
        <v>3</v>
      </c>
      <c r="I120" s="41">
        <v>4.5</v>
      </c>
      <c r="J120" s="41">
        <v>2.5</v>
      </c>
      <c r="K120" s="41"/>
      <c r="L120" s="41"/>
    </row>
    <row r="121" spans="2:12" x14ac:dyDescent="0.25">
      <c r="B121" s="5" t="s">
        <v>200</v>
      </c>
      <c r="C121" s="40">
        <v>6.3E-2</v>
      </c>
      <c r="D121" s="41">
        <v>10</v>
      </c>
      <c r="E121" s="41">
        <v>0.4</v>
      </c>
      <c r="F121" s="41">
        <v>1.38</v>
      </c>
      <c r="G121" s="41">
        <v>0.22</v>
      </c>
      <c r="H121" s="41">
        <v>2.8</v>
      </c>
      <c r="I121" s="41">
        <v>4.5999999999999996</v>
      </c>
      <c r="J121" s="41">
        <v>2.5</v>
      </c>
      <c r="K121" s="41"/>
      <c r="L121" s="41"/>
    </row>
    <row r="122" spans="2:12" x14ac:dyDescent="0.25">
      <c r="B122" s="5" t="s">
        <v>201</v>
      </c>
      <c r="C122" s="40">
        <v>0.1</v>
      </c>
      <c r="D122" s="41">
        <v>10</v>
      </c>
      <c r="E122" s="41">
        <v>0.4</v>
      </c>
      <c r="F122" s="41">
        <v>2.12</v>
      </c>
      <c r="G122" s="41">
        <v>0.34</v>
      </c>
      <c r="H122" s="41">
        <v>2.6</v>
      </c>
      <c r="I122" s="41">
        <v>4.5999999999999996</v>
      </c>
      <c r="J122" s="41">
        <v>2.5</v>
      </c>
      <c r="K122" s="41"/>
      <c r="L122" s="41"/>
    </row>
    <row r="123" spans="2:12" x14ac:dyDescent="0.25">
      <c r="B123" s="5" t="s">
        <v>202</v>
      </c>
      <c r="C123" s="40">
        <v>0.16</v>
      </c>
      <c r="D123" s="41">
        <v>10</v>
      </c>
      <c r="E123" s="41">
        <v>0.4</v>
      </c>
      <c r="F123" s="41">
        <v>2.88</v>
      </c>
      <c r="G123" s="41">
        <v>0.5</v>
      </c>
      <c r="H123" s="41">
        <v>2.4</v>
      </c>
      <c r="I123" s="41">
        <v>4.5999999999999996</v>
      </c>
      <c r="J123" s="41">
        <v>2.5</v>
      </c>
      <c r="K123" s="41"/>
      <c r="L123" s="41"/>
    </row>
    <row r="124" spans="2:12" x14ac:dyDescent="0.25">
      <c r="B124" s="5" t="s">
        <v>203</v>
      </c>
      <c r="C124" s="40">
        <v>0.25</v>
      </c>
      <c r="D124" s="41">
        <v>10</v>
      </c>
      <c r="E124" s="41">
        <v>0.4</v>
      </c>
      <c r="F124" s="41">
        <v>4</v>
      </c>
      <c r="G124" s="41">
        <v>1.05</v>
      </c>
      <c r="H124" s="41">
        <v>2.5</v>
      </c>
      <c r="I124" s="41">
        <v>4.5999999999999996</v>
      </c>
      <c r="J124" s="41">
        <v>2.5</v>
      </c>
      <c r="K124" s="41"/>
      <c r="L124" s="41"/>
    </row>
    <row r="125" spans="2:12" x14ac:dyDescent="0.25">
      <c r="B125" s="5" t="s">
        <v>204</v>
      </c>
      <c r="C125" s="40">
        <v>0.25</v>
      </c>
      <c r="D125" s="41">
        <v>10</v>
      </c>
      <c r="E125" s="41">
        <v>0.4</v>
      </c>
      <c r="F125" s="41">
        <v>6.2</v>
      </c>
      <c r="G125" s="41">
        <v>0.19</v>
      </c>
      <c r="H125" s="41">
        <v>0.7</v>
      </c>
      <c r="I125" s="41">
        <v>5.5</v>
      </c>
      <c r="J125" s="41">
        <v>2.5</v>
      </c>
      <c r="K125" s="41"/>
      <c r="L125" s="41"/>
    </row>
    <row r="126" spans="2:12" x14ac:dyDescent="0.25">
      <c r="B126" s="5" t="s">
        <v>205</v>
      </c>
      <c r="C126" s="40">
        <v>0.4</v>
      </c>
      <c r="D126" s="41">
        <v>10</v>
      </c>
      <c r="E126" s="41">
        <v>0.4</v>
      </c>
      <c r="F126" s="41">
        <v>5.7</v>
      </c>
      <c r="G126" s="41">
        <v>1</v>
      </c>
      <c r="H126" s="41">
        <v>4.5</v>
      </c>
      <c r="I126" s="41">
        <v>5</v>
      </c>
      <c r="J126" s="41">
        <v>2.5</v>
      </c>
      <c r="K126" s="41"/>
      <c r="L126" s="41"/>
    </row>
    <row r="127" spans="2:12" x14ac:dyDescent="0.25">
      <c r="B127" s="5" t="s">
        <v>312</v>
      </c>
      <c r="C127" s="40">
        <v>0.4</v>
      </c>
      <c r="D127" s="41">
        <v>10</v>
      </c>
      <c r="E127" s="41">
        <v>10</v>
      </c>
      <c r="F127" s="41">
        <v>5.7</v>
      </c>
      <c r="G127" s="41">
        <v>1</v>
      </c>
      <c r="H127" s="41">
        <v>4.5</v>
      </c>
      <c r="I127" s="41">
        <v>5</v>
      </c>
      <c r="J127" s="41">
        <v>2.5</v>
      </c>
      <c r="K127" s="41"/>
      <c r="L127" s="41"/>
    </row>
    <row r="128" spans="2:12" x14ac:dyDescent="0.25">
      <c r="B128" s="5" t="s">
        <v>206</v>
      </c>
      <c r="C128" s="40">
        <v>0.63</v>
      </c>
      <c r="D128" s="41">
        <v>10</v>
      </c>
      <c r="E128" s="41">
        <v>0.4</v>
      </c>
      <c r="F128" s="41">
        <v>8</v>
      </c>
      <c r="G128" s="41">
        <v>1.5</v>
      </c>
      <c r="H128" s="41">
        <v>2.5</v>
      </c>
      <c r="I128" s="41">
        <v>5</v>
      </c>
      <c r="J128" s="41">
        <v>2.5</v>
      </c>
      <c r="K128" s="41"/>
      <c r="L128" s="41"/>
    </row>
    <row r="129" spans="2:40" x14ac:dyDescent="0.25">
      <c r="B129" s="5" t="s">
        <v>207</v>
      </c>
      <c r="C129" s="40">
        <v>1</v>
      </c>
      <c r="D129" s="41">
        <v>10</v>
      </c>
      <c r="E129" s="41">
        <v>0.4</v>
      </c>
      <c r="F129" s="41">
        <v>12</v>
      </c>
      <c r="G129" s="41">
        <v>2.4500000000000002</v>
      </c>
      <c r="H129" s="41">
        <v>2.1</v>
      </c>
      <c r="I129" s="41">
        <v>5.5</v>
      </c>
      <c r="J129" s="41">
        <v>2.5</v>
      </c>
      <c r="K129" s="41"/>
      <c r="L129" s="41"/>
    </row>
    <row r="130" spans="2:40" x14ac:dyDescent="0.25">
      <c r="B130" s="5" t="s">
        <v>208</v>
      </c>
      <c r="C130" s="40">
        <v>1.3</v>
      </c>
      <c r="D130" s="41">
        <v>10</v>
      </c>
      <c r="E130" s="41">
        <v>0.4</v>
      </c>
      <c r="F130" s="41">
        <v>15</v>
      </c>
      <c r="G130" s="41">
        <v>2.8</v>
      </c>
      <c r="H130" s="41">
        <v>1.5</v>
      </c>
      <c r="I130" s="41">
        <v>5.5</v>
      </c>
      <c r="J130" s="41">
        <v>2.5</v>
      </c>
      <c r="K130" s="41"/>
      <c r="L130" s="41"/>
    </row>
    <row r="131" spans="2:40" x14ac:dyDescent="0.25">
      <c r="B131" s="5" t="s">
        <v>209</v>
      </c>
      <c r="C131" s="40">
        <v>1.6</v>
      </c>
      <c r="D131" s="41">
        <v>10</v>
      </c>
      <c r="E131" s="41">
        <v>0.4</v>
      </c>
      <c r="F131" s="41">
        <v>18</v>
      </c>
      <c r="G131" s="41">
        <v>3.1</v>
      </c>
      <c r="H131" s="41">
        <v>1</v>
      </c>
      <c r="I131" s="41">
        <v>6</v>
      </c>
      <c r="J131" s="41">
        <v>2.5</v>
      </c>
      <c r="K131" s="41"/>
      <c r="L131" s="41"/>
    </row>
    <row r="132" spans="2:40" x14ac:dyDescent="0.25">
      <c r="B132" s="5" t="s">
        <v>210</v>
      </c>
      <c r="C132" s="40">
        <v>2.5</v>
      </c>
      <c r="D132" s="41">
        <v>10</v>
      </c>
      <c r="E132" s="41">
        <v>0.4</v>
      </c>
      <c r="F132" s="41">
        <v>26</v>
      </c>
      <c r="G132" s="41">
        <v>4.5999999999999996</v>
      </c>
      <c r="H132" s="41">
        <v>1</v>
      </c>
      <c r="I132" s="41">
        <v>6</v>
      </c>
      <c r="J132" s="41">
        <v>2.5</v>
      </c>
      <c r="K132" s="41"/>
      <c r="L132" s="41"/>
    </row>
    <row r="133" spans="2:40" x14ac:dyDescent="0.25">
      <c r="B133" s="5" t="s">
        <v>211</v>
      </c>
      <c r="C133" s="40">
        <v>2.5</v>
      </c>
      <c r="D133" s="41">
        <v>10</v>
      </c>
      <c r="E133" s="41">
        <v>6</v>
      </c>
      <c r="F133" s="41">
        <v>26</v>
      </c>
      <c r="G133" s="41">
        <v>4.5999999999999996</v>
      </c>
      <c r="H133" s="41">
        <v>1</v>
      </c>
      <c r="I133" s="41">
        <v>6</v>
      </c>
      <c r="J133" s="41">
        <v>2.5</v>
      </c>
      <c r="K133" s="41"/>
      <c r="L133" s="41"/>
    </row>
    <row r="134" spans="2:40" x14ac:dyDescent="0.25">
      <c r="B134" s="5" t="s">
        <v>212</v>
      </c>
      <c r="C134" s="40">
        <v>4</v>
      </c>
      <c r="D134" s="41">
        <v>10</v>
      </c>
      <c r="E134" s="41">
        <v>0.4</v>
      </c>
      <c r="F134" s="41">
        <v>32.6</v>
      </c>
      <c r="G134" s="41">
        <v>5.24</v>
      </c>
      <c r="H134" s="41">
        <v>0.30399999999999999</v>
      </c>
      <c r="I134" s="41">
        <v>6.5</v>
      </c>
      <c r="J134" s="41">
        <v>2.5</v>
      </c>
      <c r="K134" s="41"/>
      <c r="L134" s="41"/>
    </row>
    <row r="135" spans="2:40" x14ac:dyDescent="0.25">
      <c r="B135" s="5" t="s">
        <v>213</v>
      </c>
      <c r="C135" s="40">
        <v>6.3</v>
      </c>
      <c r="D135" s="41">
        <v>10</v>
      </c>
      <c r="E135" s="41">
        <v>6</v>
      </c>
      <c r="F135" s="41">
        <v>45</v>
      </c>
      <c r="G135" s="41">
        <v>6.5</v>
      </c>
      <c r="H135" s="41">
        <v>0.8</v>
      </c>
      <c r="I135" s="41">
        <v>8</v>
      </c>
      <c r="J135" s="41">
        <v>2.5</v>
      </c>
      <c r="K135" s="41"/>
      <c r="L135" s="41"/>
    </row>
    <row r="136" spans="2:40" x14ac:dyDescent="0.25">
      <c r="B136" s="5" t="s">
        <v>313</v>
      </c>
      <c r="C136" s="40">
        <v>0.1</v>
      </c>
      <c r="D136" s="41">
        <v>35</v>
      </c>
      <c r="E136" s="41">
        <v>0.4</v>
      </c>
      <c r="F136" s="41">
        <v>2</v>
      </c>
      <c r="G136" s="41">
        <v>0.4</v>
      </c>
      <c r="H136" s="41">
        <v>2.2999999999999998</v>
      </c>
      <c r="I136" s="41">
        <v>6.71</v>
      </c>
      <c r="J136" s="41">
        <v>2.5</v>
      </c>
      <c r="K136" s="41"/>
      <c r="L136" s="41"/>
    </row>
    <row r="137" spans="2:40" x14ac:dyDescent="0.25">
      <c r="B137" s="5" t="s">
        <v>214</v>
      </c>
      <c r="C137" s="40">
        <v>10</v>
      </c>
      <c r="D137" s="41">
        <v>35</v>
      </c>
      <c r="E137" s="41">
        <v>10.5</v>
      </c>
      <c r="F137" s="41">
        <v>60</v>
      </c>
      <c r="G137" s="41">
        <v>10</v>
      </c>
      <c r="H137" s="41">
        <v>0.65</v>
      </c>
      <c r="I137" s="41">
        <v>10.5</v>
      </c>
      <c r="J137" s="41">
        <v>1.78</v>
      </c>
      <c r="K137" s="10"/>
      <c r="L137" s="10"/>
    </row>
    <row r="138" spans="2:40" x14ac:dyDescent="0.25">
      <c r="B138" s="5" t="s">
        <v>215</v>
      </c>
      <c r="C138" s="40">
        <v>16</v>
      </c>
      <c r="D138" s="41">
        <v>35</v>
      </c>
      <c r="E138" s="41">
        <v>10.5</v>
      </c>
      <c r="F138" s="41">
        <v>85</v>
      </c>
      <c r="G138" s="41">
        <v>15</v>
      </c>
      <c r="H138" s="41">
        <v>0.65</v>
      </c>
      <c r="I138" s="41">
        <v>10.5</v>
      </c>
      <c r="J138" s="41">
        <v>1.78</v>
      </c>
      <c r="K138" s="10"/>
      <c r="L138" s="10"/>
    </row>
    <row r="139" spans="2:40" x14ac:dyDescent="0.25">
      <c r="B139" s="5" t="s">
        <v>216</v>
      </c>
      <c r="C139" s="40">
        <v>25</v>
      </c>
      <c r="D139" s="41">
        <v>36.75</v>
      </c>
      <c r="E139" s="41">
        <v>10.5</v>
      </c>
      <c r="F139" s="41">
        <v>115</v>
      </c>
      <c r="G139" s="41">
        <v>16.5</v>
      </c>
      <c r="H139" s="41">
        <v>0.6</v>
      </c>
      <c r="I139" s="41">
        <v>10.8</v>
      </c>
      <c r="J139" s="41">
        <v>1.78</v>
      </c>
      <c r="K139" s="10"/>
      <c r="L139" s="10"/>
    </row>
    <row r="141" spans="2:40" x14ac:dyDescent="0.25">
      <c r="C141" s="38" t="s">
        <v>217</v>
      </c>
      <c r="D141" s="38" t="s">
        <v>218</v>
      </c>
      <c r="E141" s="196" t="s">
        <v>219</v>
      </c>
      <c r="F141" s="196"/>
      <c r="G141" s="196"/>
      <c r="H141" s="196" t="s">
        <v>220</v>
      </c>
      <c r="I141" s="196"/>
      <c r="J141" s="196"/>
      <c r="K141" s="38" t="s">
        <v>180</v>
      </c>
      <c r="L141" s="38" t="s">
        <v>181</v>
      </c>
      <c r="M141" s="42" t="s">
        <v>182</v>
      </c>
      <c r="N141" s="196" t="s">
        <v>221</v>
      </c>
      <c r="O141" s="196"/>
      <c r="P141" s="196"/>
      <c r="Q141" s="196"/>
      <c r="R141" s="196"/>
      <c r="S141" s="196" t="s">
        <v>222</v>
      </c>
      <c r="T141" s="196"/>
      <c r="U141" s="196"/>
      <c r="V141" s="196"/>
      <c r="W141" s="196"/>
      <c r="X141" s="196"/>
      <c r="Y141" s="197" t="s">
        <v>223</v>
      </c>
      <c r="Z141" s="197"/>
      <c r="AA141" s="197"/>
      <c r="AB141" s="197" t="s">
        <v>224</v>
      </c>
      <c r="AC141" s="197"/>
      <c r="AD141" s="197"/>
      <c r="AE141" s="197" t="s">
        <v>225</v>
      </c>
      <c r="AF141" s="197"/>
      <c r="AG141" s="197"/>
      <c r="AH141" s="198" t="s">
        <v>226</v>
      </c>
      <c r="AI141" s="199"/>
      <c r="AJ141" s="200"/>
      <c r="AK141" s="43" t="s">
        <v>227</v>
      </c>
      <c r="AL141" s="43" t="s">
        <v>228</v>
      </c>
      <c r="AM141" s="43" t="s">
        <v>229</v>
      </c>
      <c r="AN141" s="43" t="s">
        <v>230</v>
      </c>
    </row>
    <row r="142" spans="2:40" x14ac:dyDescent="0.25">
      <c r="C142" s="44" t="s">
        <v>231</v>
      </c>
      <c r="D142" s="44" t="s">
        <v>232</v>
      </c>
      <c r="E142" s="45" t="s">
        <v>233</v>
      </c>
      <c r="F142" s="44" t="s">
        <v>234</v>
      </c>
      <c r="G142" s="44" t="s">
        <v>235</v>
      </c>
      <c r="H142" s="45" t="s">
        <v>233</v>
      </c>
      <c r="I142" s="44" t="s">
        <v>234</v>
      </c>
      <c r="J142" s="44" t="s">
        <v>235</v>
      </c>
      <c r="K142" s="46" t="s">
        <v>236</v>
      </c>
      <c r="L142" s="44" t="s">
        <v>236</v>
      </c>
      <c r="M142" s="47" t="s">
        <v>62</v>
      </c>
      <c r="N142" s="44" t="s">
        <v>237</v>
      </c>
      <c r="O142" s="48" t="s">
        <v>238</v>
      </c>
      <c r="P142" s="48" t="s">
        <v>239</v>
      </c>
      <c r="Q142" s="48" t="s">
        <v>240</v>
      </c>
      <c r="R142" s="48" t="s">
        <v>241</v>
      </c>
      <c r="S142" s="45" t="s">
        <v>39</v>
      </c>
      <c r="T142" s="44" t="s">
        <v>242</v>
      </c>
      <c r="U142" s="44" t="s">
        <v>243</v>
      </c>
      <c r="V142" s="49" t="s">
        <v>233</v>
      </c>
      <c r="W142" s="50" t="s">
        <v>234</v>
      </c>
      <c r="X142" s="50" t="s">
        <v>235</v>
      </c>
      <c r="Y142" s="49" t="s">
        <v>233</v>
      </c>
      <c r="Z142" s="50" t="s">
        <v>234</v>
      </c>
      <c r="AA142" s="50" t="s">
        <v>235</v>
      </c>
      <c r="AB142" s="49" t="s">
        <v>233</v>
      </c>
      <c r="AC142" s="50" t="s">
        <v>234</v>
      </c>
      <c r="AD142" s="50" t="s">
        <v>235</v>
      </c>
      <c r="AE142" s="49" t="s">
        <v>233</v>
      </c>
      <c r="AF142" s="50" t="s">
        <v>234</v>
      </c>
      <c r="AG142" s="50" t="s">
        <v>235</v>
      </c>
      <c r="AH142" s="49" t="s">
        <v>244</v>
      </c>
      <c r="AI142" s="50" t="s">
        <v>245</v>
      </c>
      <c r="AJ142" s="50" t="s">
        <v>246</v>
      </c>
      <c r="AK142" s="50" t="s">
        <v>247</v>
      </c>
      <c r="AL142" s="50" t="s">
        <v>248</v>
      </c>
      <c r="AM142" s="50" t="s">
        <v>248</v>
      </c>
      <c r="AN142" s="50" t="s">
        <v>248</v>
      </c>
    </row>
    <row r="143" spans="2:40" x14ac:dyDescent="0.25">
      <c r="B143" s="8" t="s">
        <v>249</v>
      </c>
      <c r="C143" s="51">
        <v>1</v>
      </c>
      <c r="D143" s="51">
        <v>125</v>
      </c>
      <c r="E143" s="52">
        <v>230</v>
      </c>
      <c r="F143" s="52">
        <v>121</v>
      </c>
      <c r="G143" s="53">
        <v>11</v>
      </c>
      <c r="H143" s="52">
        <v>100</v>
      </c>
      <c r="I143" s="52">
        <v>100</v>
      </c>
      <c r="J143" s="53">
        <v>50</v>
      </c>
      <c r="K143" s="51">
        <v>315</v>
      </c>
      <c r="L143" s="51">
        <v>100</v>
      </c>
      <c r="M143" s="54">
        <v>0.7</v>
      </c>
      <c r="N143" s="55" t="s">
        <v>233</v>
      </c>
      <c r="O143" s="52">
        <v>9</v>
      </c>
      <c r="P143" s="52">
        <v>1.78</v>
      </c>
      <c r="Q143" s="52">
        <v>9</v>
      </c>
      <c r="R143" s="53">
        <v>1.78</v>
      </c>
      <c r="S143" s="56">
        <v>10.5</v>
      </c>
      <c r="T143" s="56">
        <v>45</v>
      </c>
      <c r="U143" s="57">
        <v>28</v>
      </c>
      <c r="V143">
        <f>(S143+T143-U143)/2</f>
        <v>13.75</v>
      </c>
      <c r="W143">
        <f>(S143-T143+U143)/2</f>
        <v>-3.25</v>
      </c>
      <c r="X143" s="58">
        <f>(-S143+T143+U143)/2</f>
        <v>31.25</v>
      </c>
      <c r="Y143" s="59">
        <f>K143*E143*E143/2/D143/D143/1000*100/H143/C143</f>
        <v>0.53323199999999993</v>
      </c>
      <c r="Z143" s="59">
        <f>K143*E143*E143/2/D143/D143/1000*100/I143/C143</f>
        <v>0.53323199999999993</v>
      </c>
      <c r="AA143" s="60">
        <f>K143*E143*E143/2/D143/D143/1000*100/J143/C143</f>
        <v>1.0664639999999999</v>
      </c>
      <c r="AB143" s="59">
        <f>SQRT(AE143*AE143-Y143*Y143)*SIGN(AE143)</f>
        <v>58.187556776635468</v>
      </c>
      <c r="AC143" s="59">
        <f t="shared" ref="AB143:AC146" si="3">SQRT(AF143*AF143-Z143*Z143)*SIGN(AF143)</f>
        <v>-13.743659615771048</v>
      </c>
      <c r="AD143" s="60">
        <f>SQRT(AG143*AG143-AA143*AA143)*SIGN(AJ143)</f>
        <v>132.24569994724482</v>
      </c>
      <c r="AE143">
        <f>V143*E143*E143/100/D143/C143</f>
        <v>58.19</v>
      </c>
      <c r="AF143">
        <f>W143*E143*E143/100/D143/C143</f>
        <v>-13.754</v>
      </c>
      <c r="AG143" s="61">
        <f>X143*E143*E143/100/D143/C143</f>
        <v>132.25</v>
      </c>
      <c r="AH143" s="62">
        <f>IF(N143="СН",(F143-Q143*R143/100*F143)/E143,IF(N143="ВН",F143/(E143+Q143*R143/100*E143),""))</f>
        <v>0.45344505819836162</v>
      </c>
      <c r="AI143" s="62">
        <f>E143/F143</f>
        <v>1.9008264462809918</v>
      </c>
      <c r="AJ143" s="63">
        <f>IF(N143="СН",(F143+Q143*R143/100*F143)/E143,IF(N143="ВН",F143/(E143-Q143*R143/100*E143),""))</f>
        <v>0.62644314898992515</v>
      </c>
      <c r="AK143" s="62">
        <f>E143/G143</f>
        <v>20.90909090909091</v>
      </c>
      <c r="AL143" s="64">
        <f>M143/100*D143/E143/E143*1000000*C143</f>
        <v>16.540642722117202</v>
      </c>
      <c r="AM143" s="64">
        <f>L143/E143/E143/1000*1000000*C143</f>
        <v>1.890359168241966</v>
      </c>
      <c r="AN143" s="64">
        <f>SQRT(AL143*AL143-AM143*AM143)</f>
        <v>16.432267155684034</v>
      </c>
    </row>
    <row r="144" spans="2:40" x14ac:dyDescent="0.25">
      <c r="B144" s="8" t="s">
        <v>250</v>
      </c>
      <c r="C144" s="51">
        <v>1</v>
      </c>
      <c r="D144" s="51">
        <v>250</v>
      </c>
      <c r="E144" s="52">
        <v>230</v>
      </c>
      <c r="F144" s="52">
        <v>121</v>
      </c>
      <c r="G144" s="53">
        <v>38.5</v>
      </c>
      <c r="H144" s="52">
        <v>100</v>
      </c>
      <c r="I144" s="52">
        <v>100</v>
      </c>
      <c r="J144" s="53">
        <v>40</v>
      </c>
      <c r="K144" s="51">
        <v>420</v>
      </c>
      <c r="L144" s="51">
        <v>60</v>
      </c>
      <c r="M144" s="54">
        <v>0.4</v>
      </c>
      <c r="N144" s="55" t="s">
        <v>234</v>
      </c>
      <c r="O144" s="52">
        <v>6</v>
      </c>
      <c r="P144" s="52">
        <v>2</v>
      </c>
      <c r="Q144" s="52">
        <v>6</v>
      </c>
      <c r="R144" s="53">
        <v>2</v>
      </c>
      <c r="S144" s="56">
        <v>10.5</v>
      </c>
      <c r="T144" s="56">
        <v>32</v>
      </c>
      <c r="U144" s="57">
        <v>20</v>
      </c>
      <c r="V144">
        <f>(S144+T144-U144)/2</f>
        <v>11.25</v>
      </c>
      <c r="W144">
        <f>(S144-T144+U144)/2</f>
        <v>-0.75</v>
      </c>
      <c r="X144" s="58">
        <f>(-S144+T144+U144)/2</f>
        <v>20.75</v>
      </c>
      <c r="Y144" s="59">
        <f>K144*E144*E144/2/D144/D144/1000*100/H144/C144</f>
        <v>0.17774400000000001</v>
      </c>
      <c r="Z144" s="59">
        <f>K144*E144*E144/2/D144/D144/1000*100/I144/C144</f>
        <v>0.17774400000000001</v>
      </c>
      <c r="AA144" s="60">
        <f>K144*E144*E144/2/D144/D144/1000*100/J144/C144</f>
        <v>0.44435999999999998</v>
      </c>
      <c r="AB144" s="59">
        <f t="shared" si="3"/>
        <v>23.804336413150942</v>
      </c>
      <c r="AC144" s="59">
        <f t="shared" si="3"/>
        <v>-1.577014923982649</v>
      </c>
      <c r="AD144" s="60">
        <f>SQRT(AG144*AG144-AA144*AA144)*SIGN(AJ144)</f>
        <v>43.904751373745412</v>
      </c>
      <c r="AE144">
        <f>V144*E144*E144/100/D144/C144</f>
        <v>23.805</v>
      </c>
      <c r="AF144">
        <f>W144*E144*E144/100/D144/C144</f>
        <v>-1.587</v>
      </c>
      <c r="AG144" s="61">
        <f>X144*E144*E144/100/D144/C144</f>
        <v>43.906999999999996</v>
      </c>
      <c r="AH144" s="62">
        <f>IF(N144="СН",(F144-Q144*R144/100*F144)/E144,IF(N144="ВН",F144/(E144+Q144*R144/100*E144),""))</f>
        <v>0.46295652173913043</v>
      </c>
      <c r="AI144" s="62">
        <f>E144/F144</f>
        <v>1.9008264462809918</v>
      </c>
      <c r="AJ144" s="63">
        <f>IF(N144="СН",(F144+Q144*R144/100*F144)/E144,IF(N144="ВН",F144/(E144-Q144*R144/100*E144),""))</f>
        <v>0.58921739130434791</v>
      </c>
      <c r="AK144" s="62">
        <f>E144/G144</f>
        <v>5.9740259740259738</v>
      </c>
      <c r="AL144" s="64">
        <f>M144/100*D144/E144/E144*1000000*C144</f>
        <v>18.903591682419663</v>
      </c>
      <c r="AM144" s="64">
        <f>L144/E144/E144/1000*1000000*C144</f>
        <v>1.1342155009451795</v>
      </c>
      <c r="AN144" s="64">
        <f>SQRT(AL144*AL144-AM144*AM144)</f>
        <v>18.869534538325571</v>
      </c>
    </row>
    <row r="145" spans="2:40" x14ac:dyDescent="0.25">
      <c r="B145" s="8" t="s">
        <v>251</v>
      </c>
      <c r="C145" s="51">
        <v>1</v>
      </c>
      <c r="D145" s="51">
        <v>80</v>
      </c>
      <c r="E145" s="52">
        <v>115</v>
      </c>
      <c r="F145" s="52">
        <v>38.5</v>
      </c>
      <c r="G145" s="53">
        <v>11</v>
      </c>
      <c r="H145" s="52">
        <v>100</v>
      </c>
      <c r="I145" s="52">
        <v>100</v>
      </c>
      <c r="J145" s="53">
        <v>100</v>
      </c>
      <c r="K145" s="51">
        <v>341</v>
      </c>
      <c r="L145" s="51">
        <v>44</v>
      </c>
      <c r="M145" s="54">
        <v>0.67</v>
      </c>
      <c r="N145" s="55" t="s">
        <v>233</v>
      </c>
      <c r="O145" s="52">
        <v>9</v>
      </c>
      <c r="P145" s="52">
        <v>1.78</v>
      </c>
      <c r="Q145" s="52">
        <v>9</v>
      </c>
      <c r="R145" s="53">
        <v>1.78</v>
      </c>
      <c r="S145" s="56">
        <v>10.8</v>
      </c>
      <c r="T145" s="56">
        <v>18.899999999999999</v>
      </c>
      <c r="U145" s="57">
        <v>7.35</v>
      </c>
      <c r="V145">
        <f>(S145+T145-U145)/2</f>
        <v>11.175000000000001</v>
      </c>
      <c r="W145">
        <f>(S145-T145+U145)/2</f>
        <v>-0.37499999999999911</v>
      </c>
      <c r="X145" s="58">
        <f>(-S145+T145+U145)/2</f>
        <v>7.7249999999999988</v>
      </c>
      <c r="Y145" s="59">
        <f>K145*E145*E145/2/D145/D145/1000*100/H145/C145</f>
        <v>0.35232226562500002</v>
      </c>
      <c r="Z145" s="59">
        <f>K145*E145*E145/2/D145/D145/1000*100/I145/C145</f>
        <v>0.35232226562500002</v>
      </c>
      <c r="AA145" s="60">
        <f>K145*E145*E145/2/D145/D145/1000*100/J145/C145</f>
        <v>0.35232226562500002</v>
      </c>
      <c r="AB145" s="59">
        <f t="shared" si="3"/>
        <v>18.47031189683355</v>
      </c>
      <c r="AC145" s="59">
        <f t="shared" si="3"/>
        <v>-0.51007073259341262</v>
      </c>
      <c r="AD145" s="60">
        <f>SQRT(AG145*AG145-AA145*AA145)*SIGN(AJ145)</f>
        <v>12.765529590903494</v>
      </c>
      <c r="AE145">
        <f>V145*E145*E145/100/D145/C145</f>
        <v>18.473671875000001</v>
      </c>
      <c r="AF145">
        <f>W145*E145*E145/100/D145/C145</f>
        <v>-0.61992187499999851</v>
      </c>
      <c r="AG145" s="61">
        <f>X145*E145*E145/100/D145/C145</f>
        <v>12.770390624999999</v>
      </c>
      <c r="AH145" s="62">
        <f>IF(N145="СН",(F145-Q145*R145/100*F145)/E145,IF(N145="ВН",F145/(E145+Q145*R145/100*E145),""))</f>
        <v>0.28855594612623009</v>
      </c>
      <c r="AI145" s="62">
        <f>F145/E145</f>
        <v>0.33478260869565218</v>
      </c>
      <c r="AJ145" s="63">
        <f>IF(N145="СН",(F145+Q145*R145/100*F145)/E145,IF(N145="ВН",F145/(E145-Q145*R145/100*E145),""))</f>
        <v>0.39864564026631599</v>
      </c>
      <c r="AK145" s="62">
        <f>G145/E145</f>
        <v>9.5652173913043481E-2</v>
      </c>
      <c r="AL145" s="64">
        <f>M145/100*D145/E145/E145*1000000*C145</f>
        <v>40.529300567107754</v>
      </c>
      <c r="AM145" s="64">
        <f>L145/E145/E145/1000*1000000*C145</f>
        <v>3.3270321361058603</v>
      </c>
      <c r="AN145" s="64">
        <f>SQRT(AL145*AL145-AM145*AM145)</f>
        <v>40.392512445059417</v>
      </c>
    </row>
    <row r="146" spans="2:40" x14ac:dyDescent="0.25">
      <c r="C146" s="51">
        <v>1</v>
      </c>
      <c r="D146" s="51">
        <v>2.5</v>
      </c>
      <c r="E146" s="52">
        <v>6</v>
      </c>
      <c r="F146" s="52">
        <v>0.66</v>
      </c>
      <c r="G146" s="53">
        <v>0.66</v>
      </c>
      <c r="H146" s="52">
        <v>100</v>
      </c>
      <c r="I146" s="52">
        <v>50</v>
      </c>
      <c r="J146" s="53">
        <v>50</v>
      </c>
      <c r="K146" s="51">
        <v>19</v>
      </c>
      <c r="L146" s="51">
        <v>4.7</v>
      </c>
      <c r="M146" s="54">
        <v>0.7</v>
      </c>
      <c r="N146" s="55" t="s">
        <v>233</v>
      </c>
      <c r="O146" s="52">
        <v>9</v>
      </c>
      <c r="P146" s="52">
        <v>1.78</v>
      </c>
      <c r="Q146" s="52">
        <v>9</v>
      </c>
      <c r="R146" s="53">
        <v>1.78</v>
      </c>
      <c r="S146" s="56">
        <v>6</v>
      </c>
      <c r="T146" s="56">
        <v>6</v>
      </c>
      <c r="U146" s="57">
        <v>10</v>
      </c>
      <c r="V146">
        <f>(S146+T146-U146)/2</f>
        <v>1</v>
      </c>
      <c r="W146">
        <f>(S146-T146+U146)/2</f>
        <v>5</v>
      </c>
      <c r="X146" s="58">
        <f>(-S146+T146+U146)/2</f>
        <v>5</v>
      </c>
      <c r="Y146" s="59">
        <f>K146*E146*E146/2/D146/D146/1000*100/H146/C146</f>
        <v>5.4720000000000005E-2</v>
      </c>
      <c r="Z146" s="59">
        <f>K146*E146*E146/2/D146/D146/1000*100/I146/C146</f>
        <v>0.10944000000000001</v>
      </c>
      <c r="AA146" s="60">
        <f>K146*E146*E146/2/D146/D146/1000*100/J146/C146</f>
        <v>0.10944000000000001</v>
      </c>
      <c r="AB146" s="59">
        <f t="shared" si="3"/>
        <v>0.13319805403983948</v>
      </c>
      <c r="AC146" s="59">
        <f t="shared" si="3"/>
        <v>0.7116339553450215</v>
      </c>
      <c r="AD146" s="60">
        <f>SQRT(AG146*AG146-AA146*AA146)*SIGN(AJ146)</f>
        <v>0.7116339553450215</v>
      </c>
      <c r="AE146">
        <f>V146*E146*E146/100/D146/C146</f>
        <v>0.14399999999999999</v>
      </c>
      <c r="AF146">
        <f>W146*E146*E146/100/D146/C146</f>
        <v>0.72</v>
      </c>
      <c r="AG146" s="61">
        <f>X146*E146*E146/100/D146/C146</f>
        <v>0.72</v>
      </c>
      <c r="AH146" s="62">
        <f>IF(N146="СН",(F146-Q146*R146/100*F146)/E146,IF(N146="ВН",F146/(E146+Q146*R146/100*E146),""))</f>
        <v>9.4811239441475612E-2</v>
      </c>
      <c r="AI146" s="62">
        <f>F146/E146</f>
        <v>0.11</v>
      </c>
      <c r="AJ146" s="63">
        <f>IF(N146="СН",(F146+Q146*R146/100*F146)/E146,IF(N146="ВН",F146/(E146-Q146*R146/100*E146),""))</f>
        <v>0.13098356751607526</v>
      </c>
      <c r="AK146" s="62">
        <f>G146/E146</f>
        <v>0.11</v>
      </c>
      <c r="AL146" s="64">
        <f>M146/100*D146/E146/E146*1000000*C146</f>
        <v>486.11111111111103</v>
      </c>
      <c r="AM146" s="64">
        <f>L146/E146/E146/1000*1000000*C146</f>
        <v>130.55555555555554</v>
      </c>
      <c r="AN146" s="64">
        <f>SQRT(AL146*AL146-AM146*AM146)</f>
        <v>468.25127790456611</v>
      </c>
    </row>
    <row r="147" spans="2:40" x14ac:dyDescent="0.25">
      <c r="B147" s="65">
        <v>1</v>
      </c>
      <c r="C147" s="65">
        <v>2</v>
      </c>
      <c r="D147" s="65">
        <v>3</v>
      </c>
      <c r="E147" s="65">
        <v>4</v>
      </c>
      <c r="F147" s="65">
        <v>5</v>
      </c>
      <c r="G147" s="65">
        <v>6</v>
      </c>
      <c r="H147" s="65">
        <v>7</v>
      </c>
      <c r="I147" s="65">
        <v>8</v>
      </c>
      <c r="J147" s="65">
        <v>9</v>
      </c>
      <c r="K147" s="65">
        <v>10</v>
      </c>
      <c r="L147" s="65">
        <v>11</v>
      </c>
      <c r="M147" s="65">
        <v>12</v>
      </c>
      <c r="N147" s="65">
        <v>13</v>
      </c>
      <c r="O147" s="65">
        <v>14</v>
      </c>
      <c r="P147" s="65">
        <v>15</v>
      </c>
      <c r="Q147" s="65">
        <v>16</v>
      </c>
      <c r="R147" s="65">
        <v>17</v>
      </c>
      <c r="S147" s="65">
        <v>18</v>
      </c>
      <c r="T147" s="65">
        <v>19</v>
      </c>
      <c r="U147" s="65">
        <v>20</v>
      </c>
      <c r="V147" s="65">
        <v>21</v>
      </c>
      <c r="W147" s="65">
        <v>22</v>
      </c>
      <c r="X147" s="65">
        <v>23</v>
      </c>
      <c r="Y147" s="65">
        <v>24</v>
      </c>
      <c r="Z147" s="65">
        <v>25</v>
      </c>
      <c r="AA147" s="65">
        <v>26</v>
      </c>
      <c r="AB147" s="65">
        <v>27</v>
      </c>
      <c r="AC147" s="65">
        <v>28</v>
      </c>
      <c r="AD147" s="65">
        <v>29</v>
      </c>
      <c r="AE147" s="65">
        <v>30</v>
      </c>
      <c r="AF147" s="65">
        <v>31</v>
      </c>
      <c r="AG147" s="65">
        <v>32</v>
      </c>
      <c r="AH147" s="65">
        <v>33</v>
      </c>
      <c r="AI147" s="65">
        <v>34</v>
      </c>
      <c r="AJ147" s="65">
        <v>35</v>
      </c>
      <c r="AK147" s="65">
        <v>36</v>
      </c>
      <c r="AL147" s="65">
        <v>37</v>
      </c>
      <c r="AM147" s="65">
        <v>38</v>
      </c>
      <c r="AN147" s="65">
        <v>39</v>
      </c>
    </row>
    <row r="151" spans="2:40" ht="45" x14ac:dyDescent="0.25">
      <c r="B151" s="5" t="s">
        <v>36</v>
      </c>
      <c r="C151" s="66" t="s">
        <v>252</v>
      </c>
      <c r="D151" s="67" t="s">
        <v>253</v>
      </c>
      <c r="E151" s="67" t="s">
        <v>254</v>
      </c>
      <c r="F151" s="7" t="s">
        <v>255</v>
      </c>
    </row>
    <row r="152" spans="2:40" x14ac:dyDescent="0.25">
      <c r="B152" s="5" t="s">
        <v>256</v>
      </c>
      <c r="C152" s="201" t="s">
        <v>257</v>
      </c>
      <c r="D152" s="202"/>
      <c r="E152" s="203"/>
      <c r="F152" s="6" t="s">
        <v>258</v>
      </c>
    </row>
    <row r="153" spans="2:40" x14ac:dyDescent="0.25">
      <c r="B153" s="1"/>
      <c r="C153" s="68" t="s">
        <v>259</v>
      </c>
      <c r="D153" s="68" t="s">
        <v>260</v>
      </c>
      <c r="E153" s="68" t="s">
        <v>261</v>
      </c>
      <c r="F153" s="6"/>
    </row>
    <row r="154" spans="2:40" x14ac:dyDescent="0.25">
      <c r="B154" s="69" t="s">
        <v>262</v>
      </c>
      <c r="C154" s="70">
        <v>0.4</v>
      </c>
      <c r="D154" s="70">
        <v>0.4</v>
      </c>
      <c r="E154" s="70">
        <v>0.4</v>
      </c>
      <c r="F154" s="5">
        <v>6.3</v>
      </c>
    </row>
    <row r="155" spans="2:40" x14ac:dyDescent="0.25">
      <c r="B155" s="69" t="s">
        <v>263</v>
      </c>
      <c r="C155" s="70">
        <v>1300</v>
      </c>
      <c r="D155" s="70">
        <v>1287</v>
      </c>
      <c r="E155" s="70">
        <v>1287</v>
      </c>
      <c r="F155" s="5">
        <v>3125</v>
      </c>
    </row>
    <row r="156" spans="2:40" x14ac:dyDescent="0.25">
      <c r="B156" s="69" t="s">
        <v>264</v>
      </c>
      <c r="C156" s="70">
        <f>C155*C158</f>
        <v>1040</v>
      </c>
      <c r="D156" s="70">
        <v>1030</v>
      </c>
      <c r="E156" s="70">
        <v>1030</v>
      </c>
      <c r="F156" s="5">
        <f>F155*F158</f>
        <v>2500</v>
      </c>
    </row>
    <row r="157" spans="2:40" x14ac:dyDescent="0.25">
      <c r="B157" s="69" t="s">
        <v>265</v>
      </c>
      <c r="C157" s="70">
        <v>1000</v>
      </c>
      <c r="D157" s="70">
        <v>1500</v>
      </c>
      <c r="E157" s="70">
        <v>1500</v>
      </c>
      <c r="F157" s="5">
        <v>1000</v>
      </c>
    </row>
    <row r="158" spans="2:40" x14ac:dyDescent="0.25">
      <c r="B158" s="69" t="s">
        <v>266</v>
      </c>
      <c r="C158" s="70">
        <v>0.8</v>
      </c>
      <c r="D158" s="70">
        <v>0.8</v>
      </c>
      <c r="E158" s="70">
        <v>0.8</v>
      </c>
      <c r="F158" s="5">
        <v>0.8</v>
      </c>
    </row>
    <row r="159" spans="2:40" x14ac:dyDescent="0.25">
      <c r="B159" s="69" t="s">
        <v>267</v>
      </c>
      <c r="C159" s="71">
        <f>1/C161</f>
        <v>0.44247787610619471</v>
      </c>
      <c r="D159" s="72">
        <v>0.56000000000000005</v>
      </c>
      <c r="E159" s="72">
        <v>0.56000000000000005</v>
      </c>
      <c r="F159" s="5">
        <v>0.68</v>
      </c>
    </row>
    <row r="160" spans="2:40" x14ac:dyDescent="0.25">
      <c r="B160" s="69" t="s">
        <v>268</v>
      </c>
      <c r="C160" s="70">
        <v>1.4E-3</v>
      </c>
      <c r="D160" s="70">
        <v>2.5000000000000001E-3</v>
      </c>
      <c r="E160" s="70">
        <v>2.5000000000000001E-3</v>
      </c>
      <c r="F160" s="5">
        <v>8.1000000000000003E-2</v>
      </c>
    </row>
    <row r="161" spans="2:6" x14ac:dyDescent="0.25">
      <c r="B161" s="69" t="s">
        <v>269</v>
      </c>
      <c r="C161" s="70">
        <v>2.2599999999999998</v>
      </c>
      <c r="D161" s="70">
        <v>2.5388000000000002</v>
      </c>
      <c r="E161" s="70">
        <v>2.5388000000000002</v>
      </c>
      <c r="F161" s="5">
        <v>1.75</v>
      </c>
    </row>
    <row r="162" spans="2:6" x14ac:dyDescent="0.25">
      <c r="B162" s="69" t="s">
        <v>270</v>
      </c>
      <c r="C162" s="70">
        <v>0.17</v>
      </c>
      <c r="D162" s="70">
        <v>0.2084</v>
      </c>
      <c r="E162" s="73">
        <v>0.25829999999999997</v>
      </c>
      <c r="F162" s="5">
        <v>0.26800000000000002</v>
      </c>
    </row>
    <row r="163" spans="2:6" x14ac:dyDescent="0.25">
      <c r="B163" s="69" t="s">
        <v>271</v>
      </c>
      <c r="C163" s="70">
        <v>0.12</v>
      </c>
      <c r="D163" s="70">
        <v>0.13439999999999999</v>
      </c>
      <c r="E163" s="73">
        <v>0.17780000000000001</v>
      </c>
      <c r="F163" s="5">
        <v>0.18099999999999999</v>
      </c>
    </row>
    <row r="164" spans="2:6" x14ac:dyDescent="0.25">
      <c r="B164" s="69" t="s">
        <v>272</v>
      </c>
      <c r="C164" s="70">
        <v>1.46</v>
      </c>
      <c r="D164" s="70">
        <v>1.2199</v>
      </c>
      <c r="E164" s="70">
        <v>1.2199</v>
      </c>
      <c r="F164" s="5">
        <v>0.98</v>
      </c>
    </row>
    <row r="165" spans="2:6" x14ac:dyDescent="0.25">
      <c r="B165" s="69" t="s">
        <v>273</v>
      </c>
      <c r="C165" s="70"/>
      <c r="D165" s="70"/>
      <c r="E165" s="70"/>
      <c r="F165" s="5"/>
    </row>
    <row r="166" spans="2:6" x14ac:dyDescent="0.25">
      <c r="B166" s="69" t="s">
        <v>274</v>
      </c>
      <c r="C166" s="70">
        <v>0.37</v>
      </c>
      <c r="D166" s="70">
        <v>0.1263</v>
      </c>
      <c r="E166" s="70">
        <v>0.1263</v>
      </c>
      <c r="F166" s="5"/>
    </row>
    <row r="167" spans="2:6" x14ac:dyDescent="0.25">
      <c r="B167" s="69" t="s">
        <v>275</v>
      </c>
      <c r="C167" s="74" t="s">
        <v>276</v>
      </c>
      <c r="D167" s="74"/>
      <c r="E167" s="74"/>
      <c r="F167" s="5"/>
    </row>
    <row r="168" spans="2:6" x14ac:dyDescent="0.25">
      <c r="B168" s="69" t="s">
        <v>277</v>
      </c>
      <c r="C168" s="70">
        <v>0.21</v>
      </c>
      <c r="D168" s="70">
        <v>0.13039999999999999</v>
      </c>
      <c r="E168" s="70">
        <v>0.13039999999999999</v>
      </c>
      <c r="F168" s="5">
        <v>0.191</v>
      </c>
    </row>
    <row r="169" spans="2:6" x14ac:dyDescent="0.25">
      <c r="B169" s="69" t="s">
        <v>278</v>
      </c>
      <c r="C169" s="70"/>
      <c r="D169" s="70"/>
      <c r="E169" s="70"/>
      <c r="F169" s="5"/>
    </row>
    <row r="170" spans="2:6" x14ac:dyDescent="0.25">
      <c r="B170" s="69" t="s">
        <v>279</v>
      </c>
      <c r="C170" s="70">
        <v>0.03</v>
      </c>
      <c r="D170" s="70">
        <v>5.5999999999999999E-3</v>
      </c>
      <c r="E170" s="70">
        <v>5.5999999999999999E-3</v>
      </c>
      <c r="F170" s="5"/>
    </row>
    <row r="171" spans="2:6" x14ac:dyDescent="0.25">
      <c r="B171" s="69" t="s">
        <v>280</v>
      </c>
      <c r="C171" s="70"/>
      <c r="D171" s="70"/>
      <c r="E171" s="70"/>
      <c r="F171" s="5"/>
    </row>
    <row r="172" spans="2:6" x14ac:dyDescent="0.25">
      <c r="B172" s="69" t="s">
        <v>281</v>
      </c>
      <c r="C172" s="71">
        <f>C161-C175</f>
        <v>0.53506550218340632</v>
      </c>
      <c r="D172" s="71"/>
      <c r="E172" s="71"/>
      <c r="F172" s="5">
        <v>0.10199999999999999</v>
      </c>
    </row>
    <row r="173" spans="2:6" x14ac:dyDescent="0.25">
      <c r="B173" s="69" t="s">
        <v>282</v>
      </c>
      <c r="C173" s="71">
        <f>C175*C175/(C161-C162)</f>
        <v>1.4236358955778869</v>
      </c>
      <c r="D173" s="71"/>
      <c r="E173" s="71"/>
      <c r="F173" s="5">
        <v>0.185</v>
      </c>
    </row>
    <row r="174" spans="2:6" x14ac:dyDescent="0.25">
      <c r="B174" s="69" t="s">
        <v>283</v>
      </c>
      <c r="C174" s="70">
        <v>3.25</v>
      </c>
      <c r="D174" s="70"/>
      <c r="E174" s="70"/>
      <c r="F174" s="5"/>
    </row>
    <row r="175" spans="2:6" x14ac:dyDescent="0.25">
      <c r="B175" s="69" t="s">
        <v>284</v>
      </c>
      <c r="C175" s="71">
        <f>(C161-C162)*(C161-C166)/(2*(C161-C162)-(C161-C166))</f>
        <v>1.7249344978165935</v>
      </c>
      <c r="D175" s="71"/>
      <c r="E175" s="71"/>
      <c r="F175" s="5">
        <v>1.65</v>
      </c>
    </row>
    <row r="176" spans="2:6" x14ac:dyDescent="0.25">
      <c r="B176" s="69" t="s">
        <v>285</v>
      </c>
      <c r="C176" s="70"/>
      <c r="D176" s="70"/>
      <c r="E176" s="70"/>
      <c r="F176" s="5">
        <v>0.877</v>
      </c>
    </row>
    <row r="177" spans="2:10" x14ac:dyDescent="0.25">
      <c r="B177" s="69" t="s">
        <v>286</v>
      </c>
      <c r="C177" s="70">
        <v>0.17499999999999999</v>
      </c>
      <c r="D177" s="70">
        <v>0.35449999999999998</v>
      </c>
      <c r="E177" s="70">
        <v>0.35449999999999998</v>
      </c>
      <c r="F177" s="5"/>
    </row>
    <row r="178" spans="2:10" x14ac:dyDescent="0.25">
      <c r="B178" s="69" t="s">
        <v>287</v>
      </c>
      <c r="C178" s="70">
        <v>1.6E-2</v>
      </c>
      <c r="D178" s="70">
        <v>6.3E-3</v>
      </c>
      <c r="E178" s="70">
        <v>6.3E-3</v>
      </c>
      <c r="F178" s="5"/>
    </row>
    <row r="179" spans="2:10" x14ac:dyDescent="0.25">
      <c r="B179" s="69" t="s">
        <v>288</v>
      </c>
      <c r="C179" s="70">
        <v>2.34</v>
      </c>
      <c r="D179" s="70">
        <v>4.3209999999999997</v>
      </c>
      <c r="E179" s="70">
        <v>4.3209999999999997</v>
      </c>
      <c r="F179" s="5"/>
    </row>
    <row r="180" spans="2:10" x14ac:dyDescent="0.25">
      <c r="B180" s="69" t="s">
        <v>289</v>
      </c>
      <c r="C180" s="70"/>
      <c r="D180" s="70">
        <v>7.6E-3</v>
      </c>
      <c r="E180" s="70">
        <v>7.6E-3</v>
      </c>
      <c r="F180" s="5"/>
    </row>
    <row r="181" spans="2:10" x14ac:dyDescent="0.25">
      <c r="B181" s="69" t="s">
        <v>290</v>
      </c>
      <c r="C181" s="70"/>
      <c r="D181" s="70">
        <v>5.7999999999999996E-3</v>
      </c>
      <c r="E181" s="70">
        <v>5.7999999999999996E-3</v>
      </c>
      <c r="F181" s="5"/>
    </row>
    <row r="182" spans="2:10" x14ac:dyDescent="0.25">
      <c r="B182" s="69" t="s">
        <v>291</v>
      </c>
      <c r="C182" s="70"/>
      <c r="D182" s="70"/>
      <c r="E182" s="70"/>
      <c r="F182" s="5"/>
    </row>
    <row r="183" spans="2:10" x14ac:dyDescent="0.25">
      <c r="B183" s="69" t="s">
        <v>292</v>
      </c>
      <c r="C183" s="70"/>
      <c r="D183" s="70">
        <v>5.0000000000000001E-3</v>
      </c>
      <c r="E183" s="70">
        <v>5.0000000000000001E-3</v>
      </c>
      <c r="F183" s="5"/>
    </row>
    <row r="184" spans="2:10" x14ac:dyDescent="0.25">
      <c r="B184" s="69" t="s">
        <v>293</v>
      </c>
      <c r="C184" s="70"/>
      <c r="D184" s="70">
        <v>0.112</v>
      </c>
      <c r="E184" s="70">
        <v>0.112</v>
      </c>
      <c r="F184" s="5"/>
    </row>
    <row r="185" spans="2:10" x14ac:dyDescent="0.25">
      <c r="B185" s="69" t="s">
        <v>294</v>
      </c>
      <c r="C185" s="70">
        <v>1.9800000000000002E-2</v>
      </c>
      <c r="D185" s="70">
        <v>3.7900000000000003E-2</v>
      </c>
      <c r="E185" s="70">
        <v>3.7900000000000003E-2</v>
      </c>
      <c r="F185" s="5"/>
    </row>
    <row r="186" spans="2:10" x14ac:dyDescent="0.25">
      <c r="B186" s="69" t="s">
        <v>295</v>
      </c>
      <c r="C186" s="70">
        <v>6.4546000000000006E-2</v>
      </c>
      <c r="D186" s="70"/>
      <c r="E186" s="70"/>
      <c r="F186" s="5">
        <v>0.255</v>
      </c>
    </row>
    <row r="187" spans="2:10" x14ac:dyDescent="0.25">
      <c r="B187" s="69" t="s">
        <v>296</v>
      </c>
      <c r="C187" s="75">
        <f>(2.74*C186*C186*C157*C157/1000000)/(C156/C158/1000)</f>
        <v>8.7810384291076935E-3</v>
      </c>
      <c r="D187" s="75"/>
      <c r="E187" s="75"/>
      <c r="F187" s="76">
        <f>(2.74*F186*F186*F157*F157/1000000)/(F156/F158/1000)</f>
        <v>5.701392000000001E-2</v>
      </c>
    </row>
    <row r="188" spans="2:10" x14ac:dyDescent="0.25">
      <c r="B188" s="69" t="s">
        <v>297</v>
      </c>
      <c r="C188" s="77">
        <f>C187*C156/1000</f>
        <v>9.1322799662720017E-3</v>
      </c>
      <c r="D188" s="77"/>
      <c r="E188" s="77"/>
      <c r="F188" s="78">
        <f>F187*F156/1000</f>
        <v>0.14253480000000002</v>
      </c>
    </row>
    <row r="191" spans="2:10" x14ac:dyDescent="0.25">
      <c r="B191" s="9" t="s">
        <v>10</v>
      </c>
      <c r="C191" s="9" t="s">
        <v>11</v>
      </c>
      <c r="D191" s="9" t="s">
        <v>12</v>
      </c>
      <c r="E191" s="9" t="s">
        <v>13</v>
      </c>
      <c r="F191" s="9" t="s">
        <v>298</v>
      </c>
      <c r="G191" s="9" t="s">
        <v>14</v>
      </c>
      <c r="H191" s="9" t="s">
        <v>15</v>
      </c>
      <c r="I191" s="204" t="s">
        <v>299</v>
      </c>
      <c r="J191" s="204"/>
    </row>
    <row r="192" spans="2:10" x14ac:dyDescent="0.25">
      <c r="B192" s="79" t="s">
        <v>300</v>
      </c>
      <c r="C192" s="5">
        <v>0.83</v>
      </c>
      <c r="D192" s="5">
        <v>-0.3</v>
      </c>
      <c r="E192" s="5">
        <v>0.47</v>
      </c>
      <c r="F192" s="5">
        <v>4.9000000000000004</v>
      </c>
      <c r="G192" s="5">
        <v>-10.1</v>
      </c>
      <c r="H192" s="5">
        <v>6.2</v>
      </c>
      <c r="I192" s="195" t="s">
        <v>301</v>
      </c>
      <c r="J192" s="195"/>
    </row>
    <row r="193" spans="2:10" x14ac:dyDescent="0.25">
      <c r="B193" s="79" t="s">
        <v>302</v>
      </c>
      <c r="C193" s="5">
        <v>-0.2</v>
      </c>
      <c r="D193" s="5">
        <v>1.2</v>
      </c>
      <c r="E193" s="5">
        <v>0</v>
      </c>
      <c r="F193" s="5">
        <v>3.6</v>
      </c>
      <c r="G193" s="5">
        <v>-8.9</v>
      </c>
      <c r="H193" s="5">
        <v>5.3</v>
      </c>
      <c r="I193" s="195" t="s">
        <v>303</v>
      </c>
      <c r="J193" s="195"/>
    </row>
    <row r="194" spans="2:10" x14ac:dyDescent="0.25">
      <c r="B194" s="79" t="s">
        <v>304</v>
      </c>
      <c r="C194" s="5">
        <v>0.4</v>
      </c>
      <c r="D194" s="5">
        <v>0.6</v>
      </c>
      <c r="E194" s="5">
        <v>0</v>
      </c>
      <c r="F194" s="5">
        <v>4.2</v>
      </c>
      <c r="G194" s="5">
        <v>-9.5</v>
      </c>
      <c r="H194" s="5">
        <v>5.3</v>
      </c>
      <c r="I194" s="195" t="s">
        <v>311</v>
      </c>
      <c r="J194" s="195"/>
    </row>
    <row r="195" spans="2:10" x14ac:dyDescent="0.25">
      <c r="B195" s="79" t="s">
        <v>305</v>
      </c>
      <c r="C195" s="5">
        <v>0.83399999999999996</v>
      </c>
      <c r="D195" s="5">
        <v>0</v>
      </c>
      <c r="E195" s="5">
        <v>0</v>
      </c>
      <c r="F195" s="5">
        <v>2.2040000000000002</v>
      </c>
      <c r="G195" s="5">
        <v>-4.0490000000000004</v>
      </c>
      <c r="H195" s="5">
        <v>2.2709999999999999</v>
      </c>
      <c r="I195" s="195" t="s">
        <v>305</v>
      </c>
      <c r="J195" s="195"/>
    </row>
    <row r="196" spans="2:10" x14ac:dyDescent="0.25">
      <c r="B196" s="79" t="s">
        <v>306</v>
      </c>
      <c r="C196" s="5">
        <v>0.83199999999999996</v>
      </c>
      <c r="D196" s="5">
        <v>0</v>
      </c>
      <c r="E196" s="5">
        <v>0</v>
      </c>
      <c r="F196" s="5">
        <v>-1.264</v>
      </c>
      <c r="G196" s="5">
        <v>2.9329999999999998</v>
      </c>
      <c r="H196" s="5">
        <v>-1.177</v>
      </c>
      <c r="I196" s="195" t="s">
        <v>306</v>
      </c>
      <c r="J196" s="195"/>
    </row>
    <row r="197" spans="2:10" x14ac:dyDescent="0.25">
      <c r="B197" s="79" t="s">
        <v>307</v>
      </c>
      <c r="C197" s="5">
        <v>0.83</v>
      </c>
      <c r="D197" s="5">
        <v>-0.3</v>
      </c>
      <c r="E197" s="5">
        <v>0.47</v>
      </c>
      <c r="F197" s="5">
        <v>3.7</v>
      </c>
      <c r="G197" s="5">
        <v>-7</v>
      </c>
      <c r="H197" s="5">
        <v>4.3</v>
      </c>
      <c r="I197" s="195" t="s">
        <v>308</v>
      </c>
      <c r="J197" s="195"/>
    </row>
    <row r="198" spans="2:10" x14ac:dyDescent="0.25">
      <c r="B198" s="80" t="s">
        <v>309</v>
      </c>
      <c r="C198" s="5">
        <v>1</v>
      </c>
      <c r="D198" s="5">
        <v>0</v>
      </c>
      <c r="E198" s="5">
        <v>0</v>
      </c>
      <c r="F198" s="5">
        <v>1</v>
      </c>
      <c r="G198" s="5">
        <v>0</v>
      </c>
      <c r="H198" s="5">
        <v>0</v>
      </c>
      <c r="I198" s="195" t="s">
        <v>310</v>
      </c>
      <c r="J198" s="195"/>
    </row>
  </sheetData>
  <mergeCells count="18">
    <mergeCell ref="K106:L106"/>
    <mergeCell ref="I193:J193"/>
    <mergeCell ref="E141:G141"/>
    <mergeCell ref="H141:J141"/>
    <mergeCell ref="N141:R141"/>
    <mergeCell ref="I192:J192"/>
    <mergeCell ref="S141:X141"/>
    <mergeCell ref="AE141:AG141"/>
    <mergeCell ref="AH141:AJ141"/>
    <mergeCell ref="C152:E152"/>
    <mergeCell ref="I191:J191"/>
    <mergeCell ref="Y141:AA141"/>
    <mergeCell ref="AB141:AD141"/>
    <mergeCell ref="I194:J194"/>
    <mergeCell ref="I195:J195"/>
    <mergeCell ref="I196:J196"/>
    <mergeCell ref="I197:J197"/>
    <mergeCell ref="I198:J198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21</vt:i4>
      </vt:variant>
    </vt:vector>
  </HeadingPairs>
  <TitlesOfParts>
    <vt:vector size="25" baseType="lpstr">
      <vt:lpstr>СВОДКА</vt:lpstr>
      <vt:lpstr>УЗЛЫ</vt:lpstr>
      <vt:lpstr>ВЕТВИ</vt:lpstr>
      <vt:lpstr>СПРАВОЧНИК</vt:lpstr>
      <vt:lpstr>R_оборуд.</vt:lpstr>
      <vt:lpstr>R_Оборуд.1</vt:lpstr>
      <vt:lpstr>Uj</vt:lpstr>
      <vt:lpstr>Uj_2</vt:lpstr>
      <vt:lpstr>X_оборуд.</vt:lpstr>
      <vt:lpstr>Генератор</vt:lpstr>
      <vt:lpstr>Источник</vt:lpstr>
      <vt:lpstr>Кабель_04</vt:lpstr>
      <vt:lpstr>Кабель_ВВ</vt:lpstr>
      <vt:lpstr>Провод</vt:lpstr>
      <vt:lpstr>СХН</vt:lpstr>
      <vt:lpstr>Транс_2х_обм</vt:lpstr>
      <vt:lpstr>Транс_3х_обм</vt:lpstr>
      <vt:lpstr>УЗЛЫ</vt:lpstr>
      <vt:lpstr>УЗЛЫ_I</vt:lpstr>
      <vt:lpstr>УЗЛЫ_J</vt:lpstr>
      <vt:lpstr>УЗЛЫ_Qн</vt:lpstr>
      <vt:lpstr>УЗЛЫ_Рн</vt:lpstr>
      <vt:lpstr>Х_оборуд.1</vt:lpstr>
      <vt:lpstr>ЧАС_МЕС</vt:lpstr>
      <vt:lpstr>ЧАСЫ</vt:lpstr>
    </vt:vector>
  </TitlesOfParts>
  <Company>IT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Барышников Евгений Михайлович</dc:creator>
  <cp:lastModifiedBy>Барышников Евгений</cp:lastModifiedBy>
  <dcterms:created xsi:type="dcterms:W3CDTF">2024-07-12T13:37:59Z</dcterms:created>
  <dcterms:modified xsi:type="dcterms:W3CDTF">2024-12-03T07:23:04Z</dcterms:modified>
</cp:coreProperties>
</file>