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49FFA8BB-48BC-462F-9980-E909D0DAE7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55" i="1" l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54" i="1"/>
  <c r="R860" i="1"/>
  <c r="G855" i="1" l="1"/>
  <c r="AF854" i="1" l="1"/>
  <c r="AD845" i="1"/>
  <c r="AH848" i="1" l="1"/>
  <c r="AH849" i="1"/>
  <c r="AH847" i="1"/>
  <c r="AD847" i="1"/>
  <c r="R843" i="1" l="1"/>
  <c r="AH842" i="1" l="1"/>
  <c r="AH843" i="1"/>
  <c r="AH844" i="1"/>
  <c r="AH845" i="1"/>
  <c r="AH851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<sst xmlns="http://schemas.openxmlformats.org/spreadsheetml/2006/main" count="3115" uniqueCount="1203">
  <si>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</si>
  <si>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</si>
  <si>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</si>
  <si>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</si>
  <si>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</si>
  <si>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</si>
  <si>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</si>
  <si>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</si>
  <si>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</si>
  <si>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</si>
  <si>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</si>
  <si>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</si>
  <si>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</si>
  <si>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</si>
  <si>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</si>
  <si>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</si>
  <si>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</si>
  <si>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</si>
  <si>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</si>
  <si>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</si>
  <si>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</si>
  <si>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</si>
  <si>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</si>
  <si>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</si>
  <si>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</si>
  <si>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</si>
  <si>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</si>
  <si>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</si>
  <si>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</si>
  <si>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</si>
  <si>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</si>
  <si>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</si>
  <si>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</si>
  <si>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</si>
  <si>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</si>
  <si>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</si>
  <si>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</si>
  <si>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</si>
  <si>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</si>
  <si>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</si>
  <si>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</si>
  <si>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</si>
  <si>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</si>
  <si>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</si>
  <si>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</si>
  <si>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</si>
  <si>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</si>
  <si>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</si>
  <si>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</si>
  <si>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</si>
  <si>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</si>
  <si>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</si>
  <si>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</si>
  <si>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</si>
  <si>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</si>
  <si>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</si>
  <si>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</si>
  <si>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</si>
  <si>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</si>
  <si>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</si>
  <si>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</si>
  <si>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</si>
  <si>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</si>
  <si>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</si>
  <si>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</si>
  <si>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</si>
  <si>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</si>
  <si>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</si>
  <si>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</si>
  <si>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</si>
  <si>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</si>
  <si>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</si>
  <si>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</si>
  <si>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</si>
  <si>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</si>
  <si>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</si>
  <si>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</si>
  <si>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</si>
  <si>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</si>
  <si>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</si>
  <si>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</si>
  <si>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</si>
  <si>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</si>
  <si>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</si>
  <si>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</si>
  <si>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</si>
  <si>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</si>
  <si>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</si>
  <si>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</si>
  <si>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</si>
  <si>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</si>
  <si>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</si>
  <si>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</si>
  <si>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</si>
  <si>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</si>
  <si>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</si>
  <si>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</si>
  <si>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</si>
  <si>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</si>
  <si>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</si>
  <si>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</si>
  <si>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</si>
  <si>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</si>
  <si>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</si>
  <si>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</si>
  <si>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</si>
  <si>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</si>
  <si>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</si>
  <si>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</si>
  <si>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</si>
  <si>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</si>
  <si>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</si>
  <si>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</si>
  <si>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</si>
  <si>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</si>
  <si>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</si>
  <si>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</si>
  <si>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</si>
  <si>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</si>
  <si>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</si>
  <si>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</si>
  <si>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</si>
  <si>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</si>
  <si>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</si>
  <si>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</si>
  <si>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</si>
  <si>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</si>
  <si>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</si>
  <si>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</si>
  <si>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</si>
  <si>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</si>
  <si>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</si>
  <si>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</si>
  <si>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</si>
  <si>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</si>
  <si>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</si>
  <si>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</si>
  <si>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</si>
  <si>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</si>
  <si>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</si>
  <si>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</si>
  <si>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</si>
  <si>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</si>
  <si>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</si>
  <si>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</si>
  <si>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</si>
  <si>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</si>
  <si>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</si>
  <si>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</si>
  <si>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</si>
  <si>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</si>
  <si>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</si>
  <si>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</si>
  <si>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</si>
  <si>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</si>
  <si>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</si>
  <si>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</si>
  <si>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</si>
  <si>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</si>
  <si>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</si>
  <si>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</si>
  <si>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</si>
  <si>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</si>
  <si>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</si>
  <si>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</si>
  <si>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</si>
  <si>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</si>
  <si>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</si>
  <si>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</si>
  <si>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</si>
  <si>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</si>
  <si>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</si>
  <si>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</si>
  <si>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</si>
  <si>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</si>
  <si>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</si>
  <si>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</si>
  <si>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</si>
  <si>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</si>
  <si>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</si>
  <si>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</si>
  <si>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</si>
  <si>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</si>
  <si>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</si>
  <si>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</si>
  <si>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</si>
  <si>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</si>
  <si>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</si>
  <si>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</si>
  <si>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</si>
  <si>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</si>
  <si>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</si>
  <si>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</si>
  <si>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</si>
  <si>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</si>
  <si>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</si>
  <si>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</si>
  <si>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</si>
  <si>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</si>
  <si>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</si>
  <si>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</si>
  <si>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</si>
  <si>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</si>
  <si>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</si>
  <si>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</si>
  <si>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</si>
  <si>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</si>
  <si>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</si>
  <si>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</si>
  <si>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</si>
  <si>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</si>
  <si>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</si>
  <si>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</si>
  <si>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</si>
  <si>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</si>
  <si>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</si>
  <si>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</si>
  <si>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</si>
  <si>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</si>
  <si>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</si>
  <si>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</si>
  <si>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</si>
  <si>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</si>
  <si>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</si>
  <si>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</si>
  <si>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</si>
  <si>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</si>
  <si>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</si>
  <si>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</si>
  <si>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</si>
  <si>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</si>
  <si>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</si>
  <si>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</si>
  <si>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</si>
  <si>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</si>
  <si>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</si>
  <si>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</si>
  <si>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</si>
  <si>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</si>
  <si>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</si>
  <si>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</si>
  <si>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</si>
  <si>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</si>
  <si>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</si>
  <si>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</si>
  <si>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</si>
  <si>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</si>
  <si>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</si>
  <si>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</si>
  <si>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</si>
  <si>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</si>
  <si>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</si>
  <si>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</si>
  <si>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</si>
  <si>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</si>
  <si>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</si>
  <si>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</si>
  <si>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</si>
  <si>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</si>
  <si>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</si>
  <si>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</si>
  <si>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</si>
  <si>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</si>
  <si>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</si>
  <si>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</si>
  <si>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</si>
  <si>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</si>
  <si>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</si>
  <si>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</si>
  <si>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</si>
  <si>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</si>
  <si>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</si>
  <si>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</si>
  <si>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</si>
  <si>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</si>
  <si>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</si>
  <si>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</si>
  <si>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</si>
  <si>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</si>
  <si>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</si>
  <si>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</si>
  <si>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</si>
  <si>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</si>
  <si>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</si>
  <si>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</si>
  <si>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</si>
  <si>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</si>
  <si>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</si>
  <si>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</si>
  <si>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</si>
  <si>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</si>
  <si>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</si>
  <si>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</si>
  <si>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</si>
  <si>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</si>
  <si>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</si>
  <si>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</si>
  <si>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</si>
  <si>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</si>
  <si>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</si>
  <si>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</si>
  <si>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</si>
  <si>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</si>
  <si>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</si>
  <si>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</si>
  <si>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</si>
  <si>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</si>
  <si>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</si>
  <si>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</si>
  <si>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</si>
  <si>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</si>
  <si>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</si>
  <si>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</si>
  <si>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</si>
  <si>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</si>
  <si>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</si>
  <si>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</si>
  <si>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</si>
  <si>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</si>
  <si>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</si>
  <si>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</si>
  <si>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</si>
  <si>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</si>
  <si>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</si>
  <si>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</si>
  <si>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</si>
  <si>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</si>
  <si>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</si>
  <si>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</si>
  <si>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</si>
  <si>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</si>
  <si>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</si>
  <si>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</si>
  <si>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</si>
  <si>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</si>
  <si>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</si>
  <si>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</si>
  <si>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</si>
  <si>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</si>
  <si>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</si>
  <si>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</si>
  <si>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</si>
  <si>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</si>
  <si>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</si>
  <si>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</si>
  <si>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</si>
  <si>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</si>
  <si>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</si>
  <si>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</si>
  <si>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</si>
  <si>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</si>
  <si>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</si>
  <si>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</si>
  <si>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</si>
  <si>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</si>
  <si>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</si>
  <si>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</si>
  <si>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</si>
  <si>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</si>
  <si>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</si>
  <si>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</si>
  <si>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</si>
  <si>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</si>
  <si>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</si>
  <si>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</si>
  <si>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</si>
  <si>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</si>
  <si>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</si>
  <si>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</si>
  <si>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</si>
  <si>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</si>
  <si>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</si>
  <si>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</si>
  <si>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</si>
  <si>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</si>
  <si>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</si>
  <si>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</si>
  <si>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</si>
  <si>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</si>
  <si>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</si>
  <si>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</si>
  <si>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</si>
  <si>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</si>
  <si>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</si>
  <si>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</si>
  <si>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</si>
  <si>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</si>
  <si>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</si>
  <si>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</si>
  <si>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</si>
  <si>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</si>
  <si>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</si>
  <si>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</si>
  <si>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</si>
  <si>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</si>
  <si>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</si>
  <si>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</si>
  <si>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</si>
  <si>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</si>
  <si>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</si>
  <si>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</si>
  <si>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</si>
  <si>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</si>
  <si>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</si>
  <si>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</si>
  <si>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</si>
  <si>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</si>
  <si>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</si>
  <si>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</si>
  <si>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</si>
  <si>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</si>
  <si>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</si>
  <si>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</si>
  <si>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</si>
  <si>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</si>
  <si>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</si>
  <si>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</si>
  <si>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</si>
  <si>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</si>
  <si>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</si>
  <si>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</si>
  <si>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</si>
  <si>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</si>
  <si>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</si>
  <si>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</si>
  <si>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</si>
  <si>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</si>
  <si>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</si>
  <si>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</si>
  <si>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</si>
  <si>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</si>
  <si>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</si>
  <si>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</si>
  <si>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</si>
  <si>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</si>
  <si>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</si>
  <si>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</si>
  <si>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</si>
  <si>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</si>
  <si>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</si>
  <si>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</si>
  <si>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</si>
  <si>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</si>
  <si>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</si>
  <si>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</si>
  <si>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</si>
  <si>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</si>
  <si>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</si>
  <si>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</si>
  <si>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</si>
  <si>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</si>
  <si>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</si>
  <si>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</si>
  <si>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</si>
  <si>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</si>
  <si>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</si>
  <si>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</si>
  <si>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</si>
  <si>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</si>
  <si>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</si>
  <si>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</si>
  <si>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</si>
  <si>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</si>
  <si>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</si>
  <si>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</si>
  <si>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</si>
  <si>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</si>
  <si>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</si>
  <si>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</si>
  <si>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</si>
  <si>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</si>
  <si>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</si>
  <si>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</si>
  <si>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</si>
  <si>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</si>
  <si>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</si>
  <si>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</si>
  <si>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</si>
  <si>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</si>
  <si>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</si>
  <si>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</si>
  <si>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</si>
  <si>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</si>
  <si>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</si>
  <si>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</si>
  <si>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</si>
  <si>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</si>
  <si>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</si>
  <si>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</si>
  <si>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</si>
  <si>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</si>
  <si>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</si>
  <si>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</si>
  <si>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</si>
  <si>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</si>
  <si>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</si>
  <si>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</si>
  <si>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</si>
  <si>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</si>
  <si>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</si>
  <si>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</si>
  <si>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</si>
  <si>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</si>
  <si>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</si>
  <si>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</si>
  <si>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</si>
  <si>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</si>
  <si>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</si>
  <si>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</si>
  <si>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</si>
  <si>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</si>
  <si>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</si>
  <si>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</si>
  <si>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</si>
  <si>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</si>
  <si>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</si>
  <si>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</si>
  <si>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</si>
  <si>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</si>
  <si>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</si>
  <si>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</si>
  <si>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</si>
  <si>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</si>
  <si>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</si>
  <si>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</si>
  <si>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</si>
  <si>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</si>
  <si>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</si>
  <si>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</si>
  <si>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</si>
  <si>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</si>
  <si>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</si>
  <si>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</si>
  <si>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</si>
  <si>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</si>
  <si>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</si>
  <si>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</si>
  <si>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</si>
  <si>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</si>
  <si>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</si>
  <si>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</si>
  <si>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</si>
  <si>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</si>
  <si>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</si>
  <si>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</si>
  <si>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</si>
  <si>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</si>
  <si>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</si>
  <si>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</si>
  <si>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</si>
  <si>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</si>
  <si>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</si>
  <si>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</si>
  <si>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</si>
  <si>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</si>
  <si>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</si>
  <si>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</si>
  <si>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</si>
  <si>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</si>
  <si>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</si>
  <si>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</si>
  <si>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</si>
  <si>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</si>
  <si>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</si>
  <si>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</si>
  <si>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</si>
  <si>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</si>
  <si>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</si>
  <si>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</si>
  <si>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</si>
  <si>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</si>
  <si>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</si>
  <si>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</si>
  <si>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</si>
  <si>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</si>
  <si>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</si>
  <si>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</si>
  <si>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</si>
  <si>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</si>
  <si>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</si>
  <si>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</si>
  <si>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</si>
  <si>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</si>
  <si>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</si>
  <si>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</si>
  <si>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</si>
  <si>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</si>
  <si>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</si>
  <si>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</si>
  <si>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</si>
  <si>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</si>
  <si>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</si>
  <si>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</si>
  <si>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</si>
  <si>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</si>
  <si>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</si>
  <si>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</si>
  <si>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</si>
  <si>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</si>
  <si>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</si>
  <si>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</si>
  <si>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</si>
  <si>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</si>
  <si>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</si>
  <si>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</si>
  <si>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</si>
  <si>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</si>
  <si>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</si>
  <si>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</si>
  <si>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</si>
  <si>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</si>
  <si>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</si>
  <si>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</si>
  <si>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</si>
  <si>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</si>
  <si>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</si>
  <si>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</si>
  <si>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</si>
  <si>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</si>
  <si>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</si>
  <si>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</si>
  <si>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</si>
  <si>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</si>
  <si>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</si>
  <si>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</si>
  <si>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</si>
  <si>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</si>
  <si>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</si>
  <si>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</si>
  <si>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</si>
  <si>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</si>
  <si>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</si>
  <si>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</si>
  <si>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</si>
  <si>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</si>
  <si>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</si>
  <si>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</si>
  <si>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</si>
  <si>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</si>
  <si>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</si>
  <si>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</si>
  <si>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</si>
  <si>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</si>
  <si>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</si>
  <si>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</si>
  <si>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</si>
  <si>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</si>
  <si>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</si>
  <si>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</si>
  <si>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</si>
  <si>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</si>
  <si>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</si>
  <si>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</si>
  <si>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</si>
  <si>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</si>
  <si>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</si>
  <si>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</si>
  <si>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</si>
  <si>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</si>
  <si>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</si>
  <si>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</si>
  <si>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</si>
  <si>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</si>
  <si>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</si>
  <si>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</si>
  <si>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</si>
  <si>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</si>
  <si>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</si>
  <si>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</si>
  <si>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</si>
  <si>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</si>
  <si>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</si>
  <si>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</si>
  <si>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</si>
  <si>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</si>
  <si>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</si>
  <si>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</si>
  <si>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</si>
  <si>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</si>
  <si>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</si>
  <si>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</si>
  <si>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</si>
  <si>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</si>
  <si>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</si>
  <si>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</si>
  <si>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</si>
  <si>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</si>
  <si>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</si>
  <si>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</si>
  <si>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</si>
  <si>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</si>
  <si>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</si>
  <si>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</si>
  <si>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</si>
  <si>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</si>
  <si>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</si>
  <si>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</si>
  <si>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</si>
  <si>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</si>
  <si>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</si>
  <si>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</si>
  <si>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</si>
  <si>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</si>
  <si>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</si>
  <si>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</si>
  <si>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</si>
  <si>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</si>
  <si>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</si>
  <si>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</si>
  <si>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</si>
  <si>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</si>
  <si>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</si>
  <si>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</si>
  <si>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</si>
  <si>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</si>
  <si>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</si>
  <si>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</si>
  <si>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</si>
  <si>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</si>
  <si>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</si>
  <si>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</si>
  <si>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</si>
  <si>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</si>
  <si>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</si>
  <si>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</si>
  <si>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</si>
  <si>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</si>
  <si>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</si>
  <si>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</si>
  <si>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</si>
  <si>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</si>
  <si>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</si>
  <si>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</si>
  <si>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</si>
  <si>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</si>
  <si>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</si>
  <si>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</si>
  <si>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</si>
  <si>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</si>
  <si>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</si>
  <si>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</si>
  <si>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</si>
  <si>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</si>
  <si>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</si>
  <si>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</si>
  <si>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</si>
  <si>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</si>
  <si>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</si>
  <si>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</si>
  <si>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</si>
  <si>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</si>
  <si>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</si>
  <si>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</si>
  <si>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</si>
  <si>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</si>
  <si>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</si>
  <si>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</si>
  <si>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</si>
  <si>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</si>
  <si>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</si>
  <si>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</si>
  <si>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</si>
  <si>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</si>
  <si>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</si>
  <si>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</si>
  <si>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</si>
  <si>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</si>
  <si>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</si>
  <si>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</si>
  <si>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</si>
  <si>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</si>
  <si>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</si>
  <si>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</si>
  <si>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</si>
  <si>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</si>
  <si>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</si>
  <si>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</si>
  <si>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</si>
  <si>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</si>
  <si>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</si>
  <si>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</si>
  <si>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</si>
  <si>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</si>
  <si>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</si>
  <si>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</si>
  <si>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</si>
  <si>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</si>
  <si>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</si>
  <si>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</si>
  <si>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</si>
  <si>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</si>
  <si>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</si>
  <si>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</si>
  <si>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</si>
  <si>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</si>
  <si>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</si>
  <si>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</si>
  <si>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</si>
  <si>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</si>
  <si>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</si>
  <si>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</si>
  <si>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</si>
  <si>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</si>
  <si>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</si>
  <si>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</si>
  <si>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</si>
  <si>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</si>
  <si>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</si>
  <si>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</si>
  <si>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</si>
  <si>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</si>
  <si>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</si>
  <si>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</si>
  <si>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</si>
  <si>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</si>
  <si>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</si>
  <si>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</si>
  <si>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</si>
  <si>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</si>
  <si>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</si>
  <si>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</si>
  <si>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</si>
  <si>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</si>
  <si>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</si>
  <si>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</si>
  <si>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</si>
  <si>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</si>
  <si>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</si>
  <si>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</si>
  <si>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</si>
  <si>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</si>
  <si>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</si>
  <si>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</si>
  <si>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</si>
  <si>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</si>
  <si>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</si>
  <si>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</si>
  <si>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</si>
  <si>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</si>
  <si>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</si>
  <si>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</si>
  <si>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</si>
  <si>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</si>
  <si>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</si>
  <si>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</si>
  <si>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</si>
  <si>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</si>
  <si>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</si>
  <si>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</si>
  <si>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</si>
  <si>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</si>
  <si>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</si>
  <si>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</si>
  <si>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</si>
  <si>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</si>
  <si>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</si>
  <si>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</si>
  <si>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</si>
  <si>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</si>
  <si>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</si>
  <si>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</si>
  <si>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</si>
  <si>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</si>
  <si>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</si>
  <si>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</si>
  <si>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</si>
  <si>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</si>
  <si>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</si>
  <si>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</si>
  <si>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</si>
  <si>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</si>
  <si>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</si>
  <si>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</si>
  <si>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</si>
  <si>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</si>
  <si>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</si>
  <si>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</si>
  <si>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</si>
  <si>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</si>
  <si>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</si>
  <si>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</si>
  <si>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</si>
  <si>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</si>
  <si>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</si>
  <si>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</si>
  <si>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</si>
  <si>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</si>
  <si>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</si>
  <si>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</si>
  <si>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</si>
  <si>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</si>
  <si>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</si>
  <si>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</si>
  <si>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</si>
  <si>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</si>
  <si>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</si>
  <si>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</si>
  <si>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</si>
  <si>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</si>
  <si>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</si>
  <si>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</si>
  <si>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</si>
  <si>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</si>
  <si>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</si>
  <si>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</si>
  <si>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</si>
  <si>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</si>
  <si>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</si>
  <si>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</si>
  <si>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</si>
  <si>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</si>
  <si>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</si>
  <si>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</si>
  <si>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</si>
  <si>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</si>
  <si>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</si>
  <si>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</si>
  <si>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</si>
  <si>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</si>
  <si>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</si>
  <si>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</si>
  <si>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</si>
  <si>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</si>
  <si>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</si>
  <si>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</si>
  <si>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</si>
  <si>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</si>
  <si>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</si>
  <si>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</si>
  <si>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</si>
  <si>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</si>
  <si>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</si>
  <si>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</si>
  <si>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</si>
  <si>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</si>
  <si>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</si>
  <si>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</si>
  <si>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</si>
  <si>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</si>
  <si>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</si>
  <si>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</si>
  <si>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</si>
  <si>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</si>
  <si>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</si>
  <si>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</si>
  <si>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</si>
  <si>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</si>
  <si>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</si>
  <si>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</si>
  <si>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</si>
  <si>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</si>
  <si>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</si>
  <si>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</si>
  <si>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</si>
  <si>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</si>
  <si>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</si>
  <si>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</si>
  <si>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</si>
  <si>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</si>
  <si>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</si>
  <si>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</si>
  <si>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</si>
  <si>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</si>
  <si>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</si>
  <si>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</si>
  <si>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</si>
  <si>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</si>
  <si>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</si>
  <si>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</si>
  <si>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</si>
  <si>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</si>
  <si>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</si>
  <si>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</si>
  <si>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</si>
  <si>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</si>
  <si>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</si>
  <si>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</si>
  <si>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</si>
  <si>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</si>
  <si>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</si>
  <si>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</si>
  <si>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</si>
  <si>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</si>
  <si>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</si>
  <si>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</si>
  <si>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</si>
  <si>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</si>
  <si>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</si>
  <si>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</si>
  <si>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</si>
  <si>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</si>
  <si>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</si>
  <si>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</si>
  <si>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</si>
  <si>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</si>
  <si>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</si>
  <si>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</si>
  <si>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</si>
  <si>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</si>
  <si>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</si>
  <si>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</si>
  <si>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</si>
  <si>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</si>
  <si>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</si>
  <si>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</si>
  <si>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</si>
  <si>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</si>
  <si>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</si>
  <si>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</si>
  <si>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</si>
  <si>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</si>
  <si>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</si>
  <si>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</si>
  <si>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</si>
  <si>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</si>
  <si>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</si>
  <si>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</si>
  <si>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</si>
  <si>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</si>
  <si>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</si>
  <si>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</si>
  <si>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</si>
  <si>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</si>
  <si>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</si>
  <si>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</si>
  <si>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</si>
  <si>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</si>
  <si>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</si>
  <si>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</si>
  <si>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</si>
  <si>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</si>
  <si>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</si>
  <si>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</si>
  <si>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</si>
  <si>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</si>
  <si>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</si>
  <si>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</si>
  <si>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</si>
  <si>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</si>
  <si>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</si>
  <si>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</si>
  <si>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</si>
  <si>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</si>
  <si>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</si>
  <si>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</si>
  <si>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</si>
  <si>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</si>
  <si>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</si>
  <si>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</si>
  <si>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</si>
  <si>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</si>
  <si>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</si>
  <si>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</si>
  <si>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</si>
  <si>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</si>
  <si>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</si>
  <si>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</si>
  <si>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</si>
  <si>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</si>
  <si>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</si>
  <si>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</si>
  <si>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</si>
  <si>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</si>
  <si>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</si>
  <si>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</si>
  <si>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</si>
  <si>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</si>
  <si>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</si>
  <si>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</si>
  <si>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</si>
  <si>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</si>
  <si>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</si>
  <si>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</si>
  <si>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</si>
  <si>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</si>
  <si>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</si>
  <si>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</si>
  <si>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</si>
  <si>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</si>
  <si>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</si>
  <si>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</si>
  <si>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</si>
  <si>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</si>
  <si>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</si>
  <si>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</si>
  <si>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</si>
  <si>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</si>
  <si>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</si>
  <si>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</si>
  <si>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</si>
  <si>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</si>
  <si>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</si>
  <si>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</si>
  <si>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</si>
  <si>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</si>
  <si>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</si>
  <si>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</si>
  <si>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</si>
  <si>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</si>
  <si>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</si>
  <si>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</si>
  <si>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</si>
  <si>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</si>
  <si>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</si>
  <si>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</si>
  <si>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</si>
  <si>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</si>
  <si>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</si>
  <si>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</si>
  <si>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</si>
  <si>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</si>
  <si>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</si>
  <si>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</si>
  <si>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</si>
  <si>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</si>
  <si>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</si>
  <si>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</si>
  <si>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</si>
  <si>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</si>
  <si>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</si>
  <si>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</si>
  <si>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</si>
  <si>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</si>
  <si>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</si>
  <si>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</si>
  <si>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</si>
  <si>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</si>
  <si>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</si>
  <si>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</si>
  <si>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</si>
  <si>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</si>
  <si>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</si>
  <si>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</si>
  <si>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</si>
  <si>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</si>
  <si>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</si>
  <si>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</si>
  <si>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</si>
  <si>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</si>
  <si>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</si>
  <si>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</si>
  <si>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</si>
  <si>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</si>
  <si>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</si>
  <si>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</si>
  <si>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</si>
  <si>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</si>
  <si>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</si>
  <si>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</si>
  <si>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</si>
  <si>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</si>
  <si>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</si>
  <si>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</si>
  <si>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</si>
  <si>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</si>
  <si>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</si>
  <si>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</si>
  <si>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</si>
  <si>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</si>
  <si>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</si>
  <si>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</si>
  <si>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</si>
  <si>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</si>
  <si>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</si>
  <si>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</si>
  <si>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</si>
  <si>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</si>
  <si>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</si>
  <si>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</si>
  <si>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</si>
  <si>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</si>
  <si>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</si>
  <si>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</si>
  <si>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</si>
  <si>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</si>
  <si>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</si>
  <si>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</si>
  <si>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</si>
  <si>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</si>
  <si>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</si>
  <si>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</si>
  <si>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</si>
  <si>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</si>
  <si>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</si>
  <si>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</si>
  <si>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</si>
  <si>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</si>
  <si>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</si>
  <si>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</si>
  <si>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</si>
  <si>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</si>
  <si>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</si>
  <si>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t>可乐+阿萨姆</t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</si>
  <si>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</si>
  <si>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</si>
  <si>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</si>
  <si>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1" type="noConversion"/>
  </si>
  <si>
    <t>爱马仕大地小样+马登工装+人本+工装靴+运费险</t>
    <phoneticPr fontId="1" type="noConversion"/>
  </si>
  <si>
    <t>市民卡+网费</t>
    <phoneticPr fontId="1" type="noConversion"/>
  </si>
  <si>
    <t>星糖卡</t>
    <phoneticPr fontId="1" type="noConversion"/>
  </si>
  <si>
    <t>KFC</t>
    <phoneticPr fontId="1" type="noConversion"/>
  </si>
  <si>
    <t>椰子汁+阿萨姆</t>
    <phoneticPr fontId="1" type="noConversion"/>
  </si>
  <si>
    <t>秋裤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</si>
</sst>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  <font>
      <sz val="12"/>
      <color theme="1"/>
      <name val="宋体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9" borderId="0" xfId="0" applyFont="1" applyFill="1" applyAlignment="1">
      <alignment horizontal="center"/>
    </xf>
    <xf numFmtId="49" fontId="21" fillId="9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49" fontId="13" fillId="12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 shrinkToFit="1"/>
    </xf>
    <xf numFmtId="0" fontId="2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49" fontId="21" fillId="11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9" fontId="13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/>
    </xf>
    <xf numFmtId="49" fontId="31" fillId="0" borderId="0" xfId="0" applyNumberFormat="1" applyFont="1" applyAlignment="1">
      <alignment horizontal="center" vertical="center" shrinkToFit="1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4</xdr:col>
      <xdr:colOff>789215</xdr:colOff>
      <xdr:row>866</xdr:row>
      <xdr:rowOff>7290</xdr:rowOff>
    </xdr:from>
    <xdr:to>
      <xdr:col>25</xdr:col>
      <xdr:colOff>258783</xdr:colOff>
      <xdr:row>898</xdr:row>
      <xdr:rowOff>13611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67"/>
  <sheetViews>
    <sheetView tabSelected="1" topLeftCell="V1" zoomScale="70" zoomScaleNormal="70" workbookViewId="0">
      <pane ySplit="1" topLeftCell="A835" activePane="bottomLeft" state="frozen"/>
      <selection pane="bottomLeft" activeCell="AJ867" sqref="AJ867"/>
    </sheetView>
  </sheetViews>
  <sheetFormatPr defaultRowHeight="19.5" x14ac:dyDescent="0.4"/>
  <cols>
    <col min="1" max="1" width="13.625" style="103" bestFit="1" customWidth="1"/>
    <col min="2" max="2" width="9.87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20" bestFit="1" customWidth="1"/>
    <col min="11" max="11" width="6.25" style="111" bestFit="1" customWidth="1"/>
    <col min="12" max="12" width="22.5" style="120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20" bestFit="1" customWidth="1"/>
    <col min="18" max="18" width="7.25" style="103" bestFit="1" customWidth="1"/>
    <col min="19" max="19" width="28" style="120" bestFit="1" customWidth="1"/>
    <col min="20" max="20" width="7.25" style="111" bestFit="1" customWidth="1"/>
    <col min="21" max="21" width="17.625" style="120" bestFit="1" customWidth="1"/>
    <col min="22" max="22" width="6.25" style="103" bestFit="1" customWidth="1"/>
    <col min="23" max="23" width="10.25" style="120" bestFit="1" customWidth="1"/>
    <col min="24" max="24" width="6.25" style="108" bestFit="1" customWidth="1"/>
    <col min="25" max="25" width="7.25" style="103" bestFit="1" customWidth="1"/>
    <col min="26" max="26" width="56.75" style="120" bestFit="1" customWidth="1"/>
    <col min="27" max="27" width="7.25" style="111" bestFit="1" customWidth="1"/>
    <col min="28" max="28" width="6.25" style="103" bestFit="1" customWidth="1"/>
    <col min="29" max="29" width="10.25" style="120" bestFit="1" customWidth="1"/>
    <col min="30" max="30" width="7.125" style="111" bestFit="1" customWidth="1"/>
    <col min="31" max="31" width="45.375" style="120" bestFit="1" customWidth="1"/>
    <col min="32" max="32" width="8.75" style="111" bestFit="1" customWidth="1"/>
    <col min="33" max="33" width="46.625" style="130" bestFit="1" customWidth="1"/>
    <col min="34" max="34" width="15.375" style="111" bestFit="1" customWidth="1"/>
    <col min="35" max="35" width="9.375" style="112" bestFit="1" customWidth="1"/>
    <col min="36" max="36" width="10.75" style="112" bestFit="1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31" bestFit="1" customWidth="1"/>
    <col min="42" max="42" width="8.25" style="131" bestFit="1" customWidth="1"/>
    <col min="43" max="43" width="5.875" style="131" bestFit="1" customWidth="1"/>
    <col min="44" max="44" width="9.375" style="131" bestFit="1" customWidth="1"/>
    <col min="45" max="45" width="6.25" style="132" bestFit="1" customWidth="1"/>
    <col min="46" max="46" width="7.5" style="132" bestFit="1" customWidth="1"/>
    <col min="47" max="47" width="9" style="132"/>
    <col min="48" max="48" width="8.25" style="132" bestFit="1" customWidth="1"/>
    <col min="49" max="49" width="7.25" style="133" bestFit="1" customWidth="1"/>
    <col min="50" max="50" width="8.25" style="133" bestFit="1" customWidth="1"/>
    <col min="51" max="51" width="9" style="133"/>
    <col min="52" max="52" width="8.25" style="133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9" t="s">
        <v>833</v>
      </c>
      <c r="AP1" s="179"/>
      <c r="AQ1" s="179"/>
      <c r="AR1" s="115" t="s">
        <v>835</v>
      </c>
      <c r="AS1" s="180" t="s">
        <v>836</v>
      </c>
      <c r="AT1" s="180"/>
      <c r="AU1" s="180"/>
      <c r="AV1" s="116" t="s">
        <v>835</v>
      </c>
      <c r="AW1" s="181" t="s">
        <v>837</v>
      </c>
      <c r="AX1" s="181"/>
      <c r="AY1" s="181"/>
      <c r="AZ1" s="117" t="s">
        <v>835</v>
      </c>
      <c r="BB1" s="118" t="s">
        <v>838</v>
      </c>
    </row>
    <row r="2" spans="1:54" ht="25.5" x14ac:dyDescent="0.5">
      <c r="B2" s="119">
        <v>2016</v>
      </c>
      <c r="Q2" s="121"/>
      <c r="S2" s="121"/>
      <c r="U2" s="121"/>
      <c r="W2" s="121"/>
      <c r="AG2" s="122"/>
      <c r="AO2" s="123" t="s">
        <v>839</v>
      </c>
      <c r="AP2" s="123" t="s">
        <v>840</v>
      </c>
      <c r="AQ2" s="123" t="s">
        <v>841</v>
      </c>
      <c r="AR2" s="123"/>
      <c r="AS2" s="124" t="s">
        <v>839</v>
      </c>
      <c r="AT2" s="124" t="s">
        <v>840</v>
      </c>
      <c r="AU2" s="124"/>
      <c r="AV2" s="124" t="s">
        <v>841</v>
      </c>
      <c r="AW2" s="125" t="s">
        <v>839</v>
      </c>
      <c r="AX2" s="125" t="s">
        <v>840</v>
      </c>
      <c r="AY2" s="125"/>
      <c r="AZ2" s="125" t="s">
        <v>841</v>
      </c>
    </row>
    <row r="3" spans="1:54" s="126" customFormat="1" x14ac:dyDescent="0.4">
      <c r="A3" s="126" t="s">
        <v>842</v>
      </c>
      <c r="F3" s="127"/>
      <c r="H3" s="127"/>
      <c r="J3" s="127"/>
      <c r="L3" s="127"/>
      <c r="N3" s="128"/>
      <c r="O3" s="128"/>
      <c r="Q3" s="127"/>
      <c r="S3" s="127"/>
      <c r="U3" s="127"/>
      <c r="W3" s="127"/>
      <c r="X3" s="128"/>
      <c r="Z3" s="127"/>
      <c r="AC3" s="127"/>
      <c r="AE3" s="127"/>
      <c r="AG3" s="127"/>
      <c r="AH3" s="111"/>
    </row>
    <row r="4" spans="1:54" x14ac:dyDescent="0.4">
      <c r="B4" s="103" t="s">
        <v>843</v>
      </c>
      <c r="D4" s="129" t="s">
        <v>3</v>
      </c>
      <c r="E4" s="111">
        <v>5</v>
      </c>
      <c r="F4" s="129"/>
      <c r="G4" s="111">
        <v>8.5</v>
      </c>
      <c r="H4" s="129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9" t="s">
        <v>4</v>
      </c>
      <c r="E5" s="111">
        <v>5</v>
      </c>
      <c r="F5" s="129"/>
      <c r="G5" s="111">
        <v>8.5</v>
      </c>
      <c r="H5" s="129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9" t="s">
        <v>5</v>
      </c>
      <c r="E6" s="111">
        <v>0</v>
      </c>
      <c r="F6" s="129"/>
      <c r="G6" s="111">
        <v>8.5</v>
      </c>
      <c r="H6" s="129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9" t="s">
        <v>6</v>
      </c>
      <c r="E7" s="111">
        <v>5</v>
      </c>
      <c r="F7" s="129"/>
      <c r="G7" s="111">
        <v>6.5</v>
      </c>
      <c r="H7" s="129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9" t="s">
        <v>7</v>
      </c>
      <c r="E8" s="111">
        <v>5</v>
      </c>
      <c r="F8" s="129"/>
      <c r="G8" s="111">
        <v>8.5</v>
      </c>
      <c r="H8" s="129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9" t="s">
        <v>8</v>
      </c>
      <c r="F9" s="129"/>
      <c r="G9" s="111">
        <v>16</v>
      </c>
      <c r="H9" s="129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9" t="s">
        <v>9</v>
      </c>
      <c r="E10" s="111">
        <v>6.5</v>
      </c>
      <c r="F10" s="129"/>
      <c r="H10" s="129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9" t="s">
        <v>10</v>
      </c>
      <c r="E11" s="111">
        <v>9.5</v>
      </c>
      <c r="F11" s="129"/>
      <c r="G11" s="111">
        <v>8.5</v>
      </c>
      <c r="H11" s="129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9" t="s">
        <v>11</v>
      </c>
      <c r="E12" s="111">
        <v>9.5</v>
      </c>
      <c r="F12" s="129"/>
      <c r="G12" s="111">
        <v>9</v>
      </c>
      <c r="H12" s="129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9" t="s">
        <v>12</v>
      </c>
      <c r="E13" s="111">
        <v>6</v>
      </c>
      <c r="F13" s="129"/>
      <c r="G13" s="111">
        <v>5</v>
      </c>
      <c r="H13" s="129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9" t="s">
        <v>13</v>
      </c>
      <c r="E14" s="111">
        <v>6</v>
      </c>
      <c r="F14" s="129"/>
      <c r="H14" s="129"/>
      <c r="I14" s="111">
        <v>21</v>
      </c>
      <c r="AH14" s="111">
        <f t="shared" si="0"/>
        <v>27</v>
      </c>
    </row>
    <row r="15" spans="1:54" s="134" customFormat="1" x14ac:dyDescent="0.4">
      <c r="A15" s="134" t="s">
        <v>851</v>
      </c>
      <c r="F15" s="135"/>
      <c r="H15" s="135"/>
      <c r="J15" s="135"/>
      <c r="L15" s="135"/>
      <c r="N15" s="128"/>
      <c r="O15" s="128"/>
      <c r="Q15" s="135"/>
      <c r="S15" s="135"/>
      <c r="U15" s="135"/>
      <c r="W15" s="135"/>
      <c r="X15" s="128"/>
      <c r="Z15" s="135"/>
      <c r="AC15" s="135"/>
      <c r="AE15" s="135"/>
      <c r="AG15" s="135"/>
      <c r="AH15" s="136">
        <f>SUM(AH4:AH14)</f>
        <v>567.20000000000005</v>
      </c>
    </row>
    <row r="16" spans="1:54" x14ac:dyDescent="0.4">
      <c r="D16" s="129"/>
      <c r="F16" s="129"/>
      <c r="H16" s="129"/>
    </row>
    <row r="17" spans="1:37" s="126" customFormat="1" x14ac:dyDescent="0.4">
      <c r="A17" s="126" t="s">
        <v>852</v>
      </c>
      <c r="F17" s="127"/>
      <c r="H17" s="127"/>
      <c r="J17" s="127"/>
      <c r="L17" s="127"/>
      <c r="N17" s="128"/>
      <c r="O17" s="128"/>
      <c r="Q17" s="127"/>
      <c r="S17" s="127"/>
      <c r="U17" s="127"/>
      <c r="W17" s="127"/>
      <c r="X17" s="128"/>
      <c r="Z17" s="127"/>
      <c r="AC17" s="127"/>
      <c r="AE17" s="127"/>
      <c r="AG17" s="127"/>
      <c r="AH17" s="111"/>
    </row>
    <row r="18" spans="1:37" x14ac:dyDescent="0.4">
      <c r="B18" s="103" t="s">
        <v>847</v>
      </c>
      <c r="D18" s="129">
        <v>7.1</v>
      </c>
      <c r="F18" s="129"/>
      <c r="G18" s="111">
        <v>8</v>
      </c>
      <c r="H18" s="129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9">
        <v>7.2</v>
      </c>
      <c r="F19" s="129"/>
      <c r="G19" s="111">
        <v>17</v>
      </c>
      <c r="H19" s="129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9">
        <v>7.3</v>
      </c>
      <c r="F20" s="129"/>
      <c r="H20" s="129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9">
        <v>7.4</v>
      </c>
      <c r="F21" s="129"/>
      <c r="H21" s="129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9">
        <v>7.5</v>
      </c>
      <c r="F22" s="129"/>
      <c r="H22" s="129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9">
        <v>7.6</v>
      </c>
      <c r="F23" s="129"/>
      <c r="H23" s="129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9">
        <v>7.7</v>
      </c>
      <c r="F24" s="129"/>
      <c r="H24" s="129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9">
        <v>7.8</v>
      </c>
      <c r="F25" s="129"/>
      <c r="H25" s="129"/>
      <c r="AH25" s="111">
        <f t="shared" si="1"/>
        <v>0</v>
      </c>
    </row>
    <row r="26" spans="1:37" x14ac:dyDescent="0.4">
      <c r="B26" s="103" t="s">
        <v>853</v>
      </c>
      <c r="D26" s="129">
        <v>7.9</v>
      </c>
      <c r="F26" s="129"/>
      <c r="H26" s="129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9" t="s">
        <v>14</v>
      </c>
      <c r="F27" s="129"/>
      <c r="H27" s="129"/>
      <c r="AH27" s="111">
        <f t="shared" si="1"/>
        <v>0</v>
      </c>
    </row>
    <row r="28" spans="1:37" x14ac:dyDescent="0.4">
      <c r="B28" s="103" t="s">
        <v>850</v>
      </c>
      <c r="D28" s="129" t="s">
        <v>15</v>
      </c>
      <c r="F28" s="129"/>
      <c r="H28" s="129"/>
      <c r="AH28" s="111">
        <f t="shared" si="1"/>
        <v>0</v>
      </c>
    </row>
    <row r="29" spans="1:37" x14ac:dyDescent="0.4">
      <c r="B29" s="103" t="s">
        <v>844</v>
      </c>
      <c r="D29" s="129" t="s">
        <v>16</v>
      </c>
      <c r="F29" s="129"/>
      <c r="H29" s="129"/>
      <c r="AH29" s="111">
        <f t="shared" si="1"/>
        <v>0</v>
      </c>
    </row>
    <row r="30" spans="1:37" x14ac:dyDescent="0.4">
      <c r="B30" s="103" t="s">
        <v>845</v>
      </c>
      <c r="D30" s="129" t="s">
        <v>17</v>
      </c>
      <c r="F30" s="129"/>
      <c r="H30" s="129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9" t="s">
        <v>18</v>
      </c>
      <c r="F31" s="129"/>
      <c r="H31" s="129"/>
      <c r="AH31" s="111">
        <f t="shared" si="1"/>
        <v>0</v>
      </c>
    </row>
    <row r="32" spans="1:37" x14ac:dyDescent="0.4">
      <c r="B32" s="103" t="s">
        <v>847</v>
      </c>
      <c r="D32" s="129" t="s">
        <v>19</v>
      </c>
      <c r="F32" s="129"/>
      <c r="H32" s="129"/>
      <c r="AH32" s="111">
        <f t="shared" si="1"/>
        <v>0</v>
      </c>
    </row>
    <row r="33" spans="2:40" x14ac:dyDescent="0.4">
      <c r="B33" s="103" t="s">
        <v>848</v>
      </c>
      <c r="D33" s="129" t="s">
        <v>20</v>
      </c>
      <c r="F33" s="129"/>
      <c r="H33" s="129"/>
      <c r="AH33" s="111">
        <f t="shared" si="1"/>
        <v>0</v>
      </c>
    </row>
    <row r="34" spans="2:40" x14ac:dyDescent="0.4">
      <c r="B34" s="103" t="s">
        <v>849</v>
      </c>
      <c r="D34" s="129" t="s">
        <v>21</v>
      </c>
      <c r="F34" s="129"/>
      <c r="H34" s="129"/>
      <c r="AH34" s="111">
        <f t="shared" si="1"/>
        <v>0</v>
      </c>
    </row>
    <row r="35" spans="2:40" x14ac:dyDescent="0.4">
      <c r="B35" s="103" t="s">
        <v>850</v>
      </c>
      <c r="D35" s="129" t="s">
        <v>22</v>
      </c>
      <c r="F35" s="129"/>
      <c r="H35" s="129"/>
      <c r="AH35" s="111">
        <f t="shared" si="1"/>
        <v>0</v>
      </c>
    </row>
    <row r="36" spans="2:40" x14ac:dyDescent="0.4">
      <c r="B36" s="103" t="s">
        <v>844</v>
      </c>
      <c r="D36" s="129" t="s">
        <v>23</v>
      </c>
      <c r="F36" s="129"/>
      <c r="H36" s="129"/>
      <c r="AH36" s="111">
        <f t="shared" si="1"/>
        <v>0</v>
      </c>
    </row>
    <row r="37" spans="2:40" x14ac:dyDescent="0.4">
      <c r="B37" s="103" t="s">
        <v>845</v>
      </c>
      <c r="D37" s="129" t="s">
        <v>24</v>
      </c>
      <c r="F37" s="129"/>
      <c r="H37" s="129"/>
      <c r="AH37" s="111">
        <f t="shared" si="1"/>
        <v>0</v>
      </c>
    </row>
    <row r="38" spans="2:40" x14ac:dyDescent="0.4">
      <c r="B38" s="103" t="s">
        <v>846</v>
      </c>
      <c r="D38" s="129" t="s">
        <v>25</v>
      </c>
      <c r="F38" s="129"/>
      <c r="H38" s="129"/>
      <c r="AH38" s="111">
        <f t="shared" si="1"/>
        <v>0</v>
      </c>
    </row>
    <row r="39" spans="2:40" x14ac:dyDescent="0.4">
      <c r="B39" s="103" t="s">
        <v>847</v>
      </c>
      <c r="D39" s="129" t="s">
        <v>26</v>
      </c>
      <c r="F39" s="129"/>
      <c r="H39" s="129"/>
      <c r="AH39" s="111">
        <f t="shared" si="1"/>
        <v>0</v>
      </c>
    </row>
    <row r="40" spans="2:40" x14ac:dyDescent="0.4">
      <c r="B40" s="103" t="s">
        <v>848</v>
      </c>
      <c r="D40" s="129" t="s">
        <v>27</v>
      </c>
      <c r="F40" s="129"/>
      <c r="H40" s="129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9" t="s">
        <v>28</v>
      </c>
      <c r="F41" s="129"/>
      <c r="H41" s="129"/>
      <c r="AH41" s="111">
        <f t="shared" si="1"/>
        <v>0</v>
      </c>
    </row>
    <row r="42" spans="2:40" x14ac:dyDescent="0.4">
      <c r="B42" s="103" t="s">
        <v>850</v>
      </c>
      <c r="D42" s="129" t="s">
        <v>29</v>
      </c>
      <c r="F42" s="129"/>
      <c r="H42" s="129"/>
      <c r="AH42" s="111">
        <f t="shared" si="1"/>
        <v>0</v>
      </c>
    </row>
    <row r="43" spans="2:40" x14ac:dyDescent="0.4">
      <c r="B43" s="103" t="s">
        <v>844</v>
      </c>
      <c r="D43" s="129" t="s">
        <v>30</v>
      </c>
      <c r="F43" s="129"/>
      <c r="H43" s="129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9" t="s">
        <v>31</v>
      </c>
      <c r="F44" s="129"/>
      <c r="H44" s="129"/>
      <c r="AH44" s="111">
        <f t="shared" si="1"/>
        <v>0</v>
      </c>
    </row>
    <row r="45" spans="2:40" x14ac:dyDescent="0.4">
      <c r="B45" s="103" t="s">
        <v>846</v>
      </c>
      <c r="D45" s="129" t="s">
        <v>32</v>
      </c>
      <c r="F45" s="129"/>
      <c r="H45" s="129"/>
      <c r="AH45" s="111">
        <f t="shared" si="1"/>
        <v>0</v>
      </c>
    </row>
    <row r="46" spans="2:40" x14ac:dyDescent="0.4">
      <c r="B46" s="103" t="s">
        <v>847</v>
      </c>
      <c r="D46" s="129" t="s">
        <v>33</v>
      </c>
      <c r="F46" s="129"/>
      <c r="H46" s="129"/>
      <c r="AH46" s="111">
        <f t="shared" si="1"/>
        <v>0</v>
      </c>
    </row>
    <row r="47" spans="2:40" x14ac:dyDescent="0.4">
      <c r="B47" s="103" t="s">
        <v>848</v>
      </c>
      <c r="D47" s="129" t="s">
        <v>34</v>
      </c>
      <c r="F47" s="129"/>
      <c r="H47" s="129"/>
      <c r="AH47" s="111">
        <f t="shared" si="1"/>
        <v>0</v>
      </c>
    </row>
    <row r="48" spans="2:40" x14ac:dyDescent="0.4">
      <c r="B48" s="103" t="s">
        <v>849</v>
      </c>
      <c r="D48" s="129" t="s">
        <v>35</v>
      </c>
      <c r="F48" s="129"/>
      <c r="H48" s="129"/>
      <c r="AH48" s="111">
        <f t="shared" si="1"/>
        <v>0</v>
      </c>
      <c r="AL48" s="111">
        <v>347</v>
      </c>
      <c r="AN48" s="103" t="s">
        <v>859</v>
      </c>
    </row>
    <row r="49" spans="1:37" s="134" customFormat="1" x14ac:dyDescent="0.4">
      <c r="A49" s="134" t="s">
        <v>860</v>
      </c>
      <c r="F49" s="135"/>
      <c r="H49" s="135"/>
      <c r="J49" s="135"/>
      <c r="L49" s="135"/>
      <c r="N49" s="128"/>
      <c r="O49" s="128"/>
      <c r="Q49" s="135"/>
      <c r="S49" s="135"/>
      <c r="U49" s="135"/>
      <c r="W49" s="135"/>
      <c r="X49" s="128"/>
      <c r="Z49" s="135"/>
      <c r="AC49" s="135"/>
      <c r="AE49" s="135"/>
      <c r="AG49" s="135"/>
      <c r="AH49" s="136">
        <f>SUM(AH18:AH48)</f>
        <v>763.5</v>
      </c>
    </row>
    <row r="50" spans="1:37" x14ac:dyDescent="0.4">
      <c r="D50" s="129"/>
      <c r="F50" s="129"/>
      <c r="H50" s="129"/>
    </row>
    <row r="51" spans="1:37" s="126" customFormat="1" x14ac:dyDescent="0.4">
      <c r="A51" s="126" t="s">
        <v>861</v>
      </c>
      <c r="F51" s="127"/>
      <c r="H51" s="127"/>
      <c r="J51" s="127"/>
      <c r="L51" s="127"/>
      <c r="N51" s="128"/>
      <c r="O51" s="128"/>
      <c r="Q51" s="127"/>
      <c r="S51" s="127"/>
      <c r="U51" s="127"/>
      <c r="W51" s="127"/>
      <c r="X51" s="128"/>
      <c r="Z51" s="127"/>
      <c r="AC51" s="127"/>
      <c r="AE51" s="127"/>
      <c r="AG51" s="127"/>
      <c r="AH51" s="111"/>
    </row>
    <row r="52" spans="1:37" x14ac:dyDescent="0.4">
      <c r="B52" s="103" t="s">
        <v>850</v>
      </c>
      <c r="D52" s="129" t="s">
        <v>36</v>
      </c>
      <c r="F52" s="129"/>
      <c r="H52" s="129"/>
      <c r="AF52" s="111">
        <f>65+65+20+10</f>
        <v>160</v>
      </c>
      <c r="AG52" s="130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9" t="s">
        <v>37</v>
      </c>
      <c r="F53" s="129"/>
      <c r="G53" s="111">
        <v>18</v>
      </c>
      <c r="H53" s="129" t="s">
        <v>862</v>
      </c>
      <c r="I53" s="111">
        <v>30</v>
      </c>
      <c r="J53" s="120" t="s">
        <v>863</v>
      </c>
      <c r="AH53" s="111">
        <f t="shared" si="2"/>
        <v>48</v>
      </c>
    </row>
    <row r="54" spans="1:37" x14ac:dyDescent="0.4">
      <c r="B54" s="103" t="s">
        <v>856</v>
      </c>
      <c r="D54" s="129" t="s">
        <v>38</v>
      </c>
      <c r="F54" s="129"/>
      <c r="G54" s="111">
        <v>11</v>
      </c>
      <c r="H54" s="129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9" t="s">
        <v>39</v>
      </c>
      <c r="F55" s="129"/>
      <c r="H55" s="129"/>
      <c r="R55" s="103">
        <v>10</v>
      </c>
      <c r="Y55" s="103">
        <v>20</v>
      </c>
      <c r="AF55" s="111">
        <v>88</v>
      </c>
      <c r="AG55" s="130" t="s">
        <v>865</v>
      </c>
      <c r="AH55" s="111">
        <f t="shared" si="2"/>
        <v>118</v>
      </c>
    </row>
    <row r="56" spans="1:37" x14ac:dyDescent="0.4">
      <c r="B56" s="103" t="s">
        <v>847</v>
      </c>
      <c r="D56" s="129" t="s">
        <v>40</v>
      </c>
      <c r="F56" s="129"/>
      <c r="H56" s="129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9" t="s">
        <v>41</v>
      </c>
      <c r="F57" s="129"/>
      <c r="H57" s="129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9" t="s">
        <v>42</v>
      </c>
      <c r="F58" s="129"/>
      <c r="H58" s="129"/>
      <c r="AH58" s="111">
        <f t="shared" si="2"/>
        <v>0</v>
      </c>
    </row>
    <row r="59" spans="1:37" x14ac:dyDescent="0.4">
      <c r="B59" s="103" t="s">
        <v>850</v>
      </c>
      <c r="D59" s="129" t="s">
        <v>43</v>
      </c>
      <c r="F59" s="129"/>
      <c r="H59" s="129"/>
      <c r="AH59" s="111">
        <f t="shared" si="2"/>
        <v>0</v>
      </c>
    </row>
    <row r="60" spans="1:37" x14ac:dyDescent="0.4">
      <c r="B60" s="103" t="s">
        <v>844</v>
      </c>
      <c r="D60" s="129" t="s">
        <v>44</v>
      </c>
      <c r="F60" s="129"/>
      <c r="H60" s="129"/>
      <c r="AH60" s="111">
        <f t="shared" si="2"/>
        <v>0</v>
      </c>
    </row>
    <row r="61" spans="1:37" x14ac:dyDescent="0.4">
      <c r="B61" s="103" t="s">
        <v>845</v>
      </c>
      <c r="D61" s="129" t="s">
        <v>45</v>
      </c>
      <c r="F61" s="129"/>
      <c r="H61" s="129"/>
      <c r="AH61" s="111">
        <f t="shared" si="2"/>
        <v>0</v>
      </c>
    </row>
    <row r="62" spans="1:37" x14ac:dyDescent="0.4">
      <c r="B62" s="103" t="s">
        <v>846</v>
      </c>
      <c r="D62" s="129" t="s">
        <v>46</v>
      </c>
      <c r="F62" s="129"/>
      <c r="H62" s="129"/>
      <c r="AH62" s="111">
        <f t="shared" si="2"/>
        <v>0</v>
      </c>
    </row>
    <row r="63" spans="1:37" x14ac:dyDescent="0.4">
      <c r="B63" s="103" t="s">
        <v>847</v>
      </c>
      <c r="D63" s="129" t="s">
        <v>47</v>
      </c>
      <c r="F63" s="129"/>
      <c r="H63" s="129"/>
      <c r="AH63" s="111">
        <f t="shared" si="2"/>
        <v>0</v>
      </c>
    </row>
    <row r="64" spans="1:37" x14ac:dyDescent="0.4">
      <c r="B64" s="103" t="s">
        <v>848</v>
      </c>
      <c r="D64" s="129" t="s">
        <v>48</v>
      </c>
      <c r="F64" s="129"/>
      <c r="H64" s="129"/>
      <c r="AH64" s="111">
        <f t="shared" si="2"/>
        <v>0</v>
      </c>
    </row>
    <row r="65" spans="2:34" x14ac:dyDescent="0.4">
      <c r="B65" s="103" t="s">
        <v>849</v>
      </c>
      <c r="D65" s="129" t="s">
        <v>49</v>
      </c>
      <c r="F65" s="129"/>
      <c r="H65" s="129"/>
      <c r="AH65" s="111">
        <f t="shared" si="2"/>
        <v>0</v>
      </c>
    </row>
    <row r="66" spans="2:34" x14ac:dyDescent="0.4">
      <c r="B66" s="103" t="s">
        <v>850</v>
      </c>
      <c r="D66" s="129" t="s">
        <v>50</v>
      </c>
      <c r="F66" s="129"/>
      <c r="H66" s="129"/>
      <c r="AH66" s="111">
        <f t="shared" si="2"/>
        <v>0</v>
      </c>
    </row>
    <row r="67" spans="2:34" x14ac:dyDescent="0.4">
      <c r="B67" s="103" t="s">
        <v>844</v>
      </c>
      <c r="D67" s="129" t="s">
        <v>51</v>
      </c>
      <c r="F67" s="129"/>
      <c r="H67" s="129"/>
      <c r="AH67" s="111">
        <f t="shared" si="2"/>
        <v>0</v>
      </c>
    </row>
    <row r="68" spans="2:34" x14ac:dyDescent="0.4">
      <c r="B68" s="103" t="s">
        <v>845</v>
      </c>
      <c r="D68" s="129" t="s">
        <v>52</v>
      </c>
      <c r="F68" s="129"/>
      <c r="H68" s="129"/>
      <c r="AH68" s="111">
        <f t="shared" si="2"/>
        <v>0</v>
      </c>
    </row>
    <row r="69" spans="2:34" x14ac:dyDescent="0.4">
      <c r="B69" s="103" t="s">
        <v>846</v>
      </c>
      <c r="D69" s="129" t="s">
        <v>53</v>
      </c>
      <c r="F69" s="129"/>
      <c r="H69" s="129"/>
      <c r="AH69" s="111">
        <f t="shared" si="2"/>
        <v>0</v>
      </c>
    </row>
    <row r="70" spans="2:34" x14ac:dyDescent="0.4">
      <c r="B70" s="103" t="s">
        <v>847</v>
      </c>
      <c r="D70" s="129" t="s">
        <v>54</v>
      </c>
      <c r="F70" s="129"/>
      <c r="H70" s="129"/>
      <c r="AH70" s="111">
        <f t="shared" si="2"/>
        <v>0</v>
      </c>
    </row>
    <row r="71" spans="2:34" x14ac:dyDescent="0.4">
      <c r="B71" s="103" t="s">
        <v>848</v>
      </c>
      <c r="D71" s="129" t="s">
        <v>55</v>
      </c>
      <c r="F71" s="129"/>
      <c r="H71" s="129"/>
      <c r="AH71" s="111">
        <f t="shared" si="2"/>
        <v>0</v>
      </c>
    </row>
    <row r="72" spans="2:34" x14ac:dyDescent="0.4">
      <c r="B72" s="103" t="s">
        <v>849</v>
      </c>
      <c r="D72" s="129" t="s">
        <v>56</v>
      </c>
      <c r="F72" s="129"/>
      <c r="H72" s="129"/>
      <c r="AH72" s="111">
        <f t="shared" si="2"/>
        <v>0</v>
      </c>
    </row>
    <row r="73" spans="2:34" x14ac:dyDescent="0.4">
      <c r="B73" s="103" t="s">
        <v>850</v>
      </c>
      <c r="D73" s="129" t="s">
        <v>57</v>
      </c>
      <c r="F73" s="129"/>
      <c r="H73" s="129"/>
      <c r="AH73" s="111">
        <f t="shared" si="2"/>
        <v>0</v>
      </c>
    </row>
    <row r="74" spans="2:34" x14ac:dyDescent="0.4">
      <c r="B74" s="103" t="s">
        <v>844</v>
      </c>
      <c r="D74" s="129" t="s">
        <v>58</v>
      </c>
      <c r="F74" s="129"/>
      <c r="H74" s="129"/>
      <c r="AH74" s="111">
        <f t="shared" si="2"/>
        <v>0</v>
      </c>
    </row>
    <row r="75" spans="2:34" x14ac:dyDescent="0.4">
      <c r="B75" s="103" t="s">
        <v>845</v>
      </c>
      <c r="D75" s="129" t="s">
        <v>59</v>
      </c>
      <c r="F75" s="129"/>
      <c r="H75" s="129"/>
      <c r="AH75" s="111">
        <f t="shared" si="2"/>
        <v>0</v>
      </c>
    </row>
    <row r="76" spans="2:34" x14ac:dyDescent="0.4">
      <c r="B76" s="103" t="s">
        <v>846</v>
      </c>
      <c r="D76" s="129" t="s">
        <v>60</v>
      </c>
      <c r="F76" s="129"/>
      <c r="H76" s="129"/>
      <c r="AH76" s="111">
        <f t="shared" si="2"/>
        <v>0</v>
      </c>
    </row>
    <row r="77" spans="2:34" x14ac:dyDescent="0.4">
      <c r="B77" s="103" t="s">
        <v>847</v>
      </c>
      <c r="D77" s="129" t="s">
        <v>61</v>
      </c>
      <c r="F77" s="129"/>
      <c r="H77" s="129"/>
      <c r="AH77" s="111">
        <f t="shared" si="2"/>
        <v>0</v>
      </c>
    </row>
    <row r="78" spans="2:34" x14ac:dyDescent="0.4">
      <c r="B78" s="103" t="s">
        <v>848</v>
      </c>
      <c r="D78" s="129" t="s">
        <v>62</v>
      </c>
      <c r="F78" s="129"/>
      <c r="H78" s="129"/>
      <c r="AH78" s="111">
        <f t="shared" si="2"/>
        <v>0</v>
      </c>
    </row>
    <row r="79" spans="2:34" x14ac:dyDescent="0.4">
      <c r="B79" s="103" t="s">
        <v>849</v>
      </c>
      <c r="D79" s="129" t="s">
        <v>63</v>
      </c>
      <c r="F79" s="129"/>
      <c r="H79" s="129"/>
      <c r="AH79" s="111">
        <f t="shared" si="2"/>
        <v>0</v>
      </c>
    </row>
    <row r="80" spans="2:34" x14ac:dyDescent="0.4">
      <c r="B80" s="103" t="s">
        <v>850</v>
      </c>
      <c r="D80" s="129" t="s">
        <v>64</v>
      </c>
      <c r="F80" s="129"/>
      <c r="H80" s="129"/>
      <c r="AH80" s="111">
        <f t="shared" si="2"/>
        <v>0</v>
      </c>
    </row>
    <row r="81" spans="1:34" x14ac:dyDescent="0.4">
      <c r="B81" s="103" t="s">
        <v>844</v>
      </c>
      <c r="D81" s="129" t="s">
        <v>65</v>
      </c>
      <c r="F81" s="129"/>
      <c r="H81" s="129"/>
      <c r="AH81" s="111">
        <f t="shared" si="2"/>
        <v>0</v>
      </c>
    </row>
    <row r="82" spans="1:34" x14ac:dyDescent="0.4">
      <c r="B82" s="103" t="s">
        <v>845</v>
      </c>
      <c r="D82" s="129" t="s">
        <v>66</v>
      </c>
      <c r="F82" s="129"/>
      <c r="H82" s="129"/>
      <c r="AH82" s="111">
        <f t="shared" si="2"/>
        <v>0</v>
      </c>
    </row>
    <row r="83" spans="1:34" s="134" customFormat="1" x14ac:dyDescent="0.4">
      <c r="A83" s="134" t="s">
        <v>868</v>
      </c>
      <c r="F83" s="135"/>
      <c r="H83" s="135"/>
      <c r="J83" s="135"/>
      <c r="L83" s="135"/>
      <c r="N83" s="128"/>
      <c r="O83" s="128"/>
      <c r="Q83" s="135"/>
      <c r="S83" s="135"/>
      <c r="U83" s="135"/>
      <c r="W83" s="135"/>
      <c r="X83" s="128"/>
      <c r="Z83" s="135"/>
      <c r="AC83" s="135"/>
      <c r="AE83" s="135"/>
      <c r="AG83" s="135"/>
      <c r="AH83" s="136">
        <f>SUM(AH52:AH82)</f>
        <v>406</v>
      </c>
    </row>
    <row r="84" spans="1:34" x14ac:dyDescent="0.4">
      <c r="D84" s="129"/>
      <c r="F84" s="129"/>
      <c r="H84" s="129"/>
    </row>
    <row r="85" spans="1:34" s="126" customFormat="1" x14ac:dyDescent="0.4">
      <c r="A85" s="126" t="s">
        <v>869</v>
      </c>
      <c r="F85" s="127"/>
      <c r="H85" s="127"/>
      <c r="J85" s="127"/>
      <c r="L85" s="127"/>
      <c r="N85" s="128"/>
      <c r="O85" s="128"/>
      <c r="Q85" s="127"/>
      <c r="S85" s="127"/>
      <c r="U85" s="127"/>
      <c r="W85" s="127"/>
      <c r="X85" s="128"/>
      <c r="Z85" s="127"/>
      <c r="AC85" s="127"/>
      <c r="AE85" s="127"/>
      <c r="AG85" s="127"/>
      <c r="AH85" s="111"/>
    </row>
    <row r="86" spans="1:34" x14ac:dyDescent="0.4">
      <c r="B86" s="103" t="s">
        <v>846</v>
      </c>
      <c r="D86" s="137" t="s">
        <v>68</v>
      </c>
      <c r="F86" s="137"/>
      <c r="H86" s="137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7" t="s">
        <v>69</v>
      </c>
      <c r="F87" s="137"/>
      <c r="H87" s="137"/>
      <c r="AH87" s="111">
        <f t="shared" si="3"/>
        <v>0</v>
      </c>
    </row>
    <row r="88" spans="1:34" x14ac:dyDescent="0.4">
      <c r="B88" s="103" t="s">
        <v>848</v>
      </c>
      <c r="D88" s="137" t="s">
        <v>70</v>
      </c>
      <c r="F88" s="137"/>
      <c r="H88" s="137"/>
      <c r="AH88" s="111">
        <f t="shared" si="3"/>
        <v>0</v>
      </c>
    </row>
    <row r="89" spans="1:34" x14ac:dyDescent="0.4">
      <c r="B89" s="103" t="s">
        <v>849</v>
      </c>
      <c r="D89" s="137" t="s">
        <v>71</v>
      </c>
      <c r="F89" s="137"/>
      <c r="H89" s="137"/>
      <c r="AH89" s="111">
        <f t="shared" si="3"/>
        <v>0</v>
      </c>
    </row>
    <row r="90" spans="1:34" x14ac:dyDescent="0.4">
      <c r="B90" s="103" t="s">
        <v>850</v>
      </c>
      <c r="D90" s="137" t="s">
        <v>72</v>
      </c>
      <c r="F90" s="137"/>
      <c r="H90" s="137"/>
      <c r="AH90" s="111">
        <f t="shared" si="3"/>
        <v>0</v>
      </c>
    </row>
    <row r="91" spans="1:34" x14ac:dyDescent="0.4">
      <c r="B91" s="103" t="s">
        <v>844</v>
      </c>
      <c r="D91" s="137" t="s">
        <v>73</v>
      </c>
      <c r="F91" s="137"/>
      <c r="H91" s="137"/>
      <c r="AH91" s="111">
        <f t="shared" si="3"/>
        <v>0</v>
      </c>
    </row>
    <row r="92" spans="1:34" x14ac:dyDescent="0.4">
      <c r="B92" s="103" t="s">
        <v>845</v>
      </c>
      <c r="D92" s="137" t="s">
        <v>74</v>
      </c>
      <c r="F92" s="137"/>
      <c r="H92" s="137"/>
      <c r="AH92" s="111">
        <f t="shared" si="3"/>
        <v>0</v>
      </c>
    </row>
    <row r="93" spans="1:34" x14ac:dyDescent="0.4">
      <c r="B93" s="103" t="s">
        <v>846</v>
      </c>
      <c r="D93" s="137" t="s">
        <v>75</v>
      </c>
      <c r="F93" s="137"/>
      <c r="H93" s="137"/>
      <c r="AH93" s="111">
        <f t="shared" si="3"/>
        <v>0</v>
      </c>
    </row>
    <row r="94" spans="1:34" x14ac:dyDescent="0.4">
      <c r="B94" s="103" t="s">
        <v>847</v>
      </c>
      <c r="D94" s="137" t="s">
        <v>76</v>
      </c>
      <c r="F94" s="137"/>
      <c r="H94" s="137"/>
      <c r="AH94" s="111">
        <f t="shared" si="3"/>
        <v>0</v>
      </c>
    </row>
    <row r="95" spans="1:34" x14ac:dyDescent="0.4">
      <c r="B95" s="103" t="s">
        <v>848</v>
      </c>
      <c r="D95" s="137" t="s">
        <v>77</v>
      </c>
      <c r="F95" s="137"/>
      <c r="H95" s="137"/>
      <c r="AH95" s="111">
        <f t="shared" si="3"/>
        <v>0</v>
      </c>
    </row>
    <row r="96" spans="1:34" x14ac:dyDescent="0.4">
      <c r="B96" s="103" t="s">
        <v>849</v>
      </c>
      <c r="D96" s="137" t="s">
        <v>78</v>
      </c>
      <c r="F96" s="137"/>
      <c r="H96" s="137"/>
      <c r="AH96" s="111">
        <f t="shared" si="3"/>
        <v>0</v>
      </c>
    </row>
    <row r="97" spans="2:37" x14ac:dyDescent="0.4">
      <c r="B97" s="103" t="s">
        <v>850</v>
      </c>
      <c r="D97" s="137" t="s">
        <v>79</v>
      </c>
      <c r="F97" s="137"/>
      <c r="H97" s="137"/>
      <c r="AH97" s="111">
        <f t="shared" si="3"/>
        <v>0</v>
      </c>
    </row>
    <row r="98" spans="2:37" x14ac:dyDescent="0.4">
      <c r="B98" s="103" t="s">
        <v>844</v>
      </c>
      <c r="D98" s="137" t="s">
        <v>80</v>
      </c>
      <c r="F98" s="137"/>
      <c r="H98" s="137"/>
      <c r="AH98" s="111">
        <f t="shared" si="3"/>
        <v>0</v>
      </c>
    </row>
    <row r="99" spans="2:37" x14ac:dyDescent="0.4">
      <c r="B99" s="103" t="s">
        <v>845</v>
      </c>
      <c r="D99" s="137" t="s">
        <v>81</v>
      </c>
      <c r="F99" s="137"/>
      <c r="H99" s="137"/>
      <c r="AH99" s="111">
        <f t="shared" si="3"/>
        <v>0</v>
      </c>
    </row>
    <row r="100" spans="2:37" x14ac:dyDescent="0.4">
      <c r="B100" s="103" t="s">
        <v>846</v>
      </c>
      <c r="D100" s="137" t="s">
        <v>82</v>
      </c>
      <c r="F100" s="137"/>
      <c r="H100" s="137"/>
      <c r="AH100" s="111">
        <f t="shared" si="3"/>
        <v>0</v>
      </c>
    </row>
    <row r="101" spans="2:37" x14ac:dyDescent="0.4">
      <c r="B101" s="103" t="s">
        <v>847</v>
      </c>
      <c r="D101" s="137" t="s">
        <v>83</v>
      </c>
      <c r="F101" s="137"/>
      <c r="H101" s="137"/>
      <c r="AH101" s="111">
        <f t="shared" si="3"/>
        <v>0</v>
      </c>
    </row>
    <row r="102" spans="2:37" x14ac:dyDescent="0.4">
      <c r="B102" s="103" t="s">
        <v>848</v>
      </c>
      <c r="D102" s="137" t="s">
        <v>84</v>
      </c>
      <c r="F102" s="137"/>
      <c r="G102" s="111">
        <v>12</v>
      </c>
      <c r="H102" s="137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7" t="s">
        <v>85</v>
      </c>
      <c r="F103" s="137"/>
      <c r="H103" s="137"/>
      <c r="AH103" s="111">
        <f t="shared" si="3"/>
        <v>0</v>
      </c>
    </row>
    <row r="104" spans="2:37" x14ac:dyDescent="0.4">
      <c r="B104" s="103" t="s">
        <v>850</v>
      </c>
      <c r="D104" s="137" t="s">
        <v>86</v>
      </c>
      <c r="E104" s="111">
        <v>5</v>
      </c>
      <c r="F104" s="137"/>
      <c r="G104" s="111">
        <v>7</v>
      </c>
      <c r="H104" s="137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7" t="s">
        <v>87</v>
      </c>
      <c r="E105" s="111">
        <v>4</v>
      </c>
      <c r="F105" s="137"/>
      <c r="G105" s="111">
        <v>7</v>
      </c>
      <c r="H105" s="137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7" t="s">
        <v>88</v>
      </c>
      <c r="E106" s="111">
        <v>4</v>
      </c>
      <c r="F106" s="137"/>
      <c r="G106" s="111">
        <v>7</v>
      </c>
      <c r="H106" s="137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7" t="s">
        <v>89</v>
      </c>
      <c r="E107" s="111">
        <v>4</v>
      </c>
      <c r="F107" s="137"/>
      <c r="G107" s="111">
        <v>9</v>
      </c>
      <c r="H107" s="137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7" t="s">
        <v>90</v>
      </c>
      <c r="E108" s="111">
        <v>4</v>
      </c>
      <c r="F108" s="137"/>
      <c r="G108" s="111">
        <v>9</v>
      </c>
      <c r="H108" s="137"/>
      <c r="I108" s="111">
        <v>6</v>
      </c>
      <c r="R108" s="103">
        <v>3</v>
      </c>
      <c r="AH108" s="111">
        <f t="shared" si="3"/>
        <v>22</v>
      </c>
      <c r="AK108" s="129" t="s">
        <v>96</v>
      </c>
    </row>
    <row r="109" spans="2:37" x14ac:dyDescent="0.4">
      <c r="B109" s="103" t="s">
        <v>848</v>
      </c>
      <c r="D109" s="137" t="s">
        <v>91</v>
      </c>
      <c r="F109" s="137"/>
      <c r="G109" s="111">
        <v>40</v>
      </c>
      <c r="H109" s="137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7" t="s">
        <v>92</v>
      </c>
      <c r="F110" s="137"/>
      <c r="H110" s="137"/>
      <c r="AH110" s="111">
        <f t="shared" si="3"/>
        <v>0</v>
      </c>
    </row>
    <row r="111" spans="2:37" x14ac:dyDescent="0.4">
      <c r="B111" s="103" t="s">
        <v>850</v>
      </c>
      <c r="D111" s="137" t="s">
        <v>93</v>
      </c>
      <c r="F111" s="137"/>
      <c r="H111" s="137"/>
      <c r="AH111" s="111">
        <f t="shared" si="3"/>
        <v>0</v>
      </c>
    </row>
    <row r="112" spans="2:37" x14ac:dyDescent="0.4">
      <c r="B112" s="103" t="s">
        <v>844</v>
      </c>
      <c r="D112" s="137" t="s">
        <v>94</v>
      </c>
      <c r="F112" s="137"/>
      <c r="H112" s="137"/>
      <c r="AH112" s="111">
        <f t="shared" si="3"/>
        <v>0</v>
      </c>
    </row>
    <row r="113" spans="1:34" x14ac:dyDescent="0.4">
      <c r="B113" s="103" t="s">
        <v>845</v>
      </c>
      <c r="D113" s="137" t="s">
        <v>95</v>
      </c>
      <c r="F113" s="137"/>
      <c r="H113" s="137"/>
      <c r="AH113" s="111">
        <f t="shared" si="3"/>
        <v>0</v>
      </c>
    </row>
    <row r="114" spans="1:34" x14ac:dyDescent="0.4">
      <c r="B114" s="103" t="s">
        <v>846</v>
      </c>
      <c r="D114" s="137" t="s">
        <v>97</v>
      </c>
      <c r="F114" s="137"/>
      <c r="H114" s="137"/>
      <c r="AH114" s="111">
        <f t="shared" si="3"/>
        <v>0</v>
      </c>
    </row>
    <row r="115" spans="1:34" x14ac:dyDescent="0.4">
      <c r="B115" s="103" t="s">
        <v>847</v>
      </c>
      <c r="D115" s="137" t="s">
        <v>98</v>
      </c>
      <c r="F115" s="137"/>
      <c r="H115" s="137"/>
      <c r="AH115" s="111">
        <f t="shared" si="3"/>
        <v>0</v>
      </c>
    </row>
    <row r="116" spans="1:34" s="134" customFormat="1" x14ac:dyDescent="0.4">
      <c r="A116" s="134" t="s">
        <v>870</v>
      </c>
      <c r="F116" s="135"/>
      <c r="H116" s="135"/>
      <c r="J116" s="135"/>
      <c r="L116" s="135"/>
      <c r="N116" s="128"/>
      <c r="O116" s="128"/>
      <c r="Q116" s="135"/>
      <c r="S116" s="135"/>
      <c r="U116" s="135"/>
      <c r="W116" s="135"/>
      <c r="X116" s="128"/>
      <c r="Z116" s="135"/>
      <c r="AC116" s="135"/>
      <c r="AE116" s="135"/>
      <c r="AG116" s="135"/>
      <c r="AH116" s="136">
        <f>SUM(AH86:AH115)</f>
        <v>204</v>
      </c>
    </row>
    <row r="117" spans="1:34" x14ac:dyDescent="0.4">
      <c r="D117" s="137"/>
      <c r="F117" s="137"/>
      <c r="H117" s="137"/>
    </row>
    <row r="118" spans="1:34" s="126" customFormat="1" x14ac:dyDescent="0.4">
      <c r="A118" s="126" t="s">
        <v>871</v>
      </c>
      <c r="F118" s="127"/>
      <c r="H118" s="127"/>
      <c r="J118" s="127"/>
      <c r="L118" s="127"/>
      <c r="N118" s="128"/>
      <c r="O118" s="128"/>
      <c r="Q118" s="127"/>
      <c r="S118" s="127"/>
      <c r="U118" s="127"/>
      <c r="W118" s="127"/>
      <c r="X118" s="128"/>
      <c r="Z118" s="127"/>
      <c r="AC118" s="127"/>
      <c r="AE118" s="127"/>
      <c r="AG118" s="127"/>
      <c r="AH118" s="111"/>
    </row>
    <row r="119" spans="1:34" x14ac:dyDescent="0.4">
      <c r="B119" s="103" t="s">
        <v>848</v>
      </c>
      <c r="D119" s="137" t="s">
        <v>99</v>
      </c>
      <c r="F119" s="137"/>
      <c r="H119" s="137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7" t="s">
        <v>100</v>
      </c>
      <c r="F120" s="137"/>
      <c r="H120" s="137"/>
      <c r="AH120" s="111">
        <f t="shared" si="4"/>
        <v>0</v>
      </c>
    </row>
    <row r="121" spans="1:34" x14ac:dyDescent="0.4">
      <c r="B121" s="103" t="s">
        <v>850</v>
      </c>
      <c r="D121" s="137" t="s">
        <v>101</v>
      </c>
      <c r="F121" s="137"/>
      <c r="H121" s="137"/>
      <c r="AH121" s="111">
        <f t="shared" si="4"/>
        <v>0</v>
      </c>
    </row>
    <row r="122" spans="1:34" x14ac:dyDescent="0.4">
      <c r="B122" s="103" t="s">
        <v>844</v>
      </c>
      <c r="D122" s="137" t="s">
        <v>102</v>
      </c>
      <c r="F122" s="137"/>
      <c r="H122" s="137"/>
      <c r="AH122" s="111">
        <f t="shared" si="4"/>
        <v>0</v>
      </c>
    </row>
    <row r="123" spans="1:34" x14ac:dyDescent="0.4">
      <c r="B123" s="103" t="s">
        <v>845</v>
      </c>
      <c r="D123" s="137" t="s">
        <v>103</v>
      </c>
      <c r="F123" s="137"/>
      <c r="H123" s="137"/>
      <c r="AH123" s="111">
        <f t="shared" si="4"/>
        <v>0</v>
      </c>
    </row>
    <row r="124" spans="1:34" x14ac:dyDescent="0.4">
      <c r="B124" s="103" t="s">
        <v>846</v>
      </c>
      <c r="D124" s="137" t="s">
        <v>104</v>
      </c>
      <c r="F124" s="137"/>
      <c r="H124" s="137"/>
      <c r="AH124" s="111">
        <f t="shared" si="4"/>
        <v>0</v>
      </c>
    </row>
    <row r="125" spans="1:34" x14ac:dyDescent="0.4">
      <c r="B125" s="103" t="s">
        <v>847</v>
      </c>
      <c r="D125" s="137" t="s">
        <v>105</v>
      </c>
      <c r="F125" s="137"/>
      <c r="H125" s="137"/>
      <c r="AH125" s="111">
        <f t="shared" si="4"/>
        <v>0</v>
      </c>
    </row>
    <row r="126" spans="1:34" x14ac:dyDescent="0.4">
      <c r="B126" s="103" t="s">
        <v>848</v>
      </c>
      <c r="D126" s="137" t="s">
        <v>106</v>
      </c>
      <c r="F126" s="137"/>
      <c r="H126" s="137"/>
      <c r="AH126" s="111">
        <f t="shared" si="4"/>
        <v>0</v>
      </c>
    </row>
    <row r="127" spans="1:34" x14ac:dyDescent="0.4">
      <c r="B127" s="103" t="s">
        <v>849</v>
      </c>
      <c r="D127" s="137" t="s">
        <v>107</v>
      </c>
      <c r="F127" s="137"/>
      <c r="H127" s="137"/>
      <c r="AH127" s="111">
        <f t="shared" si="4"/>
        <v>0</v>
      </c>
    </row>
    <row r="128" spans="1:34" x14ac:dyDescent="0.4">
      <c r="B128" s="103" t="s">
        <v>850</v>
      </c>
      <c r="D128" s="137" t="s">
        <v>108</v>
      </c>
      <c r="F128" s="137"/>
      <c r="H128" s="137"/>
      <c r="AH128" s="111">
        <f t="shared" si="4"/>
        <v>0</v>
      </c>
    </row>
    <row r="129" spans="2:34" x14ac:dyDescent="0.4">
      <c r="B129" s="103" t="s">
        <v>844</v>
      </c>
      <c r="D129" s="137" t="s">
        <v>109</v>
      </c>
      <c r="F129" s="137"/>
      <c r="H129" s="137"/>
      <c r="AH129" s="111">
        <f t="shared" si="4"/>
        <v>0</v>
      </c>
    </row>
    <row r="130" spans="2:34" x14ac:dyDescent="0.4">
      <c r="B130" s="103" t="s">
        <v>845</v>
      </c>
      <c r="D130" s="137" t="s">
        <v>110</v>
      </c>
      <c r="F130" s="137"/>
      <c r="H130" s="137"/>
      <c r="AH130" s="111">
        <f t="shared" si="4"/>
        <v>0</v>
      </c>
    </row>
    <row r="131" spans="2:34" x14ac:dyDescent="0.4">
      <c r="B131" s="103" t="s">
        <v>846</v>
      </c>
      <c r="D131" s="137" t="s">
        <v>111</v>
      </c>
      <c r="F131" s="137"/>
      <c r="H131" s="137"/>
      <c r="AH131" s="111">
        <f t="shared" si="4"/>
        <v>0</v>
      </c>
    </row>
    <row r="132" spans="2:34" x14ac:dyDescent="0.4">
      <c r="B132" s="103" t="s">
        <v>847</v>
      </c>
      <c r="D132" s="137" t="s">
        <v>112</v>
      </c>
      <c r="E132" s="111">
        <v>1.5</v>
      </c>
      <c r="F132" s="137"/>
      <c r="G132" s="111">
        <v>7</v>
      </c>
      <c r="H132" s="137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7" t="s">
        <v>113</v>
      </c>
      <c r="F133" s="137"/>
      <c r="H133" s="137"/>
      <c r="AH133" s="111">
        <f t="shared" si="4"/>
        <v>0</v>
      </c>
    </row>
    <row r="134" spans="2:34" x14ac:dyDescent="0.4">
      <c r="B134" s="103" t="s">
        <v>849</v>
      </c>
      <c r="D134" s="137" t="s">
        <v>114</v>
      </c>
      <c r="F134" s="137"/>
      <c r="H134" s="137"/>
      <c r="AH134" s="111">
        <f t="shared" si="4"/>
        <v>0</v>
      </c>
    </row>
    <row r="135" spans="2:34" x14ac:dyDescent="0.4">
      <c r="B135" s="103" t="s">
        <v>850</v>
      </c>
      <c r="D135" s="137" t="s">
        <v>115</v>
      </c>
      <c r="F135" s="137"/>
      <c r="H135" s="137"/>
      <c r="AH135" s="111">
        <f t="shared" si="4"/>
        <v>0</v>
      </c>
    </row>
    <row r="136" spans="2:34" x14ac:dyDescent="0.4">
      <c r="B136" s="103" t="s">
        <v>844</v>
      </c>
      <c r="D136" s="137" t="s">
        <v>116</v>
      </c>
      <c r="F136" s="137"/>
      <c r="H136" s="137"/>
      <c r="AH136" s="111">
        <f t="shared" si="4"/>
        <v>0</v>
      </c>
    </row>
    <row r="137" spans="2:34" x14ac:dyDescent="0.4">
      <c r="B137" s="103" t="s">
        <v>845</v>
      </c>
      <c r="D137" s="137" t="s">
        <v>117</v>
      </c>
      <c r="F137" s="137"/>
      <c r="H137" s="137"/>
      <c r="AH137" s="111">
        <f t="shared" si="4"/>
        <v>0</v>
      </c>
    </row>
    <row r="138" spans="2:34" x14ac:dyDescent="0.4">
      <c r="B138" s="103" t="s">
        <v>846</v>
      </c>
      <c r="D138" s="137" t="s">
        <v>118</v>
      </c>
      <c r="F138" s="137"/>
      <c r="H138" s="137"/>
      <c r="AH138" s="111">
        <f t="shared" si="4"/>
        <v>0</v>
      </c>
    </row>
    <row r="139" spans="2:34" x14ac:dyDescent="0.4">
      <c r="B139" s="103" t="s">
        <v>847</v>
      </c>
      <c r="D139" s="137" t="s">
        <v>119</v>
      </c>
      <c r="F139" s="137"/>
      <c r="H139" s="137"/>
      <c r="AH139" s="111">
        <f t="shared" si="4"/>
        <v>0</v>
      </c>
    </row>
    <row r="140" spans="2:34" x14ac:dyDescent="0.4">
      <c r="B140" s="103" t="s">
        <v>848</v>
      </c>
      <c r="D140" s="137" t="s">
        <v>120</v>
      </c>
      <c r="F140" s="137"/>
      <c r="H140" s="137"/>
      <c r="AH140" s="111">
        <f t="shared" si="4"/>
        <v>0</v>
      </c>
    </row>
    <row r="141" spans="2:34" x14ac:dyDescent="0.4">
      <c r="B141" s="103" t="s">
        <v>849</v>
      </c>
      <c r="D141" s="137" t="s">
        <v>121</v>
      </c>
      <c r="F141" s="137"/>
      <c r="H141" s="137"/>
      <c r="AH141" s="111">
        <f t="shared" si="4"/>
        <v>0</v>
      </c>
    </row>
    <row r="142" spans="2:34" x14ac:dyDescent="0.4">
      <c r="B142" s="103" t="s">
        <v>850</v>
      </c>
      <c r="D142" s="137" t="s">
        <v>122</v>
      </c>
      <c r="F142" s="137"/>
      <c r="H142" s="137"/>
      <c r="AH142" s="111">
        <f t="shared" si="4"/>
        <v>0</v>
      </c>
    </row>
    <row r="143" spans="2:34" x14ac:dyDescent="0.4">
      <c r="B143" s="103" t="s">
        <v>844</v>
      </c>
      <c r="D143" s="137" t="s">
        <v>123</v>
      </c>
      <c r="F143" s="137"/>
      <c r="H143" s="137"/>
      <c r="AH143" s="111">
        <f t="shared" si="4"/>
        <v>0</v>
      </c>
    </row>
    <row r="144" spans="2:34" x14ac:dyDescent="0.4">
      <c r="B144" s="103" t="s">
        <v>845</v>
      </c>
      <c r="D144" s="137" t="s">
        <v>124</v>
      </c>
      <c r="F144" s="137"/>
      <c r="H144" s="137"/>
      <c r="AH144" s="111">
        <f t="shared" si="4"/>
        <v>0</v>
      </c>
    </row>
    <row r="145" spans="1:52" x14ac:dyDescent="0.4">
      <c r="B145" s="103" t="s">
        <v>846</v>
      </c>
      <c r="D145" s="137" t="s">
        <v>125</v>
      </c>
      <c r="F145" s="137"/>
      <c r="H145" s="137"/>
      <c r="AH145" s="111">
        <f t="shared" si="4"/>
        <v>0</v>
      </c>
    </row>
    <row r="146" spans="1:52" x14ac:dyDescent="0.4">
      <c r="B146" s="103" t="s">
        <v>847</v>
      </c>
      <c r="D146" s="137" t="s">
        <v>126</v>
      </c>
      <c r="F146" s="137"/>
      <c r="H146" s="137"/>
      <c r="AH146" s="111">
        <f t="shared" si="4"/>
        <v>0</v>
      </c>
    </row>
    <row r="147" spans="1:52" x14ac:dyDescent="0.4">
      <c r="B147" s="103" t="s">
        <v>848</v>
      </c>
      <c r="D147" s="137" t="s">
        <v>127</v>
      </c>
      <c r="F147" s="137"/>
      <c r="H147" s="137"/>
      <c r="AH147" s="111">
        <f t="shared" si="4"/>
        <v>0</v>
      </c>
    </row>
    <row r="148" spans="1:52" x14ac:dyDescent="0.4">
      <c r="B148" s="103" t="s">
        <v>849</v>
      </c>
      <c r="D148" s="137" t="s">
        <v>128</v>
      </c>
      <c r="F148" s="137"/>
      <c r="H148" s="137"/>
      <c r="AH148" s="111">
        <f t="shared" si="4"/>
        <v>0</v>
      </c>
    </row>
    <row r="149" spans="1:52" x14ac:dyDescent="0.4">
      <c r="B149" s="103" t="s">
        <v>850</v>
      </c>
      <c r="D149" s="137" t="s">
        <v>129</v>
      </c>
      <c r="F149" s="137"/>
      <c r="H149" s="137"/>
      <c r="AH149" s="111">
        <f t="shared" si="4"/>
        <v>0</v>
      </c>
    </row>
    <row r="150" spans="1:52" s="134" customFormat="1" x14ac:dyDescent="0.4">
      <c r="A150" s="134" t="s">
        <v>872</v>
      </c>
      <c r="F150" s="135"/>
      <c r="H150" s="135"/>
      <c r="J150" s="135"/>
      <c r="L150" s="135"/>
      <c r="N150" s="128"/>
      <c r="O150" s="128"/>
      <c r="Q150" s="135"/>
      <c r="S150" s="135"/>
      <c r="U150" s="135"/>
      <c r="W150" s="135"/>
      <c r="X150" s="128"/>
      <c r="Z150" s="135"/>
      <c r="AC150" s="135"/>
      <c r="AE150" s="135"/>
      <c r="AG150" s="135"/>
      <c r="AH150" s="136">
        <f>SUM(AH119:AH149)</f>
        <v>33.5</v>
      </c>
    </row>
    <row r="151" spans="1:52" s="139" customFormat="1" ht="33" x14ac:dyDescent="0.65">
      <c r="A151" s="138">
        <v>2016</v>
      </c>
      <c r="D151" s="140"/>
      <c r="E151" s="141"/>
      <c r="F151" s="140"/>
      <c r="G151" s="141"/>
      <c r="H151" s="140"/>
      <c r="I151" s="141"/>
      <c r="J151" s="142"/>
      <c r="K151" s="141"/>
      <c r="L151" s="142"/>
      <c r="M151" s="141"/>
      <c r="N151" s="141"/>
      <c r="O151" s="141"/>
      <c r="P151" s="141"/>
      <c r="Q151" s="142"/>
      <c r="S151" s="142"/>
      <c r="T151" s="141"/>
      <c r="U151" s="142"/>
      <c r="W151" s="142"/>
      <c r="X151" s="141"/>
      <c r="Z151" s="142"/>
      <c r="AA151" s="141"/>
      <c r="AC151" s="142"/>
      <c r="AD151" s="141"/>
      <c r="AE151" s="142"/>
      <c r="AF151" s="141"/>
      <c r="AG151" s="143"/>
      <c r="AH151" s="144">
        <f>SUM(AH1:AH150)/2</f>
        <v>1974.2</v>
      </c>
      <c r="AI151" s="145"/>
      <c r="AJ151" s="145"/>
      <c r="AL151" s="141"/>
      <c r="AO151" s="146"/>
      <c r="AP151" s="146"/>
      <c r="AQ151" s="146"/>
      <c r="AR151" s="146"/>
      <c r="AS151" s="147"/>
      <c r="AT151" s="147"/>
      <c r="AU151" s="147"/>
      <c r="AV151" s="147"/>
      <c r="AW151" s="148"/>
      <c r="AX151" s="148"/>
      <c r="AY151" s="148"/>
      <c r="AZ151" s="148"/>
    </row>
    <row r="153" spans="1:52" ht="25.5" x14ac:dyDescent="0.5">
      <c r="B153" s="119">
        <v>2017</v>
      </c>
    </row>
    <row r="154" spans="1:52" s="126" customFormat="1" x14ac:dyDescent="0.4">
      <c r="A154" s="126" t="s">
        <v>873</v>
      </c>
      <c r="F154" s="127"/>
      <c r="H154" s="127"/>
      <c r="J154" s="127"/>
      <c r="L154" s="127"/>
      <c r="N154" s="128"/>
      <c r="O154" s="128"/>
      <c r="Q154" s="127"/>
      <c r="S154" s="127"/>
      <c r="U154" s="127"/>
      <c r="W154" s="127"/>
      <c r="X154" s="128"/>
      <c r="Z154" s="127"/>
      <c r="AC154" s="127"/>
      <c r="AE154" s="127"/>
      <c r="AG154" s="127"/>
      <c r="AH154" s="111"/>
    </row>
    <row r="155" spans="1:52" x14ac:dyDescent="0.4">
      <c r="B155" s="103" t="s">
        <v>854</v>
      </c>
      <c r="D155" s="129" t="s">
        <v>151</v>
      </c>
      <c r="F155" s="129"/>
      <c r="G155" s="111">
        <v>8.5</v>
      </c>
      <c r="H155" s="129"/>
      <c r="I155" s="111">
        <v>8</v>
      </c>
      <c r="R155" s="103">
        <v>15</v>
      </c>
      <c r="S155" s="130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9" t="s">
        <v>130</v>
      </c>
      <c r="F156" s="129"/>
      <c r="G156" s="111">
        <v>2.5</v>
      </c>
      <c r="H156" s="129"/>
      <c r="I156" s="111">
        <v>15.7</v>
      </c>
      <c r="Q156" s="120" t="s">
        <v>943</v>
      </c>
      <c r="R156" s="103">
        <v>2.5</v>
      </c>
      <c r="S156" s="120" t="s">
        <v>958</v>
      </c>
      <c r="AF156" s="111">
        <v>88</v>
      </c>
      <c r="AG156" s="130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9" t="s">
        <v>131</v>
      </c>
      <c r="E157" s="111">
        <v>4.5</v>
      </c>
      <c r="F157" s="129"/>
      <c r="G157" s="111">
        <v>6.5</v>
      </c>
      <c r="H157" s="129"/>
      <c r="I157" s="111">
        <v>13</v>
      </c>
      <c r="Q157" s="120" t="s">
        <v>944</v>
      </c>
      <c r="X157" s="108">
        <v>3</v>
      </c>
      <c r="AF157" s="111">
        <v>94.5</v>
      </c>
      <c r="AG157" s="130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9" t="s">
        <v>132</v>
      </c>
      <c r="F158" s="129"/>
      <c r="G158" s="111">
        <v>7.5</v>
      </c>
      <c r="H158" s="129"/>
      <c r="R158" s="103">
        <v>11</v>
      </c>
      <c r="S158" s="120" t="s">
        <v>959</v>
      </c>
      <c r="AH158" s="111">
        <f t="shared" si="5"/>
        <v>18.5</v>
      </c>
    </row>
    <row r="159" spans="1:52" x14ac:dyDescent="0.4">
      <c r="B159" s="103" t="s">
        <v>846</v>
      </c>
      <c r="D159" s="129" t="s">
        <v>133</v>
      </c>
      <c r="F159" s="129"/>
      <c r="G159" s="111">
        <v>15</v>
      </c>
      <c r="H159" s="129"/>
      <c r="AH159" s="111">
        <f t="shared" si="5"/>
        <v>15</v>
      </c>
    </row>
    <row r="160" spans="1:52" x14ac:dyDescent="0.4">
      <c r="B160" s="103" t="s">
        <v>847</v>
      </c>
      <c r="D160" s="129" t="s">
        <v>134</v>
      </c>
      <c r="F160" s="129"/>
      <c r="G160" s="111">
        <v>8</v>
      </c>
      <c r="H160" s="129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9" t="s">
        <v>135</v>
      </c>
      <c r="F161" s="129"/>
      <c r="H161" s="129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9" t="s">
        <v>136</v>
      </c>
      <c r="F162" s="129"/>
      <c r="G162" s="111">
        <v>10</v>
      </c>
      <c r="H162" s="129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9" t="s">
        <v>137</v>
      </c>
      <c r="E163" s="111">
        <v>6</v>
      </c>
      <c r="F163" s="129"/>
      <c r="G163" s="111">
        <v>9</v>
      </c>
      <c r="H163" s="129"/>
      <c r="R163" s="103">
        <v>7.5</v>
      </c>
      <c r="AF163" s="111">
        <v>49</v>
      </c>
      <c r="AG163" s="130" t="s">
        <v>917</v>
      </c>
      <c r="AH163" s="111">
        <f t="shared" si="5"/>
        <v>71.5</v>
      </c>
    </row>
    <row r="164" spans="2:35" x14ac:dyDescent="0.4">
      <c r="B164" s="103" t="s">
        <v>844</v>
      </c>
      <c r="D164" s="129" t="s">
        <v>138</v>
      </c>
      <c r="E164" s="111">
        <v>6.5</v>
      </c>
      <c r="F164" s="129"/>
      <c r="G164" s="111">
        <v>3.5</v>
      </c>
      <c r="H164" s="129"/>
      <c r="AH164" s="111">
        <f t="shared" si="5"/>
        <v>10</v>
      </c>
    </row>
    <row r="165" spans="2:35" x14ac:dyDescent="0.4">
      <c r="B165" s="103" t="s">
        <v>845</v>
      </c>
      <c r="D165" s="129" t="s">
        <v>139</v>
      </c>
      <c r="E165" s="111">
        <v>16</v>
      </c>
      <c r="F165" s="129"/>
      <c r="G165" s="111">
        <v>3</v>
      </c>
      <c r="H165" s="129"/>
      <c r="AF165" s="111">
        <v>23</v>
      </c>
      <c r="AG165" s="130" t="s">
        <v>1018</v>
      </c>
      <c r="AH165" s="111">
        <f t="shared" si="5"/>
        <v>42</v>
      </c>
    </row>
    <row r="166" spans="2:35" x14ac:dyDescent="0.4">
      <c r="B166" s="103" t="s">
        <v>846</v>
      </c>
      <c r="D166" s="129" t="s">
        <v>140</v>
      </c>
      <c r="F166" s="129"/>
      <c r="G166" s="111">
        <v>17</v>
      </c>
      <c r="H166" s="129"/>
      <c r="R166" s="103">
        <v>11</v>
      </c>
      <c r="S166" s="120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9" t="s">
        <v>141</v>
      </c>
      <c r="F167" s="129"/>
      <c r="G167" s="111">
        <v>8</v>
      </c>
      <c r="H167" s="129"/>
      <c r="R167" s="103">
        <f>14.5+5.8</f>
        <v>20.3</v>
      </c>
      <c r="S167" s="120" t="s">
        <v>960</v>
      </c>
      <c r="X167" s="108">
        <v>3</v>
      </c>
      <c r="AA167" s="111">
        <v>20</v>
      </c>
      <c r="AF167" s="111">
        <v>29</v>
      </c>
      <c r="AG167" s="130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9" t="s">
        <v>142</v>
      </c>
      <c r="F168" s="129"/>
      <c r="H168" s="129"/>
      <c r="R168" s="103">
        <v>12</v>
      </c>
      <c r="S168" s="120" t="s">
        <v>959</v>
      </c>
      <c r="AH168" s="111">
        <f t="shared" si="5"/>
        <v>12</v>
      </c>
    </row>
    <row r="169" spans="2:35" x14ac:dyDescent="0.4">
      <c r="B169" s="103" t="s">
        <v>849</v>
      </c>
      <c r="D169" s="129" t="s">
        <v>143</v>
      </c>
      <c r="F169" s="129"/>
      <c r="G169" s="111">
        <v>8</v>
      </c>
      <c r="H169" s="129"/>
      <c r="I169" s="111">
        <v>13</v>
      </c>
      <c r="R169" s="103">
        <v>11</v>
      </c>
      <c r="S169" s="120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9" t="s">
        <v>144</v>
      </c>
      <c r="F170" s="129"/>
      <c r="G170" s="111">
        <v>7.5</v>
      </c>
      <c r="H170" s="129"/>
      <c r="R170" s="103">
        <v>5</v>
      </c>
      <c r="S170" s="120" t="s">
        <v>962</v>
      </c>
      <c r="AH170" s="111">
        <f t="shared" si="5"/>
        <v>12.5</v>
      </c>
    </row>
    <row r="171" spans="2:35" x14ac:dyDescent="0.4">
      <c r="B171" s="103" t="s">
        <v>844</v>
      </c>
      <c r="D171" s="129" t="s">
        <v>145</v>
      </c>
      <c r="E171" s="111">
        <v>6.5</v>
      </c>
      <c r="F171" s="129"/>
      <c r="G171" s="111">
        <v>7.5</v>
      </c>
      <c r="H171" s="129"/>
      <c r="R171" s="103">
        <v>5</v>
      </c>
      <c r="S171" s="120" t="s">
        <v>962</v>
      </c>
      <c r="AF171" s="111">
        <v>25</v>
      </c>
      <c r="AG171" s="130" t="s">
        <v>1020</v>
      </c>
      <c r="AH171" s="111">
        <f t="shared" si="5"/>
        <v>44</v>
      </c>
    </row>
    <row r="172" spans="2:35" x14ac:dyDescent="0.4">
      <c r="B172" s="103" t="s">
        <v>845</v>
      </c>
      <c r="D172" s="129" t="s">
        <v>146</v>
      </c>
      <c r="F172" s="129"/>
      <c r="G172" s="111">
        <v>8</v>
      </c>
      <c r="H172" s="129"/>
      <c r="I172" s="111">
        <v>11</v>
      </c>
      <c r="R172" s="103">
        <v>5</v>
      </c>
      <c r="S172" s="120" t="s">
        <v>963</v>
      </c>
      <c r="X172" s="108">
        <v>3</v>
      </c>
      <c r="AF172" s="111">
        <v>12.5</v>
      </c>
      <c r="AG172" s="130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9" t="s">
        <v>147</v>
      </c>
      <c r="E173" s="111">
        <v>12</v>
      </c>
      <c r="F173" s="129"/>
      <c r="H173" s="129"/>
      <c r="R173" s="103">
        <v>12</v>
      </c>
      <c r="S173" s="120" t="s">
        <v>959</v>
      </c>
      <c r="AH173" s="111">
        <f t="shared" si="5"/>
        <v>24</v>
      </c>
    </row>
    <row r="174" spans="2:35" x14ac:dyDescent="0.4">
      <c r="B174" s="103" t="s">
        <v>847</v>
      </c>
      <c r="D174" s="129" t="s">
        <v>148</v>
      </c>
      <c r="F174" s="129"/>
      <c r="G174" s="111">
        <v>9</v>
      </c>
      <c r="H174" s="129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9" t="s">
        <v>149</v>
      </c>
      <c r="E175" s="111">
        <v>12</v>
      </c>
      <c r="F175" s="129"/>
      <c r="H175" s="129"/>
      <c r="R175" s="103">
        <v>20</v>
      </c>
      <c r="S175" s="120" t="s">
        <v>964</v>
      </c>
      <c r="AH175" s="111">
        <f t="shared" si="5"/>
        <v>32</v>
      </c>
    </row>
    <row r="176" spans="2:35" x14ac:dyDescent="0.4">
      <c r="B176" s="103" t="s">
        <v>849</v>
      </c>
      <c r="D176" s="129" t="s">
        <v>150</v>
      </c>
      <c r="E176" s="111">
        <v>7</v>
      </c>
      <c r="F176" s="129"/>
      <c r="H176" s="129"/>
      <c r="R176" s="103">
        <v>27</v>
      </c>
      <c r="S176" s="120" t="s">
        <v>965</v>
      </c>
      <c r="AH176" s="111">
        <f t="shared" si="5"/>
        <v>34</v>
      </c>
    </row>
    <row r="177" spans="1:38" s="134" customFormat="1" x14ac:dyDescent="0.4">
      <c r="A177" s="134" t="s">
        <v>875</v>
      </c>
      <c r="F177" s="135"/>
      <c r="H177" s="135"/>
      <c r="J177" s="135"/>
      <c r="L177" s="135"/>
      <c r="N177" s="128"/>
      <c r="O177" s="128"/>
      <c r="Q177" s="135"/>
      <c r="S177" s="135"/>
      <c r="U177" s="135"/>
      <c r="W177" s="135"/>
      <c r="X177" s="128"/>
      <c r="Z177" s="135"/>
      <c r="AC177" s="135"/>
      <c r="AE177" s="135"/>
      <c r="AG177" s="135"/>
      <c r="AH177" s="136">
        <f>SUM(AH155:AH176)</f>
        <v>897.09999999999991</v>
      </c>
    </row>
    <row r="178" spans="1:38" x14ac:dyDescent="0.4">
      <c r="D178" s="129"/>
      <c r="F178" s="129"/>
      <c r="H178" s="129"/>
    </row>
    <row r="179" spans="1:38" s="126" customFormat="1" x14ac:dyDescent="0.4">
      <c r="A179" s="126" t="s">
        <v>876</v>
      </c>
      <c r="F179" s="127"/>
      <c r="H179" s="127"/>
      <c r="J179" s="127"/>
      <c r="L179" s="127"/>
      <c r="N179" s="128"/>
      <c r="O179" s="128"/>
      <c r="Q179" s="127"/>
      <c r="S179" s="127"/>
      <c r="U179" s="127"/>
      <c r="W179" s="127"/>
      <c r="X179" s="128"/>
      <c r="Z179" s="127"/>
      <c r="AC179" s="127"/>
      <c r="AE179" s="127"/>
      <c r="AG179" s="127"/>
      <c r="AH179" s="111"/>
    </row>
    <row r="180" spans="1:38" x14ac:dyDescent="0.4">
      <c r="B180" s="103" t="s">
        <v>850</v>
      </c>
      <c r="D180" s="129" t="s">
        <v>152</v>
      </c>
      <c r="F180" s="129"/>
      <c r="G180" s="111">
        <v>15</v>
      </c>
      <c r="H180" s="129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9" t="s">
        <v>153</v>
      </c>
      <c r="F181" s="129"/>
      <c r="G181" s="111">
        <v>8</v>
      </c>
      <c r="H181" s="129"/>
      <c r="AH181" s="111">
        <f t="shared" si="6"/>
        <v>8</v>
      </c>
    </row>
    <row r="182" spans="1:38" x14ac:dyDescent="0.4">
      <c r="B182" s="103" t="s">
        <v>845</v>
      </c>
      <c r="D182" s="129" t="s">
        <v>154</v>
      </c>
      <c r="E182" s="111">
        <v>7.5</v>
      </c>
      <c r="F182" s="129"/>
      <c r="H182" s="129"/>
      <c r="R182" s="103">
        <v>13</v>
      </c>
      <c r="S182" s="120" t="s">
        <v>959</v>
      </c>
      <c r="AH182" s="111">
        <f t="shared" si="6"/>
        <v>20.5</v>
      </c>
    </row>
    <row r="183" spans="1:38" x14ac:dyDescent="0.4">
      <c r="B183" s="103" t="s">
        <v>846</v>
      </c>
      <c r="D183" s="129" t="s">
        <v>155</v>
      </c>
      <c r="F183" s="129"/>
      <c r="G183" s="111">
        <v>8.5</v>
      </c>
      <c r="H183" s="129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9" t="s">
        <v>156</v>
      </c>
      <c r="E184" s="111">
        <v>9</v>
      </c>
      <c r="F184" s="129"/>
      <c r="G184" s="111">
        <v>6.5</v>
      </c>
      <c r="H184" s="129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9" t="s">
        <v>157</v>
      </c>
      <c r="E185" s="111">
        <v>7</v>
      </c>
      <c r="F185" s="129"/>
      <c r="H185" s="129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9" t="s">
        <v>158</v>
      </c>
      <c r="F186" s="129"/>
      <c r="G186" s="111">
        <v>20</v>
      </c>
      <c r="H186" s="129"/>
      <c r="I186" s="111">
        <v>14</v>
      </c>
      <c r="R186" s="103">
        <v>18</v>
      </c>
      <c r="S186" s="120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9" t="s">
        <v>159</v>
      </c>
      <c r="F187" s="129"/>
      <c r="G187" s="111">
        <v>8</v>
      </c>
      <c r="H187" s="129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9" t="s">
        <v>160</v>
      </c>
      <c r="E188" s="111">
        <v>4.5</v>
      </c>
      <c r="F188" s="129"/>
      <c r="H188" s="129"/>
      <c r="AH188" s="111">
        <f t="shared" si="6"/>
        <v>4.5</v>
      </c>
    </row>
    <row r="189" spans="1:38" x14ac:dyDescent="0.4">
      <c r="B189" s="103" t="s">
        <v>845</v>
      </c>
      <c r="D189" s="129" t="s">
        <v>161</v>
      </c>
      <c r="F189" s="129"/>
      <c r="G189" s="111">
        <v>10.5</v>
      </c>
      <c r="H189" s="129"/>
      <c r="I189" s="111">
        <v>10.5</v>
      </c>
      <c r="R189" s="103">
        <f>18+3</f>
        <v>21</v>
      </c>
      <c r="S189" s="120" t="s">
        <v>967</v>
      </c>
      <c r="AH189" s="111">
        <f t="shared" si="6"/>
        <v>42</v>
      </c>
    </row>
    <row r="190" spans="1:38" x14ac:dyDescent="0.4">
      <c r="B190" s="103" t="s">
        <v>846</v>
      </c>
      <c r="D190" s="129" t="s">
        <v>162</v>
      </c>
      <c r="F190" s="129"/>
      <c r="G190" s="111">
        <v>12</v>
      </c>
      <c r="H190" s="129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9" t="s">
        <v>163</v>
      </c>
      <c r="F191" s="129"/>
      <c r="G191" s="111">
        <v>10.5</v>
      </c>
      <c r="H191" s="129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9" t="s">
        <v>164</v>
      </c>
      <c r="E192" s="111">
        <v>7</v>
      </c>
      <c r="F192" s="129"/>
      <c r="H192" s="129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9" t="s">
        <v>165</v>
      </c>
      <c r="F193" s="129"/>
      <c r="G193" s="111">
        <v>24</v>
      </c>
      <c r="H193" s="129"/>
      <c r="I193" s="111">
        <v>17</v>
      </c>
      <c r="R193" s="103">
        <v>25</v>
      </c>
      <c r="S193" s="120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9" t="s">
        <v>166</v>
      </c>
      <c r="E194" s="111">
        <v>5.5</v>
      </c>
      <c r="F194" s="129"/>
      <c r="H194" s="129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9" t="s">
        <v>167</v>
      </c>
      <c r="F195" s="129"/>
      <c r="H195" s="129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9" t="s">
        <v>168</v>
      </c>
      <c r="F196" s="129"/>
      <c r="G196" s="111">
        <v>13</v>
      </c>
      <c r="H196" s="129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9" t="s">
        <v>169</v>
      </c>
      <c r="F197" s="129"/>
      <c r="G197" s="111">
        <v>8</v>
      </c>
      <c r="H197" s="129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9" t="s">
        <v>170</v>
      </c>
      <c r="F198" s="129"/>
      <c r="H198" s="129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9" t="s">
        <v>171</v>
      </c>
      <c r="F199" s="129"/>
      <c r="G199" s="111">
        <v>6.5</v>
      </c>
      <c r="H199" s="129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9" t="s">
        <v>172</v>
      </c>
      <c r="F200" s="129"/>
      <c r="G200" s="111">
        <v>10</v>
      </c>
      <c r="H200" s="129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9" t="s">
        <v>173</v>
      </c>
      <c r="F201" s="129"/>
      <c r="H201" s="129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9" t="s">
        <v>174</v>
      </c>
      <c r="F202" s="129"/>
      <c r="G202" s="111">
        <v>6.5</v>
      </c>
      <c r="H202" s="129"/>
      <c r="I202" s="111">
        <v>15</v>
      </c>
      <c r="AA202" s="111">
        <v>10</v>
      </c>
      <c r="AF202" s="111">
        <v>80</v>
      </c>
      <c r="AG202" s="130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9" t="s">
        <v>175</v>
      </c>
      <c r="F203" s="129"/>
      <c r="H203" s="129"/>
      <c r="AF203" s="111">
        <v>25</v>
      </c>
      <c r="AG203" s="130" t="s">
        <v>1023</v>
      </c>
      <c r="AH203" s="111">
        <f t="shared" si="6"/>
        <v>25</v>
      </c>
    </row>
    <row r="204" spans="2:38" x14ac:dyDescent="0.4">
      <c r="B204" s="103" t="s">
        <v>846</v>
      </c>
      <c r="D204" s="129" t="s">
        <v>176</v>
      </c>
      <c r="F204" s="129"/>
      <c r="H204" s="129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9" t="s">
        <v>177</v>
      </c>
      <c r="E205" s="111">
        <v>5.5</v>
      </c>
      <c r="F205" s="129"/>
      <c r="G205" s="111">
        <v>9</v>
      </c>
      <c r="H205" s="129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9" t="s">
        <v>178</v>
      </c>
      <c r="F206" s="129"/>
      <c r="G206" s="111">
        <v>56</v>
      </c>
      <c r="H206" s="129"/>
      <c r="AH206" s="111">
        <f t="shared" si="6"/>
        <v>56</v>
      </c>
    </row>
    <row r="207" spans="2:38" x14ac:dyDescent="0.4">
      <c r="B207" s="103" t="s">
        <v>849</v>
      </c>
      <c r="D207" s="129" t="s">
        <v>179</v>
      </c>
      <c r="F207" s="129"/>
      <c r="H207" s="129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9" t="s">
        <v>180</v>
      </c>
      <c r="F208" s="129"/>
      <c r="G208" s="111">
        <v>9</v>
      </c>
      <c r="H208" s="129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9" t="s">
        <v>256</v>
      </c>
      <c r="F209" s="129"/>
      <c r="H209" s="129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9" t="s">
        <v>257</v>
      </c>
      <c r="F210" s="129"/>
      <c r="G210" s="111">
        <v>21</v>
      </c>
      <c r="H210" s="129"/>
      <c r="I210" s="111">
        <v>6</v>
      </c>
      <c r="AA210" s="111">
        <v>10</v>
      </c>
      <c r="AF210" s="111">
        <v>60</v>
      </c>
      <c r="AG210" s="130" t="s">
        <v>1024</v>
      </c>
      <c r="AH210" s="111">
        <f t="shared" si="6"/>
        <v>97</v>
      </c>
      <c r="AL210" s="111">
        <v>655</v>
      </c>
    </row>
    <row r="211" spans="1:38" s="134" customFormat="1" x14ac:dyDescent="0.4">
      <c r="A211" s="134" t="s">
        <v>877</v>
      </c>
      <c r="F211" s="135"/>
      <c r="H211" s="135"/>
      <c r="J211" s="135"/>
      <c r="L211" s="135"/>
      <c r="N211" s="128"/>
      <c r="O211" s="128"/>
      <c r="Q211" s="135"/>
      <c r="S211" s="135"/>
      <c r="U211" s="135"/>
      <c r="W211" s="135"/>
      <c r="X211" s="128"/>
      <c r="Z211" s="135"/>
      <c r="AC211" s="135"/>
      <c r="AE211" s="135"/>
      <c r="AG211" s="135"/>
      <c r="AH211" s="136">
        <f>SUM(AH180:AH210)</f>
        <v>1194.3</v>
      </c>
    </row>
    <row r="212" spans="1:38" x14ac:dyDescent="0.4">
      <c r="D212" s="129"/>
      <c r="F212" s="129"/>
      <c r="H212" s="129"/>
    </row>
    <row r="213" spans="1:38" s="126" customFormat="1" x14ac:dyDescent="0.4">
      <c r="A213" s="126" t="s">
        <v>842</v>
      </c>
      <c r="F213" s="127"/>
      <c r="H213" s="127"/>
      <c r="J213" s="127"/>
      <c r="L213" s="127"/>
      <c r="N213" s="128"/>
      <c r="O213" s="128"/>
      <c r="Q213" s="127"/>
      <c r="S213" s="127"/>
      <c r="U213" s="127"/>
      <c r="W213" s="127"/>
      <c r="X213" s="128"/>
      <c r="Z213" s="127"/>
      <c r="AC213" s="127"/>
      <c r="AE213" s="127"/>
      <c r="AG213" s="127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20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9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9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30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30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30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30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20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20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20" t="s">
        <v>970</v>
      </c>
      <c r="Y224" s="103">
        <f>16.9+20.31</f>
        <v>37.209999999999994</v>
      </c>
      <c r="AA224" s="111">
        <v>10</v>
      </c>
      <c r="AF224" s="111">
        <v>39.9</v>
      </c>
      <c r="AG224" s="130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20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20" t="s">
        <v>969</v>
      </c>
      <c r="AF226" s="111">
        <v>170</v>
      </c>
      <c r="AG226" s="130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20" t="s">
        <v>947</v>
      </c>
      <c r="AA228" s="111">
        <v>10</v>
      </c>
      <c r="AF228" s="111">
        <v>480</v>
      </c>
      <c r="AG228" s="130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20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20" t="s">
        <v>947</v>
      </c>
      <c r="R230" s="103">
        <v>15</v>
      </c>
      <c r="S230" s="120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20" t="s">
        <v>947</v>
      </c>
      <c r="R231" s="103">
        <v>15</v>
      </c>
      <c r="S231" s="120" t="s">
        <v>969</v>
      </c>
      <c r="AF231" s="111">
        <v>58</v>
      </c>
      <c r="AG231" s="130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20" t="s">
        <v>947</v>
      </c>
      <c r="Y232" s="103">
        <f>50+15.19</f>
        <v>65.19</v>
      </c>
      <c r="AF232" s="111">
        <f>12.6+100+40</f>
        <v>152.6</v>
      </c>
      <c r="AG232" s="130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30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4" customFormat="1" x14ac:dyDescent="0.4">
      <c r="A244" s="134" t="s">
        <v>851</v>
      </c>
      <c r="F244" s="135"/>
      <c r="H244" s="135"/>
      <c r="J244" s="135"/>
      <c r="L244" s="135"/>
      <c r="N244" s="128"/>
      <c r="O244" s="128"/>
      <c r="Q244" s="135"/>
      <c r="S244" s="135"/>
      <c r="U244" s="135"/>
      <c r="W244" s="135"/>
      <c r="X244" s="128"/>
      <c r="Z244" s="135"/>
      <c r="AC244" s="135"/>
      <c r="AE244" s="135"/>
      <c r="AG244" s="135"/>
      <c r="AH244" s="136">
        <f>SUM(AH214:AH243)</f>
        <v>2261.4499999999998</v>
      </c>
    </row>
    <row r="246" spans="1:38" s="126" customFormat="1" x14ac:dyDescent="0.4">
      <c r="A246" s="126" t="s">
        <v>852</v>
      </c>
      <c r="F246" s="127"/>
      <c r="H246" s="127"/>
      <c r="J246" s="127"/>
      <c r="L246" s="127"/>
      <c r="N246" s="128"/>
      <c r="O246" s="128"/>
      <c r="Q246" s="127"/>
      <c r="S246" s="127"/>
      <c r="U246" s="127"/>
      <c r="W246" s="127"/>
      <c r="X246" s="128"/>
      <c r="Z246" s="127"/>
      <c r="AC246" s="127"/>
      <c r="AE246" s="127"/>
      <c r="AG246" s="127"/>
      <c r="AH246" s="111"/>
    </row>
    <row r="247" spans="1:38" x14ac:dyDescent="0.4">
      <c r="B247" s="103" t="s">
        <v>848</v>
      </c>
      <c r="D247" s="129" t="s">
        <v>269</v>
      </c>
      <c r="E247" s="111">
        <v>22</v>
      </c>
      <c r="F247" s="129"/>
      <c r="H247" s="129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9" t="s">
        <v>270</v>
      </c>
      <c r="F248" s="129"/>
      <c r="H248" s="129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9" t="s">
        <v>271</v>
      </c>
      <c r="F249" s="129"/>
      <c r="H249" s="129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9" t="s">
        <v>272</v>
      </c>
      <c r="F250" s="129"/>
      <c r="H250" s="129"/>
      <c r="AF250" s="111">
        <v>17.8</v>
      </c>
      <c r="AG250" s="130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9" t="s">
        <v>273</v>
      </c>
      <c r="F251" s="129"/>
      <c r="H251" s="129"/>
      <c r="AH251" s="111">
        <f t="shared" si="8"/>
        <v>0</v>
      </c>
    </row>
    <row r="252" spans="1:38" x14ac:dyDescent="0.4">
      <c r="B252" s="103" t="s">
        <v>846</v>
      </c>
      <c r="D252" s="129" t="s">
        <v>274</v>
      </c>
      <c r="F252" s="129"/>
      <c r="H252" s="129"/>
      <c r="I252" s="111">
        <v>36</v>
      </c>
      <c r="Q252" s="120" t="s">
        <v>947</v>
      </c>
      <c r="AH252" s="111">
        <f t="shared" si="8"/>
        <v>36</v>
      </c>
    </row>
    <row r="253" spans="1:38" x14ac:dyDescent="0.4">
      <c r="B253" s="103" t="s">
        <v>847</v>
      </c>
      <c r="D253" s="129" t="s">
        <v>275</v>
      </c>
      <c r="F253" s="129"/>
      <c r="H253" s="129"/>
      <c r="AH253" s="111">
        <f t="shared" si="8"/>
        <v>0</v>
      </c>
    </row>
    <row r="254" spans="1:38" x14ac:dyDescent="0.4">
      <c r="B254" s="103" t="s">
        <v>848</v>
      </c>
      <c r="D254" s="129" t="s">
        <v>276</v>
      </c>
      <c r="E254" s="111">
        <v>6</v>
      </c>
      <c r="F254" s="129"/>
      <c r="H254" s="129"/>
      <c r="I254" s="111">
        <v>23</v>
      </c>
      <c r="Q254" s="120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9" t="s">
        <v>277</v>
      </c>
      <c r="E255" s="111">
        <v>6</v>
      </c>
      <c r="F255" s="129"/>
      <c r="H255" s="129"/>
      <c r="AH255" s="111">
        <f t="shared" si="8"/>
        <v>6</v>
      </c>
    </row>
    <row r="256" spans="1:38" x14ac:dyDescent="0.4">
      <c r="B256" s="103" t="s">
        <v>850</v>
      </c>
      <c r="D256" s="129" t="s">
        <v>278</v>
      </c>
      <c r="E256" s="111">
        <v>6</v>
      </c>
      <c r="F256" s="129"/>
      <c r="H256" s="129"/>
      <c r="AH256" s="111">
        <f t="shared" si="8"/>
        <v>6</v>
      </c>
    </row>
    <row r="257" spans="2:38" x14ac:dyDescent="0.4">
      <c r="B257" s="103" t="s">
        <v>844</v>
      </c>
      <c r="D257" s="129" t="s">
        <v>279</v>
      </c>
      <c r="E257" s="111">
        <v>6</v>
      </c>
      <c r="F257" s="129"/>
      <c r="H257" s="129"/>
      <c r="AH257" s="111">
        <f t="shared" si="8"/>
        <v>6</v>
      </c>
    </row>
    <row r="258" spans="2:38" x14ac:dyDescent="0.4">
      <c r="B258" s="103" t="s">
        <v>845</v>
      </c>
      <c r="D258" s="129" t="s">
        <v>280</v>
      </c>
      <c r="E258" s="111">
        <v>6</v>
      </c>
      <c r="F258" s="129"/>
      <c r="H258" s="129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9" t="s">
        <v>281</v>
      </c>
      <c r="E259" s="111">
        <v>8</v>
      </c>
      <c r="F259" s="129"/>
      <c r="H259" s="129"/>
      <c r="R259" s="103">
        <v>18</v>
      </c>
      <c r="S259" s="120" t="s">
        <v>972</v>
      </c>
      <c r="AH259" s="111">
        <f t="shared" si="8"/>
        <v>26</v>
      </c>
    </row>
    <row r="260" spans="2:38" x14ac:dyDescent="0.4">
      <c r="B260" s="103" t="s">
        <v>847</v>
      </c>
      <c r="D260" s="129" t="s">
        <v>18</v>
      </c>
      <c r="E260" s="111">
        <v>6</v>
      </c>
      <c r="F260" s="129"/>
      <c r="H260" s="129"/>
      <c r="AH260" s="111">
        <f t="shared" si="8"/>
        <v>6</v>
      </c>
    </row>
    <row r="261" spans="2:38" x14ac:dyDescent="0.4">
      <c r="B261" s="103" t="s">
        <v>848</v>
      </c>
      <c r="D261" s="129" t="s">
        <v>19</v>
      </c>
      <c r="E261" s="111">
        <v>8.5</v>
      </c>
      <c r="F261" s="129"/>
      <c r="G261" s="111">
        <v>19</v>
      </c>
      <c r="H261" s="129"/>
      <c r="R261" s="103">
        <v>10</v>
      </c>
      <c r="S261" s="120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9" t="s">
        <v>20</v>
      </c>
      <c r="E262" s="111">
        <v>6</v>
      </c>
      <c r="F262" s="129"/>
      <c r="H262" s="129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9" t="s">
        <v>21</v>
      </c>
      <c r="E263" s="111">
        <v>8.5</v>
      </c>
      <c r="F263" s="129"/>
      <c r="H263" s="129"/>
      <c r="AH263" s="111">
        <f t="shared" si="8"/>
        <v>8.5</v>
      </c>
    </row>
    <row r="264" spans="2:38" x14ac:dyDescent="0.4">
      <c r="B264" s="103" t="s">
        <v>844</v>
      </c>
      <c r="D264" s="129" t="s">
        <v>22</v>
      </c>
      <c r="E264" s="111">
        <v>6</v>
      </c>
      <c r="F264" s="129"/>
      <c r="H264" s="129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9" t="s">
        <v>23</v>
      </c>
      <c r="E265" s="111">
        <v>6</v>
      </c>
      <c r="F265" s="129"/>
      <c r="H265" s="129"/>
      <c r="AH265" s="111">
        <f t="shared" si="8"/>
        <v>6</v>
      </c>
    </row>
    <row r="266" spans="2:38" x14ac:dyDescent="0.4">
      <c r="B266" s="103" t="s">
        <v>846</v>
      </c>
      <c r="D266" s="129" t="s">
        <v>24</v>
      </c>
      <c r="E266" s="111">
        <v>6</v>
      </c>
      <c r="F266" s="129"/>
      <c r="H266" s="129"/>
      <c r="AF266" s="111">
        <v>12.6</v>
      </c>
      <c r="AG266" s="130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9" t="s">
        <v>25</v>
      </c>
      <c r="E267" s="111">
        <v>7</v>
      </c>
      <c r="F267" s="129"/>
      <c r="H267" s="129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9" t="s">
        <v>26</v>
      </c>
      <c r="E268" s="111">
        <v>6</v>
      </c>
      <c r="F268" s="129"/>
      <c r="H268" s="129"/>
      <c r="I268" s="111">
        <v>19</v>
      </c>
      <c r="Q268" s="120" t="s">
        <v>896</v>
      </c>
      <c r="R268" s="103">
        <v>17</v>
      </c>
      <c r="S268" s="120" t="s">
        <v>972</v>
      </c>
      <c r="AH268" s="111">
        <f t="shared" si="8"/>
        <v>42</v>
      </c>
    </row>
    <row r="269" spans="2:38" x14ac:dyDescent="0.4">
      <c r="B269" s="103" t="s">
        <v>849</v>
      </c>
      <c r="D269" s="129" t="s">
        <v>27</v>
      </c>
      <c r="E269" s="111">
        <v>6</v>
      </c>
      <c r="F269" s="129"/>
      <c r="H269" s="129"/>
      <c r="R269" s="103">
        <v>18</v>
      </c>
      <c r="S269" s="120" t="s">
        <v>972</v>
      </c>
      <c r="AH269" s="111">
        <f t="shared" si="8"/>
        <v>24</v>
      </c>
    </row>
    <row r="270" spans="2:38" x14ac:dyDescent="0.4">
      <c r="B270" s="103" t="s">
        <v>850</v>
      </c>
      <c r="D270" s="129" t="s">
        <v>28</v>
      </c>
      <c r="E270" s="111">
        <v>6</v>
      </c>
      <c r="F270" s="129"/>
      <c r="H270" s="129"/>
      <c r="I270" s="111">
        <v>22.4</v>
      </c>
      <c r="AF270" s="111">
        <v>58</v>
      </c>
      <c r="AG270" s="130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9" t="s">
        <v>29</v>
      </c>
      <c r="E271" s="111">
        <v>6</v>
      </c>
      <c r="F271" s="129"/>
      <c r="H271" s="129"/>
      <c r="AH271" s="111">
        <f t="shared" si="8"/>
        <v>6</v>
      </c>
    </row>
    <row r="272" spans="2:38" x14ac:dyDescent="0.4">
      <c r="B272" s="103" t="s">
        <v>845</v>
      </c>
      <c r="D272" s="129" t="s">
        <v>30</v>
      </c>
      <c r="E272" s="111">
        <v>6</v>
      </c>
      <c r="F272" s="129"/>
      <c r="G272" s="111">
        <v>25</v>
      </c>
      <c r="H272" s="129"/>
      <c r="Q272" s="120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9" t="s">
        <v>31</v>
      </c>
      <c r="E273" s="111">
        <v>6</v>
      </c>
      <c r="F273" s="129"/>
      <c r="H273" s="129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9" t="s">
        <v>283</v>
      </c>
      <c r="E274" s="111">
        <v>6</v>
      </c>
      <c r="F274" s="129"/>
      <c r="H274" s="129"/>
      <c r="R274" s="103">
        <v>10</v>
      </c>
      <c r="S274" s="120" t="s">
        <v>972</v>
      </c>
      <c r="AF274" s="111">
        <v>22</v>
      </c>
      <c r="AG274" s="130" t="s">
        <v>1037</v>
      </c>
      <c r="AH274" s="111">
        <f t="shared" si="8"/>
        <v>38</v>
      </c>
    </row>
    <row r="275" spans="1:38" x14ac:dyDescent="0.4">
      <c r="B275" s="103" t="s">
        <v>848</v>
      </c>
      <c r="D275" s="129" t="s">
        <v>33</v>
      </c>
      <c r="E275" s="111">
        <v>6</v>
      </c>
      <c r="F275" s="129"/>
      <c r="H275" s="129"/>
      <c r="R275" s="103">
        <v>18</v>
      </c>
      <c r="S275" s="120" t="s">
        <v>972</v>
      </c>
      <c r="AH275" s="111">
        <f t="shared" si="8"/>
        <v>24</v>
      </c>
    </row>
    <row r="276" spans="1:38" x14ac:dyDescent="0.4">
      <c r="B276" s="103" t="s">
        <v>849</v>
      </c>
      <c r="D276" s="129" t="s">
        <v>34</v>
      </c>
      <c r="E276" s="111">
        <v>6</v>
      </c>
      <c r="F276" s="129"/>
      <c r="H276" s="129"/>
      <c r="AH276" s="111">
        <f t="shared" si="8"/>
        <v>6</v>
      </c>
    </row>
    <row r="277" spans="1:38" x14ac:dyDescent="0.4">
      <c r="B277" s="103" t="s">
        <v>850</v>
      </c>
      <c r="D277" s="129" t="s">
        <v>35</v>
      </c>
      <c r="E277" s="111">
        <v>6</v>
      </c>
      <c r="F277" s="129"/>
      <c r="H277" s="129"/>
      <c r="R277" s="103">
        <v>16</v>
      </c>
      <c r="S277" s="120" t="s">
        <v>972</v>
      </c>
      <c r="AH277" s="111">
        <f t="shared" si="8"/>
        <v>22</v>
      </c>
    </row>
    <row r="278" spans="1:38" s="134" customFormat="1" x14ac:dyDescent="0.4">
      <c r="A278" s="134" t="s">
        <v>860</v>
      </c>
      <c r="F278" s="135"/>
      <c r="H278" s="135"/>
      <c r="J278" s="135"/>
      <c r="L278" s="135"/>
      <c r="N278" s="128"/>
      <c r="O278" s="128"/>
      <c r="Q278" s="135"/>
      <c r="S278" s="135"/>
      <c r="U278" s="135"/>
      <c r="W278" s="135"/>
      <c r="X278" s="128"/>
      <c r="Z278" s="135"/>
      <c r="AC278" s="135"/>
      <c r="AE278" s="135"/>
      <c r="AG278" s="135"/>
      <c r="AH278" s="136">
        <f>SUM(AH247:AH277)</f>
        <v>778.87</v>
      </c>
    </row>
    <row r="279" spans="1:38" x14ac:dyDescent="0.4">
      <c r="D279" s="129"/>
      <c r="F279" s="129"/>
      <c r="H279" s="129"/>
    </row>
    <row r="280" spans="1:38" s="126" customFormat="1" x14ac:dyDescent="0.4">
      <c r="A280" s="126" t="s">
        <v>861</v>
      </c>
      <c r="F280" s="127"/>
      <c r="H280" s="127"/>
      <c r="J280" s="127"/>
      <c r="L280" s="127"/>
      <c r="N280" s="128"/>
      <c r="O280" s="128"/>
      <c r="Q280" s="127"/>
      <c r="S280" s="127"/>
      <c r="U280" s="127"/>
      <c r="W280" s="127"/>
      <c r="X280" s="128"/>
      <c r="Z280" s="127"/>
      <c r="AC280" s="127"/>
      <c r="AE280" s="127"/>
      <c r="AG280" s="127"/>
      <c r="AH280" s="111"/>
    </row>
    <row r="281" spans="1:38" x14ac:dyDescent="0.4">
      <c r="B281" s="103" t="s">
        <v>844</v>
      </c>
      <c r="D281" s="129" t="s">
        <v>282</v>
      </c>
      <c r="E281" s="111">
        <v>8</v>
      </c>
      <c r="F281" s="129"/>
      <c r="H281" s="129"/>
      <c r="R281" s="103">
        <v>13</v>
      </c>
      <c r="S281" s="120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9" t="s">
        <v>284</v>
      </c>
      <c r="E282" s="111">
        <v>8</v>
      </c>
      <c r="F282" s="129"/>
      <c r="H282" s="129"/>
      <c r="AH282" s="111">
        <f t="shared" si="9"/>
        <v>8</v>
      </c>
    </row>
    <row r="283" spans="1:38" x14ac:dyDescent="0.4">
      <c r="B283" s="103" t="s">
        <v>846</v>
      </c>
      <c r="D283" s="129" t="s">
        <v>285</v>
      </c>
      <c r="E283" s="111">
        <v>9.5</v>
      </c>
      <c r="F283" s="129"/>
      <c r="G283" s="111">
        <v>21</v>
      </c>
      <c r="H283" s="129"/>
      <c r="I283" s="111">
        <v>30</v>
      </c>
      <c r="Q283" s="120" t="s">
        <v>896</v>
      </c>
      <c r="R283" s="103">
        <v>15</v>
      </c>
      <c r="S283" s="120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9" t="s">
        <v>39</v>
      </c>
      <c r="E284" s="111">
        <v>7.5</v>
      </c>
      <c r="F284" s="129"/>
      <c r="H284" s="129"/>
      <c r="AF284" s="111">
        <v>7</v>
      </c>
      <c r="AG284" s="130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9" t="s">
        <v>40</v>
      </c>
      <c r="E285" s="111">
        <v>8</v>
      </c>
      <c r="F285" s="129"/>
      <c r="H285" s="129"/>
      <c r="R285" s="103">
        <v>12</v>
      </c>
      <c r="S285" s="120" t="s">
        <v>972</v>
      </c>
      <c r="AH285" s="111">
        <f t="shared" si="9"/>
        <v>20</v>
      </c>
    </row>
    <row r="286" spans="1:38" x14ac:dyDescent="0.4">
      <c r="B286" s="103" t="s">
        <v>849</v>
      </c>
      <c r="D286" s="129" t="s">
        <v>41</v>
      </c>
      <c r="E286" s="111">
        <v>7.5</v>
      </c>
      <c r="F286" s="129"/>
      <c r="H286" s="129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9" t="s">
        <v>42</v>
      </c>
      <c r="E287" s="111">
        <v>8</v>
      </c>
      <c r="F287" s="129"/>
      <c r="H287" s="129"/>
      <c r="I287" s="111">
        <v>8</v>
      </c>
      <c r="Q287" s="120" t="s">
        <v>896</v>
      </c>
      <c r="AF287" s="111">
        <v>37</v>
      </c>
      <c r="AG287" s="130" t="s">
        <v>1039</v>
      </c>
      <c r="AH287" s="111">
        <f t="shared" si="9"/>
        <v>53</v>
      </c>
    </row>
    <row r="288" spans="1:38" x14ac:dyDescent="0.4">
      <c r="B288" s="103" t="s">
        <v>844</v>
      </c>
      <c r="D288" s="129" t="s">
        <v>43</v>
      </c>
      <c r="E288" s="111">
        <v>6</v>
      </c>
      <c r="F288" s="129"/>
      <c r="H288" s="129"/>
      <c r="AF288" s="111">
        <v>6</v>
      </c>
      <c r="AG288" s="130" t="s">
        <v>1039</v>
      </c>
      <c r="AH288" s="111">
        <f t="shared" si="9"/>
        <v>12</v>
      </c>
    </row>
    <row r="289" spans="2:40" x14ac:dyDescent="0.4">
      <c r="B289" s="103" t="s">
        <v>845</v>
      </c>
      <c r="D289" s="129" t="s">
        <v>44</v>
      </c>
      <c r="E289" s="111">
        <v>6</v>
      </c>
      <c r="F289" s="129"/>
      <c r="G289" s="111">
        <v>13</v>
      </c>
      <c r="H289" s="129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9" t="s">
        <v>45</v>
      </c>
      <c r="E290" s="111">
        <v>6</v>
      </c>
      <c r="F290" s="129"/>
      <c r="H290" s="129"/>
      <c r="AH290" s="111">
        <f t="shared" si="9"/>
        <v>6</v>
      </c>
    </row>
    <row r="291" spans="2:40" x14ac:dyDescent="0.4">
      <c r="B291" s="103" t="s">
        <v>847</v>
      </c>
      <c r="D291" s="129" t="s">
        <v>46</v>
      </c>
      <c r="E291" s="111">
        <v>6</v>
      </c>
      <c r="F291" s="129"/>
      <c r="H291" s="129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9" t="s">
        <v>47</v>
      </c>
      <c r="F292" s="129"/>
      <c r="G292" s="111">
        <v>36</v>
      </c>
      <c r="H292" s="129"/>
      <c r="Q292" s="120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9" t="s">
        <v>48</v>
      </c>
      <c r="F293" s="129"/>
      <c r="H293" s="129"/>
      <c r="AH293" s="111">
        <f t="shared" si="9"/>
        <v>0</v>
      </c>
    </row>
    <row r="294" spans="2:40" x14ac:dyDescent="0.4">
      <c r="B294" s="103" t="s">
        <v>850</v>
      </c>
      <c r="D294" s="129" t="s">
        <v>49</v>
      </c>
      <c r="E294" s="111">
        <v>18</v>
      </c>
      <c r="F294" s="129"/>
      <c r="H294" s="129"/>
      <c r="AH294" s="111">
        <f t="shared" si="9"/>
        <v>18</v>
      </c>
    </row>
    <row r="295" spans="2:40" x14ac:dyDescent="0.4">
      <c r="B295" s="103" t="s">
        <v>844</v>
      </c>
      <c r="D295" s="129" t="s">
        <v>50</v>
      </c>
      <c r="F295" s="129"/>
      <c r="H295" s="129"/>
      <c r="AH295" s="111">
        <f t="shared" si="9"/>
        <v>0</v>
      </c>
    </row>
    <row r="296" spans="2:40" x14ac:dyDescent="0.4">
      <c r="B296" s="103" t="s">
        <v>845</v>
      </c>
      <c r="D296" s="129" t="s">
        <v>51</v>
      </c>
      <c r="F296" s="129"/>
      <c r="H296" s="129"/>
      <c r="R296" s="103">
        <v>7.3</v>
      </c>
      <c r="AF296" s="111">
        <v>20</v>
      </c>
      <c r="AG296" s="130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9" t="s">
        <v>52</v>
      </c>
      <c r="F297" s="129"/>
      <c r="H297" s="129"/>
      <c r="R297" s="103">
        <v>15</v>
      </c>
      <c r="S297" s="120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9" t="s">
        <v>53</v>
      </c>
      <c r="F298" s="129"/>
      <c r="H298" s="129"/>
      <c r="AF298" s="111">
        <v>29</v>
      </c>
      <c r="AG298" s="130" t="s">
        <v>974</v>
      </c>
      <c r="AH298" s="111">
        <f t="shared" si="9"/>
        <v>29</v>
      </c>
    </row>
    <row r="299" spans="2:40" x14ac:dyDescent="0.4">
      <c r="B299" s="103" t="s">
        <v>848</v>
      </c>
      <c r="D299" s="129" t="s">
        <v>54</v>
      </c>
      <c r="F299" s="129"/>
      <c r="H299" s="129"/>
      <c r="AH299" s="111">
        <f t="shared" si="9"/>
        <v>0</v>
      </c>
    </row>
    <row r="300" spans="2:40" x14ac:dyDescent="0.4">
      <c r="B300" s="103" t="s">
        <v>849</v>
      </c>
      <c r="D300" s="129" t="s">
        <v>55</v>
      </c>
      <c r="F300" s="129"/>
      <c r="H300" s="129"/>
      <c r="R300" s="103">
        <v>15</v>
      </c>
      <c r="S300" s="120" t="s">
        <v>972</v>
      </c>
      <c r="AF300" s="111">
        <v>12.6</v>
      </c>
      <c r="AG300" s="130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9" t="s">
        <v>56</v>
      </c>
      <c r="F301" s="129"/>
      <c r="H301" s="129"/>
      <c r="AH301" s="111">
        <f t="shared" si="9"/>
        <v>0</v>
      </c>
    </row>
    <row r="302" spans="2:40" x14ac:dyDescent="0.4">
      <c r="B302" s="103" t="s">
        <v>844</v>
      </c>
      <c r="D302" s="129" t="s">
        <v>57</v>
      </c>
      <c r="F302" s="129"/>
      <c r="H302" s="129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9" t="s">
        <v>58</v>
      </c>
      <c r="F303" s="129"/>
      <c r="H303" s="129"/>
      <c r="R303" s="103">
        <v>5.0999999999999996</v>
      </c>
      <c r="S303" s="120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9" t="s">
        <v>59</v>
      </c>
      <c r="F304" s="129"/>
      <c r="H304" s="129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9" t="s">
        <v>60</v>
      </c>
      <c r="F305" s="129"/>
      <c r="H305" s="129"/>
      <c r="AF305" s="111">
        <f>13+12</f>
        <v>25</v>
      </c>
      <c r="AG305" s="130" t="s">
        <v>1042</v>
      </c>
      <c r="AH305" s="111">
        <f t="shared" si="9"/>
        <v>25</v>
      </c>
    </row>
    <row r="306" spans="1:34" x14ac:dyDescent="0.4">
      <c r="B306" s="103" t="s">
        <v>848</v>
      </c>
      <c r="D306" s="129" t="s">
        <v>61</v>
      </c>
      <c r="F306" s="129"/>
      <c r="H306" s="129"/>
      <c r="AF306" s="111">
        <v>58</v>
      </c>
      <c r="AG306" s="130" t="s">
        <v>1036</v>
      </c>
      <c r="AH306" s="111">
        <f t="shared" si="9"/>
        <v>58</v>
      </c>
    </row>
    <row r="307" spans="1:34" x14ac:dyDescent="0.4">
      <c r="B307" s="103" t="s">
        <v>849</v>
      </c>
      <c r="D307" s="129" t="s">
        <v>62</v>
      </c>
      <c r="F307" s="129"/>
      <c r="H307" s="129"/>
      <c r="AF307" s="111">
        <f>78+78</f>
        <v>156</v>
      </c>
      <c r="AG307" s="130" t="s">
        <v>901</v>
      </c>
      <c r="AH307" s="111">
        <f t="shared" si="9"/>
        <v>156</v>
      </c>
    </row>
    <row r="308" spans="1:34" x14ac:dyDescent="0.4">
      <c r="B308" s="103" t="s">
        <v>850</v>
      </c>
      <c r="D308" s="129" t="s">
        <v>63</v>
      </c>
      <c r="F308" s="129"/>
      <c r="H308" s="129"/>
      <c r="AF308" s="111">
        <v>49</v>
      </c>
      <c r="AG308" s="130" t="s">
        <v>917</v>
      </c>
      <c r="AH308" s="111">
        <f t="shared" si="9"/>
        <v>49</v>
      </c>
    </row>
    <row r="309" spans="1:34" x14ac:dyDescent="0.4">
      <c r="B309" s="103" t="s">
        <v>844</v>
      </c>
      <c r="D309" s="129" t="s">
        <v>64</v>
      </c>
      <c r="F309" s="129"/>
      <c r="H309" s="129"/>
      <c r="AH309" s="111">
        <f t="shared" si="9"/>
        <v>0</v>
      </c>
    </row>
    <row r="310" spans="1:34" x14ac:dyDescent="0.4">
      <c r="B310" s="103" t="s">
        <v>845</v>
      </c>
      <c r="D310" s="129" t="s">
        <v>65</v>
      </c>
      <c r="F310" s="129"/>
      <c r="H310" s="129"/>
      <c r="R310" s="103">
        <v>15</v>
      </c>
      <c r="S310" s="120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9" t="s">
        <v>66</v>
      </c>
      <c r="F311" s="129"/>
      <c r="H311" s="129"/>
      <c r="AF311" s="111">
        <v>100</v>
      </c>
      <c r="AG311" s="130" t="s">
        <v>1043</v>
      </c>
      <c r="AH311" s="111">
        <f t="shared" si="9"/>
        <v>100</v>
      </c>
    </row>
    <row r="312" spans="1:34" s="134" customFormat="1" x14ac:dyDescent="0.4">
      <c r="A312" s="134" t="s">
        <v>868</v>
      </c>
      <c r="F312" s="135"/>
      <c r="H312" s="135"/>
      <c r="J312" s="135"/>
      <c r="L312" s="135"/>
      <c r="N312" s="128"/>
      <c r="O312" s="128"/>
      <c r="Q312" s="135"/>
      <c r="S312" s="135"/>
      <c r="U312" s="135"/>
      <c r="W312" s="135"/>
      <c r="X312" s="128"/>
      <c r="Z312" s="135"/>
      <c r="AC312" s="135"/>
      <c r="AE312" s="135"/>
      <c r="AG312" s="135"/>
      <c r="AH312" s="136">
        <f>SUM(AH281:AH311)</f>
        <v>884.75</v>
      </c>
    </row>
    <row r="313" spans="1:34" x14ac:dyDescent="0.4">
      <c r="D313" s="129"/>
      <c r="F313" s="129"/>
      <c r="H313" s="129"/>
    </row>
    <row r="314" spans="1:34" s="126" customFormat="1" x14ac:dyDescent="0.4">
      <c r="A314" s="126" t="s">
        <v>869</v>
      </c>
      <c r="F314" s="127"/>
      <c r="H314" s="127"/>
      <c r="J314" s="127"/>
      <c r="L314" s="127"/>
      <c r="N314" s="128"/>
      <c r="O314" s="128"/>
      <c r="Q314" s="127"/>
      <c r="S314" s="127"/>
      <c r="U314" s="127"/>
      <c r="W314" s="127"/>
      <c r="X314" s="128"/>
      <c r="Z314" s="127"/>
      <c r="AC314" s="127"/>
      <c r="AE314" s="127"/>
      <c r="AG314" s="127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20" t="s">
        <v>949</v>
      </c>
      <c r="AF315" s="111">
        <f>106+80</f>
        <v>186</v>
      </c>
      <c r="AG315" s="130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30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20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30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30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50" t="s">
        <v>79</v>
      </c>
      <c r="E326" s="111">
        <f>5.4+1.5</f>
        <v>6.9</v>
      </c>
      <c r="F326" s="150"/>
      <c r="G326" s="111">
        <v>10</v>
      </c>
      <c r="H326" s="150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50" t="s">
        <v>83</v>
      </c>
      <c r="E330" s="111">
        <v>13</v>
      </c>
      <c r="F330" s="150"/>
      <c r="G330" s="111">
        <v>10</v>
      </c>
      <c r="H330" s="150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30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30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50" t="s">
        <v>91</v>
      </c>
      <c r="F338" s="150"/>
      <c r="H338" s="150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50" t="s">
        <v>94</v>
      </c>
      <c r="E341" s="111">
        <v>10.4</v>
      </c>
      <c r="F341" s="150"/>
      <c r="G341" s="111">
        <v>11</v>
      </c>
      <c r="H341" s="150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30" t="s">
        <v>1036</v>
      </c>
      <c r="AH344" s="111">
        <f t="shared" si="10"/>
        <v>156.68</v>
      </c>
    </row>
    <row r="345" spans="1:37" s="134" customFormat="1" x14ac:dyDescent="0.4">
      <c r="A345" s="134" t="s">
        <v>870</v>
      </c>
      <c r="F345" s="135"/>
      <c r="H345" s="135"/>
      <c r="J345" s="135"/>
      <c r="L345" s="135"/>
      <c r="N345" s="128"/>
      <c r="O345" s="128"/>
      <c r="Q345" s="135"/>
      <c r="S345" s="135"/>
      <c r="U345" s="135"/>
      <c r="W345" s="135"/>
      <c r="X345" s="128"/>
      <c r="Z345" s="135"/>
      <c r="AC345" s="135"/>
      <c r="AE345" s="135"/>
      <c r="AG345" s="135"/>
      <c r="AH345" s="136">
        <f>SUM(AH315:AH344)</f>
        <v>1274.98</v>
      </c>
    </row>
    <row r="347" spans="1:37" s="126" customFormat="1" x14ac:dyDescent="0.4">
      <c r="A347" s="126" t="s">
        <v>871</v>
      </c>
      <c r="F347" s="127"/>
      <c r="H347" s="127"/>
      <c r="J347" s="127"/>
      <c r="L347" s="127"/>
      <c r="N347" s="128"/>
      <c r="O347" s="128"/>
      <c r="Q347" s="127"/>
      <c r="S347" s="127"/>
      <c r="U347" s="127"/>
      <c r="W347" s="127"/>
      <c r="X347" s="128"/>
      <c r="Z347" s="127"/>
      <c r="AC347" s="127"/>
      <c r="AE347" s="127"/>
      <c r="AG347" s="127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20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20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50" t="s">
        <v>106</v>
      </c>
      <c r="F355" s="150"/>
      <c r="H355" s="150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50" t="s">
        <v>110</v>
      </c>
      <c r="F359" s="150"/>
      <c r="G359" s="111">
        <v>12</v>
      </c>
      <c r="H359" s="150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30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51" t="s">
        <v>291</v>
      </c>
      <c r="F365" s="151"/>
      <c r="G365" s="111">
        <v>7.5</v>
      </c>
      <c r="H365" s="151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20" t="s">
        <v>950</v>
      </c>
      <c r="AH367" s="111">
        <f t="shared" si="11"/>
        <v>65.2</v>
      </c>
    </row>
    <row r="368" spans="2:34" x14ac:dyDescent="0.4">
      <c r="B368" s="103" t="s">
        <v>848</v>
      </c>
      <c r="D368" s="150" t="s">
        <v>119</v>
      </c>
      <c r="F368" s="150"/>
      <c r="G368" s="111">
        <v>13</v>
      </c>
      <c r="H368" s="150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20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50" t="s">
        <v>124</v>
      </c>
      <c r="E373" s="111">
        <v>7</v>
      </c>
      <c r="F373" s="150"/>
      <c r="G373" s="111">
        <v>8</v>
      </c>
      <c r="H373" s="150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52" t="s">
        <v>312</v>
      </c>
      <c r="F378" s="152"/>
      <c r="H378" s="152"/>
      <c r="I378" s="111">
        <v>9.5</v>
      </c>
      <c r="R378" s="103">
        <f>4+20</f>
        <v>24</v>
      </c>
      <c r="AH378" s="111">
        <f t="shared" si="11"/>
        <v>33.5</v>
      </c>
    </row>
    <row r="379" spans="1:37" s="134" customFormat="1" x14ac:dyDescent="0.4">
      <c r="A379" s="134" t="s">
        <v>872</v>
      </c>
      <c r="F379" s="135"/>
      <c r="H379" s="135"/>
      <c r="J379" s="135"/>
      <c r="L379" s="135"/>
      <c r="N379" s="128"/>
      <c r="O379" s="128"/>
      <c r="Q379" s="135"/>
      <c r="S379" s="135"/>
      <c r="U379" s="135"/>
      <c r="W379" s="135"/>
      <c r="X379" s="128"/>
      <c r="Z379" s="135"/>
      <c r="AC379" s="135"/>
      <c r="AE379" s="135"/>
      <c r="AG379" s="135"/>
      <c r="AH379" s="136">
        <f>SUM(AH348:AH378)</f>
        <v>1305.3599999999999</v>
      </c>
    </row>
    <row r="380" spans="1:37" x14ac:dyDescent="0.4">
      <c r="D380" s="152"/>
      <c r="F380" s="152"/>
      <c r="H380" s="152"/>
    </row>
    <row r="381" spans="1:37" s="126" customFormat="1" x14ac:dyDescent="0.4">
      <c r="A381" s="126" t="s">
        <v>878</v>
      </c>
      <c r="F381" s="127"/>
      <c r="H381" s="127"/>
      <c r="J381" s="127"/>
      <c r="L381" s="127"/>
      <c r="N381" s="128"/>
      <c r="O381" s="128"/>
      <c r="Q381" s="127"/>
      <c r="S381" s="127"/>
      <c r="U381" s="127"/>
      <c r="W381" s="127"/>
      <c r="X381" s="128"/>
      <c r="Z381" s="127"/>
      <c r="AC381" s="127"/>
      <c r="AE381" s="127"/>
      <c r="AG381" s="127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50" t="s">
        <v>295</v>
      </c>
      <c r="E385" s="111">
        <v>6.2</v>
      </c>
      <c r="F385" s="150"/>
      <c r="H385" s="150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30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30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30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50" t="s">
        <v>299</v>
      </c>
      <c r="E389" s="111">
        <v>5.2</v>
      </c>
      <c r="F389" s="150"/>
      <c r="G389" s="111">
        <v>12.5</v>
      </c>
      <c r="H389" s="150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30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50" t="s">
        <v>303</v>
      </c>
      <c r="F393" s="150"/>
      <c r="G393" s="111">
        <v>12.5</v>
      </c>
      <c r="H393" s="150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30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50" t="s">
        <v>309</v>
      </c>
      <c r="F399" s="150"/>
      <c r="G399" s="111">
        <v>13</v>
      </c>
      <c r="H399" s="150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50" t="s">
        <v>313</v>
      </c>
      <c r="F402" s="150"/>
      <c r="G402" s="111">
        <v>10.5</v>
      </c>
      <c r="H402" s="150"/>
      <c r="I402" s="111">
        <v>10</v>
      </c>
      <c r="AF402" s="111">
        <f>12.6+38</f>
        <v>50.6</v>
      </c>
      <c r="AG402" s="130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30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51" t="s">
        <v>317</v>
      </c>
      <c r="F406" s="151"/>
      <c r="G406" s="111">
        <v>10</v>
      </c>
      <c r="H406" s="151"/>
      <c r="AF406" s="111">
        <v>12</v>
      </c>
      <c r="AG406" s="130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20" t="s">
        <v>960</v>
      </c>
      <c r="AH408" s="111">
        <f t="shared" si="12"/>
        <v>29</v>
      </c>
    </row>
    <row r="409" spans="1:39" x14ac:dyDescent="0.4">
      <c r="B409" s="103" t="s">
        <v>844</v>
      </c>
      <c r="D409" s="150" t="s">
        <v>320</v>
      </c>
      <c r="E409" s="111">
        <v>7.5</v>
      </c>
      <c r="F409" s="150"/>
      <c r="G409" s="111">
        <v>11</v>
      </c>
      <c r="H409" s="150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30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30" t="s">
        <v>1056</v>
      </c>
      <c r="AH411" s="111">
        <f t="shared" si="12"/>
        <v>42.5</v>
      </c>
    </row>
    <row r="412" spans="1:39" s="134" customFormat="1" x14ac:dyDescent="0.4">
      <c r="A412" s="134" t="s">
        <v>879</v>
      </c>
      <c r="F412" s="135"/>
      <c r="H412" s="135"/>
      <c r="J412" s="135"/>
      <c r="L412" s="135"/>
      <c r="N412" s="128"/>
      <c r="O412" s="128"/>
      <c r="Q412" s="135"/>
      <c r="S412" s="135"/>
      <c r="U412" s="135"/>
      <c r="W412" s="135"/>
      <c r="X412" s="128"/>
      <c r="Z412" s="135"/>
      <c r="AC412" s="135"/>
      <c r="AE412" s="135"/>
      <c r="AG412" s="135"/>
      <c r="AH412" s="136">
        <f>SUM(AH382:AH411)</f>
        <v>1462.69</v>
      </c>
    </row>
    <row r="414" spans="1:39" s="126" customFormat="1" x14ac:dyDescent="0.4">
      <c r="A414" s="126" t="s">
        <v>880</v>
      </c>
      <c r="F414" s="127"/>
      <c r="H414" s="127"/>
      <c r="J414" s="127"/>
      <c r="L414" s="127"/>
      <c r="N414" s="128"/>
      <c r="O414" s="128"/>
      <c r="Q414" s="127"/>
      <c r="S414" s="127"/>
      <c r="U414" s="127"/>
      <c r="W414" s="127"/>
      <c r="X414" s="128"/>
      <c r="Z414" s="127"/>
      <c r="AC414" s="127"/>
      <c r="AE414" s="127"/>
      <c r="AG414" s="127"/>
      <c r="AH414" s="111"/>
    </row>
    <row r="415" spans="1:39" x14ac:dyDescent="0.4">
      <c r="B415" s="103" t="s">
        <v>847</v>
      </c>
      <c r="D415" s="129" t="s">
        <v>323</v>
      </c>
      <c r="F415" s="129"/>
      <c r="H415" s="129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9" t="s">
        <v>324</v>
      </c>
      <c r="F416" s="129"/>
      <c r="H416" s="129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3" t="s">
        <v>325</v>
      </c>
      <c r="F417" s="153"/>
      <c r="G417" s="111">
        <v>15</v>
      </c>
      <c r="H417" s="153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9" t="s">
        <v>326</v>
      </c>
      <c r="E418" s="111">
        <v>8</v>
      </c>
      <c r="F418" s="129"/>
      <c r="G418" s="111">
        <v>7.5</v>
      </c>
      <c r="H418" s="129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3" t="s">
        <v>327</v>
      </c>
      <c r="E419" s="111">
        <v>6</v>
      </c>
      <c r="F419" s="153"/>
      <c r="G419" s="111">
        <v>9.5</v>
      </c>
      <c r="H419" s="153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52" t="s">
        <v>328</v>
      </c>
      <c r="E420" s="111">
        <v>7.7</v>
      </c>
      <c r="F420" s="152"/>
      <c r="G420" s="111">
        <v>7</v>
      </c>
      <c r="H420" s="152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9" t="s">
        <v>329</v>
      </c>
      <c r="E421" s="111">
        <v>4.2</v>
      </c>
      <c r="F421" s="129"/>
      <c r="G421" s="111">
        <v>17.600000000000001</v>
      </c>
      <c r="H421" s="129"/>
      <c r="AF421" s="111">
        <v>20</v>
      </c>
      <c r="AG421" s="130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9" t="s">
        <v>330</v>
      </c>
      <c r="E422" s="111">
        <v>8</v>
      </c>
      <c r="F422" s="129"/>
      <c r="G422" s="111">
        <v>10.5</v>
      </c>
      <c r="H422" s="129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52" t="s">
        <v>331</v>
      </c>
      <c r="F423" s="152"/>
      <c r="G423" s="111">
        <v>10.5</v>
      </c>
      <c r="H423" s="152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9" t="s">
        <v>332</v>
      </c>
      <c r="F424" s="129"/>
      <c r="G424" s="111">
        <v>10</v>
      </c>
      <c r="H424" s="129"/>
      <c r="I424" s="111">
        <v>13</v>
      </c>
      <c r="AA424" s="111">
        <v>10</v>
      </c>
      <c r="AF424" s="111">
        <v>29.9</v>
      </c>
      <c r="AG424" s="130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9" t="s">
        <v>333</v>
      </c>
      <c r="E425" s="111">
        <v>4.2</v>
      </c>
      <c r="F425" s="129"/>
      <c r="G425" s="111">
        <v>8.5</v>
      </c>
      <c r="H425" s="129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9" t="s">
        <v>334</v>
      </c>
      <c r="E426" s="111">
        <v>4.2</v>
      </c>
      <c r="F426" s="129"/>
      <c r="G426" s="111">
        <v>8</v>
      </c>
      <c r="H426" s="129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52" t="s">
        <v>335</v>
      </c>
      <c r="E427" s="111">
        <v>4.7</v>
      </c>
      <c r="F427" s="152"/>
      <c r="G427" s="111">
        <v>7.5</v>
      </c>
      <c r="H427" s="152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9" t="s">
        <v>336</v>
      </c>
      <c r="E428" s="111">
        <v>5.2</v>
      </c>
      <c r="F428" s="129"/>
      <c r="G428" s="111">
        <v>14</v>
      </c>
      <c r="H428" s="129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9" t="s">
        <v>337</v>
      </c>
      <c r="E429" s="111">
        <v>10.5</v>
      </c>
      <c r="F429" s="129"/>
      <c r="H429" s="129"/>
      <c r="I429" s="111">
        <v>15</v>
      </c>
      <c r="AF429" s="111">
        <v>209</v>
      </c>
      <c r="AG429" s="130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9" t="s">
        <v>338</v>
      </c>
      <c r="F430" s="129"/>
      <c r="G430" s="111">
        <v>14</v>
      </c>
      <c r="H430" s="129"/>
      <c r="I430" s="111">
        <v>21</v>
      </c>
      <c r="AF430" s="111">
        <v>20</v>
      </c>
      <c r="AG430" s="130" t="s">
        <v>1057</v>
      </c>
      <c r="AH430" s="111">
        <f t="shared" si="13"/>
        <v>55</v>
      </c>
    </row>
    <row r="431" spans="2:39" x14ac:dyDescent="0.4">
      <c r="B431" s="103" t="s">
        <v>849</v>
      </c>
      <c r="D431" s="129" t="s">
        <v>339</v>
      </c>
      <c r="F431" s="129"/>
      <c r="G431" s="111">
        <v>12</v>
      </c>
      <c r="H431" s="129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52" t="s">
        <v>340</v>
      </c>
      <c r="E432" s="111">
        <v>3.2</v>
      </c>
      <c r="F432" s="152"/>
      <c r="H432" s="152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9" t="s">
        <v>341</v>
      </c>
      <c r="E433" s="111">
        <v>3.2</v>
      </c>
      <c r="F433" s="129"/>
      <c r="G433" s="111">
        <v>10</v>
      </c>
      <c r="H433" s="129"/>
      <c r="AH433" s="111">
        <f t="shared" si="13"/>
        <v>13.2</v>
      </c>
    </row>
    <row r="434" spans="1:52" x14ac:dyDescent="0.4">
      <c r="B434" s="103" t="s">
        <v>845</v>
      </c>
      <c r="D434" s="129" t="s">
        <v>342</v>
      </c>
      <c r="E434" s="111">
        <v>5.2</v>
      </c>
      <c r="F434" s="129"/>
      <c r="G434" s="111">
        <v>7.5</v>
      </c>
      <c r="H434" s="129"/>
      <c r="I434" s="111">
        <v>11</v>
      </c>
      <c r="AF434" s="111">
        <f>44.73+17+4.9</f>
        <v>66.63</v>
      </c>
      <c r="AG434" s="130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9" t="s">
        <v>343</v>
      </c>
      <c r="E435" s="111">
        <v>5.2</v>
      </c>
      <c r="F435" s="129"/>
      <c r="G435" s="111">
        <v>8.5</v>
      </c>
      <c r="H435" s="129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3" t="s">
        <v>344</v>
      </c>
      <c r="E436" s="111">
        <v>7</v>
      </c>
      <c r="F436" s="153"/>
      <c r="G436" s="111">
        <v>11</v>
      </c>
      <c r="H436" s="153"/>
      <c r="I436" s="111">
        <v>15</v>
      </c>
      <c r="AF436" s="111">
        <f>20+12.6</f>
        <v>32.6</v>
      </c>
      <c r="AG436" s="130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9" t="s">
        <v>345</v>
      </c>
      <c r="F437" s="129"/>
      <c r="G437" s="111">
        <v>7</v>
      </c>
      <c r="H437" s="129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7" t="s">
        <v>346</v>
      </c>
      <c r="F438" s="137"/>
      <c r="G438" s="111">
        <v>27</v>
      </c>
      <c r="H438" s="137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7" t="s">
        <v>347</v>
      </c>
      <c r="E439" s="111">
        <v>3.2</v>
      </c>
      <c r="F439" s="137"/>
      <c r="G439" s="111">
        <v>10</v>
      </c>
      <c r="H439" s="137"/>
      <c r="R439" s="103">
        <f>2.5+12.25+7.5</f>
        <v>22.25</v>
      </c>
      <c r="S439" s="120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7" t="s">
        <v>348</v>
      </c>
      <c r="E440" s="111">
        <v>5.6</v>
      </c>
      <c r="F440" s="137"/>
      <c r="G440" s="111">
        <v>15</v>
      </c>
      <c r="H440" s="137"/>
      <c r="I440" s="111">
        <v>12.5</v>
      </c>
      <c r="R440" s="103">
        <f>9+16</f>
        <v>25</v>
      </c>
      <c r="S440" s="120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4" t="s">
        <v>349</v>
      </c>
      <c r="E441" s="111">
        <v>5</v>
      </c>
      <c r="F441" s="154"/>
      <c r="G441" s="111">
        <v>9</v>
      </c>
      <c r="H441" s="154"/>
      <c r="AH441" s="111">
        <f t="shared" si="13"/>
        <v>14</v>
      </c>
    </row>
    <row r="442" spans="1:52" x14ac:dyDescent="0.4">
      <c r="B442" s="103" t="s">
        <v>846</v>
      </c>
      <c r="D442" s="155" t="s">
        <v>350</v>
      </c>
      <c r="E442" s="111">
        <v>5.5</v>
      </c>
      <c r="F442" s="155"/>
      <c r="G442" s="111">
        <v>4.2</v>
      </c>
      <c r="H442" s="155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7" t="s">
        <v>351</v>
      </c>
      <c r="F443" s="137"/>
      <c r="G443" s="111">
        <v>17</v>
      </c>
      <c r="H443" s="137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7" t="s">
        <v>352</v>
      </c>
      <c r="F444" s="137"/>
      <c r="G444" s="111">
        <v>14</v>
      </c>
      <c r="H444" s="137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7" t="s">
        <v>353</v>
      </c>
      <c r="F445" s="137"/>
      <c r="H445" s="137"/>
      <c r="I445" s="111">
        <v>10.5</v>
      </c>
      <c r="AA445" s="111">
        <v>30</v>
      </c>
      <c r="AH445" s="111">
        <f t="shared" si="13"/>
        <v>40.5</v>
      </c>
    </row>
    <row r="446" spans="1:52" s="134" customFormat="1" x14ac:dyDescent="0.4">
      <c r="A446" s="134" t="s">
        <v>882</v>
      </c>
      <c r="F446" s="135"/>
      <c r="H446" s="135"/>
      <c r="J446" s="135"/>
      <c r="L446" s="135"/>
      <c r="N446" s="128"/>
      <c r="O446" s="128"/>
      <c r="Q446" s="135"/>
      <c r="S446" s="135"/>
      <c r="U446" s="135"/>
      <c r="W446" s="135"/>
      <c r="X446" s="128"/>
      <c r="Z446" s="135"/>
      <c r="AC446" s="135"/>
      <c r="AE446" s="135"/>
      <c r="AG446" s="135"/>
      <c r="AH446" s="136">
        <f>SUM(AH415:AH445)</f>
        <v>1270.99</v>
      </c>
    </row>
    <row r="447" spans="1:52" s="139" customFormat="1" ht="33" x14ac:dyDescent="0.65">
      <c r="A447" s="138">
        <v>2017</v>
      </c>
      <c r="D447" s="140"/>
      <c r="E447" s="141"/>
      <c r="F447" s="140"/>
      <c r="G447" s="141"/>
      <c r="H447" s="140"/>
      <c r="I447" s="141"/>
      <c r="J447" s="142"/>
      <c r="K447" s="141"/>
      <c r="L447" s="142"/>
      <c r="M447" s="141"/>
      <c r="N447" s="141"/>
      <c r="O447" s="141"/>
      <c r="P447" s="141"/>
      <c r="Q447" s="142"/>
      <c r="S447" s="142"/>
      <c r="T447" s="141"/>
      <c r="U447" s="142"/>
      <c r="W447" s="142"/>
      <c r="X447" s="141"/>
      <c r="Z447" s="142"/>
      <c r="AA447" s="141"/>
      <c r="AC447" s="142"/>
      <c r="AD447" s="141"/>
      <c r="AE447" s="142"/>
      <c r="AF447" s="141"/>
      <c r="AG447" s="143"/>
      <c r="AH447" s="156">
        <f>SUM(AH155:AH446)/2</f>
        <v>11330.490000000005</v>
      </c>
      <c r="AI447" s="145"/>
      <c r="AJ447" s="145"/>
      <c r="AL447" s="141"/>
      <c r="AO447" s="146"/>
      <c r="AP447" s="146"/>
      <c r="AQ447" s="146"/>
      <c r="AR447" s="146"/>
      <c r="AS447" s="147"/>
      <c r="AT447" s="147"/>
      <c r="AU447" s="147"/>
      <c r="AV447" s="147"/>
      <c r="AW447" s="148"/>
      <c r="AX447" s="148"/>
      <c r="AY447" s="148"/>
      <c r="AZ447" s="148"/>
    </row>
    <row r="448" spans="1:52" s="157" customFormat="1" x14ac:dyDescent="0.4">
      <c r="D448" s="158"/>
      <c r="E448" s="159"/>
      <c r="F448" s="158"/>
      <c r="G448" s="159"/>
      <c r="H448" s="158"/>
      <c r="I448" s="159"/>
      <c r="J448" s="160"/>
      <c r="K448" s="159"/>
      <c r="L448" s="160"/>
      <c r="M448" s="159"/>
      <c r="N448" s="159"/>
      <c r="O448" s="159"/>
      <c r="P448" s="159"/>
      <c r="Q448" s="160"/>
      <c r="S448" s="160"/>
      <c r="T448" s="159"/>
      <c r="U448" s="160"/>
      <c r="W448" s="160"/>
      <c r="X448" s="159"/>
      <c r="Z448" s="160"/>
      <c r="AA448" s="159"/>
      <c r="AC448" s="160"/>
      <c r="AD448" s="159"/>
      <c r="AE448" s="160"/>
      <c r="AF448" s="159"/>
      <c r="AG448" s="161"/>
      <c r="AH448" s="159"/>
      <c r="AI448" s="162"/>
      <c r="AJ448" s="162"/>
      <c r="AL448" s="159"/>
      <c r="AO448" s="163"/>
      <c r="AP448" s="163"/>
      <c r="AQ448" s="163"/>
      <c r="AR448" s="163"/>
      <c r="AS448" s="164"/>
      <c r="AT448" s="164"/>
      <c r="AU448" s="164"/>
      <c r="AV448" s="164"/>
      <c r="AW448" s="165"/>
      <c r="AX448" s="165"/>
      <c r="AY448" s="165"/>
      <c r="AZ448" s="165"/>
    </row>
    <row r="449" spans="1:34" ht="28.5" x14ac:dyDescent="0.55000000000000004">
      <c r="B449" s="166">
        <v>2018</v>
      </c>
      <c r="D449" s="137"/>
      <c r="F449" s="137"/>
      <c r="H449" s="137"/>
    </row>
    <row r="450" spans="1:34" s="126" customFormat="1" x14ac:dyDescent="0.4">
      <c r="A450" s="126" t="s">
        <v>883</v>
      </c>
      <c r="F450" s="127"/>
      <c r="H450" s="127"/>
      <c r="J450" s="127"/>
      <c r="L450" s="127"/>
      <c r="N450" s="128"/>
      <c r="O450" s="128"/>
      <c r="Q450" s="127"/>
      <c r="S450" s="127"/>
      <c r="U450" s="127"/>
      <c r="W450" s="127"/>
      <c r="X450" s="128"/>
      <c r="Z450" s="127"/>
      <c r="AC450" s="127"/>
      <c r="AE450" s="127"/>
      <c r="AG450" s="127"/>
      <c r="AH450" s="111"/>
    </row>
    <row r="451" spans="1:34" x14ac:dyDescent="0.4">
      <c r="B451" s="103" t="s">
        <v>850</v>
      </c>
      <c r="D451" s="137" t="s">
        <v>691</v>
      </c>
      <c r="F451" s="137"/>
      <c r="G451" s="111">
        <v>15.5</v>
      </c>
      <c r="H451" s="137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7" t="s">
        <v>692</v>
      </c>
      <c r="E452" s="111">
        <v>7.5</v>
      </c>
      <c r="F452" s="137"/>
      <c r="G452" s="111">
        <v>7.5</v>
      </c>
      <c r="H452" s="137"/>
      <c r="AH452" s="111">
        <f t="shared" si="14"/>
        <v>15</v>
      </c>
    </row>
    <row r="453" spans="1:34" x14ac:dyDescent="0.4">
      <c r="B453" s="103" t="s">
        <v>845</v>
      </c>
      <c r="D453" s="137" t="s">
        <v>693</v>
      </c>
      <c r="F453" s="137"/>
      <c r="G453" s="111">
        <v>16</v>
      </c>
      <c r="H453" s="137"/>
      <c r="T453" s="111">
        <v>44</v>
      </c>
      <c r="AF453" s="111">
        <v>30</v>
      </c>
      <c r="AG453" s="130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7" t="s">
        <v>694</v>
      </c>
      <c r="F454" s="137"/>
      <c r="G454" s="111">
        <v>7.5</v>
      </c>
      <c r="H454" s="137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7" t="s">
        <v>695</v>
      </c>
      <c r="F455" s="137"/>
      <c r="G455" s="111">
        <v>7.5</v>
      </c>
      <c r="H455" s="137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7" t="s">
        <v>696</v>
      </c>
      <c r="F456" s="137"/>
      <c r="G456" s="111">
        <v>8.5</v>
      </c>
      <c r="H456" s="137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7" t="s">
        <v>697</v>
      </c>
      <c r="F457" s="137"/>
      <c r="G457" s="111">
        <v>16</v>
      </c>
      <c r="H457" s="137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7" t="s">
        <v>698</v>
      </c>
      <c r="E458" s="111">
        <v>9.5</v>
      </c>
      <c r="F458" s="137"/>
      <c r="H458" s="137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7" t="s">
        <v>699</v>
      </c>
      <c r="F459" s="137"/>
      <c r="G459" s="111">
        <v>13</v>
      </c>
      <c r="H459" s="137"/>
      <c r="I459" s="111">
        <v>12</v>
      </c>
      <c r="AF459" s="111">
        <f>15+24</f>
        <v>39</v>
      </c>
      <c r="AG459" s="130" t="s">
        <v>1061</v>
      </c>
      <c r="AH459" s="111">
        <f t="shared" si="14"/>
        <v>64</v>
      </c>
    </row>
    <row r="460" spans="1:34" x14ac:dyDescent="0.4">
      <c r="B460" s="103" t="s">
        <v>845</v>
      </c>
      <c r="D460" s="137" t="s">
        <v>700</v>
      </c>
      <c r="F460" s="137"/>
      <c r="G460" s="111">
        <v>10</v>
      </c>
      <c r="H460" s="137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7" t="s">
        <v>701</v>
      </c>
      <c r="F461" s="137"/>
      <c r="G461" s="111">
        <v>7</v>
      </c>
      <c r="H461" s="137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7" t="s">
        <v>702</v>
      </c>
      <c r="F462" s="137"/>
      <c r="H462" s="137"/>
      <c r="R462" s="103">
        <v>2.8</v>
      </c>
      <c r="AF462" s="111">
        <v>66.8</v>
      </c>
      <c r="AG462" s="120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7" t="s">
        <v>703</v>
      </c>
      <c r="F463" s="137"/>
      <c r="G463" s="111">
        <v>23</v>
      </c>
      <c r="H463" s="137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7" t="s">
        <v>704</v>
      </c>
      <c r="F464" s="137"/>
      <c r="G464" s="111">
        <v>7</v>
      </c>
      <c r="H464" s="137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7" t="s">
        <v>705</v>
      </c>
      <c r="E465" s="111">
        <v>3</v>
      </c>
      <c r="F465" s="137"/>
      <c r="H465" s="137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7" t="s">
        <v>706</v>
      </c>
      <c r="F466" s="137"/>
      <c r="G466" s="111">
        <v>10.5</v>
      </c>
      <c r="H466" s="137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7" t="s">
        <v>707</v>
      </c>
      <c r="E467" s="111">
        <v>2</v>
      </c>
      <c r="F467" s="137"/>
      <c r="G467" s="111">
        <v>8.5</v>
      </c>
      <c r="H467" s="137"/>
      <c r="I467" s="111">
        <v>15</v>
      </c>
      <c r="AF467" s="111">
        <v>15</v>
      </c>
      <c r="AG467" s="130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7" t="s">
        <v>708</v>
      </c>
      <c r="F468" s="137"/>
      <c r="G468" s="111">
        <v>9.5</v>
      </c>
      <c r="H468" s="137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7" t="s">
        <v>709</v>
      </c>
      <c r="F469" s="137"/>
      <c r="G469" s="111">
        <v>9</v>
      </c>
      <c r="H469" s="137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7" t="s">
        <v>710</v>
      </c>
      <c r="F470" s="137"/>
      <c r="G470" s="111">
        <v>14</v>
      </c>
      <c r="H470" s="137"/>
      <c r="I470" s="111">
        <v>14.7</v>
      </c>
      <c r="Q470" s="120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7" t="s">
        <v>711</v>
      </c>
      <c r="F471" s="137"/>
      <c r="G471" s="111">
        <v>11</v>
      </c>
      <c r="H471" s="137"/>
      <c r="I471" s="111">
        <v>53</v>
      </c>
      <c r="Q471" s="120" t="s">
        <v>953</v>
      </c>
      <c r="AH471" s="111">
        <f t="shared" si="14"/>
        <v>64</v>
      </c>
    </row>
    <row r="472" spans="2:38" x14ac:dyDescent="0.4">
      <c r="B472" s="103" t="s">
        <v>850</v>
      </c>
      <c r="D472" s="137" t="s">
        <v>712</v>
      </c>
      <c r="F472" s="137"/>
      <c r="G472" s="111">
        <v>8</v>
      </c>
      <c r="H472" s="137"/>
      <c r="T472" s="111">
        <v>32.799999999999997</v>
      </c>
      <c r="AF472" s="111">
        <v>12.6</v>
      </c>
      <c r="AG472" s="130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7" t="s">
        <v>713</v>
      </c>
      <c r="E473" s="111">
        <v>10</v>
      </c>
      <c r="F473" s="137"/>
      <c r="G473" s="111">
        <v>12</v>
      </c>
      <c r="H473" s="137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7" t="s">
        <v>714</v>
      </c>
      <c r="F474" s="137"/>
      <c r="G474" s="111">
        <v>10</v>
      </c>
      <c r="H474" s="137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7" t="s">
        <v>715</v>
      </c>
      <c r="F475" s="137"/>
      <c r="H475" s="137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7" t="s">
        <v>716</v>
      </c>
      <c r="F476" s="137"/>
      <c r="G476" s="111">
        <v>15</v>
      </c>
      <c r="H476" s="137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7" t="s">
        <v>717</v>
      </c>
      <c r="F477" s="137"/>
      <c r="H477" s="137"/>
      <c r="Y477" s="111"/>
      <c r="AB477" s="111"/>
      <c r="AF477" s="111">
        <v>20</v>
      </c>
      <c r="AG477" s="130" t="s">
        <v>1057</v>
      </c>
      <c r="AH477" s="111">
        <f t="shared" si="14"/>
        <v>20</v>
      </c>
    </row>
    <row r="478" spans="2:38" x14ac:dyDescent="0.4">
      <c r="B478" s="103" t="s">
        <v>849</v>
      </c>
      <c r="D478" s="137" t="s">
        <v>718</v>
      </c>
      <c r="F478" s="137"/>
      <c r="H478" s="137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7" t="s">
        <v>719</v>
      </c>
      <c r="F479" s="137"/>
      <c r="G479" s="111">
        <v>45</v>
      </c>
      <c r="H479" s="137"/>
      <c r="AA479" s="111">
        <v>20</v>
      </c>
      <c r="AF479" s="111">
        <v>20</v>
      </c>
      <c r="AG479" s="130" t="s">
        <v>1057</v>
      </c>
      <c r="AH479" s="111">
        <f t="shared" si="14"/>
        <v>85</v>
      </c>
    </row>
    <row r="480" spans="2:38" x14ac:dyDescent="0.4">
      <c r="B480" s="103" t="s">
        <v>844</v>
      </c>
      <c r="D480" s="137" t="s">
        <v>720</v>
      </c>
      <c r="F480" s="137"/>
      <c r="G480" s="111">
        <v>27.5</v>
      </c>
      <c r="H480" s="137"/>
      <c r="AF480" s="111">
        <f>10+36</f>
        <v>46</v>
      </c>
      <c r="AG480" s="130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7" t="s">
        <v>721</v>
      </c>
      <c r="F481" s="137"/>
      <c r="H481" s="137"/>
      <c r="T481" s="111">
        <v>10</v>
      </c>
      <c r="AA481" s="111">
        <v>20</v>
      </c>
      <c r="AF481" s="111">
        <v>20</v>
      </c>
      <c r="AG481" s="130" t="s">
        <v>1057</v>
      </c>
      <c r="AH481" s="111">
        <f t="shared" si="14"/>
        <v>50</v>
      </c>
      <c r="AQ481" s="167"/>
      <c r="AR481" s="167"/>
    </row>
    <row r="482" spans="1:44" s="134" customFormat="1" x14ac:dyDescent="0.4">
      <c r="A482" s="134" t="s">
        <v>884</v>
      </c>
      <c r="F482" s="135"/>
      <c r="H482" s="135"/>
      <c r="J482" s="135"/>
      <c r="L482" s="135"/>
      <c r="N482" s="128"/>
      <c r="O482" s="128"/>
      <c r="Q482" s="135"/>
      <c r="S482" s="135"/>
      <c r="U482" s="135"/>
      <c r="W482" s="135"/>
      <c r="X482" s="128"/>
      <c r="Z482" s="135"/>
      <c r="AC482" s="135"/>
      <c r="AE482" s="135"/>
      <c r="AG482" s="135"/>
      <c r="AH482" s="136">
        <f>SUM(AH451:AH481)</f>
        <v>1199.0999999999999</v>
      </c>
    </row>
    <row r="483" spans="1:44" x14ac:dyDescent="0.4">
      <c r="D483" s="137"/>
      <c r="F483" s="137"/>
      <c r="H483" s="137"/>
      <c r="AQ483" s="167"/>
      <c r="AR483" s="167"/>
    </row>
    <row r="484" spans="1:44" s="126" customFormat="1" x14ac:dyDescent="0.4">
      <c r="A484" s="126" t="s">
        <v>885</v>
      </c>
      <c r="F484" s="127"/>
      <c r="H484" s="127"/>
      <c r="J484" s="127"/>
      <c r="L484" s="127"/>
      <c r="N484" s="128"/>
      <c r="O484" s="128"/>
      <c r="Q484" s="127"/>
      <c r="S484" s="127"/>
      <c r="U484" s="127"/>
      <c r="W484" s="127"/>
      <c r="X484" s="128"/>
      <c r="Z484" s="127"/>
      <c r="AC484" s="127"/>
      <c r="AE484" s="127"/>
      <c r="AG484" s="127"/>
      <c r="AH484" s="111"/>
    </row>
    <row r="485" spans="1:44" x14ac:dyDescent="0.4">
      <c r="B485" s="103" t="s">
        <v>846</v>
      </c>
      <c r="D485" s="137" t="s">
        <v>722</v>
      </c>
      <c r="F485" s="137"/>
      <c r="G485" s="111">
        <v>21.9</v>
      </c>
      <c r="H485" s="137"/>
      <c r="I485" s="111">
        <v>58</v>
      </c>
      <c r="Q485" s="120" t="s">
        <v>896</v>
      </c>
      <c r="R485" s="103">
        <v>11</v>
      </c>
      <c r="S485" s="120" t="s">
        <v>960</v>
      </c>
      <c r="AH485" s="111">
        <f t="shared" ref="AH485:AH512" si="15">SUM(E485,G485,I485,K485,M485,R485,T485,V485,Y485,X485,AA485,AB485,AD485,AF485)</f>
        <v>90.9</v>
      </c>
      <c r="AQ485" s="167"/>
      <c r="AR485" s="167"/>
    </row>
    <row r="486" spans="1:44" x14ac:dyDescent="0.4">
      <c r="B486" s="103" t="s">
        <v>847</v>
      </c>
      <c r="D486" s="137" t="s">
        <v>723</v>
      </c>
      <c r="F486" s="137"/>
      <c r="H486" s="137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7" t="s">
        <v>724</v>
      </c>
      <c r="F487" s="137"/>
      <c r="G487" s="111">
        <v>37.6</v>
      </c>
      <c r="H487" s="137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7" t="s">
        <v>725</v>
      </c>
      <c r="F488" s="137"/>
      <c r="H488" s="137"/>
      <c r="I488" s="111">
        <v>75</v>
      </c>
      <c r="Q488" s="120" t="s">
        <v>954</v>
      </c>
      <c r="AF488" s="111">
        <v>9</v>
      </c>
      <c r="AG488" s="130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7" t="s">
        <v>726</v>
      </c>
      <c r="F489" s="137"/>
      <c r="H489" s="137"/>
      <c r="I489" s="111">
        <v>10</v>
      </c>
      <c r="AF489" s="111">
        <v>20</v>
      </c>
      <c r="AG489" s="130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7" t="s">
        <v>727</v>
      </c>
      <c r="F490" s="137"/>
      <c r="G490" s="111">
        <v>11</v>
      </c>
      <c r="H490" s="137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7" t="s">
        <v>728</v>
      </c>
      <c r="F491" s="137"/>
      <c r="H491" s="137"/>
      <c r="I491" s="111">
        <v>15</v>
      </c>
      <c r="AF491" s="111">
        <v>20</v>
      </c>
      <c r="AG491" s="130" t="s">
        <v>1057</v>
      </c>
      <c r="AH491" s="111">
        <f t="shared" si="15"/>
        <v>35</v>
      </c>
    </row>
    <row r="492" spans="1:44" x14ac:dyDescent="0.4">
      <c r="B492" s="103" t="s">
        <v>846</v>
      </c>
      <c r="D492" s="137" t="s">
        <v>729</v>
      </c>
      <c r="F492" s="137"/>
      <c r="G492" s="111">
        <v>55</v>
      </c>
      <c r="H492" s="137"/>
      <c r="I492" s="111">
        <v>15</v>
      </c>
      <c r="Q492" s="120" t="s">
        <v>954</v>
      </c>
      <c r="AF492" s="111">
        <v>30</v>
      </c>
      <c r="AG492" s="130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7" t="s">
        <v>730</v>
      </c>
      <c r="F493" s="137"/>
      <c r="G493" s="111">
        <v>16.5</v>
      </c>
      <c r="H493" s="137"/>
      <c r="AH493" s="111">
        <f t="shared" si="15"/>
        <v>16.5</v>
      </c>
    </row>
    <row r="494" spans="1:44" x14ac:dyDescent="0.4">
      <c r="B494" s="103" t="s">
        <v>848</v>
      </c>
      <c r="D494" s="137" t="s">
        <v>731</v>
      </c>
      <c r="F494" s="137"/>
      <c r="H494" s="137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7" t="s">
        <v>732</v>
      </c>
      <c r="F495" s="137"/>
      <c r="H495" s="137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7" t="s">
        <v>733</v>
      </c>
      <c r="F496" s="137"/>
      <c r="H496" s="137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7" t="s">
        <v>734</v>
      </c>
      <c r="F497" s="137"/>
      <c r="H497" s="137"/>
      <c r="I497" s="111">
        <v>55</v>
      </c>
      <c r="Q497" s="120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7" t="s">
        <v>735</v>
      </c>
      <c r="F498" s="137"/>
      <c r="H498" s="137"/>
      <c r="Y498" s="103">
        <v>21.71</v>
      </c>
      <c r="AA498" s="111">
        <v>20</v>
      </c>
      <c r="AF498" s="111">
        <v>7.5</v>
      </c>
      <c r="AG498" s="130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7" t="s">
        <v>736</v>
      </c>
      <c r="F499" s="137"/>
      <c r="H499" s="137"/>
      <c r="AH499" s="111">
        <f t="shared" si="15"/>
        <v>0</v>
      </c>
    </row>
    <row r="500" spans="2:38" x14ac:dyDescent="0.4">
      <c r="B500" s="103" t="s">
        <v>847</v>
      </c>
      <c r="D500" s="137" t="s">
        <v>737</v>
      </c>
      <c r="F500" s="137"/>
      <c r="H500" s="137"/>
      <c r="AH500" s="111">
        <f t="shared" si="15"/>
        <v>0</v>
      </c>
    </row>
    <row r="501" spans="2:38" x14ac:dyDescent="0.4">
      <c r="B501" s="103" t="s">
        <v>848</v>
      </c>
      <c r="D501" s="137" t="s">
        <v>738</v>
      </c>
      <c r="F501" s="137"/>
      <c r="H501" s="137"/>
      <c r="AF501" s="111">
        <v>70.3</v>
      </c>
      <c r="AG501" s="130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7" t="s">
        <v>739</v>
      </c>
      <c r="F502" s="137"/>
      <c r="H502" s="137"/>
      <c r="AH502" s="111">
        <f t="shared" si="15"/>
        <v>0</v>
      </c>
    </row>
    <row r="503" spans="2:38" x14ac:dyDescent="0.4">
      <c r="B503" s="103" t="s">
        <v>850</v>
      </c>
      <c r="D503" s="137" t="s">
        <v>740</v>
      </c>
      <c r="F503" s="137"/>
      <c r="H503" s="137"/>
      <c r="AH503" s="111">
        <f t="shared" si="15"/>
        <v>0</v>
      </c>
    </row>
    <row r="504" spans="2:38" x14ac:dyDescent="0.4">
      <c r="B504" s="103" t="s">
        <v>844</v>
      </c>
      <c r="D504" s="137" t="s">
        <v>741</v>
      </c>
      <c r="F504" s="137"/>
      <c r="H504" s="137"/>
      <c r="AH504" s="111">
        <f t="shared" si="15"/>
        <v>0</v>
      </c>
    </row>
    <row r="505" spans="2:38" x14ac:dyDescent="0.4">
      <c r="B505" s="103" t="s">
        <v>845</v>
      </c>
      <c r="D505" s="137" t="s">
        <v>742</v>
      </c>
      <c r="F505" s="137"/>
      <c r="H505" s="137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7" t="s">
        <v>743</v>
      </c>
      <c r="F506" s="137"/>
      <c r="H506" s="137"/>
      <c r="AF506" s="111">
        <v>12.6</v>
      </c>
      <c r="AG506" s="130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7" t="s">
        <v>744</v>
      </c>
      <c r="F507" s="137"/>
      <c r="H507" s="137"/>
      <c r="AH507" s="111">
        <f t="shared" si="15"/>
        <v>0</v>
      </c>
    </row>
    <row r="508" spans="2:38" x14ac:dyDescent="0.4">
      <c r="B508" s="103" t="s">
        <v>848</v>
      </c>
      <c r="D508" s="137" t="s">
        <v>745</v>
      </c>
      <c r="F508" s="137"/>
      <c r="H508" s="137"/>
      <c r="AH508" s="111">
        <f t="shared" si="15"/>
        <v>0</v>
      </c>
    </row>
    <row r="509" spans="2:38" x14ac:dyDescent="0.4">
      <c r="B509" s="103" t="s">
        <v>849</v>
      </c>
      <c r="D509" s="137" t="s">
        <v>746</v>
      </c>
      <c r="F509" s="137"/>
      <c r="H509" s="137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7" t="s">
        <v>747</v>
      </c>
      <c r="F510" s="137"/>
      <c r="H510" s="137"/>
      <c r="AH510" s="111">
        <f t="shared" si="15"/>
        <v>0</v>
      </c>
    </row>
    <row r="511" spans="2:38" x14ac:dyDescent="0.4">
      <c r="B511" s="103" t="s">
        <v>844</v>
      </c>
      <c r="D511" s="137" t="s">
        <v>748</v>
      </c>
      <c r="F511" s="137"/>
      <c r="H511" s="137"/>
      <c r="AH511" s="111">
        <f t="shared" si="15"/>
        <v>0</v>
      </c>
    </row>
    <row r="512" spans="2:38" x14ac:dyDescent="0.4">
      <c r="B512" s="103" t="s">
        <v>845</v>
      </c>
      <c r="D512" s="137" t="s">
        <v>749</v>
      </c>
      <c r="F512" s="137"/>
      <c r="H512" s="137"/>
      <c r="R512" s="103">
        <v>18</v>
      </c>
      <c r="S512" s="120" t="s">
        <v>972</v>
      </c>
      <c r="AF512" s="111">
        <v>58</v>
      </c>
      <c r="AG512" s="130" t="s">
        <v>1036</v>
      </c>
      <c r="AH512" s="111">
        <f t="shared" si="15"/>
        <v>76</v>
      </c>
    </row>
    <row r="513" spans="1:34" s="134" customFormat="1" x14ac:dyDescent="0.4">
      <c r="A513" s="134" t="s">
        <v>886</v>
      </c>
      <c r="F513" s="135"/>
      <c r="H513" s="135"/>
      <c r="J513" s="135"/>
      <c r="L513" s="135"/>
      <c r="N513" s="128"/>
      <c r="O513" s="128"/>
      <c r="Q513" s="135"/>
      <c r="S513" s="135"/>
      <c r="U513" s="135"/>
      <c r="W513" s="135"/>
      <c r="X513" s="128"/>
      <c r="Z513" s="135"/>
      <c r="AC513" s="135"/>
      <c r="AE513" s="135"/>
      <c r="AG513" s="135"/>
      <c r="AH513" s="136">
        <f>SUM(AH485:AH512)</f>
        <v>874.25</v>
      </c>
    </row>
    <row r="514" spans="1:34" x14ac:dyDescent="0.4">
      <c r="D514" s="137"/>
      <c r="F514" s="137"/>
      <c r="H514" s="137"/>
    </row>
    <row r="515" spans="1:34" s="126" customFormat="1" x14ac:dyDescent="0.4">
      <c r="A515" s="126" t="s">
        <v>887</v>
      </c>
      <c r="F515" s="127"/>
      <c r="H515" s="127"/>
      <c r="J515" s="127"/>
      <c r="L515" s="127"/>
      <c r="N515" s="128"/>
      <c r="O515" s="128"/>
      <c r="Q515" s="127"/>
      <c r="S515" s="127"/>
      <c r="U515" s="127"/>
      <c r="W515" s="127"/>
      <c r="X515" s="128"/>
      <c r="Z515" s="127"/>
      <c r="AC515" s="127"/>
      <c r="AE515" s="127"/>
      <c r="AG515" s="127"/>
      <c r="AH515" s="111"/>
    </row>
    <row r="516" spans="1:34" x14ac:dyDescent="0.4">
      <c r="B516" s="103" t="s">
        <v>846</v>
      </c>
      <c r="D516" s="137" t="s">
        <v>750</v>
      </c>
      <c r="F516" s="137"/>
      <c r="H516" s="137"/>
      <c r="I516" s="111">
        <v>51.5</v>
      </c>
      <c r="Q516" s="120" t="s">
        <v>947</v>
      </c>
      <c r="Y516" s="103">
        <v>73</v>
      </c>
      <c r="AA516" s="111">
        <v>20</v>
      </c>
      <c r="AF516" s="111">
        <f>36+27+21.4</f>
        <v>84.4</v>
      </c>
      <c r="AG516" s="130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7" t="s">
        <v>751</v>
      </c>
      <c r="F517" s="137"/>
      <c r="H517" s="137"/>
      <c r="I517" s="111">
        <v>43.5</v>
      </c>
      <c r="Q517" s="120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7" t="s">
        <v>752</v>
      </c>
      <c r="F518" s="137"/>
      <c r="G518" s="111">
        <v>6</v>
      </c>
      <c r="H518" s="137"/>
      <c r="AH518" s="111">
        <f t="shared" si="16"/>
        <v>6</v>
      </c>
    </row>
    <row r="519" spans="1:34" x14ac:dyDescent="0.4">
      <c r="B519" s="103" t="s">
        <v>849</v>
      </c>
      <c r="D519" s="137" t="s">
        <v>753</v>
      </c>
      <c r="F519" s="137"/>
      <c r="H519" s="137"/>
      <c r="I519" s="111">
        <v>18</v>
      </c>
      <c r="R519" s="103">
        <v>19</v>
      </c>
      <c r="S519" s="120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7" t="s">
        <v>754</v>
      </c>
      <c r="F520" s="137"/>
      <c r="G520" s="111">
        <v>10</v>
      </c>
      <c r="H520" s="137"/>
      <c r="I520" s="111">
        <v>8.5</v>
      </c>
      <c r="AF520" s="111">
        <f>51.9+41+224</f>
        <v>316.89999999999998</v>
      </c>
      <c r="AG520" s="130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7" t="s">
        <v>755</v>
      </c>
      <c r="E521" s="111">
        <v>4</v>
      </c>
      <c r="F521" s="137"/>
      <c r="G521" s="111">
        <v>8.5</v>
      </c>
      <c r="H521" s="137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7" t="s">
        <v>756</v>
      </c>
      <c r="E522" s="111">
        <v>4</v>
      </c>
      <c r="F522" s="137"/>
      <c r="G522" s="111">
        <v>12</v>
      </c>
      <c r="H522" s="137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7" t="s">
        <v>757</v>
      </c>
      <c r="E523" s="111">
        <v>11.5</v>
      </c>
      <c r="F523" s="137"/>
      <c r="G523" s="111">
        <v>12.5</v>
      </c>
      <c r="H523" s="137"/>
      <c r="I523" s="111">
        <v>8</v>
      </c>
      <c r="AF523" s="111">
        <v>30</v>
      </c>
      <c r="AG523" s="130" t="s">
        <v>1055</v>
      </c>
      <c r="AH523" s="111">
        <f t="shared" si="16"/>
        <v>62</v>
      </c>
    </row>
    <row r="524" spans="1:34" x14ac:dyDescent="0.4">
      <c r="B524" s="103" t="s">
        <v>847</v>
      </c>
      <c r="D524" s="137" t="s">
        <v>758</v>
      </c>
      <c r="E524" s="111">
        <v>4</v>
      </c>
      <c r="F524" s="137"/>
      <c r="H524" s="137"/>
      <c r="AF524" s="111">
        <v>30</v>
      </c>
      <c r="AG524" s="130" t="s">
        <v>1068</v>
      </c>
      <c r="AH524" s="111">
        <f t="shared" si="16"/>
        <v>34</v>
      </c>
    </row>
    <row r="525" spans="1:34" x14ac:dyDescent="0.4">
      <c r="B525" s="103" t="s">
        <v>848</v>
      </c>
      <c r="D525" s="137" t="s">
        <v>759</v>
      </c>
      <c r="F525" s="137"/>
      <c r="G525" s="111">
        <v>36.5</v>
      </c>
      <c r="H525" s="137"/>
      <c r="I525" s="111">
        <v>28</v>
      </c>
      <c r="Q525" s="120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7" t="s">
        <v>760</v>
      </c>
      <c r="F526" s="137"/>
      <c r="H526" s="137"/>
      <c r="AH526" s="111">
        <f t="shared" si="16"/>
        <v>0</v>
      </c>
    </row>
    <row r="527" spans="1:34" x14ac:dyDescent="0.4">
      <c r="B527" s="103" t="s">
        <v>850</v>
      </c>
      <c r="D527" s="137" t="s">
        <v>761</v>
      </c>
      <c r="E527" s="111">
        <v>9</v>
      </c>
      <c r="F527" s="137"/>
      <c r="H527" s="137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7" t="s">
        <v>762</v>
      </c>
      <c r="E528" s="111">
        <v>10</v>
      </c>
      <c r="F528" s="137"/>
      <c r="G528" s="111">
        <v>10</v>
      </c>
      <c r="H528" s="137"/>
      <c r="R528" s="103">
        <v>17.47</v>
      </c>
      <c r="S528" s="120" t="s">
        <v>978</v>
      </c>
      <c r="AF528" s="111">
        <v>18</v>
      </c>
      <c r="AG528" s="130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5" t="s">
        <v>763</v>
      </c>
      <c r="F529" s="155"/>
      <c r="G529" s="111">
        <v>11</v>
      </c>
      <c r="H529" s="155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7" t="s">
        <v>764</v>
      </c>
      <c r="F530" s="137"/>
      <c r="G530" s="111">
        <v>8.5</v>
      </c>
      <c r="H530" s="137"/>
      <c r="AF530" s="111">
        <v>15</v>
      </c>
      <c r="AG530" s="130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7" t="s">
        <v>765</v>
      </c>
      <c r="E531" s="111">
        <v>10</v>
      </c>
      <c r="F531" s="137"/>
      <c r="G531" s="111">
        <v>10</v>
      </c>
      <c r="H531" s="137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5" t="s">
        <v>766</v>
      </c>
      <c r="F532" s="155"/>
      <c r="G532" s="111">
        <v>11.5</v>
      </c>
      <c r="H532" s="155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7" t="s">
        <v>767</v>
      </c>
      <c r="F533" s="137"/>
      <c r="H533" s="137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7" t="s">
        <v>768</v>
      </c>
      <c r="F534" s="137"/>
      <c r="G534" s="111">
        <v>8.5</v>
      </c>
      <c r="H534" s="137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7" t="s">
        <v>769</v>
      </c>
      <c r="E535" s="111">
        <v>6</v>
      </c>
      <c r="F535" s="137"/>
      <c r="G535" s="111">
        <v>8</v>
      </c>
      <c r="H535" s="137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7" t="s">
        <v>770</v>
      </c>
      <c r="F536" s="137"/>
      <c r="G536" s="111">
        <v>8.5</v>
      </c>
      <c r="H536" s="137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5" t="s">
        <v>771</v>
      </c>
      <c r="F537" s="155"/>
      <c r="G537" s="111">
        <v>8</v>
      </c>
      <c r="H537" s="155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7" t="s">
        <v>772</v>
      </c>
      <c r="E538" s="111">
        <v>7</v>
      </c>
      <c r="F538" s="137"/>
      <c r="G538" s="111">
        <v>12.5</v>
      </c>
      <c r="H538" s="137"/>
      <c r="AH538" s="111">
        <f t="shared" si="16"/>
        <v>19.5</v>
      </c>
    </row>
    <row r="539" spans="2:34" x14ac:dyDescent="0.4">
      <c r="B539" s="103" t="s">
        <v>848</v>
      </c>
      <c r="C539" s="111"/>
      <c r="D539" s="137" t="s">
        <v>773</v>
      </c>
      <c r="F539" s="137"/>
      <c r="H539" s="137"/>
      <c r="AH539" s="111">
        <f t="shared" si="16"/>
        <v>0</v>
      </c>
    </row>
    <row r="540" spans="2:34" x14ac:dyDescent="0.4">
      <c r="B540" s="103" t="s">
        <v>849</v>
      </c>
      <c r="C540" s="111"/>
      <c r="D540" s="137" t="s">
        <v>774</v>
      </c>
      <c r="F540" s="137"/>
      <c r="G540" s="111">
        <v>9</v>
      </c>
      <c r="H540" s="137"/>
      <c r="I540" s="111">
        <v>7.5</v>
      </c>
      <c r="AA540" s="111">
        <v>10</v>
      </c>
      <c r="AF540" s="111">
        <v>12.6</v>
      </c>
      <c r="AG540" s="130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7" t="s">
        <v>775</v>
      </c>
      <c r="F541" s="137"/>
      <c r="H541" s="137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5" t="s">
        <v>776</v>
      </c>
      <c r="E542" s="111">
        <v>5</v>
      </c>
      <c r="F542" s="155"/>
      <c r="H542" s="155"/>
      <c r="I542" s="111">
        <v>10</v>
      </c>
      <c r="R542" s="103">
        <v>19</v>
      </c>
      <c r="S542" s="120" t="s">
        <v>965</v>
      </c>
      <c r="AF542" s="111">
        <f>34.9+38.98</f>
        <v>73.88</v>
      </c>
      <c r="AG542" s="130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7" t="s">
        <v>777</v>
      </c>
      <c r="E543" s="111">
        <v>5.2</v>
      </c>
      <c r="F543" s="137"/>
      <c r="G543" s="111">
        <v>8.5</v>
      </c>
      <c r="H543" s="137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7" t="s">
        <v>778</v>
      </c>
      <c r="E544" s="111">
        <v>5.5</v>
      </c>
      <c r="F544" s="137"/>
      <c r="H544" s="137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5" t="s">
        <v>779</v>
      </c>
      <c r="F545" s="155"/>
      <c r="G545" s="111">
        <v>9.5</v>
      </c>
      <c r="H545" s="155"/>
      <c r="I545" s="111">
        <v>10</v>
      </c>
      <c r="AF545" s="111">
        <v>5</v>
      </c>
      <c r="AG545" s="130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7" t="s">
        <v>780</v>
      </c>
      <c r="F546" s="137"/>
      <c r="G546" s="111">
        <v>11</v>
      </c>
      <c r="H546" s="137"/>
      <c r="I546" s="111">
        <v>20</v>
      </c>
      <c r="T546" s="111">
        <v>11.5</v>
      </c>
      <c r="AH546" s="111">
        <f t="shared" si="16"/>
        <v>42.5</v>
      </c>
    </row>
    <row r="547" spans="1:34" s="134" customFormat="1" x14ac:dyDescent="0.4">
      <c r="A547" s="134" t="s">
        <v>888</v>
      </c>
      <c r="F547" s="135"/>
      <c r="H547" s="135"/>
      <c r="J547" s="135"/>
      <c r="L547" s="135"/>
      <c r="N547" s="128"/>
      <c r="O547" s="128"/>
      <c r="Q547" s="135"/>
      <c r="S547" s="135"/>
      <c r="U547" s="135"/>
      <c r="W547" s="135"/>
      <c r="X547" s="128"/>
      <c r="Z547" s="135"/>
      <c r="AC547" s="135"/>
      <c r="AE547" s="135"/>
      <c r="AG547" s="135"/>
      <c r="AH547" s="136">
        <f>SUM(AH516:AH546)</f>
        <v>1703.2699999999998</v>
      </c>
    </row>
    <row r="548" spans="1:34" x14ac:dyDescent="0.4">
      <c r="C548" s="111"/>
      <c r="D548" s="137"/>
      <c r="F548" s="137"/>
      <c r="H548" s="137"/>
    </row>
    <row r="549" spans="1:34" s="126" customFormat="1" x14ac:dyDescent="0.4">
      <c r="A549" s="126" t="s">
        <v>873</v>
      </c>
      <c r="F549" s="127"/>
      <c r="H549" s="127"/>
      <c r="J549" s="127"/>
      <c r="L549" s="127"/>
      <c r="N549" s="128"/>
      <c r="O549" s="128"/>
      <c r="Q549" s="127"/>
      <c r="S549" s="127"/>
      <c r="U549" s="127"/>
      <c r="W549" s="127"/>
      <c r="X549" s="128"/>
      <c r="Z549" s="127"/>
      <c r="AC549" s="127"/>
      <c r="AE549" s="127"/>
      <c r="AG549" s="127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50" t="s">
        <v>782</v>
      </c>
      <c r="F551" s="150"/>
      <c r="H551" s="150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30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50" t="s">
        <v>151</v>
      </c>
      <c r="E558" s="111">
        <v>5.2</v>
      </c>
      <c r="F558" s="150"/>
      <c r="H558" s="150"/>
      <c r="I558" s="111">
        <v>5.5</v>
      </c>
      <c r="AF558" s="111">
        <v>10</v>
      </c>
      <c r="AG558" s="130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50" t="s">
        <v>133</v>
      </c>
      <c r="E562" s="111">
        <v>4</v>
      </c>
      <c r="F562" s="150"/>
      <c r="G562" s="111">
        <v>17</v>
      </c>
      <c r="H562" s="150"/>
      <c r="I562" s="111">
        <v>7</v>
      </c>
      <c r="AF562" s="111">
        <v>10</v>
      </c>
      <c r="AG562" s="130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50" t="s">
        <v>135</v>
      </c>
      <c r="F564" s="150"/>
      <c r="G564" s="111">
        <v>13</v>
      </c>
      <c r="H564" s="150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50" t="s">
        <v>137</v>
      </c>
      <c r="F566" s="150"/>
      <c r="G566" s="111">
        <v>7</v>
      </c>
      <c r="H566" s="150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50" t="s">
        <v>139</v>
      </c>
      <c r="E568" s="111">
        <v>6</v>
      </c>
      <c r="F568" s="150"/>
      <c r="G568" s="111">
        <v>16.5</v>
      </c>
      <c r="H568" s="150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30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50" t="s">
        <v>141</v>
      </c>
      <c r="F570" s="150"/>
      <c r="H570" s="150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50" t="s">
        <v>146</v>
      </c>
      <c r="E575" s="111">
        <v>6.5</v>
      </c>
      <c r="F575" s="150"/>
      <c r="H575" s="150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4" customFormat="1" x14ac:dyDescent="0.4">
      <c r="A580" s="134" t="s">
        <v>875</v>
      </c>
      <c r="F580" s="135"/>
      <c r="H580" s="135"/>
      <c r="J580" s="135"/>
      <c r="L580" s="135"/>
      <c r="N580" s="128"/>
      <c r="O580" s="128"/>
      <c r="Q580" s="135"/>
      <c r="S580" s="135"/>
      <c r="U580" s="135"/>
      <c r="W580" s="135"/>
      <c r="X580" s="128"/>
      <c r="Z580" s="135"/>
      <c r="AC580" s="135"/>
      <c r="AE580" s="135"/>
      <c r="AG580" s="135"/>
      <c r="AH580" s="136">
        <f>SUM(AH550:AH579)</f>
        <v>535.4</v>
      </c>
    </row>
    <row r="581" spans="1:34" x14ac:dyDescent="0.4">
      <c r="C581" s="111"/>
    </row>
    <row r="582" spans="1:34" s="126" customFormat="1" x14ac:dyDescent="0.4">
      <c r="A582" s="126" t="s">
        <v>876</v>
      </c>
      <c r="F582" s="127"/>
      <c r="H582" s="127"/>
      <c r="J582" s="127"/>
      <c r="L582" s="127"/>
      <c r="N582" s="128"/>
      <c r="O582" s="128"/>
      <c r="Q582" s="127"/>
      <c r="S582" s="127"/>
      <c r="U582" s="127"/>
      <c r="W582" s="127"/>
      <c r="X582" s="128"/>
      <c r="Z582" s="127"/>
      <c r="AC582" s="127"/>
      <c r="AE582" s="127"/>
      <c r="AG582" s="127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50" t="s">
        <v>156</v>
      </c>
      <c r="F587" s="150"/>
      <c r="G587" s="111">
        <v>10</v>
      </c>
      <c r="H587" s="150"/>
      <c r="I587" s="111">
        <v>14</v>
      </c>
      <c r="AF587" s="111">
        <v>10</v>
      </c>
      <c r="AG587" s="130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50" t="s">
        <v>158</v>
      </c>
      <c r="E589" s="111">
        <v>3</v>
      </c>
      <c r="F589" s="150"/>
      <c r="G589" s="111">
        <v>11</v>
      </c>
      <c r="H589" s="150"/>
      <c r="AF589" s="111">
        <v>15</v>
      </c>
      <c r="AG589" s="130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50" t="s">
        <v>160</v>
      </c>
      <c r="E591" s="111">
        <v>5.4</v>
      </c>
      <c r="F591" s="150"/>
      <c r="G591" s="111">
        <v>3</v>
      </c>
      <c r="H591" s="150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30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50" t="s">
        <v>164</v>
      </c>
      <c r="F595" s="150"/>
      <c r="H595" s="150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30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4" customFormat="1" x14ac:dyDescent="0.4">
      <c r="A613" s="134" t="s">
        <v>877</v>
      </c>
      <c r="F613" s="135"/>
      <c r="H613" s="135"/>
      <c r="J613" s="135"/>
      <c r="L613" s="135"/>
      <c r="N613" s="128"/>
      <c r="O613" s="128"/>
      <c r="Q613" s="135"/>
      <c r="S613" s="135"/>
      <c r="U613" s="135"/>
      <c r="W613" s="135"/>
      <c r="X613" s="128"/>
      <c r="Z613" s="135"/>
      <c r="AC613" s="135"/>
      <c r="AE613" s="135"/>
      <c r="AG613" s="135"/>
      <c r="AH613" s="136">
        <f>SUM(AH583:AH612)</f>
        <v>278.90000000000003</v>
      </c>
    </row>
    <row r="615" spans="1:52" s="139" customFormat="1" ht="33" x14ac:dyDescent="0.65">
      <c r="A615" s="138">
        <v>2018</v>
      </c>
      <c r="D615" s="140"/>
      <c r="E615" s="141"/>
      <c r="F615" s="140"/>
      <c r="G615" s="141"/>
      <c r="H615" s="140"/>
      <c r="I615" s="141"/>
      <c r="J615" s="142"/>
      <c r="K615" s="141"/>
      <c r="L615" s="142"/>
      <c r="M615" s="141"/>
      <c r="N615" s="141"/>
      <c r="O615" s="141"/>
      <c r="P615" s="141"/>
      <c r="Q615" s="142"/>
      <c r="S615" s="142"/>
      <c r="T615" s="141"/>
      <c r="U615" s="142"/>
      <c r="W615" s="142"/>
      <c r="X615" s="141"/>
      <c r="Z615" s="142"/>
      <c r="AA615" s="141"/>
      <c r="AC615" s="142"/>
      <c r="AD615" s="141"/>
      <c r="AE615" s="142"/>
      <c r="AF615" s="141"/>
      <c r="AG615" s="143"/>
      <c r="AH615" s="168">
        <f>SUM(AH451:AH613)/2</f>
        <v>4590.92</v>
      </c>
      <c r="AI615" s="145"/>
      <c r="AJ615" s="145"/>
      <c r="AL615" s="141"/>
      <c r="AO615" s="146"/>
      <c r="AP615" s="146"/>
      <c r="AQ615" s="146"/>
      <c r="AR615" s="146"/>
      <c r="AS615" s="147"/>
      <c r="AT615" s="147"/>
      <c r="AU615" s="147"/>
      <c r="AV615" s="147"/>
      <c r="AW615" s="148"/>
      <c r="AX615" s="148"/>
      <c r="AY615" s="148"/>
      <c r="AZ615" s="148"/>
    </row>
    <row r="616" spans="1:52" x14ac:dyDescent="0.4">
      <c r="B616" s="169"/>
    </row>
    <row r="617" spans="1:52" ht="28.5" x14ac:dyDescent="0.55000000000000004">
      <c r="B617" s="166">
        <v>2019</v>
      </c>
    </row>
    <row r="618" spans="1:52" s="126" customFormat="1" x14ac:dyDescent="0.4">
      <c r="A618" s="126" t="s">
        <v>876</v>
      </c>
      <c r="F618" s="127"/>
      <c r="H618" s="127"/>
      <c r="J618" s="127"/>
      <c r="L618" s="127"/>
      <c r="N618" s="128"/>
      <c r="O618" s="128"/>
      <c r="Q618" s="127"/>
      <c r="S618" s="127"/>
      <c r="U618" s="127"/>
      <c r="W618" s="127"/>
      <c r="X618" s="128"/>
      <c r="Z618" s="127"/>
      <c r="AC618" s="127"/>
      <c r="AE618" s="127"/>
      <c r="AG618" s="127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30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30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20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20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30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30" t="s">
        <v>1077</v>
      </c>
      <c r="AH627" s="111">
        <f t="shared" si="19"/>
        <v>107.27</v>
      </c>
      <c r="AO627" s="131">
        <v>2320.5500000000002</v>
      </c>
      <c r="AW627" s="133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30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30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30" t="s">
        <v>1080</v>
      </c>
      <c r="AH636" s="111">
        <f t="shared" si="19"/>
        <v>91.3</v>
      </c>
      <c r="AL636" s="111">
        <v>5129</v>
      </c>
      <c r="AM636" s="103">
        <v>5500</v>
      </c>
      <c r="AN636" s="131" t="s">
        <v>889</v>
      </c>
      <c r="AO636" s="103"/>
      <c r="AP636" s="131">
        <v>5129</v>
      </c>
      <c r="AX636" s="133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30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30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30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30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30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30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4" customFormat="1" x14ac:dyDescent="0.4">
      <c r="A650" s="134" t="s">
        <v>877</v>
      </c>
      <c r="F650" s="135"/>
      <c r="H650" s="135"/>
      <c r="J650" s="135"/>
      <c r="L650" s="135"/>
      <c r="N650" s="128"/>
      <c r="O650" s="128"/>
      <c r="Q650" s="135"/>
      <c r="S650" s="135"/>
      <c r="U650" s="135"/>
      <c r="W650" s="135"/>
      <c r="X650" s="128"/>
      <c r="Z650" s="135"/>
      <c r="AC650" s="135"/>
      <c r="AE650" s="135"/>
      <c r="AG650" s="135"/>
      <c r="AH650" s="136">
        <f>SUM(AH619:AH649)</f>
        <v>1848.2100000000003</v>
      </c>
    </row>
    <row r="652" spans="1:34" s="126" customFormat="1" x14ac:dyDescent="0.4">
      <c r="A652" s="126" t="s">
        <v>842</v>
      </c>
      <c r="F652" s="127"/>
      <c r="H652" s="127"/>
      <c r="J652" s="127"/>
      <c r="L652" s="127"/>
      <c r="N652" s="128"/>
      <c r="O652" s="128"/>
      <c r="Q652" s="127"/>
      <c r="S652" s="127"/>
      <c r="U652" s="127"/>
      <c r="W652" s="127"/>
      <c r="X652" s="128"/>
      <c r="Z652" s="127"/>
      <c r="AC652" s="127"/>
      <c r="AE652" s="127"/>
      <c r="AG652" s="127"/>
      <c r="AH652" s="111"/>
    </row>
    <row r="653" spans="1:34" x14ac:dyDescent="0.4">
      <c r="B653" s="103" t="s">
        <v>848</v>
      </c>
      <c r="D653" s="129" t="s">
        <v>792</v>
      </c>
      <c r="F653" s="129"/>
      <c r="H653" s="129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9" t="s">
        <v>793</v>
      </c>
      <c r="F655" s="129"/>
      <c r="H655" s="129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9" t="s">
        <v>795</v>
      </c>
      <c r="F657" s="129"/>
      <c r="H657" s="129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9" t="s">
        <v>797</v>
      </c>
      <c r="F659" s="129"/>
      <c r="H659" s="129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9" t="s">
        <v>799</v>
      </c>
      <c r="F661" s="129"/>
      <c r="H661" s="129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31">
        <v>2651.72</v>
      </c>
      <c r="AW662" s="133">
        <v>20.079999999999998</v>
      </c>
    </row>
    <row r="663" spans="2:50" x14ac:dyDescent="0.4">
      <c r="B663" s="103" t="s">
        <v>844</v>
      </c>
      <c r="D663" s="129" t="s">
        <v>801</v>
      </c>
      <c r="F663" s="129"/>
      <c r="H663" s="129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9" t="s">
        <v>261</v>
      </c>
      <c r="F665" s="129"/>
      <c r="H665" s="129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9" t="s">
        <v>263</v>
      </c>
      <c r="F667" s="129"/>
      <c r="H667" s="129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9" t="s">
        <v>265</v>
      </c>
      <c r="F669" s="129"/>
      <c r="H669" s="129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31">
        <f>31.5+1500+37.6</f>
        <v>1569.1</v>
      </c>
      <c r="AX670" s="133">
        <f>31.5+24.25+8.9+10.5+3.4+7+1.7+23.25+14.35</f>
        <v>124.85000000000001</v>
      </c>
    </row>
    <row r="671" spans="2:50" x14ac:dyDescent="0.4">
      <c r="B671" s="103" t="s">
        <v>845</v>
      </c>
      <c r="D671" s="129" t="s">
        <v>267</v>
      </c>
      <c r="F671" s="129"/>
      <c r="H671" s="129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9" t="s">
        <v>4</v>
      </c>
      <c r="F673" s="129"/>
      <c r="H673" s="129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9" t="s">
        <v>6</v>
      </c>
      <c r="F675" s="129"/>
      <c r="H675" s="129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9" t="s">
        <v>8</v>
      </c>
      <c r="F677" s="129"/>
      <c r="H677" s="129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9" t="s">
        <v>10</v>
      </c>
      <c r="F679" s="129"/>
      <c r="H679" s="129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9" t="s">
        <v>12</v>
      </c>
      <c r="F681" s="129"/>
      <c r="H681" s="129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4" customFormat="1" x14ac:dyDescent="0.4">
      <c r="A683" s="134" t="s">
        <v>851</v>
      </c>
      <c r="F683" s="135"/>
      <c r="H683" s="135"/>
      <c r="J683" s="135"/>
      <c r="L683" s="135"/>
      <c r="N683" s="128"/>
      <c r="O683" s="128"/>
      <c r="Q683" s="135"/>
      <c r="S683" s="135"/>
      <c r="U683" s="135"/>
      <c r="W683" s="135"/>
      <c r="X683" s="128"/>
      <c r="Z683" s="135"/>
      <c r="AC683" s="135"/>
      <c r="AE683" s="135"/>
      <c r="AG683" s="135"/>
      <c r="AH683" s="136">
        <f>SUM(AH653:AH682)</f>
        <v>0</v>
      </c>
    </row>
    <row r="685" spans="1:34" s="126" customFormat="1" x14ac:dyDescent="0.4">
      <c r="A685" s="126" t="s">
        <v>852</v>
      </c>
      <c r="F685" s="127"/>
      <c r="H685" s="127"/>
      <c r="J685" s="127"/>
      <c r="L685" s="127"/>
      <c r="N685" s="128"/>
      <c r="O685" s="128"/>
      <c r="Q685" s="127"/>
      <c r="S685" s="127"/>
      <c r="U685" s="127"/>
      <c r="W685" s="127"/>
      <c r="X685" s="128"/>
      <c r="Z685" s="127"/>
      <c r="AC685" s="127"/>
      <c r="AE685" s="127"/>
      <c r="AG685" s="127"/>
      <c r="AH685" s="111"/>
    </row>
    <row r="686" spans="1:34" x14ac:dyDescent="0.4">
      <c r="B686" s="103" t="s">
        <v>850</v>
      </c>
      <c r="D686" s="129" t="s">
        <v>803</v>
      </c>
      <c r="F686" s="129"/>
      <c r="H686" s="129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9" t="s">
        <v>804</v>
      </c>
      <c r="F687" s="129"/>
      <c r="H687" s="129"/>
      <c r="AH687" s="111">
        <f t="shared" si="21"/>
        <v>0</v>
      </c>
    </row>
    <row r="688" spans="1:34" x14ac:dyDescent="0.4">
      <c r="B688" s="103" t="s">
        <v>845</v>
      </c>
      <c r="D688" s="129" t="s">
        <v>271</v>
      </c>
      <c r="F688" s="129"/>
      <c r="H688" s="129"/>
      <c r="AH688" s="111">
        <f t="shared" si="21"/>
        <v>0</v>
      </c>
    </row>
    <row r="689" spans="2:50" x14ac:dyDescent="0.4">
      <c r="B689" s="103" t="s">
        <v>846</v>
      </c>
      <c r="D689" s="129" t="s">
        <v>272</v>
      </c>
      <c r="F689" s="129"/>
      <c r="H689" s="129"/>
      <c r="AH689" s="111">
        <f t="shared" si="21"/>
        <v>0</v>
      </c>
    </row>
    <row r="690" spans="2:50" x14ac:dyDescent="0.4">
      <c r="B690" s="103" t="s">
        <v>847</v>
      </c>
      <c r="D690" s="129" t="s">
        <v>273</v>
      </c>
      <c r="F690" s="129"/>
      <c r="H690" s="129"/>
      <c r="AH690" s="111">
        <f t="shared" si="21"/>
        <v>0</v>
      </c>
    </row>
    <row r="691" spans="2:50" x14ac:dyDescent="0.4">
      <c r="B691" s="103" t="s">
        <v>848</v>
      </c>
      <c r="D691" s="129" t="s">
        <v>274</v>
      </c>
      <c r="F691" s="129"/>
      <c r="H691" s="129"/>
      <c r="AH691" s="111">
        <f t="shared" si="21"/>
        <v>0</v>
      </c>
    </row>
    <row r="692" spans="2:50" x14ac:dyDescent="0.4">
      <c r="B692" s="103" t="s">
        <v>849</v>
      </c>
      <c r="D692" s="129" t="s">
        <v>275</v>
      </c>
      <c r="F692" s="129"/>
      <c r="H692" s="129"/>
      <c r="AH692" s="111">
        <f t="shared" si="21"/>
        <v>0</v>
      </c>
    </row>
    <row r="693" spans="2:50" x14ac:dyDescent="0.4">
      <c r="B693" s="103" t="s">
        <v>850</v>
      </c>
      <c r="D693" s="129" t="s">
        <v>276</v>
      </c>
      <c r="F693" s="129"/>
      <c r="H693" s="129"/>
      <c r="AH693" s="111">
        <f t="shared" si="21"/>
        <v>0</v>
      </c>
    </row>
    <row r="694" spans="2:50" x14ac:dyDescent="0.4">
      <c r="B694" s="103" t="s">
        <v>844</v>
      </c>
      <c r="D694" s="129" t="s">
        <v>277</v>
      </c>
      <c r="F694" s="129"/>
      <c r="H694" s="129"/>
      <c r="AH694" s="111">
        <f t="shared" si="21"/>
        <v>0</v>
      </c>
    </row>
    <row r="695" spans="2:50" x14ac:dyDescent="0.4">
      <c r="B695" s="103" t="s">
        <v>845</v>
      </c>
      <c r="D695" s="129" t="s">
        <v>278</v>
      </c>
      <c r="F695" s="129"/>
      <c r="H695" s="129"/>
      <c r="AH695" s="111">
        <f t="shared" si="21"/>
        <v>0</v>
      </c>
      <c r="AO695" s="131">
        <v>2958.93</v>
      </c>
      <c r="AW695" s="133">
        <v>22.91</v>
      </c>
    </row>
    <row r="696" spans="2:50" x14ac:dyDescent="0.4">
      <c r="B696" s="103" t="s">
        <v>846</v>
      </c>
      <c r="D696" s="129" t="s">
        <v>279</v>
      </c>
      <c r="F696" s="129"/>
      <c r="H696" s="129"/>
      <c r="AH696" s="111">
        <f t="shared" si="21"/>
        <v>0</v>
      </c>
    </row>
    <row r="697" spans="2:50" x14ac:dyDescent="0.4">
      <c r="B697" s="103" t="s">
        <v>847</v>
      </c>
      <c r="D697" s="129" t="s">
        <v>280</v>
      </c>
      <c r="F697" s="129"/>
      <c r="H697" s="129"/>
      <c r="AH697" s="111">
        <f t="shared" si="21"/>
        <v>0</v>
      </c>
    </row>
    <row r="698" spans="2:50" x14ac:dyDescent="0.4">
      <c r="B698" s="103" t="s">
        <v>848</v>
      </c>
      <c r="D698" s="129" t="s">
        <v>281</v>
      </c>
      <c r="F698" s="129"/>
      <c r="H698" s="129"/>
      <c r="AH698" s="111">
        <f t="shared" si="21"/>
        <v>0</v>
      </c>
    </row>
    <row r="699" spans="2:50" x14ac:dyDescent="0.4">
      <c r="B699" s="103" t="s">
        <v>849</v>
      </c>
      <c r="D699" s="129" t="s">
        <v>18</v>
      </c>
      <c r="F699" s="129"/>
      <c r="H699" s="129"/>
      <c r="AH699" s="111">
        <f t="shared" si="21"/>
        <v>0</v>
      </c>
    </row>
    <row r="700" spans="2:50" x14ac:dyDescent="0.4">
      <c r="B700" s="103" t="s">
        <v>850</v>
      </c>
      <c r="D700" s="129" t="s">
        <v>19</v>
      </c>
      <c r="F700" s="129"/>
      <c r="H700" s="129"/>
      <c r="AH700" s="111">
        <f t="shared" si="21"/>
        <v>0</v>
      </c>
    </row>
    <row r="701" spans="2:50" x14ac:dyDescent="0.4">
      <c r="B701" s="103" t="s">
        <v>844</v>
      </c>
      <c r="D701" s="129" t="s">
        <v>20</v>
      </c>
      <c r="F701" s="129"/>
      <c r="H701" s="129"/>
      <c r="AH701" s="111">
        <f t="shared" si="21"/>
        <v>0</v>
      </c>
    </row>
    <row r="702" spans="2:50" x14ac:dyDescent="0.4">
      <c r="B702" s="103" t="s">
        <v>845</v>
      </c>
      <c r="D702" s="129" t="s">
        <v>21</v>
      </c>
      <c r="F702" s="129"/>
      <c r="H702" s="129"/>
      <c r="AH702" s="111">
        <f t="shared" si="21"/>
        <v>0</v>
      </c>
    </row>
    <row r="703" spans="2:50" x14ac:dyDescent="0.4">
      <c r="B703" s="103" t="s">
        <v>846</v>
      </c>
      <c r="D703" s="129" t="s">
        <v>22</v>
      </c>
      <c r="F703" s="129"/>
      <c r="H703" s="129"/>
      <c r="AH703" s="111">
        <f t="shared" si="21"/>
        <v>0</v>
      </c>
      <c r="AP703" s="131">
        <v>96.5</v>
      </c>
      <c r="AX703" s="133">
        <f>22.5+7.5+3+7.5+3+11+19.5+22.5</f>
        <v>96.5</v>
      </c>
    </row>
    <row r="704" spans="2:50" x14ac:dyDescent="0.4">
      <c r="B704" s="103" t="s">
        <v>847</v>
      </c>
      <c r="D704" s="129" t="s">
        <v>23</v>
      </c>
      <c r="F704" s="129"/>
      <c r="H704" s="129"/>
      <c r="AH704" s="111">
        <f t="shared" si="21"/>
        <v>0</v>
      </c>
    </row>
    <row r="705" spans="1:34" x14ac:dyDescent="0.4">
      <c r="B705" s="103" t="s">
        <v>848</v>
      </c>
      <c r="D705" s="129" t="s">
        <v>24</v>
      </c>
      <c r="F705" s="129"/>
      <c r="H705" s="129"/>
      <c r="AH705" s="111">
        <f t="shared" si="21"/>
        <v>0</v>
      </c>
    </row>
    <row r="706" spans="1:34" x14ac:dyDescent="0.4">
      <c r="B706" s="103" t="s">
        <v>849</v>
      </c>
      <c r="D706" s="129" t="s">
        <v>25</v>
      </c>
      <c r="F706" s="129"/>
      <c r="H706" s="129"/>
      <c r="AH706" s="111">
        <f t="shared" si="21"/>
        <v>0</v>
      </c>
    </row>
    <row r="707" spans="1:34" x14ac:dyDescent="0.4">
      <c r="B707" s="103" t="s">
        <v>850</v>
      </c>
      <c r="D707" s="129" t="s">
        <v>26</v>
      </c>
      <c r="F707" s="129"/>
      <c r="H707" s="129"/>
      <c r="AH707" s="111">
        <f t="shared" si="21"/>
        <v>0</v>
      </c>
    </row>
    <row r="708" spans="1:34" x14ac:dyDescent="0.4">
      <c r="B708" s="103" t="s">
        <v>844</v>
      </c>
      <c r="D708" s="129" t="s">
        <v>27</v>
      </c>
      <c r="F708" s="129"/>
      <c r="H708" s="129"/>
      <c r="AH708" s="111">
        <f t="shared" si="21"/>
        <v>0</v>
      </c>
    </row>
    <row r="709" spans="1:34" x14ac:dyDescent="0.4">
      <c r="B709" s="103" t="s">
        <v>845</v>
      </c>
      <c r="D709" s="129" t="s">
        <v>28</v>
      </c>
      <c r="F709" s="129"/>
      <c r="H709" s="129"/>
      <c r="AH709" s="111">
        <f t="shared" si="21"/>
        <v>0</v>
      </c>
    </row>
    <row r="710" spans="1:34" x14ac:dyDescent="0.4">
      <c r="B710" s="103" t="s">
        <v>846</v>
      </c>
      <c r="D710" s="129" t="s">
        <v>29</v>
      </c>
      <c r="F710" s="129"/>
      <c r="H710" s="129"/>
      <c r="AH710" s="111">
        <f t="shared" si="21"/>
        <v>0</v>
      </c>
    </row>
    <row r="711" spans="1:34" x14ac:dyDescent="0.4">
      <c r="B711" s="103" t="s">
        <v>847</v>
      </c>
      <c r="D711" s="129" t="s">
        <v>30</v>
      </c>
      <c r="F711" s="129"/>
      <c r="H711" s="129"/>
      <c r="AH711" s="111">
        <f t="shared" si="21"/>
        <v>0</v>
      </c>
    </row>
    <row r="712" spans="1:34" x14ac:dyDescent="0.4">
      <c r="B712" s="103" t="s">
        <v>848</v>
      </c>
      <c r="D712" s="129" t="s">
        <v>31</v>
      </c>
      <c r="F712" s="129"/>
      <c r="H712" s="129"/>
      <c r="AH712" s="111">
        <f t="shared" si="21"/>
        <v>0</v>
      </c>
    </row>
    <row r="713" spans="1:34" x14ac:dyDescent="0.4">
      <c r="B713" s="103" t="s">
        <v>849</v>
      </c>
      <c r="D713" s="129" t="s">
        <v>32</v>
      </c>
      <c r="F713" s="129"/>
      <c r="H713" s="129"/>
      <c r="AH713" s="111">
        <f t="shared" si="21"/>
        <v>0</v>
      </c>
    </row>
    <row r="714" spans="1:34" x14ac:dyDescent="0.4">
      <c r="B714" s="103" t="s">
        <v>850</v>
      </c>
      <c r="D714" s="129" t="s">
        <v>33</v>
      </c>
      <c r="F714" s="129"/>
      <c r="H714" s="129"/>
      <c r="AH714" s="111">
        <f t="shared" si="21"/>
        <v>0</v>
      </c>
    </row>
    <row r="715" spans="1:34" x14ac:dyDescent="0.4">
      <c r="B715" s="103" t="s">
        <v>844</v>
      </c>
      <c r="D715" s="129" t="s">
        <v>34</v>
      </c>
      <c r="F715" s="129"/>
      <c r="G715" s="111">
        <v>60</v>
      </c>
      <c r="H715" s="129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9" t="s">
        <v>35</v>
      </c>
      <c r="F716" s="129"/>
      <c r="H716" s="129"/>
      <c r="K716" s="111">
        <v>19.5</v>
      </c>
      <c r="L716" s="120" t="s">
        <v>923</v>
      </c>
      <c r="AH716" s="111">
        <f t="shared" si="21"/>
        <v>19.5</v>
      </c>
    </row>
    <row r="717" spans="1:34" s="134" customFormat="1" x14ac:dyDescent="0.4">
      <c r="A717" s="134" t="s">
        <v>860</v>
      </c>
      <c r="F717" s="135"/>
      <c r="H717" s="135"/>
      <c r="J717" s="135"/>
      <c r="L717" s="135"/>
      <c r="N717" s="128"/>
      <c r="O717" s="128"/>
      <c r="Q717" s="135"/>
      <c r="S717" s="135"/>
      <c r="U717" s="135"/>
      <c r="W717" s="135"/>
      <c r="X717" s="128"/>
      <c r="Z717" s="135"/>
      <c r="AC717" s="135"/>
      <c r="AE717" s="135"/>
      <c r="AG717" s="135"/>
      <c r="AH717" s="136">
        <f>SUM(AH686:AH716)</f>
        <v>127.3</v>
      </c>
    </row>
    <row r="718" spans="1:34" x14ac:dyDescent="0.4">
      <c r="D718" s="129"/>
      <c r="F718" s="129"/>
      <c r="H718" s="129"/>
    </row>
    <row r="719" spans="1:34" s="126" customFormat="1" x14ac:dyDescent="0.4">
      <c r="A719" s="126" t="s">
        <v>861</v>
      </c>
      <c r="F719" s="127"/>
      <c r="H719" s="127"/>
      <c r="J719" s="127"/>
      <c r="L719" s="127"/>
      <c r="N719" s="128"/>
      <c r="O719" s="128"/>
      <c r="Q719" s="127"/>
      <c r="S719" s="127"/>
      <c r="U719" s="127"/>
      <c r="W719" s="127"/>
      <c r="X719" s="128"/>
      <c r="Z719" s="127"/>
      <c r="AC719" s="127"/>
      <c r="AE719" s="127"/>
      <c r="AG719" s="127"/>
      <c r="AH719" s="111"/>
    </row>
    <row r="720" spans="1:34" x14ac:dyDescent="0.4">
      <c r="B720" s="103" t="s">
        <v>846</v>
      </c>
      <c r="D720" s="129" t="s">
        <v>805</v>
      </c>
      <c r="F720" s="129"/>
      <c r="H720" s="129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9" t="s">
        <v>284</v>
      </c>
      <c r="F721" s="129"/>
      <c r="H721" s="129"/>
      <c r="I721" s="111">
        <v>39.799999999999997</v>
      </c>
      <c r="J721" s="120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9" t="s">
        <v>285</v>
      </c>
      <c r="F722" s="129"/>
      <c r="H722" s="129"/>
      <c r="AH722" s="111">
        <f t="shared" si="22"/>
        <v>0</v>
      </c>
    </row>
    <row r="723" spans="2:45" x14ac:dyDescent="0.4">
      <c r="B723" s="103" t="s">
        <v>849</v>
      </c>
      <c r="D723" s="129" t="s">
        <v>39</v>
      </c>
      <c r="F723" s="129"/>
      <c r="H723" s="129"/>
      <c r="I723" s="111">
        <v>49</v>
      </c>
      <c r="J723" s="120" t="s">
        <v>896</v>
      </c>
      <c r="AH723" s="111">
        <f t="shared" si="22"/>
        <v>49</v>
      </c>
    </row>
    <row r="724" spans="2:45" x14ac:dyDescent="0.4">
      <c r="B724" s="103" t="s">
        <v>850</v>
      </c>
      <c r="D724" s="129" t="s">
        <v>40</v>
      </c>
      <c r="F724" s="129"/>
      <c r="H724" s="129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9" t="s">
        <v>41</v>
      </c>
      <c r="F725" s="129"/>
      <c r="H725" s="129"/>
      <c r="AH725" s="111">
        <f t="shared" si="22"/>
        <v>0</v>
      </c>
    </row>
    <row r="726" spans="2:45" x14ac:dyDescent="0.4">
      <c r="B726" s="103" t="s">
        <v>845</v>
      </c>
      <c r="D726" s="129" t="s">
        <v>42</v>
      </c>
      <c r="F726" s="129"/>
      <c r="H726" s="129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9" t="s">
        <v>43</v>
      </c>
      <c r="F727" s="129"/>
      <c r="H727" s="129"/>
      <c r="Y727" s="103">
        <v>8</v>
      </c>
      <c r="Z727" s="120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9" t="s">
        <v>44</v>
      </c>
      <c r="F728" s="129"/>
      <c r="G728" s="111">
        <v>28.5</v>
      </c>
      <c r="H728" s="129" t="s">
        <v>896</v>
      </c>
      <c r="R728" s="103">
        <v>8.5</v>
      </c>
      <c r="AB728" s="103">
        <v>31</v>
      </c>
      <c r="AC728" s="120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9" t="s">
        <v>45</v>
      </c>
      <c r="F729" s="129"/>
      <c r="H729" s="129"/>
      <c r="Y729" s="103">
        <v>120</v>
      </c>
      <c r="Z729" s="120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31">
        <v>1348.31</v>
      </c>
    </row>
    <row r="730" spans="2:45" x14ac:dyDescent="0.4">
      <c r="B730" s="103" t="s">
        <v>849</v>
      </c>
      <c r="D730" s="129" t="s">
        <v>46</v>
      </c>
      <c r="F730" s="129"/>
      <c r="H730" s="129"/>
      <c r="AH730" s="111">
        <f t="shared" si="22"/>
        <v>0</v>
      </c>
    </row>
    <row r="731" spans="2:45" x14ac:dyDescent="0.4">
      <c r="B731" s="103" t="s">
        <v>850</v>
      </c>
      <c r="D731" s="129" t="s">
        <v>47</v>
      </c>
      <c r="F731" s="129"/>
      <c r="H731" s="129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9" t="s">
        <v>48</v>
      </c>
      <c r="F732" s="129"/>
      <c r="H732" s="129"/>
      <c r="AB732" s="103">
        <v>19.399999999999999</v>
      </c>
      <c r="AC732" s="120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9" t="s">
        <v>49</v>
      </c>
      <c r="F733" s="129"/>
      <c r="H733" s="129"/>
      <c r="AB733" s="103">
        <v>76</v>
      </c>
      <c r="AC733" s="120" t="s">
        <v>918</v>
      </c>
      <c r="AH733" s="111">
        <f t="shared" si="22"/>
        <v>76</v>
      </c>
    </row>
    <row r="734" spans="2:45" x14ac:dyDescent="0.4">
      <c r="B734" s="103" t="s">
        <v>846</v>
      </c>
      <c r="D734" s="129" t="s">
        <v>50</v>
      </c>
      <c r="F734" s="129"/>
      <c r="H734" s="129"/>
      <c r="AH734" s="111">
        <f t="shared" si="22"/>
        <v>0</v>
      </c>
    </row>
    <row r="735" spans="2:45" x14ac:dyDescent="0.4">
      <c r="B735" s="103" t="s">
        <v>847</v>
      </c>
      <c r="D735" s="129" t="s">
        <v>51</v>
      </c>
      <c r="F735" s="129"/>
      <c r="H735" s="129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9" t="s">
        <v>52</v>
      </c>
      <c r="E736" s="136"/>
      <c r="F736" s="129"/>
      <c r="H736" s="129"/>
      <c r="AA736" s="111">
        <v>10</v>
      </c>
      <c r="AD736" s="111">
        <v>39</v>
      </c>
      <c r="AE736" s="120" t="s">
        <v>917</v>
      </c>
      <c r="AH736" s="111">
        <f t="shared" si="22"/>
        <v>49</v>
      </c>
      <c r="AS736" s="132">
        <v>39</v>
      </c>
    </row>
    <row r="737" spans="1:50" x14ac:dyDescent="0.4">
      <c r="B737" s="103" t="s">
        <v>849</v>
      </c>
      <c r="D737" s="129" t="s">
        <v>53</v>
      </c>
      <c r="F737" s="129"/>
      <c r="H737" s="129"/>
      <c r="AH737" s="111">
        <f t="shared" si="22"/>
        <v>0</v>
      </c>
      <c r="AP737" s="131">
        <v>1321</v>
      </c>
      <c r="AX737" s="133">
        <f>23.25+7.75+3.1+7.75+3.1+7.75+15.5+23.25+49.61</f>
        <v>141.06</v>
      </c>
    </row>
    <row r="738" spans="1:50" x14ac:dyDescent="0.4">
      <c r="B738" s="103" t="s">
        <v>850</v>
      </c>
      <c r="D738" s="129" t="s">
        <v>54</v>
      </c>
      <c r="F738" s="129"/>
      <c r="H738" s="129"/>
      <c r="AH738" s="111">
        <f t="shared" si="22"/>
        <v>0</v>
      </c>
    </row>
    <row r="739" spans="1:50" x14ac:dyDescent="0.4">
      <c r="B739" s="103" t="s">
        <v>844</v>
      </c>
      <c r="D739" s="129" t="s">
        <v>55</v>
      </c>
      <c r="F739" s="129"/>
      <c r="H739" s="129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9" t="s">
        <v>56</v>
      </c>
      <c r="F740" s="129"/>
      <c r="H740" s="129"/>
      <c r="AF740" s="111">
        <v>10</v>
      </c>
      <c r="AG740" s="130" t="s">
        <v>915</v>
      </c>
      <c r="AH740" s="111">
        <f t="shared" si="22"/>
        <v>10</v>
      </c>
    </row>
    <row r="741" spans="1:50" x14ac:dyDescent="0.4">
      <c r="B741" s="103" t="s">
        <v>846</v>
      </c>
      <c r="D741" s="129" t="s">
        <v>57</v>
      </c>
      <c r="F741" s="129"/>
      <c r="H741" s="129"/>
      <c r="AH741" s="111">
        <f t="shared" si="22"/>
        <v>0</v>
      </c>
    </row>
    <row r="742" spans="1:50" x14ac:dyDescent="0.4">
      <c r="B742" s="103" t="s">
        <v>847</v>
      </c>
      <c r="D742" s="129" t="s">
        <v>58</v>
      </c>
      <c r="F742" s="129"/>
      <c r="H742" s="129"/>
      <c r="AH742" s="111">
        <f t="shared" si="22"/>
        <v>0</v>
      </c>
    </row>
    <row r="743" spans="1:50" x14ac:dyDescent="0.4">
      <c r="B743" s="103" t="s">
        <v>848</v>
      </c>
      <c r="D743" s="129" t="s">
        <v>59</v>
      </c>
      <c r="F743" s="129"/>
      <c r="H743" s="129"/>
      <c r="AF743" s="111">
        <v>39</v>
      </c>
      <c r="AG743" s="130" t="s">
        <v>914</v>
      </c>
      <c r="AH743" s="111">
        <f t="shared" si="22"/>
        <v>39</v>
      </c>
    </row>
    <row r="744" spans="1:50" x14ac:dyDescent="0.4">
      <c r="B744" s="103" t="s">
        <v>849</v>
      </c>
      <c r="D744" s="129" t="s">
        <v>60</v>
      </c>
      <c r="F744" s="129"/>
      <c r="H744" s="129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9" t="s">
        <v>61</v>
      </c>
      <c r="F745" s="129"/>
      <c r="H745" s="129"/>
      <c r="AH745" s="111">
        <f t="shared" si="22"/>
        <v>0</v>
      </c>
    </row>
    <row r="746" spans="1:50" x14ac:dyDescent="0.4">
      <c r="B746" s="103" t="s">
        <v>844</v>
      </c>
      <c r="D746" s="129" t="s">
        <v>62</v>
      </c>
      <c r="F746" s="129"/>
      <c r="H746" s="129"/>
      <c r="AA746" s="111">
        <v>10</v>
      </c>
      <c r="AF746" s="111">
        <v>10000</v>
      </c>
      <c r="AG746" s="130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9" t="s">
        <v>63</v>
      </c>
      <c r="F747" s="129"/>
      <c r="H747" s="129"/>
      <c r="AF747" s="111">
        <v>86</v>
      </c>
      <c r="AG747" s="130" t="s">
        <v>911</v>
      </c>
      <c r="AH747" s="111">
        <f t="shared" si="22"/>
        <v>86</v>
      </c>
    </row>
    <row r="748" spans="1:50" x14ac:dyDescent="0.4">
      <c r="B748" s="103" t="s">
        <v>846</v>
      </c>
      <c r="D748" s="129" t="s">
        <v>64</v>
      </c>
      <c r="F748" s="129"/>
      <c r="H748" s="129"/>
      <c r="Y748" s="103">
        <v>65.5</v>
      </c>
      <c r="Z748" s="120" t="s">
        <v>908</v>
      </c>
      <c r="AA748" s="111">
        <v>10</v>
      </c>
      <c r="AF748" s="111">
        <v>1500</v>
      </c>
      <c r="AG748" s="130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9" t="s">
        <v>65</v>
      </c>
      <c r="F749" s="129"/>
      <c r="G749" s="111">
        <v>61.5</v>
      </c>
      <c r="H749" s="129" t="s">
        <v>905</v>
      </c>
      <c r="I749" s="111">
        <v>30</v>
      </c>
      <c r="J749" s="120" t="s">
        <v>896</v>
      </c>
      <c r="Y749" s="103">
        <f>1.5+3</f>
        <v>4.5</v>
      </c>
      <c r="Z749" s="120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9" t="s">
        <v>66</v>
      </c>
      <c r="F750" s="129"/>
      <c r="G750" s="111">
        <v>41</v>
      </c>
      <c r="H750" s="129" t="s">
        <v>903</v>
      </c>
      <c r="Y750" s="103">
        <f>2+3+6</f>
        <v>11</v>
      </c>
      <c r="Z750" s="120" t="s">
        <v>904</v>
      </c>
      <c r="AF750" s="111">
        <v>20</v>
      </c>
      <c r="AG750" s="130" t="s">
        <v>902</v>
      </c>
      <c r="AH750" s="111">
        <f t="shared" si="22"/>
        <v>72</v>
      </c>
    </row>
    <row r="751" spans="1:50" s="134" customFormat="1" x14ac:dyDescent="0.4">
      <c r="A751" s="134" t="s">
        <v>868</v>
      </c>
      <c r="F751" s="135"/>
      <c r="H751" s="135"/>
      <c r="J751" s="135"/>
      <c r="L751" s="135"/>
      <c r="N751" s="128"/>
      <c r="O751" s="128"/>
      <c r="Q751" s="135"/>
      <c r="S751" s="135"/>
      <c r="U751" s="135"/>
      <c r="W751" s="135"/>
      <c r="X751" s="128"/>
      <c r="Z751" s="135"/>
      <c r="AC751" s="135"/>
      <c r="AE751" s="135"/>
      <c r="AG751" s="135"/>
      <c r="AH751" s="136">
        <f>SUM(AH720:AH750)-10000-1500-86</f>
        <v>904.70000000000073</v>
      </c>
      <c r="AI751" s="134">
        <f>SUM(AI720:AI749)-10000-1500-86</f>
        <v>914</v>
      </c>
    </row>
    <row r="752" spans="1:50" x14ac:dyDescent="0.4">
      <c r="D752" s="129"/>
      <c r="F752" s="129"/>
      <c r="H752" s="129"/>
    </row>
    <row r="753" spans="1:52" s="126" customFormat="1" x14ac:dyDescent="0.4">
      <c r="A753" s="126" t="s">
        <v>869</v>
      </c>
      <c r="F753" s="127"/>
      <c r="H753" s="127"/>
      <c r="J753" s="127"/>
      <c r="L753" s="127"/>
      <c r="N753" s="128"/>
      <c r="O753" s="128"/>
      <c r="Q753" s="127"/>
      <c r="S753" s="127"/>
      <c r="U753" s="127"/>
      <c r="W753" s="127"/>
      <c r="X753" s="128"/>
      <c r="Z753" s="127"/>
      <c r="AC753" s="127"/>
      <c r="AE753" s="127"/>
      <c r="AG753" s="127"/>
      <c r="AH753" s="111"/>
    </row>
    <row r="754" spans="1:52" x14ac:dyDescent="0.4">
      <c r="B754" s="103" t="s">
        <v>849</v>
      </c>
      <c r="D754" s="129" t="s">
        <v>806</v>
      </c>
      <c r="E754" s="111">
        <v>0</v>
      </c>
      <c r="F754" s="129" t="s">
        <v>916</v>
      </c>
      <c r="G754" s="111">
        <v>0</v>
      </c>
      <c r="H754" s="129" t="s">
        <v>916</v>
      </c>
      <c r="I754" s="111">
        <v>0</v>
      </c>
      <c r="J754" s="120" t="s">
        <v>916</v>
      </c>
      <c r="K754" s="111">
        <v>70</v>
      </c>
      <c r="L754" s="120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20" t="s">
        <v>916</v>
      </c>
      <c r="R754" s="103">
        <v>0</v>
      </c>
      <c r="S754" s="120" t="s">
        <v>916</v>
      </c>
      <c r="T754" s="111">
        <v>0</v>
      </c>
      <c r="U754" s="120" t="s">
        <v>916</v>
      </c>
      <c r="V754" s="103">
        <v>0</v>
      </c>
      <c r="W754" s="120" t="s">
        <v>916</v>
      </c>
      <c r="X754" s="108">
        <v>0</v>
      </c>
      <c r="Y754" s="103">
        <v>0</v>
      </c>
      <c r="Z754" s="120" t="s">
        <v>916</v>
      </c>
      <c r="AA754" s="111">
        <v>10</v>
      </c>
      <c r="AB754" s="103">
        <v>0</v>
      </c>
      <c r="AC754" s="120" t="s">
        <v>916</v>
      </c>
      <c r="AD754" s="111">
        <v>0</v>
      </c>
      <c r="AE754" s="120" t="s">
        <v>916</v>
      </c>
      <c r="AF754" s="111">
        <v>0</v>
      </c>
      <c r="AG754" s="130" t="s">
        <v>916</v>
      </c>
      <c r="AH754" s="111">
        <f t="shared" ref="AH754:AH783" si="23">SUM(E754,G754,I754,K754,M754,R754,T754,V754,Y754,X754,AA754,AB754,AD754,AF754)</f>
        <v>80</v>
      </c>
      <c r="AR754" s="131">
        <f t="shared" ref="AR754:AR816" si="24">SUM(AO754:AQ754)</f>
        <v>0</v>
      </c>
      <c r="AV754" s="132">
        <f t="shared" ref="AV754:AV816" si="25">SUM(AS754:AU754)</f>
        <v>0</v>
      </c>
      <c r="AZ754" s="133">
        <f>SUM(AW754:AY754)</f>
        <v>0</v>
      </c>
    </row>
    <row r="755" spans="1:52" x14ac:dyDescent="0.4">
      <c r="B755" s="103" t="s">
        <v>850</v>
      </c>
      <c r="D755" s="129" t="s">
        <v>69</v>
      </c>
      <c r="E755" s="111">
        <v>9.5</v>
      </c>
      <c r="F755" s="129" t="s">
        <v>916</v>
      </c>
      <c r="G755" s="111">
        <v>0</v>
      </c>
      <c r="H755" s="129" t="s">
        <v>916</v>
      </c>
      <c r="I755" s="111">
        <v>0</v>
      </c>
      <c r="J755" s="120" t="s">
        <v>916</v>
      </c>
      <c r="K755" s="111">
        <v>0</v>
      </c>
      <c r="L755" s="120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20" t="s">
        <v>916</v>
      </c>
      <c r="R755" s="103">
        <v>0</v>
      </c>
      <c r="S755" s="120" t="s">
        <v>916</v>
      </c>
      <c r="T755" s="111">
        <v>0</v>
      </c>
      <c r="U755" s="120" t="s">
        <v>916</v>
      </c>
      <c r="V755" s="103">
        <v>0</v>
      </c>
      <c r="W755" s="120" t="s">
        <v>916</v>
      </c>
      <c r="X755" s="108">
        <v>0</v>
      </c>
      <c r="Y755" s="103">
        <f>101.5+106.5</f>
        <v>208</v>
      </c>
      <c r="Z755" s="120" t="s">
        <v>1001</v>
      </c>
      <c r="AA755" s="111">
        <v>0</v>
      </c>
      <c r="AB755" s="103">
        <v>0</v>
      </c>
      <c r="AC755" s="120" t="s">
        <v>916</v>
      </c>
      <c r="AD755" s="111">
        <v>0</v>
      </c>
      <c r="AE755" s="120" t="s">
        <v>916</v>
      </c>
      <c r="AF755" s="111">
        <v>0</v>
      </c>
      <c r="AG755" s="130" t="s">
        <v>916</v>
      </c>
      <c r="AH755" s="111">
        <f t="shared" si="23"/>
        <v>217.5</v>
      </c>
      <c r="AR755" s="131">
        <f t="shared" si="24"/>
        <v>0</v>
      </c>
      <c r="AV755" s="132">
        <f t="shared" si="25"/>
        <v>0</v>
      </c>
      <c r="AZ755" s="133">
        <f t="shared" ref="AZ755:AZ782" si="26">SUM(AW755:AY755)</f>
        <v>0</v>
      </c>
    </row>
    <row r="756" spans="1:52" x14ac:dyDescent="0.4">
      <c r="B756" s="103" t="s">
        <v>844</v>
      </c>
      <c r="D756" s="129" t="s">
        <v>70</v>
      </c>
      <c r="E756" s="111">
        <v>0</v>
      </c>
      <c r="F756" s="129" t="s">
        <v>916</v>
      </c>
      <c r="G756" s="111">
        <v>0</v>
      </c>
      <c r="H756" s="129" t="s">
        <v>916</v>
      </c>
      <c r="I756" s="111">
        <v>0</v>
      </c>
      <c r="J756" s="120" t="s">
        <v>916</v>
      </c>
      <c r="K756" s="111">
        <v>0</v>
      </c>
      <c r="L756" s="120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20" t="s">
        <v>916</v>
      </c>
      <c r="R756" s="103">
        <v>0</v>
      </c>
      <c r="S756" s="120" t="s">
        <v>916</v>
      </c>
      <c r="T756" s="111">
        <v>32.5</v>
      </c>
      <c r="U756" s="120" t="s">
        <v>916</v>
      </c>
      <c r="V756" s="103">
        <v>0</v>
      </c>
      <c r="W756" s="120" t="s">
        <v>916</v>
      </c>
      <c r="X756" s="108">
        <v>0</v>
      </c>
      <c r="Y756" s="103">
        <v>0</v>
      </c>
      <c r="Z756" s="120" t="s">
        <v>916</v>
      </c>
      <c r="AA756" s="111">
        <v>0</v>
      </c>
      <c r="AB756" s="103">
        <v>0</v>
      </c>
      <c r="AC756" s="120" t="s">
        <v>916</v>
      </c>
      <c r="AD756" s="111">
        <v>273.8</v>
      </c>
      <c r="AE756" s="120" t="s">
        <v>901</v>
      </c>
      <c r="AF756" s="111">
        <v>0</v>
      </c>
      <c r="AG756" s="130" t="s">
        <v>916</v>
      </c>
      <c r="AH756" s="111">
        <f t="shared" si="23"/>
        <v>306.3</v>
      </c>
      <c r="AR756" s="131">
        <f t="shared" si="24"/>
        <v>0</v>
      </c>
      <c r="AS756" s="132">
        <v>273.8</v>
      </c>
      <c r="AV756" s="132">
        <f t="shared" si="25"/>
        <v>273.8</v>
      </c>
      <c r="AZ756" s="133">
        <f t="shared" si="26"/>
        <v>0</v>
      </c>
    </row>
    <row r="757" spans="1:52" x14ac:dyDescent="0.4">
      <c r="B757" s="103" t="s">
        <v>845</v>
      </c>
      <c r="D757" s="129" t="s">
        <v>71</v>
      </c>
      <c r="E757" s="111">
        <v>0</v>
      </c>
      <c r="F757" s="129" t="s">
        <v>916</v>
      </c>
      <c r="G757" s="111">
        <v>0</v>
      </c>
      <c r="H757" s="129" t="s">
        <v>916</v>
      </c>
      <c r="I757" s="111">
        <v>32.5</v>
      </c>
      <c r="J757" s="120" t="s">
        <v>896</v>
      </c>
      <c r="K757" s="111">
        <v>0</v>
      </c>
      <c r="L757" s="120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20" t="s">
        <v>916</v>
      </c>
      <c r="R757" s="103">
        <v>0</v>
      </c>
      <c r="S757" s="120" t="s">
        <v>916</v>
      </c>
      <c r="T757" s="111">
        <v>0</v>
      </c>
      <c r="U757" s="120" t="s">
        <v>916</v>
      </c>
      <c r="V757" s="103">
        <v>0</v>
      </c>
      <c r="W757" s="120" t="s">
        <v>916</v>
      </c>
      <c r="X757" s="108">
        <v>0</v>
      </c>
      <c r="Y757" s="103">
        <f>2+34.69</f>
        <v>36.69</v>
      </c>
      <c r="Z757" s="120" t="s">
        <v>899</v>
      </c>
      <c r="AA757" s="111">
        <v>10</v>
      </c>
      <c r="AB757" s="103">
        <v>0</v>
      </c>
      <c r="AC757" s="120" t="s">
        <v>916</v>
      </c>
      <c r="AD757" s="111">
        <v>0</v>
      </c>
      <c r="AE757" s="120" t="s">
        <v>916</v>
      </c>
      <c r="AF757" s="111">
        <f>89+15</f>
        <v>104</v>
      </c>
      <c r="AG757" s="130" t="s">
        <v>900</v>
      </c>
      <c r="AH757" s="111">
        <f t="shared" si="23"/>
        <v>183.19</v>
      </c>
      <c r="AR757" s="131">
        <f t="shared" si="24"/>
        <v>0</v>
      </c>
      <c r="AV757" s="132">
        <f t="shared" si="25"/>
        <v>0</v>
      </c>
      <c r="AZ757" s="133">
        <f t="shared" si="26"/>
        <v>0</v>
      </c>
    </row>
    <row r="758" spans="1:52" x14ac:dyDescent="0.4">
      <c r="B758" s="103" t="s">
        <v>846</v>
      </c>
      <c r="D758" s="129" t="s">
        <v>72</v>
      </c>
      <c r="E758" s="111">
        <v>0</v>
      </c>
      <c r="F758" s="129" t="s">
        <v>916</v>
      </c>
      <c r="G758" s="111">
        <v>0</v>
      </c>
      <c r="H758" s="129" t="s">
        <v>916</v>
      </c>
      <c r="I758" s="111">
        <v>0</v>
      </c>
      <c r="J758" s="120" t="s">
        <v>916</v>
      </c>
      <c r="K758" s="111">
        <v>43</v>
      </c>
      <c r="L758" s="120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20" t="s">
        <v>916</v>
      </c>
      <c r="R758" s="103">
        <v>0</v>
      </c>
      <c r="S758" s="120" t="s">
        <v>916</v>
      </c>
      <c r="T758" s="111">
        <v>0</v>
      </c>
      <c r="U758" s="120" t="s">
        <v>916</v>
      </c>
      <c r="V758" s="103">
        <v>0</v>
      </c>
      <c r="W758" s="120" t="s">
        <v>916</v>
      </c>
      <c r="X758" s="108">
        <v>0</v>
      </c>
      <c r="Y758" s="103">
        <f>2+16.72</f>
        <v>18.72</v>
      </c>
      <c r="Z758" s="120" t="s">
        <v>899</v>
      </c>
      <c r="AA758" s="111">
        <v>0</v>
      </c>
      <c r="AB758" s="103">
        <v>0</v>
      </c>
      <c r="AC758" s="120" t="s">
        <v>916</v>
      </c>
      <c r="AD758" s="111">
        <v>0</v>
      </c>
      <c r="AE758" s="120" t="s">
        <v>916</v>
      </c>
      <c r="AF758" s="111">
        <v>0</v>
      </c>
      <c r="AG758" s="130" t="s">
        <v>916</v>
      </c>
      <c r="AH758" s="111">
        <f t="shared" si="23"/>
        <v>61.72</v>
      </c>
      <c r="AR758" s="131">
        <f t="shared" si="24"/>
        <v>0</v>
      </c>
      <c r="AV758" s="132">
        <f t="shared" si="25"/>
        <v>0</v>
      </c>
      <c r="AZ758" s="133">
        <f t="shared" si="26"/>
        <v>0</v>
      </c>
    </row>
    <row r="759" spans="1:52" x14ac:dyDescent="0.4">
      <c r="B759" s="103" t="s">
        <v>847</v>
      </c>
      <c r="D759" s="129" t="s">
        <v>73</v>
      </c>
      <c r="E759" s="111">
        <v>0</v>
      </c>
      <c r="F759" s="129" t="s">
        <v>916</v>
      </c>
      <c r="G759" s="111">
        <v>0</v>
      </c>
      <c r="H759" s="129" t="s">
        <v>916</v>
      </c>
      <c r="I759" s="111">
        <v>0</v>
      </c>
      <c r="J759" s="120" t="s">
        <v>916</v>
      </c>
      <c r="K759" s="111">
        <v>0</v>
      </c>
      <c r="L759" s="120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20" t="s">
        <v>916</v>
      </c>
      <c r="R759" s="103">
        <v>0</v>
      </c>
      <c r="S759" s="120" t="s">
        <v>916</v>
      </c>
      <c r="T759" s="111">
        <v>0</v>
      </c>
      <c r="U759" s="120" t="s">
        <v>916</v>
      </c>
      <c r="V759" s="103">
        <v>0</v>
      </c>
      <c r="W759" s="120" t="s">
        <v>916</v>
      </c>
      <c r="X759" s="108">
        <v>0</v>
      </c>
      <c r="Y759" s="103">
        <v>0</v>
      </c>
      <c r="Z759" s="120" t="s">
        <v>916</v>
      </c>
      <c r="AA759" s="111">
        <v>0</v>
      </c>
      <c r="AB759" s="103">
        <v>0</v>
      </c>
      <c r="AC759" s="120" t="s">
        <v>916</v>
      </c>
      <c r="AD759" s="111">
        <v>0</v>
      </c>
      <c r="AE759" s="120" t="s">
        <v>916</v>
      </c>
      <c r="AF759" s="111">
        <v>600</v>
      </c>
      <c r="AG759" s="130" t="s">
        <v>898</v>
      </c>
      <c r="AH759" s="111">
        <f t="shared" si="23"/>
        <v>600</v>
      </c>
      <c r="AR759" s="131">
        <f t="shared" si="24"/>
        <v>0</v>
      </c>
      <c r="AV759" s="132">
        <f t="shared" si="25"/>
        <v>0</v>
      </c>
      <c r="AZ759" s="133">
        <f t="shared" si="26"/>
        <v>0</v>
      </c>
    </row>
    <row r="760" spans="1:52" x14ac:dyDescent="0.4">
      <c r="B760" s="103" t="s">
        <v>848</v>
      </c>
      <c r="D760" s="129" t="s">
        <v>74</v>
      </c>
      <c r="E760" s="111">
        <v>0</v>
      </c>
      <c r="F760" s="129" t="s">
        <v>916</v>
      </c>
      <c r="G760" s="111">
        <v>0</v>
      </c>
      <c r="H760" s="129" t="s">
        <v>916</v>
      </c>
      <c r="I760" s="111">
        <v>37.5</v>
      </c>
      <c r="J760" s="120" t="s">
        <v>896</v>
      </c>
      <c r="K760" s="111">
        <v>0</v>
      </c>
      <c r="L760" s="120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20" t="s">
        <v>916</v>
      </c>
      <c r="R760" s="103">
        <v>0</v>
      </c>
      <c r="S760" s="120" t="s">
        <v>916</v>
      </c>
      <c r="T760" s="111">
        <v>0</v>
      </c>
      <c r="U760" s="120" t="s">
        <v>916</v>
      </c>
      <c r="V760" s="103">
        <v>0</v>
      </c>
      <c r="W760" s="120" t="s">
        <v>916</v>
      </c>
      <c r="X760" s="108">
        <v>0</v>
      </c>
      <c r="Y760" s="103">
        <v>0</v>
      </c>
      <c r="Z760" s="120" t="s">
        <v>916</v>
      </c>
      <c r="AA760" s="111">
        <v>20</v>
      </c>
      <c r="AB760" s="103">
        <v>0</v>
      </c>
      <c r="AC760" s="120" t="s">
        <v>916</v>
      </c>
      <c r="AD760" s="111">
        <v>0</v>
      </c>
      <c r="AE760" s="120" t="s">
        <v>916</v>
      </c>
      <c r="AF760" s="111">
        <v>15</v>
      </c>
      <c r="AG760" s="130" t="s">
        <v>897</v>
      </c>
      <c r="AH760" s="111">
        <f t="shared" si="23"/>
        <v>72.5</v>
      </c>
      <c r="AR760" s="131">
        <f t="shared" si="24"/>
        <v>0</v>
      </c>
      <c r="AV760" s="132">
        <f t="shared" si="25"/>
        <v>0</v>
      </c>
      <c r="AZ760" s="133">
        <f t="shared" si="26"/>
        <v>0</v>
      </c>
    </row>
    <row r="761" spans="1:52" x14ac:dyDescent="0.4">
      <c r="B761" s="103" t="s">
        <v>849</v>
      </c>
      <c r="C761" s="103">
        <v>100</v>
      </c>
      <c r="D761" s="152" t="s">
        <v>75</v>
      </c>
      <c r="E761" s="111">
        <v>0</v>
      </c>
      <c r="F761" s="129" t="s">
        <v>916</v>
      </c>
      <c r="G761" s="111">
        <v>0</v>
      </c>
      <c r="H761" s="129" t="s">
        <v>916</v>
      </c>
      <c r="I761" s="111">
        <f>15+10</f>
        <v>25</v>
      </c>
      <c r="J761" s="120" t="s">
        <v>1095</v>
      </c>
      <c r="K761" s="111">
        <v>11</v>
      </c>
      <c r="L761" s="120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20" t="s">
        <v>916</v>
      </c>
      <c r="R761" s="103">
        <v>0</v>
      </c>
      <c r="S761" s="120" t="s">
        <v>916</v>
      </c>
      <c r="T761" s="111">
        <v>8.4</v>
      </c>
      <c r="U761" s="120" t="s">
        <v>1108</v>
      </c>
      <c r="V761" s="103">
        <v>0</v>
      </c>
      <c r="W761" s="120" t="s">
        <v>916</v>
      </c>
      <c r="X761" s="108">
        <v>0</v>
      </c>
      <c r="Y761" s="103">
        <v>2</v>
      </c>
      <c r="Z761" s="120" t="s">
        <v>895</v>
      </c>
      <c r="AA761" s="111">
        <v>20</v>
      </c>
      <c r="AB761" s="103">
        <v>0</v>
      </c>
      <c r="AC761" s="120" t="s">
        <v>916</v>
      </c>
      <c r="AD761" s="111">
        <v>0</v>
      </c>
      <c r="AE761" s="120" t="s">
        <v>916</v>
      </c>
      <c r="AF761" s="111">
        <v>0</v>
      </c>
      <c r="AG761" s="130" t="s">
        <v>916</v>
      </c>
      <c r="AH761" s="111">
        <f t="shared" si="23"/>
        <v>66.400000000000006</v>
      </c>
      <c r="AR761" s="131">
        <f t="shared" si="24"/>
        <v>0</v>
      </c>
      <c r="AV761" s="132">
        <f t="shared" si="25"/>
        <v>0</v>
      </c>
      <c r="AZ761" s="133">
        <f t="shared" si="26"/>
        <v>0</v>
      </c>
    </row>
    <row r="762" spans="1:52" x14ac:dyDescent="0.4">
      <c r="B762" s="103" t="s">
        <v>850</v>
      </c>
      <c r="D762" s="129" t="s">
        <v>76</v>
      </c>
      <c r="E762" s="111">
        <v>1</v>
      </c>
      <c r="F762" s="129" t="s">
        <v>1109</v>
      </c>
      <c r="G762" s="111">
        <v>12</v>
      </c>
      <c r="H762" s="129" t="s">
        <v>1095</v>
      </c>
      <c r="I762" s="111">
        <v>0</v>
      </c>
      <c r="J762" s="120" t="s">
        <v>916</v>
      </c>
      <c r="K762" s="111">
        <v>9.9</v>
      </c>
      <c r="L762" s="120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20" t="s">
        <v>916</v>
      </c>
      <c r="R762" s="103">
        <f>2.5+2.98</f>
        <v>5.48</v>
      </c>
      <c r="S762" s="120" t="s">
        <v>979</v>
      </c>
      <c r="T762" s="111">
        <v>17</v>
      </c>
      <c r="U762" s="120" t="s">
        <v>1108</v>
      </c>
      <c r="V762" s="103">
        <v>0</v>
      </c>
      <c r="W762" s="120" t="s">
        <v>916</v>
      </c>
      <c r="X762" s="108">
        <v>0</v>
      </c>
      <c r="Y762" s="103">
        <v>0</v>
      </c>
      <c r="Z762" s="120" t="s">
        <v>916</v>
      </c>
      <c r="AA762" s="111">
        <v>0</v>
      </c>
      <c r="AB762" s="103">
        <v>0</v>
      </c>
      <c r="AC762" s="120" t="s">
        <v>916</v>
      </c>
      <c r="AD762" s="111">
        <v>0</v>
      </c>
      <c r="AE762" s="120" t="s">
        <v>916</v>
      </c>
      <c r="AF762" s="111">
        <v>43</v>
      </c>
      <c r="AG762" s="130" t="s">
        <v>893</v>
      </c>
      <c r="AH762" s="111">
        <f t="shared" si="23"/>
        <v>88.38</v>
      </c>
      <c r="AO762" s="131">
        <v>966.56</v>
      </c>
      <c r="AR762" s="131">
        <f t="shared" si="24"/>
        <v>966.56</v>
      </c>
      <c r="AV762" s="132">
        <f t="shared" si="25"/>
        <v>0</v>
      </c>
      <c r="AZ762" s="133">
        <f t="shared" si="26"/>
        <v>0</v>
      </c>
    </row>
    <row r="763" spans="1:52" x14ac:dyDescent="0.4">
      <c r="B763" s="103" t="s">
        <v>844</v>
      </c>
      <c r="D763" s="129" t="s">
        <v>77</v>
      </c>
      <c r="E763" s="111">
        <v>1</v>
      </c>
      <c r="F763" s="129" t="s">
        <v>1109</v>
      </c>
      <c r="G763" s="111">
        <v>0</v>
      </c>
      <c r="H763" s="129" t="s">
        <v>916</v>
      </c>
      <c r="I763" s="111">
        <v>11</v>
      </c>
      <c r="J763" s="120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20" t="s">
        <v>916</v>
      </c>
      <c r="R763" s="103">
        <v>0</v>
      </c>
      <c r="S763" s="120" t="s">
        <v>916</v>
      </c>
      <c r="T763" s="111">
        <f>5.5+7.5</f>
        <v>13</v>
      </c>
      <c r="U763" s="120" t="s">
        <v>1108</v>
      </c>
      <c r="V763" s="103">
        <v>0</v>
      </c>
      <c r="W763" s="120" t="s">
        <v>916</v>
      </c>
      <c r="X763" s="108">
        <v>0</v>
      </c>
      <c r="Y763" s="103">
        <v>0</v>
      </c>
      <c r="Z763" s="120" t="s">
        <v>916</v>
      </c>
      <c r="AA763" s="111">
        <v>0</v>
      </c>
      <c r="AB763" s="103">
        <v>52</v>
      </c>
      <c r="AC763" s="120" t="s">
        <v>1006</v>
      </c>
      <c r="AD763" s="111">
        <v>0</v>
      </c>
      <c r="AE763" s="120" t="s">
        <v>916</v>
      </c>
      <c r="AF763" s="111">
        <v>45</v>
      </c>
      <c r="AG763" s="130" t="s">
        <v>916</v>
      </c>
      <c r="AH763" s="111">
        <f t="shared" si="23"/>
        <v>122</v>
      </c>
      <c r="AR763" s="131">
        <f t="shared" si="24"/>
        <v>0</v>
      </c>
      <c r="AV763" s="132">
        <f t="shared" si="25"/>
        <v>0</v>
      </c>
      <c r="AZ763" s="133">
        <f t="shared" si="26"/>
        <v>0</v>
      </c>
    </row>
    <row r="764" spans="1:52" x14ac:dyDescent="0.4">
      <c r="B764" s="103" t="s">
        <v>845</v>
      </c>
      <c r="C764" s="103">
        <v>50</v>
      </c>
      <c r="D764" s="152" t="s">
        <v>78</v>
      </c>
      <c r="E764" s="111">
        <f>0.5+0.5+3</f>
        <v>4</v>
      </c>
      <c r="F764" s="129" t="s">
        <v>1109</v>
      </c>
      <c r="G764" s="111">
        <v>10</v>
      </c>
      <c r="H764" s="129" t="s">
        <v>1095</v>
      </c>
      <c r="I764" s="111">
        <v>13</v>
      </c>
      <c r="J764" s="120" t="s">
        <v>1095</v>
      </c>
      <c r="K764" s="111">
        <v>0</v>
      </c>
      <c r="L764" s="120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20" t="s">
        <v>916</v>
      </c>
      <c r="R764" s="103">
        <v>0</v>
      </c>
      <c r="S764" s="120" t="s">
        <v>916</v>
      </c>
      <c r="T764" s="111">
        <v>5</v>
      </c>
      <c r="U764" s="120" t="s">
        <v>1108</v>
      </c>
      <c r="V764" s="103">
        <v>0</v>
      </c>
      <c r="W764" s="120" t="s">
        <v>916</v>
      </c>
      <c r="X764" s="108">
        <v>0</v>
      </c>
      <c r="Y764" s="103">
        <v>0</v>
      </c>
      <c r="Z764" s="120" t="s">
        <v>916</v>
      </c>
      <c r="AA764" s="111">
        <v>0</v>
      </c>
      <c r="AB764" s="103">
        <v>0</v>
      </c>
      <c r="AC764" s="120" t="s">
        <v>916</v>
      </c>
      <c r="AD764" s="111">
        <v>0</v>
      </c>
      <c r="AE764" s="120" t="s">
        <v>916</v>
      </c>
      <c r="AF764" s="111">
        <f>15+4</f>
        <v>19</v>
      </c>
      <c r="AG764" s="130" t="s">
        <v>1045</v>
      </c>
      <c r="AH764" s="111">
        <f t="shared" si="23"/>
        <v>51</v>
      </c>
      <c r="AR764" s="131">
        <f t="shared" si="24"/>
        <v>0</v>
      </c>
      <c r="AV764" s="132">
        <f t="shared" si="25"/>
        <v>0</v>
      </c>
      <c r="AZ764" s="133">
        <f t="shared" si="26"/>
        <v>0</v>
      </c>
    </row>
    <row r="765" spans="1:52" x14ac:dyDescent="0.4">
      <c r="B765" s="103" t="s">
        <v>846</v>
      </c>
      <c r="D765" s="129" t="s">
        <v>79</v>
      </c>
      <c r="E765" s="111">
        <v>1</v>
      </c>
      <c r="F765" s="129" t="s">
        <v>1109</v>
      </c>
      <c r="G765" s="111">
        <v>16</v>
      </c>
      <c r="H765" s="129" t="s">
        <v>1098</v>
      </c>
      <c r="I765" s="111">
        <v>8.1999999999999993</v>
      </c>
      <c r="J765" s="120" t="s">
        <v>1098</v>
      </c>
      <c r="K765" s="111">
        <v>14.9</v>
      </c>
      <c r="L765" s="120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20" t="s">
        <v>916</v>
      </c>
      <c r="R765" s="103">
        <v>0</v>
      </c>
      <c r="S765" s="120" t="s">
        <v>916</v>
      </c>
      <c r="T765" s="111">
        <v>0</v>
      </c>
      <c r="U765" s="120" t="s">
        <v>916</v>
      </c>
      <c r="V765" s="103">
        <v>0</v>
      </c>
      <c r="W765" s="120" t="s">
        <v>916</v>
      </c>
      <c r="X765" s="108">
        <v>0</v>
      </c>
      <c r="Y765" s="103">
        <v>0</v>
      </c>
      <c r="Z765" s="120" t="s">
        <v>916</v>
      </c>
      <c r="AA765" s="111">
        <v>0</v>
      </c>
      <c r="AB765" s="103">
        <v>0</v>
      </c>
      <c r="AC765" s="120" t="s">
        <v>916</v>
      </c>
      <c r="AD765" s="111">
        <v>0</v>
      </c>
      <c r="AE765" s="120" t="s">
        <v>916</v>
      </c>
      <c r="AF765" s="111">
        <v>0</v>
      </c>
      <c r="AG765" s="130" t="s">
        <v>916</v>
      </c>
      <c r="AH765" s="111">
        <f t="shared" si="23"/>
        <v>40.1</v>
      </c>
      <c r="AR765" s="131">
        <f t="shared" si="24"/>
        <v>0</v>
      </c>
      <c r="AV765" s="132">
        <f t="shared" si="25"/>
        <v>0</v>
      </c>
      <c r="AZ765" s="133">
        <f t="shared" si="26"/>
        <v>0</v>
      </c>
    </row>
    <row r="766" spans="1:52" x14ac:dyDescent="0.4">
      <c r="B766" s="103" t="s">
        <v>847</v>
      </c>
      <c r="D766" s="129" t="s">
        <v>80</v>
      </c>
      <c r="E766" s="111">
        <v>0</v>
      </c>
      <c r="F766" s="129" t="s">
        <v>916</v>
      </c>
      <c r="G766" s="111">
        <v>0</v>
      </c>
      <c r="H766" s="129" t="s">
        <v>916</v>
      </c>
      <c r="I766" s="111">
        <v>0</v>
      </c>
      <c r="J766" s="120" t="s">
        <v>916</v>
      </c>
      <c r="K766" s="111">
        <v>0</v>
      </c>
      <c r="L766" s="120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20" t="s">
        <v>916</v>
      </c>
      <c r="R766" s="103">
        <v>0</v>
      </c>
      <c r="S766" s="120" t="s">
        <v>916</v>
      </c>
      <c r="T766" s="111">
        <v>3.5</v>
      </c>
      <c r="U766" s="120" t="s">
        <v>992</v>
      </c>
      <c r="V766" s="103">
        <v>0</v>
      </c>
      <c r="W766" s="120" t="s">
        <v>916</v>
      </c>
      <c r="X766" s="108">
        <v>0</v>
      </c>
      <c r="Y766" s="103">
        <v>2</v>
      </c>
      <c r="Z766" s="120" t="s">
        <v>916</v>
      </c>
      <c r="AA766" s="111">
        <v>0</v>
      </c>
      <c r="AB766" s="103">
        <v>0</v>
      </c>
      <c r="AC766" s="120" t="s">
        <v>916</v>
      </c>
      <c r="AD766" s="111">
        <v>0</v>
      </c>
      <c r="AE766" s="120" t="s">
        <v>916</v>
      </c>
      <c r="AF766" s="111">
        <f>6+3+5-0.43+5+16-3.9</f>
        <v>30.67</v>
      </c>
      <c r="AG766" s="130" t="s">
        <v>1086</v>
      </c>
      <c r="AH766" s="111">
        <f t="shared" si="23"/>
        <v>36.17</v>
      </c>
      <c r="AI766" s="112">
        <f>1.67+1.09+0.17+2.46+1.56</f>
        <v>6.9499999999999993</v>
      </c>
      <c r="AR766" s="131">
        <f t="shared" si="24"/>
        <v>0</v>
      </c>
      <c r="AV766" s="132">
        <f t="shared" si="25"/>
        <v>0</v>
      </c>
      <c r="AZ766" s="133">
        <f t="shared" si="26"/>
        <v>0</v>
      </c>
    </row>
    <row r="767" spans="1:52" x14ac:dyDescent="0.4">
      <c r="B767" s="103" t="s">
        <v>848</v>
      </c>
      <c r="C767" s="103">
        <v>40</v>
      </c>
      <c r="D767" s="152" t="s">
        <v>81</v>
      </c>
      <c r="E767" s="111">
        <v>0</v>
      </c>
      <c r="F767" s="129" t="s">
        <v>916</v>
      </c>
      <c r="G767" s="111">
        <v>0</v>
      </c>
      <c r="H767" s="129" t="s">
        <v>916</v>
      </c>
      <c r="I767" s="111">
        <v>10</v>
      </c>
      <c r="J767" s="120" t="s">
        <v>1111</v>
      </c>
      <c r="K767" s="111">
        <v>0</v>
      </c>
      <c r="L767" s="120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20" t="s">
        <v>916</v>
      </c>
      <c r="R767" s="103">
        <f>2.48+12+7.3</f>
        <v>21.78</v>
      </c>
      <c r="S767" s="120" t="s">
        <v>980</v>
      </c>
      <c r="T767" s="111">
        <v>0</v>
      </c>
      <c r="U767" s="120" t="s">
        <v>916</v>
      </c>
      <c r="V767" s="103">
        <v>0</v>
      </c>
      <c r="W767" s="120" t="s">
        <v>916</v>
      </c>
      <c r="X767" s="108">
        <v>0</v>
      </c>
      <c r="Y767" s="103">
        <v>2</v>
      </c>
      <c r="Z767" s="120" t="s">
        <v>916</v>
      </c>
      <c r="AA767" s="111">
        <v>20</v>
      </c>
      <c r="AB767" s="103">
        <v>0</v>
      </c>
      <c r="AC767" s="120" t="s">
        <v>916</v>
      </c>
      <c r="AD767" s="111">
        <v>19.899999999999999</v>
      </c>
      <c r="AE767" s="120" t="s">
        <v>1009</v>
      </c>
      <c r="AF767" s="111">
        <f>0.54+0.08+50</f>
        <v>50.62</v>
      </c>
      <c r="AG767" s="130" t="s">
        <v>1087</v>
      </c>
      <c r="AH767" s="111">
        <f t="shared" si="23"/>
        <v>124.30000000000001</v>
      </c>
      <c r="AI767" s="112">
        <v>2.2799999999999998</v>
      </c>
      <c r="AR767" s="131">
        <f t="shared" si="24"/>
        <v>0</v>
      </c>
      <c r="AS767" s="132">
        <v>19.899999999999999</v>
      </c>
      <c r="AV767" s="132">
        <f t="shared" si="25"/>
        <v>19.899999999999999</v>
      </c>
      <c r="AZ767" s="133">
        <f t="shared" si="26"/>
        <v>0</v>
      </c>
    </row>
    <row r="768" spans="1:52" x14ac:dyDescent="0.4">
      <c r="B768" s="103" t="s">
        <v>849</v>
      </c>
      <c r="D768" s="129" t="s">
        <v>82</v>
      </c>
      <c r="E768" s="111">
        <v>0</v>
      </c>
      <c r="F768" s="129" t="s">
        <v>916</v>
      </c>
      <c r="G768" s="111">
        <v>24</v>
      </c>
      <c r="H768" s="129" t="s">
        <v>1095</v>
      </c>
      <c r="I768" s="111">
        <v>0</v>
      </c>
      <c r="J768" s="120" t="s">
        <v>933</v>
      </c>
      <c r="K768" s="111">
        <v>0</v>
      </c>
      <c r="L768" s="120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20" t="s">
        <v>916</v>
      </c>
      <c r="R768" s="103">
        <v>3.98</v>
      </c>
      <c r="S768" s="120" t="s">
        <v>981</v>
      </c>
      <c r="T768" s="111">
        <v>0</v>
      </c>
      <c r="U768" s="120" t="s">
        <v>916</v>
      </c>
      <c r="V768" s="103">
        <v>0</v>
      </c>
      <c r="W768" s="120" t="s">
        <v>916</v>
      </c>
      <c r="X768" s="108">
        <v>0</v>
      </c>
      <c r="Y768" s="103">
        <f>2+2</f>
        <v>4</v>
      </c>
      <c r="Z768" s="120" t="s">
        <v>916</v>
      </c>
      <c r="AA768" s="111">
        <v>0</v>
      </c>
      <c r="AB768" s="103">
        <v>0</v>
      </c>
      <c r="AC768" s="120" t="s">
        <v>916</v>
      </c>
      <c r="AD768" s="111">
        <v>0</v>
      </c>
      <c r="AE768" s="120" t="s">
        <v>916</v>
      </c>
      <c r="AF768" s="111">
        <v>0</v>
      </c>
      <c r="AG768" s="130" t="s">
        <v>916</v>
      </c>
      <c r="AH768" s="111">
        <f t="shared" si="23"/>
        <v>31.98</v>
      </c>
      <c r="AI768" s="112">
        <v>45</v>
      </c>
      <c r="AR768" s="131">
        <f t="shared" si="24"/>
        <v>0</v>
      </c>
      <c r="AT768" s="132">
        <v>200</v>
      </c>
      <c r="AV768" s="132">
        <f t="shared" si="25"/>
        <v>200</v>
      </c>
      <c r="AZ768" s="133">
        <f t="shared" si="26"/>
        <v>0</v>
      </c>
    </row>
    <row r="769" spans="1:52" x14ac:dyDescent="0.4">
      <c r="B769" s="103" t="s">
        <v>850</v>
      </c>
      <c r="D769" s="129" t="s">
        <v>83</v>
      </c>
      <c r="E769" s="111">
        <v>5</v>
      </c>
      <c r="F769" s="129" t="s">
        <v>1095</v>
      </c>
      <c r="G769" s="111">
        <v>7.2</v>
      </c>
      <c r="H769" s="129" t="s">
        <v>916</v>
      </c>
      <c r="I769" s="111">
        <v>11</v>
      </c>
      <c r="J769" s="120" t="s">
        <v>916</v>
      </c>
      <c r="K769" s="111">
        <v>0</v>
      </c>
      <c r="L769" s="120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20" t="s">
        <v>916</v>
      </c>
      <c r="R769" s="103">
        <f>2.98+6+5.5+2.5</f>
        <v>16.98</v>
      </c>
      <c r="S769" s="120" t="s">
        <v>982</v>
      </c>
      <c r="T769" s="111">
        <v>0</v>
      </c>
      <c r="U769" s="120" t="s">
        <v>916</v>
      </c>
      <c r="V769" s="103">
        <v>0</v>
      </c>
      <c r="W769" s="120" t="s">
        <v>916</v>
      </c>
      <c r="X769" s="108">
        <v>0</v>
      </c>
      <c r="Y769" s="103">
        <v>0</v>
      </c>
      <c r="Z769" s="120" t="s">
        <v>916</v>
      </c>
      <c r="AA769" s="111">
        <v>0</v>
      </c>
      <c r="AB769" s="103">
        <v>0</v>
      </c>
      <c r="AC769" s="120" t="s">
        <v>916</v>
      </c>
      <c r="AD769" s="111">
        <v>0</v>
      </c>
      <c r="AE769" s="120" t="s">
        <v>916</v>
      </c>
      <c r="AF769" s="111">
        <v>0</v>
      </c>
      <c r="AG769" s="130" t="s">
        <v>916</v>
      </c>
      <c r="AH769" s="111">
        <f t="shared" si="23"/>
        <v>40.18</v>
      </c>
      <c r="AR769" s="131">
        <f t="shared" si="24"/>
        <v>0</v>
      </c>
      <c r="AV769" s="132">
        <f t="shared" si="25"/>
        <v>0</v>
      </c>
      <c r="AZ769" s="133">
        <f t="shared" si="26"/>
        <v>0</v>
      </c>
    </row>
    <row r="770" spans="1:52" x14ac:dyDescent="0.4">
      <c r="B770" s="103" t="s">
        <v>844</v>
      </c>
      <c r="D770" s="129" t="s">
        <v>84</v>
      </c>
      <c r="E770" s="111">
        <v>0</v>
      </c>
      <c r="F770" s="129" t="s">
        <v>916</v>
      </c>
      <c r="G770" s="111">
        <v>19</v>
      </c>
      <c r="H770" s="129" t="s">
        <v>916</v>
      </c>
      <c r="I770" s="111">
        <v>13</v>
      </c>
      <c r="J770" s="120" t="s">
        <v>916</v>
      </c>
      <c r="K770" s="111">
        <v>0</v>
      </c>
      <c r="L770" s="120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20" t="s">
        <v>916</v>
      </c>
      <c r="R770" s="103">
        <v>3.98</v>
      </c>
      <c r="S770" s="120" t="s">
        <v>983</v>
      </c>
      <c r="T770" s="111">
        <v>0</v>
      </c>
      <c r="U770" s="120" t="s">
        <v>916</v>
      </c>
      <c r="V770" s="103">
        <v>0</v>
      </c>
      <c r="W770" s="120" t="s">
        <v>916</v>
      </c>
      <c r="X770" s="108">
        <v>0</v>
      </c>
      <c r="Y770" s="103">
        <v>0</v>
      </c>
      <c r="Z770" s="120" t="s">
        <v>916</v>
      </c>
      <c r="AA770" s="111">
        <v>0</v>
      </c>
      <c r="AB770" s="103">
        <v>0</v>
      </c>
      <c r="AC770" s="120" t="s">
        <v>916</v>
      </c>
      <c r="AD770" s="111">
        <v>79</v>
      </c>
      <c r="AE770" s="120" t="s">
        <v>1010</v>
      </c>
      <c r="AF770" s="111">
        <f>0.6+0.02</f>
        <v>0.62</v>
      </c>
      <c r="AG770" s="130" t="s">
        <v>1056</v>
      </c>
      <c r="AH770" s="111">
        <f t="shared" si="23"/>
        <v>115.6</v>
      </c>
      <c r="AR770" s="131">
        <f t="shared" si="24"/>
        <v>0</v>
      </c>
      <c r="AS770" s="132">
        <v>79</v>
      </c>
      <c r="AV770" s="132">
        <f t="shared" si="25"/>
        <v>79</v>
      </c>
      <c r="AZ770" s="133">
        <f t="shared" si="26"/>
        <v>0</v>
      </c>
    </row>
    <row r="771" spans="1:52" x14ac:dyDescent="0.4">
      <c r="B771" s="103" t="s">
        <v>845</v>
      </c>
      <c r="D771" s="129" t="s">
        <v>85</v>
      </c>
      <c r="E771" s="111">
        <v>5</v>
      </c>
      <c r="F771" s="129" t="s">
        <v>925</v>
      </c>
      <c r="G771" s="111">
        <v>11</v>
      </c>
      <c r="H771" s="129" t="s">
        <v>928</v>
      </c>
      <c r="I771" s="111">
        <v>0</v>
      </c>
      <c r="J771" s="120" t="s">
        <v>916</v>
      </c>
      <c r="K771" s="111">
        <v>22</v>
      </c>
      <c r="L771" s="120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20" t="s">
        <v>916</v>
      </c>
      <c r="R771" s="103">
        <f>2.48+5</f>
        <v>7.48</v>
      </c>
      <c r="S771" s="120" t="s">
        <v>984</v>
      </c>
      <c r="T771" s="111">
        <v>0</v>
      </c>
      <c r="U771" s="120" t="s">
        <v>916</v>
      </c>
      <c r="V771" s="103">
        <v>0</v>
      </c>
      <c r="W771" s="120" t="s">
        <v>916</v>
      </c>
      <c r="X771" s="108">
        <v>0</v>
      </c>
      <c r="Y771" s="103">
        <v>0</v>
      </c>
      <c r="Z771" s="120" t="s">
        <v>916</v>
      </c>
      <c r="AA771" s="111">
        <v>0</v>
      </c>
      <c r="AB771" s="103">
        <v>0</v>
      </c>
      <c r="AC771" s="120" t="s">
        <v>916</v>
      </c>
      <c r="AD771" s="111">
        <v>0</v>
      </c>
      <c r="AE771" s="120" t="s">
        <v>916</v>
      </c>
      <c r="AF771" s="111">
        <v>25</v>
      </c>
      <c r="AG771" s="130" t="s">
        <v>1057</v>
      </c>
      <c r="AH771" s="111">
        <f t="shared" si="23"/>
        <v>70.48</v>
      </c>
      <c r="AP771" s="131">
        <v>2640.9</v>
      </c>
      <c r="AR771" s="131">
        <f t="shared" si="24"/>
        <v>2640.9</v>
      </c>
      <c r="AT771" s="132">
        <v>2700</v>
      </c>
      <c r="AV771" s="132">
        <f t="shared" si="25"/>
        <v>2700</v>
      </c>
      <c r="AX771" s="133">
        <f>23.25+7.75+3.1+7.75+15.5+23.25+49.61</f>
        <v>130.20999999999998</v>
      </c>
      <c r="AZ771" s="133">
        <f t="shared" si="26"/>
        <v>130.20999999999998</v>
      </c>
    </row>
    <row r="772" spans="1:52" x14ac:dyDescent="0.4">
      <c r="B772" s="103" t="s">
        <v>846</v>
      </c>
      <c r="D772" s="129" t="s">
        <v>86</v>
      </c>
      <c r="E772" s="111">
        <v>6.5</v>
      </c>
      <c r="F772" s="129" t="s">
        <v>925</v>
      </c>
      <c r="G772" s="111">
        <v>7</v>
      </c>
      <c r="H772" s="129" t="s">
        <v>928</v>
      </c>
      <c r="I772" s="111">
        <v>16</v>
      </c>
      <c r="J772" s="120" t="s">
        <v>928</v>
      </c>
      <c r="K772" s="111">
        <v>0</v>
      </c>
      <c r="L772" s="120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20" t="s">
        <v>916</v>
      </c>
      <c r="R772" s="103">
        <v>0</v>
      </c>
      <c r="S772" s="120" t="s">
        <v>916</v>
      </c>
      <c r="T772" s="111">
        <v>12</v>
      </c>
      <c r="U772" s="120" t="s">
        <v>993</v>
      </c>
      <c r="V772" s="103">
        <v>0</v>
      </c>
      <c r="W772" s="120" t="s">
        <v>916</v>
      </c>
      <c r="X772" s="108">
        <v>0</v>
      </c>
      <c r="Y772" s="103">
        <v>0</v>
      </c>
      <c r="Z772" s="120" t="s">
        <v>916</v>
      </c>
      <c r="AA772" s="111">
        <v>0</v>
      </c>
      <c r="AB772" s="103">
        <v>0</v>
      </c>
      <c r="AC772" s="120" t="s">
        <v>916</v>
      </c>
      <c r="AD772" s="111">
        <f>16.9+39.8</f>
        <v>56.699999999999996</v>
      </c>
      <c r="AE772" s="120" t="s">
        <v>1011</v>
      </c>
      <c r="AF772" s="111">
        <v>0</v>
      </c>
      <c r="AG772" s="130" t="s">
        <v>916</v>
      </c>
      <c r="AH772" s="111">
        <f t="shared" si="23"/>
        <v>98.199999999999989</v>
      </c>
      <c r="AI772" s="112">
        <v>150</v>
      </c>
      <c r="AR772" s="131">
        <f t="shared" si="24"/>
        <v>0</v>
      </c>
      <c r="AS772" s="132">
        <f>56.7</f>
        <v>56.7</v>
      </c>
      <c r="AV772" s="132">
        <f t="shared" si="25"/>
        <v>56.7</v>
      </c>
      <c r="AZ772" s="133">
        <f t="shared" si="26"/>
        <v>0</v>
      </c>
    </row>
    <row r="773" spans="1:52" x14ac:dyDescent="0.4">
      <c r="B773" s="103" t="s">
        <v>847</v>
      </c>
      <c r="C773" s="103">
        <v>50</v>
      </c>
      <c r="D773" s="152" t="s">
        <v>87</v>
      </c>
      <c r="E773" s="111">
        <f>9.5+2+10+2</f>
        <v>23.5</v>
      </c>
      <c r="F773" s="129" t="s">
        <v>1095</v>
      </c>
      <c r="G773" s="111">
        <v>7</v>
      </c>
      <c r="H773" s="129" t="s">
        <v>1098</v>
      </c>
      <c r="I773" s="111">
        <f>11+5+10</f>
        <v>26</v>
      </c>
      <c r="J773" s="120" t="s">
        <v>1098</v>
      </c>
      <c r="K773" s="111">
        <v>11</v>
      </c>
      <c r="L773" s="120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20" t="s">
        <v>916</v>
      </c>
      <c r="R773" s="103">
        <v>2.48</v>
      </c>
      <c r="S773" s="120" t="s">
        <v>892</v>
      </c>
      <c r="T773" s="111">
        <v>0</v>
      </c>
      <c r="U773" s="120" t="s">
        <v>916</v>
      </c>
      <c r="V773" s="103">
        <v>35</v>
      </c>
      <c r="W773" s="120" t="s">
        <v>997</v>
      </c>
      <c r="X773" s="108">
        <v>0</v>
      </c>
      <c r="Y773" s="103">
        <v>0</v>
      </c>
      <c r="Z773" s="120" t="s">
        <v>916</v>
      </c>
      <c r="AA773" s="111">
        <v>10</v>
      </c>
      <c r="AB773" s="103">
        <v>0</v>
      </c>
      <c r="AC773" s="120" t="s">
        <v>916</v>
      </c>
      <c r="AD773" s="111">
        <v>0</v>
      </c>
      <c r="AE773" s="120" t="s">
        <v>916</v>
      </c>
      <c r="AF773" s="111">
        <v>0</v>
      </c>
      <c r="AG773" s="130" t="s">
        <v>916</v>
      </c>
      <c r="AH773" s="111">
        <f t="shared" si="23"/>
        <v>114.98</v>
      </c>
      <c r="AR773" s="131">
        <f t="shared" si="24"/>
        <v>0</v>
      </c>
      <c r="AV773" s="132">
        <f t="shared" si="25"/>
        <v>0</v>
      </c>
      <c r="AZ773" s="133">
        <f t="shared" si="26"/>
        <v>0</v>
      </c>
    </row>
    <row r="774" spans="1:52" x14ac:dyDescent="0.4">
      <c r="B774" s="103" t="s">
        <v>848</v>
      </c>
      <c r="D774" s="129" t="s">
        <v>88</v>
      </c>
      <c r="E774" s="111">
        <v>10.5</v>
      </c>
      <c r="F774" s="129" t="s">
        <v>926</v>
      </c>
      <c r="G774" s="111">
        <v>0</v>
      </c>
      <c r="H774" s="129" t="s">
        <v>916</v>
      </c>
      <c r="I774" s="111">
        <v>0</v>
      </c>
      <c r="J774" s="120" t="s">
        <v>916</v>
      </c>
      <c r="K774" s="111">
        <v>0</v>
      </c>
      <c r="L774" s="120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20" t="s">
        <v>916</v>
      </c>
      <c r="R774" s="103">
        <v>0</v>
      </c>
      <c r="S774" s="120" t="s">
        <v>916</v>
      </c>
      <c r="T774" s="111">
        <v>6.4</v>
      </c>
      <c r="U774" s="120" t="s">
        <v>994</v>
      </c>
      <c r="V774" s="103">
        <v>0</v>
      </c>
      <c r="W774" s="120" t="s">
        <v>916</v>
      </c>
      <c r="X774" s="108">
        <v>0</v>
      </c>
      <c r="Y774" s="103">
        <f>2+126</f>
        <v>128</v>
      </c>
      <c r="Z774" s="120" t="s">
        <v>1002</v>
      </c>
      <c r="AA774" s="111">
        <v>0</v>
      </c>
      <c r="AB774" s="103">
        <v>0</v>
      </c>
      <c r="AC774" s="120" t="s">
        <v>916</v>
      </c>
      <c r="AD774" s="111">
        <v>0</v>
      </c>
      <c r="AE774" s="120" t="s">
        <v>916</v>
      </c>
      <c r="AF774" s="111">
        <v>0</v>
      </c>
      <c r="AG774" s="130" t="s">
        <v>916</v>
      </c>
      <c r="AH774" s="111">
        <f t="shared" si="23"/>
        <v>144.9</v>
      </c>
      <c r="AR774" s="131">
        <f t="shared" si="24"/>
        <v>0</v>
      </c>
      <c r="AV774" s="132">
        <f t="shared" si="25"/>
        <v>0</v>
      </c>
      <c r="AZ774" s="133">
        <f t="shared" si="26"/>
        <v>0</v>
      </c>
    </row>
    <row r="775" spans="1:52" x14ac:dyDescent="0.4">
      <c r="B775" s="103" t="s">
        <v>849</v>
      </c>
      <c r="D775" s="129" t="s">
        <v>89</v>
      </c>
      <c r="E775" s="111">
        <v>0</v>
      </c>
      <c r="F775" s="129" t="s">
        <v>916</v>
      </c>
      <c r="G775" s="111">
        <v>0</v>
      </c>
      <c r="H775" s="129" t="s">
        <v>916</v>
      </c>
      <c r="I775" s="111">
        <f>12+12+9+12</f>
        <v>45</v>
      </c>
      <c r="J775" s="120" t="s">
        <v>925</v>
      </c>
      <c r="K775" s="111">
        <v>0</v>
      </c>
      <c r="L775" s="120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20" t="s">
        <v>916</v>
      </c>
      <c r="R775" s="103">
        <v>0</v>
      </c>
      <c r="S775" s="120" t="s">
        <v>916</v>
      </c>
      <c r="T775" s="111">
        <f>25.3+10</f>
        <v>35.299999999999997</v>
      </c>
      <c r="U775" s="120" t="s">
        <v>995</v>
      </c>
      <c r="V775" s="103">
        <v>0</v>
      </c>
      <c r="W775" s="120" t="s">
        <v>916</v>
      </c>
      <c r="X775" s="108">
        <v>0</v>
      </c>
      <c r="Y775" s="103">
        <v>126</v>
      </c>
      <c r="Z775" s="120" t="s">
        <v>1003</v>
      </c>
      <c r="AA775" s="111">
        <v>0</v>
      </c>
      <c r="AB775" s="103">
        <v>0</v>
      </c>
      <c r="AC775" s="120" t="s">
        <v>916</v>
      </c>
      <c r="AD775" s="111">
        <v>0</v>
      </c>
      <c r="AE775" s="120" t="s">
        <v>916</v>
      </c>
      <c r="AF775" s="111">
        <v>21</v>
      </c>
      <c r="AG775" s="130" t="s">
        <v>916</v>
      </c>
      <c r="AH775" s="111">
        <f t="shared" si="23"/>
        <v>227.3</v>
      </c>
      <c r="AR775" s="131">
        <f t="shared" si="24"/>
        <v>0</v>
      </c>
      <c r="AV775" s="132">
        <f t="shared" si="25"/>
        <v>0</v>
      </c>
      <c r="AZ775" s="133">
        <f t="shared" si="26"/>
        <v>0</v>
      </c>
    </row>
    <row r="776" spans="1:52" x14ac:dyDescent="0.4">
      <c r="B776" s="103" t="s">
        <v>850</v>
      </c>
      <c r="D776" s="129" t="s">
        <v>90</v>
      </c>
      <c r="E776" s="111">
        <v>5</v>
      </c>
      <c r="F776" s="129" t="s">
        <v>1095</v>
      </c>
      <c r="G776" s="111">
        <v>9.5</v>
      </c>
      <c r="H776" s="129" t="s">
        <v>928</v>
      </c>
      <c r="I776" s="111">
        <v>7.2</v>
      </c>
      <c r="J776" s="120" t="s">
        <v>934</v>
      </c>
      <c r="K776" s="111">
        <v>0</v>
      </c>
      <c r="L776" s="120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20" t="s">
        <v>916</v>
      </c>
      <c r="R776" s="103">
        <v>0</v>
      </c>
      <c r="S776" s="120" t="s">
        <v>916</v>
      </c>
      <c r="T776" s="111">
        <v>0</v>
      </c>
      <c r="U776" s="120" t="s">
        <v>916</v>
      </c>
      <c r="V776" s="103">
        <v>45</v>
      </c>
      <c r="W776" s="120" t="s">
        <v>998</v>
      </c>
      <c r="X776" s="108">
        <v>0</v>
      </c>
      <c r="Y776" s="103">
        <v>0</v>
      </c>
      <c r="Z776" s="120" t="s">
        <v>916</v>
      </c>
      <c r="AA776" s="111">
        <v>10</v>
      </c>
      <c r="AB776" s="103">
        <v>0</v>
      </c>
      <c r="AC776" s="120" t="s">
        <v>916</v>
      </c>
      <c r="AD776" s="111">
        <v>21.8</v>
      </c>
      <c r="AE776" s="120" t="s">
        <v>1012</v>
      </c>
      <c r="AF776" s="111">
        <f>0.37+0.38</f>
        <v>0.75</v>
      </c>
      <c r="AG776" s="130" t="s">
        <v>1056</v>
      </c>
      <c r="AH776" s="111">
        <f t="shared" si="23"/>
        <v>99.25</v>
      </c>
      <c r="AR776" s="131">
        <f t="shared" si="24"/>
        <v>0</v>
      </c>
      <c r="AS776" s="132">
        <f>45+21.8</f>
        <v>66.8</v>
      </c>
      <c r="AV776" s="132">
        <f t="shared" si="25"/>
        <v>66.8</v>
      </c>
      <c r="AZ776" s="133">
        <f t="shared" si="26"/>
        <v>0</v>
      </c>
    </row>
    <row r="777" spans="1:52" x14ac:dyDescent="0.4">
      <c r="B777" s="103" t="s">
        <v>844</v>
      </c>
      <c r="D777" s="129" t="s">
        <v>91</v>
      </c>
      <c r="E777" s="111">
        <v>10</v>
      </c>
      <c r="F777" s="129" t="s">
        <v>927</v>
      </c>
      <c r="G777" s="111">
        <v>12</v>
      </c>
      <c r="H777" s="129" t="s">
        <v>930</v>
      </c>
      <c r="I777" s="111">
        <v>0</v>
      </c>
      <c r="J777" s="120" t="s">
        <v>916</v>
      </c>
      <c r="K777" s="111">
        <v>0</v>
      </c>
      <c r="L777" s="120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20" t="s">
        <v>916</v>
      </c>
      <c r="R777" s="103">
        <v>2.4900000000000002</v>
      </c>
      <c r="S777" s="120" t="s">
        <v>985</v>
      </c>
      <c r="T777" s="111">
        <v>0</v>
      </c>
      <c r="U777" s="120" t="s">
        <v>916</v>
      </c>
      <c r="V777" s="103">
        <v>0</v>
      </c>
      <c r="W777" s="120" t="s">
        <v>916</v>
      </c>
      <c r="X777" s="108">
        <v>0</v>
      </c>
      <c r="Y777" s="103">
        <v>0</v>
      </c>
      <c r="Z777" s="120" t="s">
        <v>916</v>
      </c>
      <c r="AA777" s="111">
        <v>0</v>
      </c>
      <c r="AB777" s="103">
        <v>0</v>
      </c>
      <c r="AC777" s="120" t="s">
        <v>916</v>
      </c>
      <c r="AD777" s="111">
        <v>0</v>
      </c>
      <c r="AE777" s="120" t="s">
        <v>916</v>
      </c>
      <c r="AF777" s="111">
        <v>0</v>
      </c>
      <c r="AG777" s="130" t="s">
        <v>916</v>
      </c>
      <c r="AH777" s="111">
        <f t="shared" si="23"/>
        <v>24.490000000000002</v>
      </c>
      <c r="AR777" s="131">
        <f t="shared" si="24"/>
        <v>0</v>
      </c>
      <c r="AV777" s="132">
        <f t="shared" si="25"/>
        <v>0</v>
      </c>
      <c r="AZ777" s="133">
        <f t="shared" si="26"/>
        <v>0</v>
      </c>
    </row>
    <row r="778" spans="1:52" x14ac:dyDescent="0.4">
      <c r="B778" s="103" t="s">
        <v>845</v>
      </c>
      <c r="D778" s="129" t="s">
        <v>92</v>
      </c>
      <c r="E778" s="111">
        <v>0</v>
      </c>
      <c r="F778" s="129" t="s">
        <v>916</v>
      </c>
      <c r="G778" s="111">
        <f>9+5</f>
        <v>14</v>
      </c>
      <c r="H778" s="129" t="s">
        <v>925</v>
      </c>
      <c r="I778" s="111">
        <v>8</v>
      </c>
      <c r="J778" s="120" t="s">
        <v>928</v>
      </c>
      <c r="K778" s="111">
        <v>0</v>
      </c>
      <c r="L778" s="120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20" t="s">
        <v>916</v>
      </c>
      <c r="R778" s="103">
        <v>2.99</v>
      </c>
      <c r="S778" s="120" t="s">
        <v>986</v>
      </c>
      <c r="T778" s="111">
        <v>0</v>
      </c>
      <c r="U778" s="120" t="s">
        <v>916</v>
      </c>
      <c r="V778" s="103">
        <v>0</v>
      </c>
      <c r="W778" s="120" t="s">
        <v>916</v>
      </c>
      <c r="X778" s="108">
        <v>0</v>
      </c>
      <c r="Y778" s="103">
        <v>0</v>
      </c>
      <c r="Z778" s="120" t="s">
        <v>916</v>
      </c>
      <c r="AA778" s="111">
        <v>0</v>
      </c>
      <c r="AB778" s="103">
        <v>0</v>
      </c>
      <c r="AC778" s="120" t="s">
        <v>916</v>
      </c>
      <c r="AD778" s="111">
        <v>0</v>
      </c>
      <c r="AE778" s="120" t="s">
        <v>916</v>
      </c>
      <c r="AF778" s="111">
        <f>998+0.45+0.37</f>
        <v>998.82</v>
      </c>
      <c r="AG778" s="130" t="s">
        <v>1088</v>
      </c>
      <c r="AH778" s="111">
        <f t="shared" si="23"/>
        <v>1023.8100000000001</v>
      </c>
      <c r="AR778" s="131">
        <f t="shared" si="24"/>
        <v>0</v>
      </c>
      <c r="AT778" s="132">
        <v>1000</v>
      </c>
      <c r="AV778" s="132">
        <f t="shared" si="25"/>
        <v>1000</v>
      </c>
      <c r="AZ778" s="133">
        <f t="shared" si="26"/>
        <v>0</v>
      </c>
    </row>
    <row r="779" spans="1:52" x14ac:dyDescent="0.4">
      <c r="B779" s="103" t="s">
        <v>846</v>
      </c>
      <c r="D779" s="129" t="s">
        <v>93</v>
      </c>
      <c r="E779" s="111">
        <v>5</v>
      </c>
      <c r="F779" s="129" t="s">
        <v>925</v>
      </c>
      <c r="G779" s="111">
        <v>11</v>
      </c>
      <c r="H779" s="129" t="s">
        <v>928</v>
      </c>
      <c r="I779" s="111">
        <f>12+17</f>
        <v>29</v>
      </c>
      <c r="J779" s="120" t="s">
        <v>935</v>
      </c>
      <c r="K779" s="111">
        <v>0</v>
      </c>
      <c r="L779" s="120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20" t="s">
        <v>916</v>
      </c>
      <c r="R779" s="103">
        <v>0</v>
      </c>
      <c r="S779" s="120" t="s">
        <v>916</v>
      </c>
      <c r="T779" s="111">
        <v>0</v>
      </c>
      <c r="U779" s="120" t="s">
        <v>916</v>
      </c>
      <c r="V779" s="103">
        <v>0</v>
      </c>
      <c r="W779" s="120" t="s">
        <v>916</v>
      </c>
      <c r="X779" s="108">
        <v>0</v>
      </c>
      <c r="Y779" s="103">
        <v>0</v>
      </c>
      <c r="Z779" s="120" t="s">
        <v>916</v>
      </c>
      <c r="AA779" s="111">
        <v>0</v>
      </c>
      <c r="AB779" s="103">
        <v>0</v>
      </c>
      <c r="AC779" s="120" t="s">
        <v>916</v>
      </c>
      <c r="AD779" s="111">
        <v>0</v>
      </c>
      <c r="AE779" s="120" t="s">
        <v>916</v>
      </c>
      <c r="AF779" s="111">
        <v>0</v>
      </c>
      <c r="AG779" s="130" t="s">
        <v>916</v>
      </c>
      <c r="AH779" s="111">
        <f t="shared" si="23"/>
        <v>45</v>
      </c>
      <c r="AI779" s="112">
        <v>150</v>
      </c>
      <c r="AR779" s="131">
        <f t="shared" si="24"/>
        <v>0</v>
      </c>
      <c r="AV779" s="132">
        <f t="shared" si="25"/>
        <v>0</v>
      </c>
      <c r="AZ779" s="133">
        <f t="shared" si="26"/>
        <v>0</v>
      </c>
    </row>
    <row r="780" spans="1:52" x14ac:dyDescent="0.4">
      <c r="B780" s="103" t="s">
        <v>847</v>
      </c>
      <c r="D780" s="129" t="s">
        <v>94</v>
      </c>
      <c r="E780" s="111">
        <f>7.5+3</f>
        <v>10.5</v>
      </c>
      <c r="F780" s="129" t="s">
        <v>928</v>
      </c>
      <c r="G780" s="111">
        <v>6</v>
      </c>
      <c r="H780" s="129" t="s">
        <v>925</v>
      </c>
      <c r="I780" s="111">
        <v>70</v>
      </c>
      <c r="J780" s="120" t="s">
        <v>936</v>
      </c>
      <c r="K780" s="111">
        <v>0</v>
      </c>
      <c r="L780" s="120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20" t="s">
        <v>916</v>
      </c>
      <c r="R780" s="103">
        <v>4.99</v>
      </c>
      <c r="S780" s="120" t="s">
        <v>987</v>
      </c>
      <c r="T780" s="111">
        <v>0</v>
      </c>
      <c r="U780" s="120" t="s">
        <v>916</v>
      </c>
      <c r="V780" s="103">
        <v>0</v>
      </c>
      <c r="W780" s="120" t="s">
        <v>916</v>
      </c>
      <c r="X780" s="108">
        <v>0</v>
      </c>
      <c r="Y780" s="103">
        <v>0</v>
      </c>
      <c r="Z780" s="120" t="s">
        <v>916</v>
      </c>
      <c r="AA780" s="111">
        <v>10</v>
      </c>
      <c r="AB780" s="103">
        <v>0</v>
      </c>
      <c r="AC780" s="120" t="s">
        <v>916</v>
      </c>
      <c r="AD780" s="111">
        <v>0</v>
      </c>
      <c r="AE780" s="120" t="s">
        <v>916</v>
      </c>
      <c r="AF780" s="111">
        <f>0.44+0.47</f>
        <v>0.90999999999999992</v>
      </c>
      <c r="AG780" s="130" t="s">
        <v>1056</v>
      </c>
      <c r="AH780" s="111">
        <f t="shared" si="23"/>
        <v>102.39999999999999</v>
      </c>
      <c r="AR780" s="131">
        <f t="shared" si="24"/>
        <v>0</v>
      </c>
      <c r="AV780" s="132">
        <f t="shared" si="25"/>
        <v>0</v>
      </c>
      <c r="AZ780" s="133">
        <f t="shared" si="26"/>
        <v>0</v>
      </c>
    </row>
    <row r="781" spans="1:52" x14ac:dyDescent="0.4">
      <c r="B781" s="103" t="s">
        <v>848</v>
      </c>
      <c r="D781" s="129" t="s">
        <v>95</v>
      </c>
      <c r="E781" s="111">
        <v>10</v>
      </c>
      <c r="F781" s="129" t="s">
        <v>928</v>
      </c>
      <c r="G781" s="111">
        <v>0</v>
      </c>
      <c r="H781" s="129" t="s">
        <v>916</v>
      </c>
      <c r="I781" s="111">
        <v>0</v>
      </c>
      <c r="J781" s="120" t="s">
        <v>916</v>
      </c>
      <c r="K781" s="111">
        <v>0</v>
      </c>
      <c r="L781" s="120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20" t="s">
        <v>916</v>
      </c>
      <c r="R781" s="103">
        <v>2.4900000000000002</v>
      </c>
      <c r="S781" s="120" t="s">
        <v>892</v>
      </c>
      <c r="T781" s="111">
        <v>0</v>
      </c>
      <c r="U781" s="120" t="s">
        <v>916</v>
      </c>
      <c r="V781" s="103">
        <v>0</v>
      </c>
      <c r="W781" s="120" t="s">
        <v>916</v>
      </c>
      <c r="X781" s="108">
        <v>0</v>
      </c>
      <c r="Y781" s="103">
        <v>0</v>
      </c>
      <c r="Z781" s="120" t="s">
        <v>916</v>
      </c>
      <c r="AA781" s="111">
        <v>0</v>
      </c>
      <c r="AB781" s="103">
        <v>0</v>
      </c>
      <c r="AC781" s="120" t="s">
        <v>916</v>
      </c>
      <c r="AD781" s="111">
        <v>0</v>
      </c>
      <c r="AE781" s="120" t="s">
        <v>916</v>
      </c>
      <c r="AF781" s="111">
        <v>0</v>
      </c>
      <c r="AG781" s="130" t="s">
        <v>916</v>
      </c>
      <c r="AH781" s="111">
        <f t="shared" si="23"/>
        <v>12.49</v>
      </c>
      <c r="AI781" s="112">
        <v>510</v>
      </c>
      <c r="AR781" s="131">
        <f t="shared" si="24"/>
        <v>0</v>
      </c>
      <c r="AV781" s="132">
        <f t="shared" si="25"/>
        <v>0</v>
      </c>
      <c r="AZ781" s="133">
        <f t="shared" si="26"/>
        <v>0</v>
      </c>
    </row>
    <row r="782" spans="1:52" x14ac:dyDescent="0.4">
      <c r="B782" s="103" t="s">
        <v>849</v>
      </c>
      <c r="D782" s="129" t="s">
        <v>97</v>
      </c>
      <c r="E782" s="111">
        <v>5</v>
      </c>
      <c r="F782" s="129" t="s">
        <v>925</v>
      </c>
      <c r="G782" s="111">
        <v>9</v>
      </c>
      <c r="H782" s="129" t="s">
        <v>925</v>
      </c>
      <c r="I782" s="111">
        <v>11</v>
      </c>
      <c r="J782" s="120" t="s">
        <v>928</v>
      </c>
      <c r="K782" s="111">
        <v>0</v>
      </c>
      <c r="L782" s="120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20" t="s">
        <v>916</v>
      </c>
      <c r="R782" s="103">
        <f>2.49+5+2.5</f>
        <v>9.99</v>
      </c>
      <c r="S782" s="120" t="s">
        <v>988</v>
      </c>
      <c r="T782" s="111">
        <v>0</v>
      </c>
      <c r="U782" s="120" t="s">
        <v>916</v>
      </c>
      <c r="V782" s="103">
        <v>0</v>
      </c>
      <c r="W782" s="120" t="s">
        <v>916</v>
      </c>
      <c r="X782" s="108">
        <v>0</v>
      </c>
      <c r="Y782" s="103">
        <v>0</v>
      </c>
      <c r="Z782" s="120" t="s">
        <v>916</v>
      </c>
      <c r="AA782" s="111">
        <v>0</v>
      </c>
      <c r="AB782" s="103">
        <v>0</v>
      </c>
      <c r="AC782" s="120" t="s">
        <v>916</v>
      </c>
      <c r="AD782" s="111">
        <v>85</v>
      </c>
      <c r="AE782" s="120" t="s">
        <v>1013</v>
      </c>
      <c r="AF782" s="111">
        <f>38+360</f>
        <v>398</v>
      </c>
      <c r="AG782" s="130" t="s">
        <v>1089</v>
      </c>
      <c r="AH782" s="111">
        <f t="shared" si="23"/>
        <v>517.99</v>
      </c>
      <c r="AR782" s="131">
        <f t="shared" si="24"/>
        <v>0</v>
      </c>
      <c r="AS782" s="132">
        <v>85</v>
      </c>
      <c r="AT782" s="132">
        <v>500</v>
      </c>
      <c r="AV782" s="132">
        <f t="shared" si="25"/>
        <v>585</v>
      </c>
      <c r="AZ782" s="133">
        <f t="shared" si="26"/>
        <v>0</v>
      </c>
    </row>
    <row r="783" spans="1:52" x14ac:dyDescent="0.4">
      <c r="B783" s="103" t="s">
        <v>850</v>
      </c>
      <c r="D783" s="129" t="s">
        <v>98</v>
      </c>
      <c r="E783" s="111">
        <v>0</v>
      </c>
      <c r="F783" s="129" t="s">
        <v>916</v>
      </c>
      <c r="G783" s="111">
        <v>10</v>
      </c>
      <c r="H783" s="129" t="s">
        <v>927</v>
      </c>
      <c r="I783" s="111">
        <v>0</v>
      </c>
      <c r="J783" s="120" t="s">
        <v>916</v>
      </c>
      <c r="K783" s="111">
        <v>15</v>
      </c>
      <c r="L783" s="120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20" t="s">
        <v>916</v>
      </c>
      <c r="R783" s="103">
        <v>2.99</v>
      </c>
      <c r="S783" s="120" t="s">
        <v>989</v>
      </c>
      <c r="T783" s="111">
        <v>0</v>
      </c>
      <c r="U783" s="120" t="s">
        <v>916</v>
      </c>
      <c r="V783" s="103">
        <v>0</v>
      </c>
      <c r="W783" s="120" t="s">
        <v>916</v>
      </c>
      <c r="X783" s="108">
        <v>0</v>
      </c>
      <c r="Y783" s="103">
        <v>0</v>
      </c>
      <c r="Z783" s="120" t="s">
        <v>916</v>
      </c>
      <c r="AA783" s="111">
        <v>10</v>
      </c>
      <c r="AB783" s="103">
        <v>0</v>
      </c>
      <c r="AC783" s="120" t="s">
        <v>916</v>
      </c>
      <c r="AD783" s="111">
        <v>0</v>
      </c>
      <c r="AE783" s="120" t="s">
        <v>916</v>
      </c>
      <c r="AF783" s="111">
        <f>6.69+12.6</f>
        <v>19.29</v>
      </c>
      <c r="AG783" s="130" t="s">
        <v>1090</v>
      </c>
      <c r="AH783" s="111">
        <f t="shared" si="23"/>
        <v>57.28</v>
      </c>
      <c r="AR783" s="131">
        <f t="shared" si="24"/>
        <v>0</v>
      </c>
      <c r="AV783" s="132">
        <f t="shared" si="25"/>
        <v>0</v>
      </c>
      <c r="AZ783" s="133">
        <f>SUM(AW783:AY783)</f>
        <v>0</v>
      </c>
    </row>
    <row r="784" spans="1:52" s="134" customFormat="1" x14ac:dyDescent="0.4">
      <c r="A784" s="134" t="s">
        <v>870</v>
      </c>
      <c r="E784" s="134">
        <f>SUM(E754:E782)</f>
        <v>112.5</v>
      </c>
      <c r="F784" s="135"/>
      <c r="G784" s="134">
        <f t="shared" ref="G784:AF784" si="27">SUM(G754:G782)</f>
        <v>174.7</v>
      </c>
      <c r="H784" s="135"/>
      <c r="I784" s="134">
        <f t="shared" si="27"/>
        <v>373.4</v>
      </c>
      <c r="J784" s="135"/>
      <c r="K784" s="134">
        <f t="shared" si="27"/>
        <v>181.8</v>
      </c>
      <c r="L784" s="135"/>
      <c r="M784" s="134">
        <f t="shared" si="27"/>
        <v>0</v>
      </c>
      <c r="N784" s="134">
        <f t="shared" si="27"/>
        <v>0</v>
      </c>
      <c r="O784" s="134">
        <f t="shared" si="27"/>
        <v>0</v>
      </c>
      <c r="P784" s="134">
        <f t="shared" si="27"/>
        <v>190</v>
      </c>
      <c r="Q784" s="135"/>
      <c r="R784" s="134">
        <f t="shared" si="27"/>
        <v>85.109999999999971</v>
      </c>
      <c r="S784" s="135"/>
      <c r="T784" s="134">
        <f t="shared" si="27"/>
        <v>133.10000000000002</v>
      </c>
      <c r="U784" s="135"/>
      <c r="V784" s="134">
        <f t="shared" si="27"/>
        <v>80</v>
      </c>
      <c r="W784" s="135"/>
      <c r="X784" s="134">
        <f t="shared" si="27"/>
        <v>0</v>
      </c>
      <c r="Y784" s="134">
        <f t="shared" si="27"/>
        <v>527.41</v>
      </c>
      <c r="Z784" s="135"/>
      <c r="AA784" s="134">
        <f t="shared" si="27"/>
        <v>110</v>
      </c>
      <c r="AB784" s="134">
        <f t="shared" si="27"/>
        <v>52</v>
      </c>
      <c r="AC784" s="135"/>
      <c r="AD784" s="134">
        <f t="shared" si="27"/>
        <v>536.20000000000005</v>
      </c>
      <c r="AE784" s="135"/>
      <c r="AF784" s="134">
        <f t="shared" si="27"/>
        <v>2352.3900000000003</v>
      </c>
      <c r="AG784" s="135"/>
      <c r="AH784" s="170">
        <f>SUM(AH754:AH783)</f>
        <v>4775.8899999999994</v>
      </c>
      <c r="AI784" s="171">
        <f>SUM(AI754:AI783)</f>
        <v>864.23</v>
      </c>
      <c r="AJ784" s="171"/>
      <c r="AK784" s="171"/>
      <c r="AL784" s="171"/>
      <c r="AM784" s="171"/>
      <c r="AN784" s="171"/>
      <c r="AO784" s="171"/>
      <c r="AP784" s="171"/>
      <c r="AQ784" s="171"/>
      <c r="AR784" s="171">
        <f>SUM(AR753:AR783)</f>
        <v>3607.46</v>
      </c>
      <c r="AS784" s="171"/>
      <c r="AT784" s="171"/>
      <c r="AU784" s="171"/>
      <c r="AV784" s="171">
        <f>SUM(AV753:AV783)</f>
        <v>4981.2</v>
      </c>
      <c r="AW784" s="171"/>
      <c r="AX784" s="171"/>
      <c r="AY784" s="171"/>
      <c r="AZ784" s="171">
        <f>SUM(AZ754:AZ783)</f>
        <v>130.20999999999998</v>
      </c>
    </row>
    <row r="785" spans="1:54" x14ac:dyDescent="0.4">
      <c r="A785" s="172"/>
      <c r="D785" s="129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62"/>
      <c r="AJ785" s="162"/>
      <c r="AK785" s="157"/>
      <c r="AL785" s="159"/>
      <c r="AM785" s="157"/>
      <c r="AN785" s="157"/>
      <c r="AO785" s="163"/>
      <c r="AP785" s="163"/>
      <c r="AQ785" s="163"/>
      <c r="AR785" s="163"/>
      <c r="AS785" s="164"/>
      <c r="AT785" s="164"/>
      <c r="AU785" s="164"/>
      <c r="AV785" s="164"/>
    </row>
    <row r="786" spans="1:54" s="126" customFormat="1" x14ac:dyDescent="0.4">
      <c r="A786" s="126" t="s">
        <v>871</v>
      </c>
      <c r="F786" s="127"/>
      <c r="H786" s="127"/>
      <c r="J786" s="127"/>
      <c r="L786" s="127"/>
      <c r="N786" s="128"/>
      <c r="O786" s="128"/>
      <c r="Q786" s="127"/>
      <c r="S786" s="127"/>
      <c r="U786" s="127"/>
      <c r="W786" s="127"/>
      <c r="X786" s="128"/>
      <c r="Z786" s="127"/>
      <c r="AC786" s="127"/>
      <c r="AE786" s="127"/>
      <c r="AG786" s="127"/>
      <c r="AH786" s="111"/>
    </row>
    <row r="787" spans="1:54" x14ac:dyDescent="0.4">
      <c r="B787" s="103" t="s">
        <v>844</v>
      </c>
      <c r="D787" s="129" t="s">
        <v>807</v>
      </c>
      <c r="E787" s="111">
        <v>0</v>
      </c>
      <c r="F787" s="129"/>
      <c r="G787" s="111">
        <v>10</v>
      </c>
      <c r="H787" s="129" t="s">
        <v>928</v>
      </c>
      <c r="I787" s="111">
        <v>10</v>
      </c>
      <c r="J787" s="120" t="s">
        <v>927</v>
      </c>
      <c r="T787" s="111">
        <f>29.4+26.2</f>
        <v>55.599999999999994</v>
      </c>
      <c r="U787" s="120" t="s">
        <v>993</v>
      </c>
      <c r="AA787" s="111">
        <v>20</v>
      </c>
      <c r="AF787" s="103">
        <v>6.66</v>
      </c>
      <c r="AG787" s="104" t="s">
        <v>1086</v>
      </c>
      <c r="AH787" s="173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31">
        <f t="shared" si="24"/>
        <v>0</v>
      </c>
      <c r="AV787" s="132">
        <f t="shared" si="25"/>
        <v>0</v>
      </c>
    </row>
    <row r="788" spans="1:54" x14ac:dyDescent="0.4">
      <c r="B788" s="103" t="s">
        <v>845</v>
      </c>
      <c r="D788" s="129" t="s">
        <v>100</v>
      </c>
      <c r="F788" s="129"/>
      <c r="G788" s="111">
        <v>32.5</v>
      </c>
      <c r="H788" s="129" t="s">
        <v>931</v>
      </c>
      <c r="AF788" s="111">
        <f>45+65+79+0.55+0.56</f>
        <v>190.11</v>
      </c>
      <c r="AG788" s="130" t="s">
        <v>1091</v>
      </c>
      <c r="AH788" s="173">
        <f t="shared" si="28"/>
        <v>222.61</v>
      </c>
      <c r="AR788" s="131">
        <f t="shared" si="24"/>
        <v>0</v>
      </c>
      <c r="AV788" s="132">
        <f t="shared" si="25"/>
        <v>0</v>
      </c>
    </row>
    <row r="789" spans="1:54" x14ac:dyDescent="0.4">
      <c r="B789" s="103" t="s">
        <v>846</v>
      </c>
      <c r="D789" s="129" t="s">
        <v>101</v>
      </c>
      <c r="E789" s="111">
        <v>5</v>
      </c>
      <c r="F789" s="129" t="s">
        <v>1095</v>
      </c>
      <c r="G789" s="111">
        <v>7.2</v>
      </c>
      <c r="H789" s="129" t="s">
        <v>1105</v>
      </c>
      <c r="I789" s="111">
        <f>10.5+10</f>
        <v>20.5</v>
      </c>
      <c r="J789" s="120" t="s">
        <v>1104</v>
      </c>
      <c r="R789" s="103">
        <v>4.99</v>
      </c>
      <c r="S789" s="120" t="s">
        <v>1103</v>
      </c>
      <c r="Y789" s="103">
        <f>39.5+3</f>
        <v>42.5</v>
      </c>
      <c r="Z789" s="120" t="s">
        <v>1004</v>
      </c>
      <c r="AB789" s="103">
        <v>98</v>
      </c>
      <c r="AC789" s="120" t="s">
        <v>1007</v>
      </c>
      <c r="AH789" s="173">
        <f t="shared" si="28"/>
        <v>178.19</v>
      </c>
      <c r="AR789" s="131">
        <f t="shared" si="24"/>
        <v>0</v>
      </c>
      <c r="AV789" s="132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9" t="s">
        <v>102</v>
      </c>
      <c r="F790" s="129"/>
      <c r="G790" s="111">
        <v>29</v>
      </c>
      <c r="H790" s="129" t="s">
        <v>1093</v>
      </c>
      <c r="I790" s="111">
        <v>9</v>
      </c>
      <c r="J790" s="120" t="s">
        <v>1095</v>
      </c>
      <c r="R790" s="103">
        <v>3.99</v>
      </c>
      <c r="S790" s="120" t="s">
        <v>1102</v>
      </c>
      <c r="AH790" s="173">
        <f t="shared" si="28"/>
        <v>41.99</v>
      </c>
      <c r="AI790" s="112">
        <v>100</v>
      </c>
      <c r="AR790" s="131">
        <f t="shared" si="24"/>
        <v>0</v>
      </c>
      <c r="AV790" s="132">
        <f t="shared" si="25"/>
        <v>0</v>
      </c>
    </row>
    <row r="791" spans="1:54" x14ac:dyDescent="0.4">
      <c r="B791" s="103" t="s">
        <v>848</v>
      </c>
      <c r="D791" s="129" t="s">
        <v>103</v>
      </c>
      <c r="E791" s="111">
        <v>10</v>
      </c>
      <c r="F791" s="129"/>
      <c r="G791" s="111">
        <v>40</v>
      </c>
      <c r="H791" s="129" t="s">
        <v>1094</v>
      </c>
      <c r="I791" s="111">
        <f>5.5+4.5</f>
        <v>10</v>
      </c>
      <c r="J791" s="120" t="s">
        <v>1100</v>
      </c>
      <c r="R791" s="103">
        <f>2+2</f>
        <v>4</v>
      </c>
      <c r="S791" s="120" t="s">
        <v>1101</v>
      </c>
      <c r="Y791" s="103">
        <f>39.5+3+4+15.62</f>
        <v>62.12</v>
      </c>
      <c r="Z791" s="120" t="s">
        <v>1106</v>
      </c>
      <c r="AA791" s="111">
        <v>20</v>
      </c>
      <c r="AF791" s="111">
        <f>0.5+0.52+24.9</f>
        <v>25.919999999999998</v>
      </c>
      <c r="AG791" s="130" t="s">
        <v>1107</v>
      </c>
      <c r="AH791" s="173">
        <f t="shared" si="28"/>
        <v>172.04</v>
      </c>
      <c r="AR791" s="131">
        <f t="shared" si="24"/>
        <v>0</v>
      </c>
      <c r="AS791" s="132">
        <v>24.9</v>
      </c>
      <c r="AV791" s="132">
        <f t="shared" si="25"/>
        <v>24.9</v>
      </c>
    </row>
    <row r="792" spans="1:54" x14ac:dyDescent="0.4">
      <c r="B792" s="103" t="s">
        <v>849</v>
      </c>
      <c r="D792" s="129" t="s">
        <v>104</v>
      </c>
      <c r="F792" s="129"/>
      <c r="G792" s="111">
        <v>6.5</v>
      </c>
      <c r="H792" s="129" t="s">
        <v>1095</v>
      </c>
      <c r="I792" s="111">
        <v>11</v>
      </c>
      <c r="J792" s="120" t="s">
        <v>1098</v>
      </c>
      <c r="K792" s="111">
        <v>11</v>
      </c>
      <c r="L792" s="120" t="s">
        <v>1097</v>
      </c>
      <c r="R792" s="103">
        <v>2.4900000000000002</v>
      </c>
      <c r="S792" s="120" t="s">
        <v>1096</v>
      </c>
      <c r="AD792" s="111">
        <v>72.900000000000006</v>
      </c>
      <c r="AE792" s="120" t="s">
        <v>1099</v>
      </c>
      <c r="AH792" s="173">
        <f t="shared" si="28"/>
        <v>103.89000000000001</v>
      </c>
      <c r="AR792" s="131">
        <f t="shared" si="24"/>
        <v>0</v>
      </c>
      <c r="AS792" s="132">
        <v>72.900000000000006</v>
      </c>
      <c r="AV792" s="132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52" t="s">
        <v>105</v>
      </c>
      <c r="E793" s="111">
        <v>5</v>
      </c>
      <c r="F793" s="129" t="s">
        <v>1095</v>
      </c>
      <c r="H793" s="129"/>
      <c r="I793" s="111">
        <v>10.5</v>
      </c>
      <c r="J793" s="120" t="s">
        <v>1098</v>
      </c>
      <c r="R793" s="103">
        <v>1.99</v>
      </c>
      <c r="S793" s="120" t="s">
        <v>1101</v>
      </c>
      <c r="AF793" s="111">
        <f>140+40</f>
        <v>180</v>
      </c>
      <c r="AG793" s="130" t="s">
        <v>1118</v>
      </c>
      <c r="AH793" s="173">
        <f t="shared" si="28"/>
        <v>197.49</v>
      </c>
      <c r="AR793" s="131">
        <f t="shared" si="24"/>
        <v>0</v>
      </c>
      <c r="AV793" s="132">
        <f t="shared" si="25"/>
        <v>0</v>
      </c>
    </row>
    <row r="794" spans="1:54" x14ac:dyDescent="0.4">
      <c r="B794" s="103" t="s">
        <v>844</v>
      </c>
      <c r="D794" s="129" t="s">
        <v>106</v>
      </c>
      <c r="E794" s="111">
        <v>2</v>
      </c>
      <c r="F794" s="129" t="s">
        <v>1109</v>
      </c>
      <c r="G794" s="111">
        <v>8.5</v>
      </c>
      <c r="H794" s="129" t="s">
        <v>1119</v>
      </c>
      <c r="I794" s="111">
        <v>9</v>
      </c>
      <c r="J794" s="120" t="s">
        <v>1116</v>
      </c>
      <c r="K794" s="111">
        <v>12.9</v>
      </c>
      <c r="L794" s="120" t="s">
        <v>1117</v>
      </c>
      <c r="R794" s="103">
        <v>2.4900000000000002</v>
      </c>
      <c r="S794" s="120" t="s">
        <v>1113</v>
      </c>
      <c r="Y794" s="103">
        <f>18.03+15.35</f>
        <v>33.380000000000003</v>
      </c>
      <c r="Z794" s="120" t="s">
        <v>1114</v>
      </c>
      <c r="AA794" s="111">
        <v>20</v>
      </c>
      <c r="AF794" s="111">
        <f>6.9+39.9</f>
        <v>46.8</v>
      </c>
      <c r="AG794" s="130" t="s">
        <v>1115</v>
      </c>
      <c r="AH794" s="173">
        <f t="shared" si="28"/>
        <v>135.07</v>
      </c>
      <c r="AR794" s="131">
        <f t="shared" si="24"/>
        <v>0</v>
      </c>
      <c r="AV794" s="132">
        <f t="shared" si="25"/>
        <v>0</v>
      </c>
    </row>
    <row r="795" spans="1:54" x14ac:dyDescent="0.4">
      <c r="B795" s="103" t="s">
        <v>845</v>
      </c>
      <c r="D795" s="129" t="s">
        <v>107</v>
      </c>
      <c r="E795" s="111">
        <v>8</v>
      </c>
      <c r="F795" s="129" t="s">
        <v>1095</v>
      </c>
      <c r="G795" s="111">
        <v>13.5</v>
      </c>
      <c r="H795" s="129" t="s">
        <v>1098</v>
      </c>
      <c r="R795" s="103">
        <v>3</v>
      </c>
      <c r="S795" s="120" t="s">
        <v>1120</v>
      </c>
      <c r="Y795" s="103">
        <f>3+3</f>
        <v>6</v>
      </c>
      <c r="Z795" s="120" t="s">
        <v>1121</v>
      </c>
      <c r="AF795" s="111">
        <v>15</v>
      </c>
      <c r="AG795" s="130" t="s">
        <v>1112</v>
      </c>
      <c r="AH795" s="173">
        <f>SUM(E795,G795,I795,K795,M795,T795,V795,Y795,X795,AA795,AB795,AD795,AF795)</f>
        <v>42.5</v>
      </c>
      <c r="AR795" s="131">
        <f t="shared" si="24"/>
        <v>0</v>
      </c>
      <c r="AV795" s="132">
        <f t="shared" si="25"/>
        <v>0</v>
      </c>
    </row>
    <row r="796" spans="1:54" x14ac:dyDescent="0.4">
      <c r="B796" s="103" t="s">
        <v>846</v>
      </c>
      <c r="D796" s="129" t="s">
        <v>108</v>
      </c>
      <c r="E796" s="111">
        <v>6.5</v>
      </c>
      <c r="F796" s="129" t="s">
        <v>1095</v>
      </c>
      <c r="G796" s="111">
        <v>8</v>
      </c>
      <c r="H796" s="129" t="s">
        <v>1098</v>
      </c>
      <c r="I796" s="111">
        <v>11</v>
      </c>
      <c r="J796" s="120" t="s">
        <v>1098</v>
      </c>
      <c r="R796" s="103">
        <v>2.4900000000000002</v>
      </c>
      <c r="S796" s="120" t="s">
        <v>1123</v>
      </c>
      <c r="AF796" s="111">
        <f>0.48+0.51+357+23.9+167+8.9</f>
        <v>557.79</v>
      </c>
      <c r="AG796" s="130" t="s">
        <v>1124</v>
      </c>
      <c r="AH796" s="173">
        <f>SUM(E796,G796,I796,K796,M796,R795,T796,V796,Y796,X796,AA796,AB796,AD796,AF796)</f>
        <v>586.29</v>
      </c>
      <c r="AI796" s="112">
        <v>150</v>
      </c>
      <c r="AJ796" s="112" t="s">
        <v>1122</v>
      </c>
      <c r="AO796" s="131">
        <v>2035.58</v>
      </c>
      <c r="AR796" s="131">
        <f t="shared" si="24"/>
        <v>2035.58</v>
      </c>
      <c r="AS796" s="132">
        <f>357+23.9+167</f>
        <v>547.9</v>
      </c>
      <c r="AT796" s="132">
        <v>2100</v>
      </c>
      <c r="AV796" s="132">
        <f t="shared" si="25"/>
        <v>2647.9</v>
      </c>
    </row>
    <row r="797" spans="1:54" x14ac:dyDescent="0.4">
      <c r="B797" s="103" t="s">
        <v>847</v>
      </c>
      <c r="D797" s="129" t="s">
        <v>109</v>
      </c>
      <c r="E797" s="111">
        <f>6.5+1.5</f>
        <v>8</v>
      </c>
      <c r="F797" s="129" t="s">
        <v>1095</v>
      </c>
      <c r="G797" s="111">
        <v>7</v>
      </c>
      <c r="H797" s="129" t="s">
        <v>1098</v>
      </c>
      <c r="I797" s="111">
        <v>56</v>
      </c>
      <c r="J797" s="120" t="s">
        <v>1128</v>
      </c>
      <c r="T797" s="111">
        <v>22.6</v>
      </c>
      <c r="U797" s="120" t="s">
        <v>1125</v>
      </c>
      <c r="AF797" s="111">
        <f>103+114+12.5</f>
        <v>229.5</v>
      </c>
      <c r="AG797" s="130" t="s">
        <v>1129</v>
      </c>
      <c r="AH797" s="173">
        <f t="shared" si="28"/>
        <v>323.10000000000002</v>
      </c>
      <c r="AR797" s="131">
        <f t="shared" si="24"/>
        <v>0</v>
      </c>
      <c r="AS797" s="132">
        <f>103+114</f>
        <v>217</v>
      </c>
      <c r="AV797" s="132">
        <f t="shared" si="25"/>
        <v>217</v>
      </c>
    </row>
    <row r="798" spans="1:54" x14ac:dyDescent="0.4">
      <c r="B798" s="103" t="s">
        <v>848</v>
      </c>
      <c r="D798" s="129" t="s">
        <v>110</v>
      </c>
      <c r="E798" s="111">
        <v>8</v>
      </c>
      <c r="F798" s="129" t="s">
        <v>1095</v>
      </c>
      <c r="G798" s="111">
        <v>7.2</v>
      </c>
      <c r="H798" s="129" t="s">
        <v>1098</v>
      </c>
      <c r="I798" s="111">
        <f>13+5</f>
        <v>18</v>
      </c>
      <c r="J798" s="120" t="s">
        <v>1095</v>
      </c>
      <c r="T798" s="111">
        <f>2.99+4.5</f>
        <v>7.49</v>
      </c>
      <c r="U798" s="120" t="s">
        <v>1130</v>
      </c>
      <c r="AF798" s="111">
        <v>98</v>
      </c>
      <c r="AG798" s="130" t="s">
        <v>1126</v>
      </c>
      <c r="AH798" s="173">
        <f t="shared" si="28"/>
        <v>138.69</v>
      </c>
      <c r="AR798" s="131">
        <f t="shared" si="24"/>
        <v>0</v>
      </c>
      <c r="AS798" s="132">
        <v>98</v>
      </c>
      <c r="AV798" s="132">
        <f t="shared" si="25"/>
        <v>98</v>
      </c>
    </row>
    <row r="799" spans="1:54" x14ac:dyDescent="0.4">
      <c r="B799" s="103" t="s">
        <v>849</v>
      </c>
      <c r="C799" s="103">
        <v>100</v>
      </c>
      <c r="D799" s="152" t="s">
        <v>111</v>
      </c>
      <c r="E799" s="111">
        <v>6.5</v>
      </c>
      <c r="F799" s="129" t="s">
        <v>1095</v>
      </c>
      <c r="G799" s="111">
        <f>13+9</f>
        <v>22</v>
      </c>
      <c r="H799" s="129" t="s">
        <v>1098</v>
      </c>
      <c r="I799" s="111">
        <v>68</v>
      </c>
      <c r="J799" s="120" t="s">
        <v>1137</v>
      </c>
      <c r="Y799" s="103">
        <f>1.5+2</f>
        <v>3.5</v>
      </c>
      <c r="Z799" s="120" t="s">
        <v>1121</v>
      </c>
      <c r="AF799" s="111">
        <f>0.65+0.5+7.5</f>
        <v>8.65</v>
      </c>
      <c r="AG799" s="130" t="s">
        <v>1127</v>
      </c>
      <c r="AH799" s="173">
        <f t="shared" si="28"/>
        <v>108.65</v>
      </c>
      <c r="AR799" s="131">
        <f t="shared" si="24"/>
        <v>0</v>
      </c>
      <c r="AV799" s="132">
        <f t="shared" si="25"/>
        <v>0</v>
      </c>
    </row>
    <row r="800" spans="1:54" x14ac:dyDescent="0.4">
      <c r="B800" s="103" t="s">
        <v>850</v>
      </c>
      <c r="D800" s="129" t="s">
        <v>112</v>
      </c>
      <c r="E800" s="111">
        <f>3+0.8</f>
        <v>3.8</v>
      </c>
      <c r="F800" s="129" t="s">
        <v>1109</v>
      </c>
      <c r="G800" s="111">
        <v>11.2</v>
      </c>
      <c r="H800" s="129" t="s">
        <v>1098</v>
      </c>
      <c r="I800" s="111">
        <v>11</v>
      </c>
      <c r="J800" s="120" t="s">
        <v>1098</v>
      </c>
      <c r="AH800" s="173">
        <f t="shared" si="28"/>
        <v>26</v>
      </c>
      <c r="AI800" s="112">
        <v>50</v>
      </c>
      <c r="AJ800" s="112" t="s">
        <v>1131</v>
      </c>
      <c r="AR800" s="131">
        <f t="shared" si="24"/>
        <v>0</v>
      </c>
      <c r="AV800" s="132">
        <f t="shared" si="25"/>
        <v>0</v>
      </c>
    </row>
    <row r="801" spans="2:48" x14ac:dyDescent="0.4">
      <c r="B801" s="103" t="s">
        <v>844</v>
      </c>
      <c r="D801" s="129" t="s">
        <v>113</v>
      </c>
      <c r="E801" s="111">
        <v>6.5</v>
      </c>
      <c r="F801" s="129" t="s">
        <v>1111</v>
      </c>
      <c r="G801" s="111">
        <v>11</v>
      </c>
      <c r="H801" s="129" t="s">
        <v>1109</v>
      </c>
      <c r="I801" s="111">
        <v>11</v>
      </c>
      <c r="J801" s="120" t="s">
        <v>1098</v>
      </c>
      <c r="R801" s="103">
        <v>4.99</v>
      </c>
      <c r="S801" s="120" t="s">
        <v>1103</v>
      </c>
      <c r="AF801" s="111">
        <v>15.8</v>
      </c>
      <c r="AG801" s="130" t="s">
        <v>1132</v>
      </c>
      <c r="AH801" s="173">
        <f t="shared" si="28"/>
        <v>49.290000000000006</v>
      </c>
      <c r="AR801" s="131">
        <f t="shared" si="24"/>
        <v>0</v>
      </c>
      <c r="AV801" s="132">
        <f t="shared" si="25"/>
        <v>0</v>
      </c>
    </row>
    <row r="802" spans="2:48" x14ac:dyDescent="0.4">
      <c r="B802" s="103" t="s">
        <v>845</v>
      </c>
      <c r="D802" s="129" t="s">
        <v>114</v>
      </c>
      <c r="E802" s="111">
        <v>8</v>
      </c>
      <c r="F802" s="129" t="s">
        <v>1095</v>
      </c>
      <c r="G802" s="111">
        <v>9.6999999999999993</v>
      </c>
      <c r="H802" s="129" t="s">
        <v>1105</v>
      </c>
      <c r="I802" s="111">
        <v>10.199999999999999</v>
      </c>
      <c r="J802" s="120" t="s">
        <v>1105</v>
      </c>
      <c r="AF802" s="111">
        <f>55</f>
        <v>55</v>
      </c>
      <c r="AG802" s="130" t="s">
        <v>1133</v>
      </c>
      <c r="AH802" s="173">
        <f t="shared" si="28"/>
        <v>82.9</v>
      </c>
      <c r="AR802" s="131">
        <f t="shared" si="24"/>
        <v>0</v>
      </c>
      <c r="AS802" s="132">
        <f>103+55</f>
        <v>158</v>
      </c>
      <c r="AV802" s="132">
        <f t="shared" si="25"/>
        <v>158</v>
      </c>
    </row>
    <row r="803" spans="2:48" x14ac:dyDescent="0.4">
      <c r="B803" s="103" t="s">
        <v>846</v>
      </c>
      <c r="D803" s="129" t="s">
        <v>115</v>
      </c>
      <c r="F803" s="129"/>
      <c r="H803" s="129"/>
      <c r="R803" s="103">
        <v>2.4900000000000002</v>
      </c>
      <c r="S803" s="120" t="s">
        <v>1113</v>
      </c>
      <c r="AD803" s="111">
        <v>133</v>
      </c>
      <c r="AE803" s="120" t="s">
        <v>1134</v>
      </c>
      <c r="AF803" s="111">
        <f>0.42+0.37+25</f>
        <v>25.79</v>
      </c>
      <c r="AG803" s="130" t="s">
        <v>1140</v>
      </c>
      <c r="AH803" s="173">
        <f t="shared" si="28"/>
        <v>161.28</v>
      </c>
      <c r="AR803" s="131">
        <f t="shared" si="24"/>
        <v>0</v>
      </c>
      <c r="AV803" s="132">
        <f t="shared" si="25"/>
        <v>0</v>
      </c>
    </row>
    <row r="804" spans="2:48" x14ac:dyDescent="0.4">
      <c r="B804" s="103" t="s">
        <v>847</v>
      </c>
      <c r="D804" s="129" t="s">
        <v>116</v>
      </c>
      <c r="E804" s="111">
        <v>5.6</v>
      </c>
      <c r="F804" s="129" t="s">
        <v>1109</v>
      </c>
      <c r="H804" s="129"/>
      <c r="AH804" s="173">
        <f t="shared" si="28"/>
        <v>5.6</v>
      </c>
      <c r="AP804" s="131">
        <v>2170.1</v>
      </c>
      <c r="AR804" s="131">
        <f t="shared" si="24"/>
        <v>2170.1</v>
      </c>
      <c r="AV804" s="132">
        <f t="shared" si="25"/>
        <v>0</v>
      </c>
    </row>
    <row r="805" spans="2:48" x14ac:dyDescent="0.4">
      <c r="B805" s="103" t="s">
        <v>848</v>
      </c>
      <c r="D805" s="129" t="s">
        <v>117</v>
      </c>
      <c r="E805" s="111">
        <v>6.5</v>
      </c>
      <c r="F805" s="129" t="s">
        <v>1095</v>
      </c>
      <c r="G805" s="111">
        <v>0</v>
      </c>
      <c r="H805" s="129"/>
      <c r="I805" s="111">
        <v>65</v>
      </c>
      <c r="J805" s="120" t="s">
        <v>1138</v>
      </c>
      <c r="K805" s="111">
        <v>13.5</v>
      </c>
      <c r="L805" s="120" t="s">
        <v>1139</v>
      </c>
      <c r="R805" s="103">
        <v>20</v>
      </c>
      <c r="S805" s="120" t="s">
        <v>1135</v>
      </c>
      <c r="AA805" s="111">
        <v>10</v>
      </c>
      <c r="AH805" s="173">
        <f>SUM(E805,G805,K805,M805,R805,T805,V805,Y805,X805,AA805,AB805,AD805,AF805)</f>
        <v>50</v>
      </c>
      <c r="AR805" s="131">
        <f t="shared" si="24"/>
        <v>0</v>
      </c>
      <c r="AV805" s="132">
        <f t="shared" si="25"/>
        <v>0</v>
      </c>
    </row>
    <row r="806" spans="2:48" x14ac:dyDescent="0.4">
      <c r="B806" s="103" t="s">
        <v>849</v>
      </c>
      <c r="C806" s="103">
        <v>100</v>
      </c>
      <c r="D806" s="152" t="s">
        <v>118</v>
      </c>
      <c r="E806" s="111">
        <v>5</v>
      </c>
      <c r="F806" s="129" t="s">
        <v>1095</v>
      </c>
      <c r="G806" s="111">
        <v>8.1999999999999993</v>
      </c>
      <c r="H806" s="129" t="s">
        <v>1105</v>
      </c>
      <c r="I806" s="111">
        <v>11</v>
      </c>
      <c r="J806" s="120" t="s">
        <v>1095</v>
      </c>
      <c r="R806" s="103">
        <v>2.4900000000000002</v>
      </c>
      <c r="S806" s="120" t="s">
        <v>1136</v>
      </c>
      <c r="AH806" s="173">
        <f>SUM(E806,G806,I805,K806,M806,R806,T806,V806,Y806,X806,AA806,AB806,AD806,AF806)</f>
        <v>80.69</v>
      </c>
      <c r="AR806" s="131">
        <f t="shared" si="24"/>
        <v>0</v>
      </c>
      <c r="AV806" s="132">
        <f t="shared" si="25"/>
        <v>0</v>
      </c>
    </row>
    <row r="807" spans="2:48" x14ac:dyDescent="0.4">
      <c r="B807" s="103" t="s">
        <v>850</v>
      </c>
      <c r="D807" s="129" t="s">
        <v>119</v>
      </c>
      <c r="E807" s="111">
        <v>8</v>
      </c>
      <c r="F807" s="129" t="s">
        <v>1095</v>
      </c>
      <c r="G807" s="111">
        <v>6.7</v>
      </c>
      <c r="H807" s="129" t="s">
        <v>1147</v>
      </c>
      <c r="I807" s="111">
        <v>11.2</v>
      </c>
      <c r="J807" s="120" t="s">
        <v>1147</v>
      </c>
      <c r="R807" s="103">
        <v>4.99</v>
      </c>
      <c r="S807" s="120" t="s">
        <v>1141</v>
      </c>
      <c r="AD807" s="111">
        <v>19.899999999999999</v>
      </c>
      <c r="AE807" s="120" t="s">
        <v>1142</v>
      </c>
      <c r="AH807" s="173">
        <f t="shared" si="28"/>
        <v>50.79</v>
      </c>
      <c r="AR807" s="131">
        <f t="shared" si="24"/>
        <v>0</v>
      </c>
      <c r="AV807" s="132">
        <f t="shared" si="25"/>
        <v>0</v>
      </c>
    </row>
    <row r="808" spans="2:48" x14ac:dyDescent="0.4">
      <c r="B808" s="103" t="s">
        <v>844</v>
      </c>
      <c r="D808" s="129" t="s">
        <v>120</v>
      </c>
      <c r="E808" s="111">
        <v>6</v>
      </c>
      <c r="F808" s="129" t="s">
        <v>1109</v>
      </c>
      <c r="G808" s="111">
        <v>13</v>
      </c>
      <c r="H808" s="129" t="s">
        <v>1119</v>
      </c>
      <c r="I808" s="111">
        <v>12</v>
      </c>
      <c r="J808" s="120" t="s">
        <v>1147</v>
      </c>
      <c r="R808" s="103">
        <v>3.99</v>
      </c>
      <c r="AD808" s="111">
        <v>280</v>
      </c>
      <c r="AE808" s="120" t="s">
        <v>1146</v>
      </c>
      <c r="AF808" s="111">
        <f>0.43+0.43</f>
        <v>0.86</v>
      </c>
      <c r="AG808" s="130" t="s">
        <v>1143</v>
      </c>
      <c r="AH808" s="173">
        <f t="shared" si="28"/>
        <v>315.85000000000002</v>
      </c>
      <c r="AR808" s="131">
        <f t="shared" si="24"/>
        <v>0</v>
      </c>
      <c r="AS808" s="132">
        <v>280</v>
      </c>
      <c r="AV808" s="132">
        <f t="shared" si="25"/>
        <v>280</v>
      </c>
    </row>
    <row r="809" spans="2:48" x14ac:dyDescent="0.4">
      <c r="B809" s="103" t="s">
        <v>845</v>
      </c>
      <c r="D809" s="129" t="s">
        <v>121</v>
      </c>
      <c r="E809" s="111">
        <v>8</v>
      </c>
      <c r="F809" s="129" t="s">
        <v>1095</v>
      </c>
      <c r="G809" s="111">
        <v>10.7</v>
      </c>
      <c r="H809" s="129" t="s">
        <v>1105</v>
      </c>
      <c r="I809" s="111">
        <v>10.5</v>
      </c>
      <c r="J809" s="120" t="s">
        <v>1147</v>
      </c>
      <c r="K809" s="111">
        <v>13</v>
      </c>
      <c r="L809" s="120" t="s">
        <v>1145</v>
      </c>
      <c r="R809" s="103">
        <f>5.5+4.99</f>
        <v>10.49</v>
      </c>
      <c r="S809" s="120" t="s">
        <v>1165</v>
      </c>
      <c r="AA809" s="111">
        <v>19.96</v>
      </c>
      <c r="AH809" s="173">
        <f t="shared" si="28"/>
        <v>72.650000000000006</v>
      </c>
      <c r="AR809" s="131">
        <f t="shared" si="24"/>
        <v>0</v>
      </c>
      <c r="AV809" s="132">
        <f t="shared" si="25"/>
        <v>0</v>
      </c>
    </row>
    <row r="810" spans="2:48" x14ac:dyDescent="0.4">
      <c r="B810" s="103" t="s">
        <v>846</v>
      </c>
      <c r="D810" s="129" t="s">
        <v>122</v>
      </c>
      <c r="E810" s="111">
        <v>8</v>
      </c>
      <c r="F810" s="129" t="s">
        <v>1095</v>
      </c>
      <c r="G810" s="111">
        <v>9.1999999999999993</v>
      </c>
      <c r="H810" s="129" t="s">
        <v>1105</v>
      </c>
      <c r="I810" s="111">
        <v>8</v>
      </c>
      <c r="J810" s="120" t="s">
        <v>1109</v>
      </c>
      <c r="R810" s="103">
        <v>2.4900000000000002</v>
      </c>
      <c r="S810" s="120" t="s">
        <v>1123</v>
      </c>
      <c r="AD810" s="111">
        <v>19.899999999999999</v>
      </c>
      <c r="AE810" s="120" t="s">
        <v>1115</v>
      </c>
      <c r="AF810" s="111">
        <v>1800</v>
      </c>
      <c r="AG810" s="130" t="s">
        <v>1144</v>
      </c>
      <c r="AH810" s="173">
        <f t="shared" si="28"/>
        <v>1847.59</v>
      </c>
      <c r="AI810" s="112">
        <v>150</v>
      </c>
      <c r="AJ810" s="112" t="s">
        <v>1122</v>
      </c>
      <c r="AR810" s="131">
        <f t="shared" si="24"/>
        <v>0</v>
      </c>
      <c r="AV810" s="132">
        <f t="shared" si="25"/>
        <v>0</v>
      </c>
    </row>
    <row r="811" spans="2:48" x14ac:dyDescent="0.4">
      <c r="B811" s="103" t="s">
        <v>847</v>
      </c>
      <c r="D811" s="129" t="s">
        <v>123</v>
      </c>
      <c r="E811" s="111">
        <v>8</v>
      </c>
      <c r="F811" s="129" t="s">
        <v>1095</v>
      </c>
      <c r="G811" s="111">
        <v>9.6999999999999993</v>
      </c>
      <c r="H811" s="129" t="s">
        <v>1105</v>
      </c>
      <c r="I811" s="111">
        <v>20</v>
      </c>
      <c r="J811" s="120" t="s">
        <v>1167</v>
      </c>
      <c r="T811" s="111">
        <v>14.5</v>
      </c>
      <c r="U811" s="120" t="s">
        <v>1158</v>
      </c>
      <c r="AH811" s="173">
        <f t="shared" si="28"/>
        <v>52.2</v>
      </c>
      <c r="AP811" s="131">
        <v>501.75</v>
      </c>
      <c r="AR811" s="131">
        <f t="shared" si="24"/>
        <v>501.75</v>
      </c>
      <c r="AV811" s="132">
        <f t="shared" si="25"/>
        <v>0</v>
      </c>
    </row>
    <row r="812" spans="2:48" x14ac:dyDescent="0.4">
      <c r="B812" s="103" t="s">
        <v>848</v>
      </c>
      <c r="D812" s="129" t="s">
        <v>124</v>
      </c>
      <c r="E812" s="111">
        <v>8</v>
      </c>
      <c r="F812" s="129" t="s">
        <v>1095</v>
      </c>
      <c r="G812" s="111">
        <v>8.1999999999999993</v>
      </c>
      <c r="H812" s="129" t="s">
        <v>1105</v>
      </c>
      <c r="T812" s="111">
        <v>39.700000000000003</v>
      </c>
      <c r="U812" s="120" t="s">
        <v>1158</v>
      </c>
      <c r="Y812" s="103">
        <f>18.33+13.74</f>
        <v>32.07</v>
      </c>
      <c r="Z812" s="120" t="s">
        <v>1114</v>
      </c>
      <c r="AD812" s="111">
        <v>29.9</v>
      </c>
      <c r="AE812" s="120" t="s">
        <v>1160</v>
      </c>
      <c r="AH812" s="173">
        <f t="shared" si="28"/>
        <v>117.87</v>
      </c>
      <c r="AR812" s="131">
        <f t="shared" si="24"/>
        <v>0</v>
      </c>
      <c r="AV812" s="132">
        <f t="shared" si="25"/>
        <v>0</v>
      </c>
    </row>
    <row r="813" spans="2:48" x14ac:dyDescent="0.4">
      <c r="B813" s="103" t="s">
        <v>849</v>
      </c>
      <c r="D813" s="129" t="s">
        <v>125</v>
      </c>
      <c r="F813" s="129"/>
      <c r="G813" s="111">
        <v>10</v>
      </c>
      <c r="H813" s="129" t="s">
        <v>1119</v>
      </c>
      <c r="I813" s="111">
        <v>12</v>
      </c>
      <c r="J813" s="120" t="s">
        <v>1098</v>
      </c>
      <c r="AF813" s="111">
        <f>0.48+0.57</f>
        <v>1.0499999999999998</v>
      </c>
      <c r="AG813" s="130" t="s">
        <v>1143</v>
      </c>
      <c r="AH813" s="173">
        <f t="shared" si="28"/>
        <v>23.05</v>
      </c>
      <c r="AR813" s="131">
        <f t="shared" si="24"/>
        <v>0</v>
      </c>
      <c r="AV813" s="132">
        <f t="shared" si="25"/>
        <v>0</v>
      </c>
    </row>
    <row r="814" spans="2:48" x14ac:dyDescent="0.4">
      <c r="B814" s="103" t="s">
        <v>850</v>
      </c>
      <c r="D814" s="129" t="s">
        <v>126</v>
      </c>
      <c r="E814" s="111">
        <v>8</v>
      </c>
      <c r="F814" s="129" t="s">
        <v>1095</v>
      </c>
      <c r="G814" s="111">
        <v>9.1999999999999993</v>
      </c>
      <c r="H814" s="129" t="s">
        <v>1105</v>
      </c>
      <c r="I814" s="111">
        <v>8.6999999999999993</v>
      </c>
      <c r="J814" s="120" t="s">
        <v>1105</v>
      </c>
      <c r="AH814" s="173">
        <f t="shared" si="28"/>
        <v>25.9</v>
      </c>
      <c r="AR814" s="131">
        <f t="shared" si="24"/>
        <v>0</v>
      </c>
      <c r="AV814" s="132">
        <f t="shared" si="25"/>
        <v>0</v>
      </c>
    </row>
    <row r="815" spans="2:48" x14ac:dyDescent="0.4">
      <c r="B815" s="103" t="s">
        <v>844</v>
      </c>
      <c r="D815" s="129" t="s">
        <v>127</v>
      </c>
      <c r="G815" s="129" t="s">
        <v>1159</v>
      </c>
      <c r="H815" s="111" t="s">
        <v>1119</v>
      </c>
      <c r="I815" s="111">
        <v>24</v>
      </c>
      <c r="J815" s="120" t="s">
        <v>1164</v>
      </c>
      <c r="R815" s="103">
        <f>5.5+2.49</f>
        <v>7.99</v>
      </c>
      <c r="S815" s="120" t="s">
        <v>1166</v>
      </c>
      <c r="T815" s="111">
        <v>20.5</v>
      </c>
      <c r="U815" s="120" t="s">
        <v>1158</v>
      </c>
      <c r="AH815" s="173">
        <f>SUM(E815,H815,I815,K815,M815,R815,T815,V815,Y815,X815,AA815,AB815,AD815,AF815)</f>
        <v>52.49</v>
      </c>
      <c r="AI815" s="112">
        <v>100</v>
      </c>
      <c r="AJ815" s="112" t="s">
        <v>1163</v>
      </c>
      <c r="AR815" s="131">
        <f t="shared" si="24"/>
        <v>0</v>
      </c>
      <c r="AV815" s="132">
        <f t="shared" si="25"/>
        <v>0</v>
      </c>
    </row>
    <row r="816" spans="2:48" x14ac:dyDescent="0.4">
      <c r="B816" s="103" t="s">
        <v>845</v>
      </c>
      <c r="D816" s="129" t="s">
        <v>128</v>
      </c>
      <c r="E816" s="111">
        <v>8</v>
      </c>
      <c r="F816" s="129" t="s">
        <v>1095</v>
      </c>
      <c r="H816" s="129"/>
      <c r="I816" s="111">
        <v>11</v>
      </c>
      <c r="J816" s="120" t="s">
        <v>1098</v>
      </c>
      <c r="AF816" s="111">
        <v>12.6</v>
      </c>
      <c r="AG816" s="130" t="s">
        <v>1162</v>
      </c>
      <c r="AH816" s="173">
        <f t="shared" si="28"/>
        <v>31.6</v>
      </c>
      <c r="AR816" s="131">
        <f t="shared" si="24"/>
        <v>0</v>
      </c>
      <c r="AV816" s="132">
        <f t="shared" si="25"/>
        <v>0</v>
      </c>
    </row>
    <row r="817" spans="1:45" x14ac:dyDescent="0.4">
      <c r="B817" s="103" t="s">
        <v>846</v>
      </c>
      <c r="D817" s="129" t="s">
        <v>129</v>
      </c>
      <c r="E817" s="111">
        <v>8</v>
      </c>
      <c r="F817" s="129" t="s">
        <v>1095</v>
      </c>
      <c r="G817" s="111">
        <v>7.7</v>
      </c>
      <c r="H817" s="129" t="s">
        <v>1105</v>
      </c>
      <c r="I817" s="111">
        <v>7</v>
      </c>
      <c r="J817" s="120" t="s">
        <v>1109</v>
      </c>
      <c r="R817" s="103">
        <v>3.99</v>
      </c>
      <c r="S817" s="120" t="s">
        <v>1102</v>
      </c>
      <c r="AF817" s="111">
        <v>30</v>
      </c>
      <c r="AG817" s="130" t="s">
        <v>1143</v>
      </c>
      <c r="AH817" s="173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4" customFormat="1" x14ac:dyDescent="0.4">
      <c r="F818" s="135"/>
      <c r="H818" s="135"/>
      <c r="J818" s="135"/>
      <c r="L818" s="135"/>
      <c r="N818" s="128"/>
      <c r="O818" s="128"/>
      <c r="Q818" s="135"/>
      <c r="S818" s="135"/>
      <c r="U818" s="135"/>
      <c r="W818" s="135"/>
      <c r="X818" s="128"/>
      <c r="Z818" s="135"/>
      <c r="AC818" s="135"/>
      <c r="AE818" s="135"/>
      <c r="AG818" s="135"/>
      <c r="AH818" s="174">
        <f>SUM(AH787:AH816)</f>
        <v>5398.5199999999995</v>
      </c>
    </row>
    <row r="819" spans="1:45" x14ac:dyDescent="0.4">
      <c r="AH819" s="173">
        <f>SUM(AH619:AH818)/2</f>
        <v>18872.115000000002</v>
      </c>
    </row>
    <row r="820" spans="1:45" s="126" customFormat="1" x14ac:dyDescent="0.4">
      <c r="A820" s="126" t="s">
        <v>878</v>
      </c>
      <c r="F820" s="127"/>
      <c r="H820" s="127"/>
      <c r="J820" s="127"/>
      <c r="L820" s="127"/>
      <c r="N820" s="128"/>
      <c r="O820" s="128"/>
      <c r="Q820" s="127"/>
      <c r="S820" s="127"/>
      <c r="U820" s="127"/>
      <c r="W820" s="127"/>
      <c r="X820" s="128"/>
      <c r="Z820" s="127"/>
      <c r="AC820" s="127"/>
      <c r="AE820" s="127"/>
      <c r="AG820" s="127"/>
      <c r="AH820" s="111"/>
    </row>
    <row r="821" spans="1:45" x14ac:dyDescent="0.4">
      <c r="B821" s="103" t="s">
        <v>858</v>
      </c>
      <c r="D821" s="129" t="s">
        <v>1148</v>
      </c>
      <c r="R821" s="103">
        <v>2.4900000000000002</v>
      </c>
      <c r="S821" s="120" t="s">
        <v>1123</v>
      </c>
      <c r="AA821" s="111">
        <v>20</v>
      </c>
      <c r="AD821" s="111">
        <v>79.900000000000006</v>
      </c>
      <c r="AE821" s="120" t="s">
        <v>1115</v>
      </c>
      <c r="AH821" s="111">
        <f>E821+G821+I821+K821+M821+P821+R821+T821+V821+Y821+AA821+AB821+AD821+AF821</f>
        <v>102.39000000000001</v>
      </c>
      <c r="AS821" s="132">
        <v>79.900000000000006</v>
      </c>
    </row>
    <row r="822" spans="1:45" x14ac:dyDescent="0.4">
      <c r="B822" s="103" t="s">
        <v>848</v>
      </c>
      <c r="D822" s="129" t="s">
        <v>1149</v>
      </c>
      <c r="G822" s="111">
        <v>12.5</v>
      </c>
      <c r="H822" s="104" t="s">
        <v>1109</v>
      </c>
      <c r="I822" s="111">
        <v>26</v>
      </c>
      <c r="J822" s="120" t="s">
        <v>1157</v>
      </c>
      <c r="T822" s="111">
        <v>36.299999999999997</v>
      </c>
      <c r="U822" s="120" t="s">
        <v>1158</v>
      </c>
      <c r="AF822" s="111">
        <v>15</v>
      </c>
      <c r="AG822" s="130" t="s">
        <v>1112</v>
      </c>
      <c r="AH822" s="111">
        <f t="shared" ref="AH822:AH849" si="29">E822+G822+I822+K822+M822+P822+R822+T822+V822+Y822+AA822+AB822+AD822+AF822</f>
        <v>89.8</v>
      </c>
    </row>
    <row r="823" spans="1:45" x14ac:dyDescent="0.4">
      <c r="B823" s="103" t="s">
        <v>849</v>
      </c>
      <c r="D823" s="129" t="s">
        <v>1150</v>
      </c>
      <c r="G823" s="111">
        <v>11</v>
      </c>
      <c r="H823" s="104" t="s">
        <v>1098</v>
      </c>
      <c r="I823" s="111">
        <v>8</v>
      </c>
      <c r="J823" s="120" t="s">
        <v>1098</v>
      </c>
      <c r="AA823" s="111">
        <v>10</v>
      </c>
      <c r="AF823" s="111">
        <v>34</v>
      </c>
      <c r="AG823" s="130" t="s">
        <v>1168</v>
      </c>
      <c r="AH823" s="111">
        <f t="shared" si="29"/>
        <v>63</v>
      </c>
    </row>
    <row r="824" spans="1:45" x14ac:dyDescent="0.4">
      <c r="B824" s="103" t="s">
        <v>850</v>
      </c>
      <c r="D824" s="129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20" t="s">
        <v>1098</v>
      </c>
      <c r="AD824" s="111">
        <f>35.9+38</f>
        <v>73.900000000000006</v>
      </c>
      <c r="AE824" s="120" t="s">
        <v>1170</v>
      </c>
      <c r="AF824" s="111">
        <f>12+68.48</f>
        <v>80.48</v>
      </c>
      <c r="AG824" s="130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9" t="s">
        <v>1152</v>
      </c>
      <c r="G825" s="111">
        <v>8</v>
      </c>
      <c r="H825" s="104" t="s">
        <v>1098</v>
      </c>
      <c r="I825" s="111">
        <v>11</v>
      </c>
      <c r="J825" s="120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9" t="s">
        <v>1153</v>
      </c>
      <c r="G826" s="111">
        <v>10</v>
      </c>
      <c r="H826" s="104" t="s">
        <v>1098</v>
      </c>
      <c r="I826" s="111">
        <v>10</v>
      </c>
      <c r="J826" s="120" t="s">
        <v>1109</v>
      </c>
      <c r="AA826" s="111">
        <v>10</v>
      </c>
      <c r="AF826" s="111">
        <v>274.89999999999998</v>
      </c>
      <c r="AG826" s="130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9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20" t="s">
        <v>1098</v>
      </c>
      <c r="AD827" s="111">
        <v>25.8</v>
      </c>
      <c r="AE827" s="120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9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20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9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20" t="s">
        <v>1098</v>
      </c>
      <c r="AD829" s="111">
        <v>88.8</v>
      </c>
      <c r="AE829" s="120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9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20" t="s">
        <v>1180</v>
      </c>
      <c r="AA830" s="111">
        <v>10</v>
      </c>
      <c r="AH830" s="111">
        <f t="shared" si="29"/>
        <v>42</v>
      </c>
      <c r="AO830" s="131">
        <v>1704.35</v>
      </c>
    </row>
    <row r="831" spans="1:45" x14ac:dyDescent="0.4">
      <c r="B831" s="103" t="s">
        <v>850</v>
      </c>
      <c r="D831" s="129" t="s">
        <v>302</v>
      </c>
      <c r="AH831" s="111">
        <f t="shared" si="29"/>
        <v>0</v>
      </c>
    </row>
    <row r="832" spans="1:45" x14ac:dyDescent="0.4">
      <c r="B832" s="103" t="s">
        <v>844</v>
      </c>
      <c r="D832" s="129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20" t="s">
        <v>1179</v>
      </c>
      <c r="T832" s="111">
        <v>6</v>
      </c>
      <c r="U832" s="120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9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20" t="s">
        <v>1176</v>
      </c>
      <c r="K833" s="111">
        <v>12.9</v>
      </c>
      <c r="L833" s="120" t="s">
        <v>1117</v>
      </c>
      <c r="R833" s="103">
        <v>5.99</v>
      </c>
      <c r="S833" s="120" t="s">
        <v>1178</v>
      </c>
      <c r="AD833" s="111">
        <f>28.8*2</f>
        <v>57.6</v>
      </c>
      <c r="AE833" s="120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9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20" t="s">
        <v>1109</v>
      </c>
      <c r="R834" s="103">
        <v>3.99</v>
      </c>
      <c r="S834" s="120" t="s">
        <v>1175</v>
      </c>
      <c r="T834" s="111">
        <v>22</v>
      </c>
      <c r="U834" s="120" t="s">
        <v>1158</v>
      </c>
      <c r="AA834" s="111">
        <v>10</v>
      </c>
      <c r="AD834" s="111">
        <v>108</v>
      </c>
      <c r="AE834" s="120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9" t="s">
        <v>306</v>
      </c>
      <c r="G835" s="111">
        <v>9</v>
      </c>
      <c r="H835" s="104" t="s">
        <v>1095</v>
      </c>
      <c r="I835" s="111">
        <v>266</v>
      </c>
      <c r="J835" s="120" t="s">
        <v>1185</v>
      </c>
      <c r="T835" s="111">
        <v>5</v>
      </c>
      <c r="U835" s="120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9" t="s">
        <v>307</v>
      </c>
      <c r="G836" s="111">
        <v>8</v>
      </c>
      <c r="H836" s="104" t="s">
        <v>1109</v>
      </c>
      <c r="I836" s="111">
        <v>11</v>
      </c>
      <c r="J836" s="120" t="s">
        <v>1109</v>
      </c>
      <c r="R836" s="103">
        <v>4.49</v>
      </c>
      <c r="S836" s="120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9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20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9" t="s">
        <v>309</v>
      </c>
      <c r="G838" s="111">
        <v>9.1999999999999993</v>
      </c>
      <c r="H838" s="104" t="s">
        <v>1105</v>
      </c>
      <c r="I838" s="111">
        <v>6.2</v>
      </c>
      <c r="J838" s="120" t="s">
        <v>1105</v>
      </c>
      <c r="R838" s="103">
        <v>2.99</v>
      </c>
      <c r="S838" s="120" t="s">
        <v>1182</v>
      </c>
      <c r="AF838" s="111">
        <v>199</v>
      </c>
      <c r="AG838" s="130" t="s">
        <v>1184</v>
      </c>
      <c r="AH838" s="111">
        <f t="shared" si="29"/>
        <v>217.39</v>
      </c>
      <c r="AP838" s="131">
        <f>1000+1426.1</f>
        <v>2426.1</v>
      </c>
    </row>
    <row r="839" spans="2:45" x14ac:dyDescent="0.4">
      <c r="B839" s="103" t="s">
        <v>844</v>
      </c>
      <c r="D839" s="129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9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20" t="s">
        <v>1098</v>
      </c>
      <c r="R840" s="103">
        <v>4.49</v>
      </c>
      <c r="S840" s="120" t="s">
        <v>1187</v>
      </c>
      <c r="Y840" s="103">
        <f>1+1</f>
        <v>2</v>
      </c>
      <c r="Z840" s="120" t="s">
        <v>1189</v>
      </c>
      <c r="AD840" s="111">
        <v>59.7</v>
      </c>
      <c r="AE840" s="120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9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20" t="s">
        <v>1098</v>
      </c>
      <c r="AD841" s="111">
        <f>738+89.9+78+69+45+49.9+39</f>
        <v>1108.8</v>
      </c>
      <c r="AE841" s="120" t="s">
        <v>1186</v>
      </c>
      <c r="AH841" s="111">
        <f t="shared" si="29"/>
        <v>1128.3</v>
      </c>
      <c r="AS841" s="132">
        <v>738</v>
      </c>
    </row>
    <row r="842" spans="2:45" x14ac:dyDescent="0.4">
      <c r="B842" s="103" t="s">
        <v>847</v>
      </c>
      <c r="D842" s="129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20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9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20" t="s">
        <v>1095</v>
      </c>
      <c r="R843" s="103">
        <f>2.5+4.49</f>
        <v>6.99</v>
      </c>
      <c r="S843" s="120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9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20" t="s">
        <v>1098</v>
      </c>
      <c r="R844" s="103">
        <v>4.49</v>
      </c>
      <c r="S844" s="120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9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20" t="s">
        <v>1098</v>
      </c>
      <c r="AD845" s="111">
        <f>45+108+30</f>
        <v>183</v>
      </c>
      <c r="AE845" s="120" t="s">
        <v>1195</v>
      </c>
      <c r="AH845" s="111">
        <f t="shared" si="29"/>
        <v>212</v>
      </c>
      <c r="AS845" s="132">
        <v>38</v>
      </c>
    </row>
    <row r="846" spans="2:45" x14ac:dyDescent="0.4">
      <c r="B846" s="103" t="s">
        <v>844</v>
      </c>
      <c r="D846" s="129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20" t="s">
        <v>1098</v>
      </c>
      <c r="T846" s="111">
        <v>15.5</v>
      </c>
      <c r="U846" s="120" t="s">
        <v>1158</v>
      </c>
      <c r="AD846" s="111">
        <v>54.9</v>
      </c>
      <c r="AE846" s="120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9" t="s">
        <v>319</v>
      </c>
      <c r="G847" s="111">
        <v>9.5</v>
      </c>
      <c r="H847" s="120" t="s">
        <v>1098</v>
      </c>
      <c r="T847" s="111">
        <v>38</v>
      </c>
      <c r="U847" s="120" t="s">
        <v>821</v>
      </c>
      <c r="AD847" s="111">
        <f>35+475+55+158+7.5</f>
        <v>730.5</v>
      </c>
      <c r="AE847" s="120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9" t="s">
        <v>320</v>
      </c>
      <c r="G848" s="111">
        <v>13</v>
      </c>
      <c r="H848" s="104" t="s">
        <v>1095</v>
      </c>
      <c r="I848" s="111">
        <v>10</v>
      </c>
      <c r="J848" s="120" t="s">
        <v>1095</v>
      </c>
      <c r="T848" s="111">
        <v>6.3</v>
      </c>
      <c r="U848" s="120" t="s">
        <v>1158</v>
      </c>
      <c r="AH848" s="111">
        <f t="shared" si="29"/>
        <v>29.3</v>
      </c>
    </row>
    <row r="849" spans="1:34" x14ac:dyDescent="0.4">
      <c r="B849" s="103" t="s">
        <v>847</v>
      </c>
      <c r="D849" s="129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20" t="s">
        <v>1095</v>
      </c>
      <c r="AA849" s="111">
        <v>10</v>
      </c>
      <c r="AH849" s="111">
        <f t="shared" si="29"/>
        <v>39.5</v>
      </c>
    </row>
    <row r="850" spans="1:34" x14ac:dyDescent="0.4">
      <c r="B850" s="103" t="s">
        <v>848</v>
      </c>
      <c r="D850" s="129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20" t="s">
        <v>1095</v>
      </c>
      <c r="R850" s="103">
        <v>2.4900000000000002</v>
      </c>
      <c r="S850" s="120" t="s">
        <v>1113</v>
      </c>
    </row>
    <row r="851" spans="1:34" s="134" customFormat="1" x14ac:dyDescent="0.4">
      <c r="F851" s="135"/>
      <c r="H851" s="135"/>
      <c r="J851" s="135"/>
      <c r="L851" s="135"/>
      <c r="N851" s="128"/>
      <c r="O851" s="128"/>
      <c r="Q851" s="135"/>
      <c r="S851" s="135"/>
      <c r="U851" s="135"/>
      <c r="W851" s="135"/>
      <c r="X851" s="128"/>
      <c r="Z851" s="135"/>
      <c r="AC851" s="135"/>
      <c r="AE851" s="135"/>
      <c r="AG851" s="135"/>
      <c r="AH851" s="174">
        <f>SUM(AH820:AH849)</f>
        <v>4403.7</v>
      </c>
    </row>
    <row r="853" spans="1:34" s="126" customFormat="1" x14ac:dyDescent="0.4">
      <c r="A853" s="126" t="s">
        <v>880</v>
      </c>
      <c r="F853" s="127"/>
      <c r="H853" s="127"/>
      <c r="J853" s="127"/>
      <c r="L853" s="127"/>
      <c r="N853" s="128"/>
      <c r="O853" s="128"/>
      <c r="Q853" s="127"/>
      <c r="S853" s="127"/>
      <c r="U853" s="127"/>
      <c r="W853" s="127"/>
      <c r="X853" s="128"/>
      <c r="Z853" s="127"/>
      <c r="AC853" s="127"/>
      <c r="AE853" s="127"/>
      <c r="AG853" s="127"/>
      <c r="AH853" s="111"/>
    </row>
    <row r="854" spans="1:34" x14ac:dyDescent="0.4">
      <c r="B854" s="175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20" t="s">
        <v>1098</v>
      </c>
      <c r="AF854" s="111">
        <f>50+15</f>
        <v>65</v>
      </c>
      <c r="AG854" s="130" t="s">
        <v>1198</v>
      </c>
      <c r="AH854" s="111">
        <f>SUM(E854,G854,I854,K854,M854,P854,R854,T854,V854,Y854,AA854,AB854,AD854,AF854)</f>
        <v>94</v>
      </c>
    </row>
    <row r="855" spans="1:34" x14ac:dyDescent="0.4">
      <c r="B855" s="175" t="s">
        <v>843</v>
      </c>
      <c r="D855" s="104" t="s">
        <v>324</v>
      </c>
      <c r="E855" s="111">
        <v>5</v>
      </c>
      <c r="F855" s="177" t="s">
        <v>1095</v>
      </c>
      <c r="G855" s="111">
        <f>31+45</f>
        <v>76</v>
      </c>
      <c r="H855" s="177" t="s">
        <v>1200</v>
      </c>
      <c r="AH855" s="111">
        <f t="shared" ref="AH855:AH867" si="30">SUM(E855,G855,I855,K855,M855,P855,R855,T855,V855,Y855,AA855,AB855,AD855,AF855)</f>
        <v>81</v>
      </c>
    </row>
    <row r="856" spans="1:34" x14ac:dyDescent="0.4">
      <c r="B856" s="175" t="s">
        <v>844</v>
      </c>
      <c r="D856" s="104" t="s">
        <v>325</v>
      </c>
      <c r="K856" s="111">
        <v>12</v>
      </c>
      <c r="L856" s="120" t="s">
        <v>1199</v>
      </c>
      <c r="Y856" s="103">
        <v>11.66</v>
      </c>
      <c r="Z856" s="176" t="s">
        <v>1114</v>
      </c>
      <c r="AH856" s="111">
        <f t="shared" si="30"/>
        <v>23.66</v>
      </c>
    </row>
    <row r="857" spans="1:34" x14ac:dyDescent="0.4">
      <c r="B857" s="175" t="s">
        <v>845</v>
      </c>
      <c r="D857" s="104" t="s">
        <v>326</v>
      </c>
      <c r="I857" s="111">
        <v>11</v>
      </c>
      <c r="J857" s="176" t="s">
        <v>1098</v>
      </c>
      <c r="AF857" s="111">
        <v>12.6</v>
      </c>
      <c r="AG857" s="178" t="s">
        <v>1162</v>
      </c>
      <c r="AH857" s="111">
        <f t="shared" si="30"/>
        <v>23.6</v>
      </c>
    </row>
    <row r="858" spans="1:34" x14ac:dyDescent="0.4">
      <c r="B858" s="175" t="s">
        <v>846</v>
      </c>
      <c r="D858" s="104" t="s">
        <v>327</v>
      </c>
      <c r="G858" s="111">
        <v>13</v>
      </c>
      <c r="H858" s="177" t="s">
        <v>1098</v>
      </c>
      <c r="I858" s="111">
        <v>11</v>
      </c>
      <c r="J858" s="176" t="s">
        <v>1098</v>
      </c>
      <c r="AD858" s="111">
        <v>24.8</v>
      </c>
      <c r="AE858" s="176" t="s">
        <v>1202</v>
      </c>
      <c r="AH858" s="111">
        <f t="shared" si="30"/>
        <v>48.8</v>
      </c>
    </row>
    <row r="859" spans="1:34" x14ac:dyDescent="0.4">
      <c r="B859" s="175" t="s">
        <v>847</v>
      </c>
      <c r="D859" s="104" t="s">
        <v>328</v>
      </c>
      <c r="E859" s="111">
        <v>6.5</v>
      </c>
      <c r="F859" s="177" t="s">
        <v>1095</v>
      </c>
      <c r="G859" s="111">
        <v>11</v>
      </c>
      <c r="H859" s="177" t="s">
        <v>1098</v>
      </c>
      <c r="AH859" s="111">
        <f t="shared" si="30"/>
        <v>17.5</v>
      </c>
    </row>
    <row r="860" spans="1:34" x14ac:dyDescent="0.4">
      <c r="B860" s="175" t="s">
        <v>848</v>
      </c>
      <c r="D860" s="104" t="s">
        <v>329</v>
      </c>
      <c r="G860" s="111">
        <v>11</v>
      </c>
      <c r="H860" s="177" t="s">
        <v>1098</v>
      </c>
      <c r="R860" s="103">
        <f>3+4.49</f>
        <v>7.49</v>
      </c>
      <c r="S860" s="176" t="s">
        <v>1201</v>
      </c>
      <c r="AH860" s="111">
        <f t="shared" si="30"/>
        <v>18.490000000000002</v>
      </c>
    </row>
    <row r="861" spans="1:34" x14ac:dyDescent="0.4">
      <c r="B861" s="175" t="s">
        <v>849</v>
      </c>
      <c r="D861" s="104" t="s">
        <v>330</v>
      </c>
      <c r="G861" s="111">
        <v>11</v>
      </c>
      <c r="H861" s="177" t="s">
        <v>1098</v>
      </c>
      <c r="AH861" s="111">
        <f t="shared" si="30"/>
        <v>11</v>
      </c>
    </row>
    <row r="862" spans="1:34" x14ac:dyDescent="0.4">
      <c r="B862" s="175" t="s">
        <v>850</v>
      </c>
      <c r="D862" s="104" t="s">
        <v>331</v>
      </c>
      <c r="AH862" s="111">
        <f t="shared" si="30"/>
        <v>0</v>
      </c>
    </row>
    <row r="863" spans="1:34" x14ac:dyDescent="0.4">
      <c r="B863" s="175" t="s">
        <v>844</v>
      </c>
      <c r="D863" s="104" t="s">
        <v>332</v>
      </c>
      <c r="AH863" s="111">
        <f t="shared" si="30"/>
        <v>0</v>
      </c>
    </row>
    <row r="864" spans="1:34" x14ac:dyDescent="0.4">
      <c r="AH864" s="111">
        <f t="shared" si="30"/>
        <v>0</v>
      </c>
    </row>
    <row r="865" spans="34:34" x14ac:dyDescent="0.4">
      <c r="AH865" s="111">
        <f t="shared" si="30"/>
        <v>0</v>
      </c>
    </row>
    <row r="866" spans="34:34" x14ac:dyDescent="0.4">
      <c r="AH866" s="111">
        <f t="shared" si="30"/>
        <v>0</v>
      </c>
    </row>
    <row r="867" spans="34:34" x14ac:dyDescent="0.4">
      <c r="AH867" s="111">
        <f t="shared" si="30"/>
        <v>0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7" t="s">
        <v>191</v>
      </c>
      <c r="L16" s="207"/>
      <c r="M16" s="207"/>
      <c r="N16" s="207" t="s">
        <v>194</v>
      </c>
      <c r="O16" s="207"/>
      <c r="P16" s="207"/>
    </row>
    <row r="17" spans="10:17" x14ac:dyDescent="0.15">
      <c r="J17" s="207" t="s">
        <v>190</v>
      </c>
      <c r="K17" s="207" t="s">
        <v>187</v>
      </c>
      <c r="L17" s="207" t="s">
        <v>188</v>
      </c>
      <c r="M17" s="207" t="s">
        <v>189</v>
      </c>
      <c r="N17" s="207" t="s">
        <v>192</v>
      </c>
      <c r="O17" s="207" t="s">
        <v>193</v>
      </c>
      <c r="P17" s="207" t="s">
        <v>195</v>
      </c>
    </row>
    <row r="18" spans="10:17" x14ac:dyDescent="0.15">
      <c r="J18" s="207"/>
      <c r="K18" s="207"/>
      <c r="L18" s="207"/>
      <c r="M18" s="207"/>
      <c r="N18" s="207"/>
      <c r="O18" s="207"/>
      <c r="P18" s="207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7" t="s">
        <v>196</v>
      </c>
      <c r="K25" s="207" t="s">
        <v>197</v>
      </c>
      <c r="L25" s="208" t="s">
        <v>198</v>
      </c>
      <c r="M25" s="208"/>
      <c r="N25" s="208"/>
      <c r="O25" s="207" t="s">
        <v>199</v>
      </c>
      <c r="P25" s="207"/>
      <c r="Q25" s="207"/>
    </row>
    <row r="26" spans="10:17" x14ac:dyDescent="0.15">
      <c r="J26" s="207"/>
      <c r="K26" s="207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7" t="s">
        <v>200</v>
      </c>
      <c r="J39" s="198"/>
      <c r="K39" s="198"/>
      <c r="L39" s="198"/>
      <c r="M39" s="198"/>
      <c r="N39" s="198"/>
      <c r="O39" s="198"/>
      <c r="P39" s="198"/>
      <c r="Q39" s="198"/>
      <c r="R39" s="198"/>
      <c r="S39" s="8"/>
    </row>
    <row r="40" spans="9:19" ht="15" thickBot="1" x14ac:dyDescent="0.25">
      <c r="I40" s="199" t="s">
        <v>203</v>
      </c>
      <c r="J40" s="201" t="s">
        <v>201</v>
      </c>
      <c r="K40" s="202"/>
      <c r="L40" s="203"/>
      <c r="M40" s="204" t="s">
        <v>202</v>
      </c>
      <c r="N40" s="202"/>
      <c r="O40" s="203"/>
      <c r="P40" s="205" t="s">
        <v>207</v>
      </c>
      <c r="Q40" s="202"/>
      <c r="R40" s="206"/>
      <c r="S40" s="8"/>
    </row>
    <row r="41" spans="9:19" ht="15" thickBot="1" x14ac:dyDescent="0.25">
      <c r="I41" s="200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82" t="s">
        <v>217</v>
      </c>
      <c r="J55" s="183"/>
      <c r="K55" s="183"/>
      <c r="M55" s="182" t="s">
        <v>228</v>
      </c>
      <c r="N55" s="183"/>
      <c r="O55" s="183"/>
    </row>
    <row r="56" spans="9:19" ht="14.25" thickBot="1" x14ac:dyDescent="0.2">
      <c r="I56" s="184" t="s">
        <v>218</v>
      </c>
      <c r="J56" s="196" t="s">
        <v>203</v>
      </c>
      <c r="K56" s="188"/>
      <c r="M56" s="184" t="s">
        <v>218</v>
      </c>
      <c r="N56" s="186" t="s">
        <v>203</v>
      </c>
      <c r="O56" s="188"/>
    </row>
    <row r="57" spans="9:19" ht="14.25" thickBot="1" x14ac:dyDescent="0.2">
      <c r="I57" s="185"/>
      <c r="J57" s="43" t="s">
        <v>208</v>
      </c>
      <c r="K57" s="44" t="s">
        <v>209</v>
      </c>
      <c r="M57" s="185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82" t="s">
        <v>200</v>
      </c>
      <c r="J72" s="183"/>
      <c r="K72" s="183"/>
      <c r="L72" s="183"/>
      <c r="M72" s="183"/>
      <c r="N72" s="183"/>
      <c r="O72" s="183"/>
      <c r="P72" s="183"/>
      <c r="Q72" s="183"/>
      <c r="R72" s="183"/>
      <c r="S72" s="42"/>
    </row>
    <row r="73" spans="9:19" ht="15" thickBot="1" x14ac:dyDescent="0.25">
      <c r="I73" s="189" t="s">
        <v>203</v>
      </c>
      <c r="J73" s="190" t="s">
        <v>201</v>
      </c>
      <c r="K73" s="191"/>
      <c r="L73" s="192"/>
      <c r="M73" s="193" t="s">
        <v>202</v>
      </c>
      <c r="N73" s="191"/>
      <c r="O73" s="192"/>
      <c r="P73" s="194" t="s">
        <v>207</v>
      </c>
      <c r="Q73" s="191"/>
      <c r="R73" s="195"/>
      <c r="S73" s="42"/>
    </row>
    <row r="74" spans="9:19" ht="15" thickBot="1" x14ac:dyDescent="0.25">
      <c r="I74" s="185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82" t="s">
        <v>217</v>
      </c>
      <c r="J98" s="183"/>
      <c r="K98" s="183"/>
      <c r="L98" s="183"/>
      <c r="M98" s="42"/>
    </row>
    <row r="99" spans="9:13" ht="14.25" thickBot="1" x14ac:dyDescent="0.2">
      <c r="I99" s="184" t="s">
        <v>218</v>
      </c>
      <c r="J99" s="186" t="s">
        <v>203</v>
      </c>
      <c r="K99" s="187"/>
      <c r="L99" s="188"/>
      <c r="M99" s="54"/>
    </row>
    <row r="100" spans="9:13" ht="14.25" thickBot="1" x14ac:dyDescent="0.2">
      <c r="I100" s="185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82" t="s">
        <v>228</v>
      </c>
      <c r="J122" s="183"/>
      <c r="K122" s="183"/>
      <c r="L122" s="183"/>
      <c r="M122" s="42"/>
    </row>
    <row r="123" spans="9:13" ht="14.25" thickBot="1" x14ac:dyDescent="0.2">
      <c r="I123" s="184" t="s">
        <v>218</v>
      </c>
      <c r="J123" s="186" t="s">
        <v>203</v>
      </c>
      <c r="K123" s="187"/>
      <c r="L123" s="188"/>
      <c r="M123" s="54"/>
    </row>
    <row r="124" spans="9:13" ht="14.25" thickBot="1" x14ac:dyDescent="0.2">
      <c r="I124" s="185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82" t="s">
        <v>200</v>
      </c>
      <c r="O162" s="183"/>
      <c r="P162" s="183"/>
      <c r="Q162" s="183"/>
      <c r="R162" s="183"/>
      <c r="S162" s="183"/>
      <c r="T162" s="183"/>
      <c r="U162" s="183"/>
      <c r="V162" s="183"/>
      <c r="W162" s="183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9" t="s">
        <v>203</v>
      </c>
      <c r="O163" s="210" t="s">
        <v>201</v>
      </c>
      <c r="P163" s="191"/>
      <c r="Q163" s="192"/>
      <c r="R163" s="211" t="s">
        <v>202</v>
      </c>
      <c r="S163" s="191"/>
      <c r="T163" s="192"/>
      <c r="U163" s="212" t="s">
        <v>207</v>
      </c>
      <c r="V163" s="191"/>
      <c r="W163" s="195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5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82" t="s">
        <v>217</v>
      </c>
      <c r="O184" s="183"/>
      <c r="P184" s="183"/>
      <c r="Q184" s="183"/>
      <c r="R184" s="42"/>
      <c r="S184" s="182" t="s">
        <v>228</v>
      </c>
      <c r="T184" s="183"/>
      <c r="U184" s="183"/>
      <c r="V184" s="183"/>
      <c r="W184" s="42"/>
    </row>
    <row r="185" spans="14:24" ht="15" thickBot="1" x14ac:dyDescent="0.25">
      <c r="N185" s="184" t="s">
        <v>218</v>
      </c>
      <c r="O185" s="213" t="s">
        <v>203</v>
      </c>
      <c r="P185" s="187"/>
      <c r="Q185" s="188"/>
      <c r="R185" s="42"/>
      <c r="S185" s="184" t="s">
        <v>218</v>
      </c>
      <c r="T185" s="213" t="s">
        <v>203</v>
      </c>
      <c r="U185" s="187"/>
      <c r="V185" s="188"/>
      <c r="W185" s="42"/>
    </row>
    <row r="186" spans="14:24" ht="15" thickBot="1" x14ac:dyDescent="0.25">
      <c r="N186" s="185"/>
      <c r="O186" s="68" t="s">
        <v>208</v>
      </c>
      <c r="P186" s="69" t="s">
        <v>209</v>
      </c>
      <c r="Q186" s="70" t="s">
        <v>210</v>
      </c>
      <c r="R186" s="42"/>
      <c r="S186" s="185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2019-12-08T07:09:39Z</dcterms:modified>
</cp:coreProperties>
</file>