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31"/>
  <workbookPr filterPrivacy="1" defaultThemeVersion="124226"/>
  <xr:revisionPtr revIDLastSave="0" documentId="13_ncr:1_{7AB5E533-7693-4F7A-B32E-2F3EFE15F7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25" i="1" l="1"/>
  <c r="AH826" i="1"/>
  <c r="AH827" i="1"/>
  <c r="AH822" i="1"/>
  <c r="AH823" i="1"/>
  <c r="AH824" i="1"/>
  <c r="AH821" i="1"/>
  <c r="G827" i="1"/>
  <c r="AD824" i="1" l="1"/>
  <c r="AF824" i="1"/>
  <c r="AH817" i="1" l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9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<sst xmlns="http://schemas.openxmlformats.org/spreadsheetml/2006/main" count="2951" uniqueCount="1175">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</sst>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846</xdr:row>
      <xdr:rowOff>61715</xdr:rowOff>
    </xdr:from>
    <xdr:to>
      <xdr:col>25</xdr:col>
      <xdr:colOff>408462</xdr:colOff>
      <xdr:row>878</xdr:row>
      <xdr:rowOff>68037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29"/>
  <sheetViews>
    <sheetView tabSelected="1" zoomScale="70" zoomScaleNormal="70" workbookViewId="0">
      <pane ySplit="1" topLeftCell="A810" activePane="bottomLeft" state="frozen"/>
      <selection pane="bottomLeft" activeCell="AH831" sqref="AH831"/>
    </sheetView>
  </sheetViews>
  <sheetFormatPr defaultRowHeight="19.5" x14ac:dyDescent="0.4"/>
  <cols>
    <col min="1" max="1" width="13.375" style="209" bestFit="1" customWidth="1"/>
    <col min="2" max="2" width="9.125" style="209" bestFit="1" customWidth="1"/>
    <col min="3" max="3" width="5.25" style="209" bestFit="1" customWidth="1"/>
    <col min="4" max="4" width="6.625" style="102" bestFit="1" customWidth="1"/>
    <col min="5" max="5" width="10.75" style="109" bestFit="1" customWidth="1"/>
    <col min="6" max="6" width="10.25" style="102" bestFit="1" customWidth="1"/>
    <col min="7" max="7" width="7" style="109" bestFit="1" customWidth="1"/>
    <col min="8" max="8" width="12.625" style="102" bestFit="1" customWidth="1"/>
    <col min="9" max="9" width="11.25" style="109" bestFit="1" customWidth="1"/>
    <col min="10" max="10" width="22.125" style="115" bestFit="1" customWidth="1"/>
    <col min="11" max="11" width="6" style="109" bestFit="1" customWidth="1"/>
    <col min="12" max="12" width="22.5" style="115" bestFit="1" customWidth="1"/>
    <col min="13" max="13" width="6" style="109" bestFit="1" customWidth="1"/>
    <col min="14" max="15" width="10.25" style="106" bestFit="1" customWidth="1"/>
    <col min="16" max="16" width="10.25" style="109" bestFit="1" customWidth="1"/>
    <col min="17" max="17" width="14.75" style="115" bestFit="1" customWidth="1"/>
    <col min="18" max="18" width="7" style="209" bestFit="1" customWidth="1"/>
    <col min="19" max="19" width="28" style="115" bestFit="1" customWidth="1"/>
    <col min="20" max="20" width="7" style="109" bestFit="1" customWidth="1"/>
    <col min="21" max="21" width="17.625" style="115" bestFit="1" customWidth="1"/>
    <col min="22" max="22" width="6" style="209" bestFit="1" customWidth="1"/>
    <col min="23" max="23" width="10.25" style="115" bestFit="1" customWidth="1"/>
    <col min="24" max="24" width="6" style="106" bestFit="1" customWidth="1"/>
    <col min="25" max="25" width="7" style="209" bestFit="1" customWidth="1"/>
    <col min="26" max="26" width="56.75" style="115" bestFit="1" customWidth="1"/>
    <col min="27" max="27" width="7" style="109" bestFit="1" customWidth="1"/>
    <col min="28" max="28" width="6" style="209" bestFit="1" customWidth="1"/>
    <col min="29" max="29" width="10.25" style="115" bestFit="1" customWidth="1"/>
    <col min="30" max="30" width="6" style="109" bestFit="1" customWidth="1"/>
    <col min="31" max="31" width="13.75" style="115" bestFit="1" customWidth="1"/>
    <col min="32" max="32" width="8" style="109" bestFit="1" customWidth="1"/>
    <col min="33" max="33" width="46.625" style="125" bestFit="1" customWidth="1"/>
    <col min="34" max="34" width="15.125" style="109" bestFit="1" customWidth="1"/>
    <col min="35" max="35" width="9.125" style="110" bestFit="1" customWidth="1"/>
    <col min="36" max="36" width="10.75" style="110" bestFit="1" customWidth="1"/>
    <col min="37" max="37" width="17.25" style="209" bestFit="1" customWidth="1"/>
    <col min="38" max="38" width="9.125" style="109" bestFit="1" customWidth="1"/>
    <col min="39" max="39" width="6.5" style="209" bestFit="1" customWidth="1"/>
    <col min="40" max="40" width="17" style="209" bestFit="1" customWidth="1"/>
    <col min="41" max="41" width="9.125" style="126" bestFit="1" customWidth="1"/>
    <col min="42" max="42" width="8" style="126" bestFit="1" customWidth="1"/>
    <col min="43" max="43" width="5.875" style="126" bestFit="1" customWidth="1"/>
    <col min="44" max="44" width="9.125" style="126" bestFit="1" customWidth="1"/>
    <col min="45" max="45" width="6" style="127" bestFit="1" customWidth="1"/>
    <col min="46" max="46" width="6.5" style="127" bestFit="1" customWidth="1"/>
    <col min="47" max="47" width="9" style="127"/>
    <col min="48" max="48" width="8" style="127" bestFit="1" customWidth="1"/>
    <col min="49" max="49" width="7" style="128" bestFit="1" customWidth="1"/>
    <col min="50" max="50" width="8" style="128" bestFit="1" customWidth="1"/>
    <col min="51" max="51" width="9" style="128"/>
    <col min="52" max="52" width="8" style="128" bestFit="1" customWidth="1"/>
    <col min="53" max="53" width="9" style="209"/>
    <col min="54" max="54" width="9.125" style="209" bestFit="1" customWidth="1"/>
    <col min="55" max="16384" width="9" style="209"/>
  </cols>
  <sheetData>
    <row r="1" spans="1:54" x14ac:dyDescent="0.4">
      <c r="B1" s="209" t="s">
        <v>815</v>
      </c>
      <c r="D1" s="102" t="s">
        <v>0</v>
      </c>
      <c r="E1" s="103" t="s">
        <v>1</v>
      </c>
      <c r="F1" s="104" t="s">
        <v>925</v>
      </c>
      <c r="G1" s="103" t="s">
        <v>2</v>
      </c>
      <c r="H1" s="104" t="s">
        <v>930</v>
      </c>
      <c r="I1" s="103" t="s">
        <v>67</v>
      </c>
      <c r="J1" s="104" t="s">
        <v>933</v>
      </c>
      <c r="K1" s="103" t="s">
        <v>816</v>
      </c>
      <c r="L1" s="105" t="s">
        <v>938</v>
      </c>
      <c r="M1" s="103" t="s">
        <v>817</v>
      </c>
      <c r="N1" s="106" t="s">
        <v>818</v>
      </c>
      <c r="O1" s="106" t="s">
        <v>819</v>
      </c>
      <c r="P1" s="103" t="s">
        <v>820</v>
      </c>
      <c r="Q1" s="105" t="s">
        <v>943</v>
      </c>
      <c r="R1" s="107" t="s">
        <v>821</v>
      </c>
      <c r="S1" s="105" t="s">
        <v>957</v>
      </c>
      <c r="T1" s="103" t="s">
        <v>822</v>
      </c>
      <c r="U1" s="105" t="s">
        <v>991</v>
      </c>
      <c r="V1" s="107" t="s">
        <v>823</v>
      </c>
      <c r="W1" s="105" t="s">
        <v>997</v>
      </c>
      <c r="X1" s="106" t="s">
        <v>824</v>
      </c>
      <c r="Y1" s="107" t="s">
        <v>825</v>
      </c>
      <c r="Z1" s="105" t="s">
        <v>1000</v>
      </c>
      <c r="AA1" s="103" t="s">
        <v>826</v>
      </c>
      <c r="AB1" s="107" t="s">
        <v>827</v>
      </c>
      <c r="AC1" s="105" t="s">
        <v>1006</v>
      </c>
      <c r="AD1" s="103" t="s">
        <v>828</v>
      </c>
      <c r="AE1" s="105" t="s">
        <v>1009</v>
      </c>
      <c r="AF1" s="103" t="s">
        <v>829</v>
      </c>
      <c r="AG1" s="108" t="s">
        <v>1015</v>
      </c>
      <c r="AH1" s="109" t="s">
        <v>830</v>
      </c>
      <c r="AI1" s="110" t="s">
        <v>831</v>
      </c>
      <c r="AJ1" s="110" t="s">
        <v>832</v>
      </c>
      <c r="AK1" s="111" t="s">
        <v>833</v>
      </c>
      <c r="AL1" s="112" t="s">
        <v>834</v>
      </c>
      <c r="AM1" s="111" t="s">
        <v>835</v>
      </c>
      <c r="AO1" s="174" t="s">
        <v>834</v>
      </c>
      <c r="AP1" s="174"/>
      <c r="AQ1" s="174"/>
      <c r="AR1" s="171" t="s">
        <v>836</v>
      </c>
      <c r="AS1" s="175" t="s">
        <v>837</v>
      </c>
      <c r="AT1" s="175"/>
      <c r="AU1" s="175"/>
      <c r="AV1" s="172" t="s">
        <v>836</v>
      </c>
      <c r="AW1" s="176" t="s">
        <v>838</v>
      </c>
      <c r="AX1" s="176"/>
      <c r="AY1" s="176"/>
      <c r="AZ1" s="173" t="s">
        <v>836</v>
      </c>
      <c r="BB1" s="113" t="s">
        <v>839</v>
      </c>
    </row>
    <row r="2" spans="1:54" ht="25.5" x14ac:dyDescent="0.5">
      <c r="B2" s="114">
        <v>2016</v>
      </c>
      <c r="Q2" s="116"/>
      <c r="S2" s="116"/>
      <c r="U2" s="116"/>
      <c r="W2" s="116"/>
      <c r="AG2" s="117"/>
      <c r="AO2" s="118" t="s">
        <v>840</v>
      </c>
      <c r="AP2" s="118" t="s">
        <v>841</v>
      </c>
      <c r="AQ2" s="118" t="s">
        <v>842</v>
      </c>
      <c r="AR2" s="118"/>
      <c r="AS2" s="119" t="s">
        <v>840</v>
      </c>
      <c r="AT2" s="119" t="s">
        <v>841</v>
      </c>
      <c r="AU2" s="119"/>
      <c r="AV2" s="119" t="s">
        <v>842</v>
      </c>
      <c r="AW2" s="120" t="s">
        <v>840</v>
      </c>
      <c r="AX2" s="120" t="s">
        <v>841</v>
      </c>
      <c r="AY2" s="120"/>
      <c r="AZ2" s="120" t="s">
        <v>842</v>
      </c>
    </row>
    <row r="3" spans="1:54" s="121" customFormat="1" x14ac:dyDescent="0.4">
      <c r="A3" s="121" t="s">
        <v>843</v>
      </c>
      <c r="F3" s="122"/>
      <c r="H3" s="122"/>
      <c r="J3" s="122"/>
      <c r="L3" s="122"/>
      <c r="N3" s="123"/>
      <c r="O3" s="123"/>
      <c r="Q3" s="122"/>
      <c r="S3" s="122"/>
      <c r="U3" s="122"/>
      <c r="W3" s="122"/>
      <c r="X3" s="123"/>
      <c r="Z3" s="122"/>
      <c r="AC3" s="122"/>
      <c r="AE3" s="122"/>
      <c r="AG3" s="122"/>
      <c r="AH3" s="109"/>
    </row>
    <row r="4" spans="1:54" x14ac:dyDescent="0.4">
      <c r="B4" s="209" t="s">
        <v>844</v>
      </c>
      <c r="D4" s="124" t="s">
        <v>3</v>
      </c>
      <c r="E4" s="109">
        <v>5</v>
      </c>
      <c r="F4" s="124"/>
      <c r="G4" s="109">
        <v>8.5</v>
      </c>
      <c r="H4" s="124"/>
      <c r="I4" s="109">
        <v>8.5</v>
      </c>
      <c r="T4" s="109">
        <v>101.5</v>
      </c>
      <c r="V4" s="209">
        <v>103</v>
      </c>
      <c r="AH4" s="109">
        <f t="shared" ref="AH4:AH14" si="0">SUM(E4,G4,I4,K4,M4,R4,T4,V4,Y4,X4,AA4,AB4,AD4,AF4)</f>
        <v>226.5</v>
      </c>
      <c r="AI4" s="110">
        <v>1250</v>
      </c>
      <c r="AK4" s="209">
        <v>3500</v>
      </c>
      <c r="AL4" s="109">
        <v>210</v>
      </c>
    </row>
    <row r="5" spans="1:54" x14ac:dyDescent="0.4">
      <c r="B5" s="209" t="s">
        <v>845</v>
      </c>
      <c r="D5" s="124" t="s">
        <v>4</v>
      </c>
      <c r="E5" s="109">
        <v>5</v>
      </c>
      <c r="F5" s="124"/>
      <c r="G5" s="109">
        <v>8.5</v>
      </c>
      <c r="H5" s="124"/>
      <c r="I5" s="109">
        <v>1</v>
      </c>
      <c r="AH5" s="109">
        <f t="shared" si="0"/>
        <v>14.5</v>
      </c>
    </row>
    <row r="6" spans="1:54" x14ac:dyDescent="0.4">
      <c r="B6" s="209" t="s">
        <v>846</v>
      </c>
      <c r="D6" s="124" t="s">
        <v>5</v>
      </c>
      <c r="E6" s="109">
        <v>0</v>
      </c>
      <c r="F6" s="124"/>
      <c r="G6" s="109">
        <v>8.5</v>
      </c>
      <c r="H6" s="124"/>
      <c r="I6" s="109">
        <v>0</v>
      </c>
      <c r="R6" s="209">
        <v>5</v>
      </c>
      <c r="AF6" s="109">
        <v>100</v>
      </c>
      <c r="AH6" s="109">
        <f t="shared" si="0"/>
        <v>113.5</v>
      </c>
    </row>
    <row r="7" spans="1:54" x14ac:dyDescent="0.4">
      <c r="B7" s="209" t="s">
        <v>847</v>
      </c>
      <c r="D7" s="124" t="s">
        <v>6</v>
      </c>
      <c r="E7" s="109">
        <v>5</v>
      </c>
      <c r="F7" s="124"/>
      <c r="G7" s="109">
        <v>6.5</v>
      </c>
      <c r="H7" s="124"/>
      <c r="I7" s="109">
        <v>4</v>
      </c>
      <c r="AH7" s="109">
        <f t="shared" si="0"/>
        <v>15.5</v>
      </c>
    </row>
    <row r="8" spans="1:54" x14ac:dyDescent="0.4">
      <c r="B8" s="209" t="s">
        <v>848</v>
      </c>
      <c r="D8" s="124" t="s">
        <v>7</v>
      </c>
      <c r="E8" s="109">
        <v>5</v>
      </c>
      <c r="F8" s="124"/>
      <c r="G8" s="109">
        <v>8.5</v>
      </c>
      <c r="H8" s="124"/>
      <c r="I8" s="109">
        <v>1</v>
      </c>
      <c r="R8" s="209">
        <v>5</v>
      </c>
      <c r="AH8" s="109">
        <f t="shared" si="0"/>
        <v>19.5</v>
      </c>
    </row>
    <row r="9" spans="1:54" x14ac:dyDescent="0.4">
      <c r="B9" s="209" t="s">
        <v>849</v>
      </c>
      <c r="D9" s="124" t="s">
        <v>8</v>
      </c>
      <c r="F9" s="124"/>
      <c r="G9" s="109">
        <v>16</v>
      </c>
      <c r="H9" s="124"/>
      <c r="I9" s="109">
        <v>22</v>
      </c>
      <c r="AH9" s="109">
        <f t="shared" si="0"/>
        <v>38</v>
      </c>
      <c r="AK9" s="209">
        <v>4</v>
      </c>
    </row>
    <row r="10" spans="1:54" x14ac:dyDescent="0.4">
      <c r="B10" s="209" t="s">
        <v>850</v>
      </c>
      <c r="D10" s="124" t="s">
        <v>9</v>
      </c>
      <c r="E10" s="109">
        <v>6.5</v>
      </c>
      <c r="F10" s="124"/>
      <c r="H10" s="124"/>
      <c r="I10" s="109">
        <v>20.7</v>
      </c>
      <c r="X10" s="106">
        <v>3</v>
      </c>
      <c r="AH10" s="109">
        <f t="shared" si="0"/>
        <v>30.2</v>
      </c>
    </row>
    <row r="11" spans="1:54" x14ac:dyDescent="0.4">
      <c r="B11" s="209" t="s">
        <v>851</v>
      </c>
      <c r="D11" s="124" t="s">
        <v>10</v>
      </c>
      <c r="E11" s="109">
        <v>9.5</v>
      </c>
      <c r="F11" s="124"/>
      <c r="G11" s="109">
        <v>8.5</v>
      </c>
      <c r="H11" s="124"/>
      <c r="I11" s="109">
        <v>8</v>
      </c>
      <c r="R11" s="209">
        <v>11</v>
      </c>
      <c r="AH11" s="109">
        <f t="shared" si="0"/>
        <v>37</v>
      </c>
    </row>
    <row r="12" spans="1:54" x14ac:dyDescent="0.4">
      <c r="B12" s="209" t="s">
        <v>845</v>
      </c>
      <c r="D12" s="124" t="s">
        <v>11</v>
      </c>
      <c r="E12" s="109">
        <v>9.5</v>
      </c>
      <c r="F12" s="124"/>
      <c r="G12" s="109">
        <v>9</v>
      </c>
      <c r="H12" s="124"/>
      <c r="I12" s="109">
        <v>8</v>
      </c>
      <c r="AH12" s="109">
        <f t="shared" si="0"/>
        <v>26.5</v>
      </c>
    </row>
    <row r="13" spans="1:54" x14ac:dyDescent="0.4">
      <c r="B13" s="209" t="s">
        <v>846</v>
      </c>
      <c r="D13" s="124" t="s">
        <v>12</v>
      </c>
      <c r="E13" s="109">
        <v>6</v>
      </c>
      <c r="F13" s="124"/>
      <c r="G13" s="109">
        <v>5</v>
      </c>
      <c r="H13" s="124"/>
      <c r="I13" s="109">
        <v>8</v>
      </c>
      <c r="AH13" s="109">
        <f t="shared" si="0"/>
        <v>19</v>
      </c>
      <c r="AK13" s="209">
        <v>69.349999999999994</v>
      </c>
    </row>
    <row r="14" spans="1:54" x14ac:dyDescent="0.4">
      <c r="B14" s="209" t="s">
        <v>847</v>
      </c>
      <c r="D14" s="124" t="s">
        <v>13</v>
      </c>
      <c r="E14" s="109">
        <v>6</v>
      </c>
      <c r="F14" s="124"/>
      <c r="H14" s="124"/>
      <c r="I14" s="109">
        <v>21</v>
      </c>
      <c r="AH14" s="109">
        <f t="shared" si="0"/>
        <v>27</v>
      </c>
    </row>
    <row r="15" spans="1:54" s="129" customFormat="1" x14ac:dyDescent="0.4">
      <c r="A15" s="129" t="s">
        <v>852</v>
      </c>
      <c r="F15" s="130"/>
      <c r="H15" s="130"/>
      <c r="J15" s="130"/>
      <c r="L15" s="130"/>
      <c r="N15" s="123"/>
      <c r="O15" s="123"/>
      <c r="Q15" s="130"/>
      <c r="S15" s="130"/>
      <c r="U15" s="130"/>
      <c r="W15" s="130"/>
      <c r="X15" s="123"/>
      <c r="Z15" s="130"/>
      <c r="AC15" s="130"/>
      <c r="AE15" s="130"/>
      <c r="AG15" s="130"/>
      <c r="AH15" s="131">
        <f>SUM(AH4:AH14)</f>
        <v>567.20000000000005</v>
      </c>
    </row>
    <row r="16" spans="1:54" x14ac:dyDescent="0.4">
      <c r="D16" s="124"/>
      <c r="F16" s="124"/>
      <c r="H16" s="124"/>
    </row>
    <row r="17" spans="1:37" s="121" customFormat="1" x14ac:dyDescent="0.4">
      <c r="A17" s="121" t="s">
        <v>853</v>
      </c>
      <c r="F17" s="122"/>
      <c r="H17" s="122"/>
      <c r="J17" s="122"/>
      <c r="L17" s="122"/>
      <c r="N17" s="123"/>
      <c r="O17" s="123"/>
      <c r="Q17" s="122"/>
      <c r="S17" s="122"/>
      <c r="U17" s="122"/>
      <c r="W17" s="122"/>
      <c r="X17" s="123"/>
      <c r="Z17" s="122"/>
      <c r="AC17" s="122"/>
      <c r="AE17" s="122"/>
      <c r="AG17" s="122"/>
      <c r="AH17" s="109"/>
    </row>
    <row r="18" spans="1:37" x14ac:dyDescent="0.4">
      <c r="B18" s="209" t="s">
        <v>848</v>
      </c>
      <c r="D18" s="124">
        <v>7.1</v>
      </c>
      <c r="F18" s="124"/>
      <c r="G18" s="109">
        <v>8</v>
      </c>
      <c r="H18" s="124"/>
      <c r="I18" s="109">
        <v>33</v>
      </c>
      <c r="AH18" s="109">
        <f t="shared" ref="AH18:AH48" si="1">SUM(E18,G18,I18,K18,M18,R18,T18,V18,Y18,X18,AA18,AB18,AD18,AF18)</f>
        <v>41</v>
      </c>
    </row>
    <row r="19" spans="1:37" x14ac:dyDescent="0.4">
      <c r="B19" s="209" t="s">
        <v>854</v>
      </c>
      <c r="D19" s="124">
        <v>7.2</v>
      </c>
      <c r="F19" s="124"/>
      <c r="G19" s="109">
        <v>17</v>
      </c>
      <c r="H19" s="124"/>
      <c r="I19" s="109">
        <v>8</v>
      </c>
      <c r="AH19" s="109">
        <f t="shared" si="1"/>
        <v>25</v>
      </c>
    </row>
    <row r="20" spans="1:37" x14ac:dyDescent="0.4">
      <c r="B20" s="209" t="s">
        <v>855</v>
      </c>
      <c r="D20" s="124">
        <v>7.3</v>
      </c>
      <c r="F20" s="124"/>
      <c r="H20" s="124"/>
      <c r="R20" s="209">
        <v>12.5</v>
      </c>
      <c r="AH20" s="109">
        <f t="shared" si="1"/>
        <v>12.5</v>
      </c>
    </row>
    <row r="21" spans="1:37" x14ac:dyDescent="0.4">
      <c r="B21" s="209" t="s">
        <v>844</v>
      </c>
      <c r="D21" s="124">
        <v>7.4</v>
      </c>
      <c r="F21" s="124"/>
      <c r="H21" s="124"/>
      <c r="AA21" s="109">
        <v>20</v>
      </c>
      <c r="AH21" s="109">
        <f t="shared" si="1"/>
        <v>20</v>
      </c>
    </row>
    <row r="22" spans="1:37" x14ac:dyDescent="0.4">
      <c r="B22" s="209" t="s">
        <v>856</v>
      </c>
      <c r="D22" s="124">
        <v>7.5</v>
      </c>
      <c r="F22" s="124"/>
      <c r="H22" s="124"/>
      <c r="Y22" s="209">
        <v>88</v>
      </c>
      <c r="AA22" s="109">
        <v>20</v>
      </c>
      <c r="AH22" s="109">
        <f t="shared" si="1"/>
        <v>108</v>
      </c>
    </row>
    <row r="23" spans="1:37" x14ac:dyDescent="0.4">
      <c r="B23" s="209" t="s">
        <v>857</v>
      </c>
      <c r="D23" s="124">
        <v>7.6</v>
      </c>
      <c r="F23" s="124"/>
      <c r="H23" s="124"/>
      <c r="T23" s="109">
        <v>20</v>
      </c>
      <c r="Y23" s="209">
        <v>49</v>
      </c>
      <c r="AH23" s="109">
        <f t="shared" si="1"/>
        <v>69</v>
      </c>
      <c r="AI23" s="110">
        <v>400</v>
      </c>
    </row>
    <row r="24" spans="1:37" x14ac:dyDescent="0.4">
      <c r="B24" s="209" t="s">
        <v>858</v>
      </c>
      <c r="D24" s="124">
        <v>7.7</v>
      </c>
      <c r="F24" s="124"/>
      <c r="H24" s="124"/>
      <c r="R24" s="209">
        <v>35</v>
      </c>
      <c r="AH24" s="109">
        <f t="shared" si="1"/>
        <v>35</v>
      </c>
      <c r="AK24" s="209">
        <f>-350+300</f>
        <v>-50</v>
      </c>
    </row>
    <row r="25" spans="1:37" x14ac:dyDescent="0.4">
      <c r="B25" s="209" t="s">
        <v>859</v>
      </c>
      <c r="D25" s="124">
        <v>7.8</v>
      </c>
      <c r="F25" s="124"/>
      <c r="H25" s="124"/>
      <c r="AH25" s="109">
        <f t="shared" si="1"/>
        <v>0</v>
      </c>
    </row>
    <row r="26" spans="1:37" x14ac:dyDescent="0.4">
      <c r="B26" s="209" t="s">
        <v>854</v>
      </c>
      <c r="D26" s="124">
        <v>7.9</v>
      </c>
      <c r="F26" s="124"/>
      <c r="H26" s="124"/>
      <c r="I26" s="109">
        <v>18</v>
      </c>
      <c r="Y26" s="209">
        <v>52</v>
      </c>
      <c r="AH26" s="109">
        <f t="shared" si="1"/>
        <v>70</v>
      </c>
      <c r="AK26" s="209">
        <v>221</v>
      </c>
    </row>
    <row r="27" spans="1:37" x14ac:dyDescent="0.4">
      <c r="B27" s="209" t="s">
        <v>850</v>
      </c>
      <c r="D27" s="124" t="s">
        <v>14</v>
      </c>
      <c r="F27" s="124"/>
      <c r="H27" s="124"/>
      <c r="AH27" s="109">
        <f t="shared" si="1"/>
        <v>0</v>
      </c>
    </row>
    <row r="28" spans="1:37" x14ac:dyDescent="0.4">
      <c r="B28" s="209" t="s">
        <v>851</v>
      </c>
      <c r="D28" s="124" t="s">
        <v>15</v>
      </c>
      <c r="F28" s="124"/>
      <c r="H28" s="124"/>
      <c r="AH28" s="109">
        <f t="shared" si="1"/>
        <v>0</v>
      </c>
    </row>
    <row r="29" spans="1:37" x14ac:dyDescent="0.4">
      <c r="B29" s="209" t="s">
        <v>845</v>
      </c>
      <c r="D29" s="124" t="s">
        <v>16</v>
      </c>
      <c r="F29" s="124"/>
      <c r="H29" s="124"/>
      <c r="AH29" s="109">
        <f t="shared" si="1"/>
        <v>0</v>
      </c>
    </row>
    <row r="30" spans="1:37" x14ac:dyDescent="0.4">
      <c r="B30" s="209" t="s">
        <v>846</v>
      </c>
      <c r="D30" s="124" t="s">
        <v>17</v>
      </c>
      <c r="F30" s="124"/>
      <c r="H30" s="124"/>
      <c r="T30" s="109">
        <v>110</v>
      </c>
      <c r="AH30" s="109">
        <f t="shared" si="1"/>
        <v>110</v>
      </c>
    </row>
    <row r="31" spans="1:37" x14ac:dyDescent="0.4">
      <c r="B31" s="209" t="s">
        <v>847</v>
      </c>
      <c r="D31" s="124" t="s">
        <v>18</v>
      </c>
      <c r="F31" s="124"/>
      <c r="H31" s="124"/>
      <c r="AH31" s="109">
        <f t="shared" si="1"/>
        <v>0</v>
      </c>
    </row>
    <row r="32" spans="1:37" x14ac:dyDescent="0.4">
      <c r="B32" s="209" t="s">
        <v>848</v>
      </c>
      <c r="D32" s="124" t="s">
        <v>19</v>
      </c>
      <c r="F32" s="124"/>
      <c r="H32" s="124"/>
      <c r="AH32" s="109">
        <f t="shared" si="1"/>
        <v>0</v>
      </c>
    </row>
    <row r="33" spans="2:40" x14ac:dyDescent="0.4">
      <c r="B33" s="209" t="s">
        <v>849</v>
      </c>
      <c r="D33" s="124" t="s">
        <v>20</v>
      </c>
      <c r="F33" s="124"/>
      <c r="H33" s="124"/>
      <c r="AH33" s="109">
        <f t="shared" si="1"/>
        <v>0</v>
      </c>
    </row>
    <row r="34" spans="2:40" x14ac:dyDescent="0.4">
      <c r="B34" s="209" t="s">
        <v>850</v>
      </c>
      <c r="D34" s="124" t="s">
        <v>21</v>
      </c>
      <c r="F34" s="124"/>
      <c r="H34" s="124"/>
      <c r="AH34" s="109">
        <f t="shared" si="1"/>
        <v>0</v>
      </c>
    </row>
    <row r="35" spans="2:40" x14ac:dyDescent="0.4">
      <c r="B35" s="209" t="s">
        <v>851</v>
      </c>
      <c r="D35" s="124" t="s">
        <v>22</v>
      </c>
      <c r="F35" s="124"/>
      <c r="H35" s="124"/>
      <c r="AH35" s="109">
        <f t="shared" si="1"/>
        <v>0</v>
      </c>
    </row>
    <row r="36" spans="2:40" x14ac:dyDescent="0.4">
      <c r="B36" s="209" t="s">
        <v>845</v>
      </c>
      <c r="D36" s="124" t="s">
        <v>23</v>
      </c>
      <c r="F36" s="124"/>
      <c r="H36" s="124"/>
      <c r="AH36" s="109">
        <f t="shared" si="1"/>
        <v>0</v>
      </c>
    </row>
    <row r="37" spans="2:40" x14ac:dyDescent="0.4">
      <c r="B37" s="209" t="s">
        <v>846</v>
      </c>
      <c r="D37" s="124" t="s">
        <v>24</v>
      </c>
      <c r="F37" s="124"/>
      <c r="H37" s="124"/>
      <c r="AH37" s="109">
        <f t="shared" si="1"/>
        <v>0</v>
      </c>
    </row>
    <row r="38" spans="2:40" x14ac:dyDescent="0.4">
      <c r="B38" s="209" t="s">
        <v>847</v>
      </c>
      <c r="D38" s="124" t="s">
        <v>25</v>
      </c>
      <c r="F38" s="124"/>
      <c r="H38" s="124"/>
      <c r="AH38" s="109">
        <f t="shared" si="1"/>
        <v>0</v>
      </c>
    </row>
    <row r="39" spans="2:40" x14ac:dyDescent="0.4">
      <c r="B39" s="209" t="s">
        <v>848</v>
      </c>
      <c r="D39" s="124" t="s">
        <v>26</v>
      </c>
      <c r="F39" s="124"/>
      <c r="H39" s="124"/>
      <c r="AH39" s="109">
        <f t="shared" si="1"/>
        <v>0</v>
      </c>
    </row>
    <row r="40" spans="2:40" x14ac:dyDescent="0.4">
      <c r="B40" s="209" t="s">
        <v>849</v>
      </c>
      <c r="D40" s="124" t="s">
        <v>27</v>
      </c>
      <c r="F40" s="124"/>
      <c r="H40" s="124"/>
      <c r="I40" s="109">
        <v>12</v>
      </c>
      <c r="Y40" s="209">
        <v>30</v>
      </c>
      <c r="AA40" s="109">
        <v>80</v>
      </c>
      <c r="AH40" s="109">
        <f t="shared" si="1"/>
        <v>122</v>
      </c>
    </row>
    <row r="41" spans="2:40" x14ac:dyDescent="0.4">
      <c r="B41" s="209" t="s">
        <v>850</v>
      </c>
      <c r="D41" s="124" t="s">
        <v>28</v>
      </c>
      <c r="F41" s="124"/>
      <c r="H41" s="124"/>
      <c r="AH41" s="109">
        <f t="shared" si="1"/>
        <v>0</v>
      </c>
    </row>
    <row r="42" spans="2:40" x14ac:dyDescent="0.4">
      <c r="B42" s="209" t="s">
        <v>851</v>
      </c>
      <c r="D42" s="124" t="s">
        <v>29</v>
      </c>
      <c r="F42" s="124"/>
      <c r="H42" s="124"/>
      <c r="AH42" s="109">
        <f t="shared" si="1"/>
        <v>0</v>
      </c>
    </row>
    <row r="43" spans="2:40" x14ac:dyDescent="0.4">
      <c r="B43" s="209" t="s">
        <v>845</v>
      </c>
      <c r="D43" s="124" t="s">
        <v>30</v>
      </c>
      <c r="F43" s="124"/>
      <c r="H43" s="124"/>
      <c r="I43" s="109">
        <v>56</v>
      </c>
      <c r="Y43" s="209">
        <v>20</v>
      </c>
      <c r="AF43" s="109">
        <v>75</v>
      </c>
      <c r="AH43" s="109">
        <f t="shared" si="1"/>
        <v>151</v>
      </c>
      <c r="AK43" s="209">
        <v>350</v>
      </c>
    </row>
    <row r="44" spans="2:40" x14ac:dyDescent="0.4">
      <c r="B44" s="209" t="s">
        <v>846</v>
      </c>
      <c r="D44" s="124" t="s">
        <v>31</v>
      </c>
      <c r="F44" s="124"/>
      <c r="H44" s="124"/>
      <c r="AH44" s="109">
        <f t="shared" si="1"/>
        <v>0</v>
      </c>
    </row>
    <row r="45" spans="2:40" x14ac:dyDescent="0.4">
      <c r="B45" s="209" t="s">
        <v>847</v>
      </c>
      <c r="D45" s="124" t="s">
        <v>32</v>
      </c>
      <c r="F45" s="124"/>
      <c r="H45" s="124"/>
      <c r="AH45" s="109">
        <f t="shared" si="1"/>
        <v>0</v>
      </c>
    </row>
    <row r="46" spans="2:40" x14ac:dyDescent="0.4">
      <c r="B46" s="209" t="s">
        <v>848</v>
      </c>
      <c r="D46" s="124" t="s">
        <v>33</v>
      </c>
      <c r="F46" s="124"/>
      <c r="H46" s="124"/>
      <c r="AH46" s="109">
        <f t="shared" si="1"/>
        <v>0</v>
      </c>
    </row>
    <row r="47" spans="2:40" x14ac:dyDescent="0.4">
      <c r="B47" s="209" t="s">
        <v>849</v>
      </c>
      <c r="D47" s="124" t="s">
        <v>34</v>
      </c>
      <c r="F47" s="124"/>
      <c r="H47" s="124"/>
      <c r="AH47" s="109">
        <f t="shared" si="1"/>
        <v>0</v>
      </c>
    </row>
    <row r="48" spans="2:40" x14ac:dyDescent="0.4">
      <c r="B48" s="209" t="s">
        <v>850</v>
      </c>
      <c r="D48" s="124" t="s">
        <v>35</v>
      </c>
      <c r="F48" s="124"/>
      <c r="H48" s="124"/>
      <c r="AH48" s="109">
        <f t="shared" si="1"/>
        <v>0</v>
      </c>
      <c r="AL48" s="109">
        <v>347</v>
      </c>
      <c r="AN48" s="209" t="s">
        <v>860</v>
      </c>
    </row>
    <row r="49" spans="1:37" s="129" customFormat="1" x14ac:dyDescent="0.4">
      <c r="A49" s="129" t="s">
        <v>861</v>
      </c>
      <c r="F49" s="130"/>
      <c r="H49" s="130"/>
      <c r="J49" s="130"/>
      <c r="L49" s="130"/>
      <c r="N49" s="123"/>
      <c r="O49" s="123"/>
      <c r="Q49" s="130"/>
      <c r="S49" s="130"/>
      <c r="U49" s="130"/>
      <c r="W49" s="130"/>
      <c r="X49" s="123"/>
      <c r="Z49" s="130"/>
      <c r="AC49" s="130"/>
      <c r="AE49" s="130"/>
      <c r="AG49" s="130"/>
      <c r="AH49" s="131">
        <f>SUM(AH18:AH48)</f>
        <v>763.5</v>
      </c>
    </row>
    <row r="50" spans="1:37" x14ac:dyDescent="0.4">
      <c r="D50" s="124"/>
      <c r="F50" s="124"/>
      <c r="H50" s="124"/>
    </row>
    <row r="51" spans="1:37" s="121" customFormat="1" x14ac:dyDescent="0.4">
      <c r="A51" s="121" t="s">
        <v>862</v>
      </c>
      <c r="F51" s="122"/>
      <c r="H51" s="122"/>
      <c r="J51" s="122"/>
      <c r="L51" s="122"/>
      <c r="N51" s="123"/>
      <c r="O51" s="123"/>
      <c r="Q51" s="122"/>
      <c r="S51" s="122"/>
      <c r="U51" s="122"/>
      <c r="W51" s="122"/>
      <c r="X51" s="123"/>
      <c r="Z51" s="122"/>
      <c r="AC51" s="122"/>
      <c r="AE51" s="122"/>
      <c r="AG51" s="122"/>
      <c r="AH51" s="109"/>
    </row>
    <row r="52" spans="1:37" x14ac:dyDescent="0.4">
      <c r="B52" s="209" t="s">
        <v>851</v>
      </c>
      <c r="D52" s="124" t="s">
        <v>36</v>
      </c>
      <c r="F52" s="124"/>
      <c r="H52" s="124"/>
      <c r="AF52" s="109">
        <f>65+65+20+10</f>
        <v>160</v>
      </c>
      <c r="AG52" s="125" t="s">
        <v>1016</v>
      </c>
      <c r="AH52" s="109">
        <f t="shared" ref="AH52:AH82" si="2">SUM(E52,G52,I52,K52,M52,R52,T52,V52,Y52,X52,AA52,AB52,AD52,AF52)</f>
        <v>160</v>
      </c>
    </row>
    <row r="53" spans="1:37" x14ac:dyDescent="0.4">
      <c r="B53" s="209" t="s">
        <v>845</v>
      </c>
      <c r="D53" s="124" t="s">
        <v>37</v>
      </c>
      <c r="F53" s="124"/>
      <c r="G53" s="109">
        <v>18</v>
      </c>
      <c r="H53" s="124" t="s">
        <v>863</v>
      </c>
      <c r="I53" s="109">
        <v>30</v>
      </c>
      <c r="J53" s="115" t="s">
        <v>864</v>
      </c>
      <c r="AH53" s="109">
        <f t="shared" si="2"/>
        <v>48</v>
      </c>
    </row>
    <row r="54" spans="1:37" x14ac:dyDescent="0.4">
      <c r="B54" s="209" t="s">
        <v>857</v>
      </c>
      <c r="D54" s="124" t="s">
        <v>38</v>
      </c>
      <c r="F54" s="124"/>
      <c r="G54" s="109">
        <v>11</v>
      </c>
      <c r="H54" s="124"/>
      <c r="I54" s="109">
        <v>21</v>
      </c>
      <c r="AH54" s="109">
        <f t="shared" si="2"/>
        <v>32</v>
      </c>
      <c r="AK54" s="209" t="s">
        <v>865</v>
      </c>
    </row>
    <row r="55" spans="1:37" x14ac:dyDescent="0.4">
      <c r="B55" s="209" t="s">
        <v>847</v>
      </c>
      <c r="D55" s="124" t="s">
        <v>39</v>
      </c>
      <c r="F55" s="124"/>
      <c r="H55" s="124"/>
      <c r="R55" s="209">
        <v>10</v>
      </c>
      <c r="Y55" s="209">
        <v>20</v>
      </c>
      <c r="AF55" s="109">
        <v>88</v>
      </c>
      <c r="AG55" s="125" t="s">
        <v>866</v>
      </c>
      <c r="AH55" s="109">
        <f t="shared" si="2"/>
        <v>118</v>
      </c>
    </row>
    <row r="56" spans="1:37" x14ac:dyDescent="0.4">
      <c r="B56" s="209" t="s">
        <v>848</v>
      </c>
      <c r="D56" s="124" t="s">
        <v>40</v>
      </c>
      <c r="F56" s="124"/>
      <c r="H56" s="124"/>
      <c r="Y56" s="209">
        <v>30</v>
      </c>
      <c r="AH56" s="109">
        <f t="shared" si="2"/>
        <v>30</v>
      </c>
      <c r="AK56" s="209" t="s">
        <v>867</v>
      </c>
    </row>
    <row r="57" spans="1:37" x14ac:dyDescent="0.4">
      <c r="B57" s="209" t="s">
        <v>849</v>
      </c>
      <c r="D57" s="124" t="s">
        <v>41</v>
      </c>
      <c r="F57" s="124"/>
      <c r="H57" s="124"/>
      <c r="Y57" s="209">
        <v>18</v>
      </c>
      <c r="AH57" s="109">
        <f t="shared" si="2"/>
        <v>18</v>
      </c>
      <c r="AK57" s="209" t="s">
        <v>868</v>
      </c>
    </row>
    <row r="58" spans="1:37" x14ac:dyDescent="0.4">
      <c r="B58" s="209" t="s">
        <v>850</v>
      </c>
      <c r="D58" s="124" t="s">
        <v>42</v>
      </c>
      <c r="F58" s="124"/>
      <c r="H58" s="124"/>
      <c r="AH58" s="109">
        <f t="shared" si="2"/>
        <v>0</v>
      </c>
    </row>
    <row r="59" spans="1:37" x14ac:dyDescent="0.4">
      <c r="B59" s="209" t="s">
        <v>851</v>
      </c>
      <c r="D59" s="124" t="s">
        <v>43</v>
      </c>
      <c r="F59" s="124"/>
      <c r="H59" s="124"/>
      <c r="AH59" s="109">
        <f t="shared" si="2"/>
        <v>0</v>
      </c>
    </row>
    <row r="60" spans="1:37" x14ac:dyDescent="0.4">
      <c r="B60" s="209" t="s">
        <v>845</v>
      </c>
      <c r="D60" s="124" t="s">
        <v>44</v>
      </c>
      <c r="F60" s="124"/>
      <c r="H60" s="124"/>
      <c r="AH60" s="109">
        <f t="shared" si="2"/>
        <v>0</v>
      </c>
    </row>
    <row r="61" spans="1:37" x14ac:dyDescent="0.4">
      <c r="B61" s="209" t="s">
        <v>846</v>
      </c>
      <c r="D61" s="124" t="s">
        <v>45</v>
      </c>
      <c r="F61" s="124"/>
      <c r="H61" s="124"/>
      <c r="AH61" s="109">
        <f t="shared" si="2"/>
        <v>0</v>
      </c>
    </row>
    <row r="62" spans="1:37" x14ac:dyDescent="0.4">
      <c r="B62" s="209" t="s">
        <v>847</v>
      </c>
      <c r="D62" s="124" t="s">
        <v>46</v>
      </c>
      <c r="F62" s="124"/>
      <c r="H62" s="124"/>
      <c r="AH62" s="109">
        <f t="shared" si="2"/>
        <v>0</v>
      </c>
    </row>
    <row r="63" spans="1:37" x14ac:dyDescent="0.4">
      <c r="B63" s="209" t="s">
        <v>848</v>
      </c>
      <c r="D63" s="124" t="s">
        <v>47</v>
      </c>
      <c r="F63" s="124"/>
      <c r="H63" s="124"/>
      <c r="AH63" s="109">
        <f t="shared" si="2"/>
        <v>0</v>
      </c>
    </row>
    <row r="64" spans="1:37" x14ac:dyDescent="0.4">
      <c r="B64" s="209" t="s">
        <v>849</v>
      </c>
      <c r="D64" s="124" t="s">
        <v>48</v>
      </c>
      <c r="F64" s="124"/>
      <c r="H64" s="124"/>
      <c r="AH64" s="109">
        <f t="shared" si="2"/>
        <v>0</v>
      </c>
    </row>
    <row r="65" spans="2:34" x14ac:dyDescent="0.4">
      <c r="B65" s="209" t="s">
        <v>850</v>
      </c>
      <c r="D65" s="124" t="s">
        <v>49</v>
      </c>
      <c r="F65" s="124"/>
      <c r="H65" s="124"/>
      <c r="AH65" s="109">
        <f t="shared" si="2"/>
        <v>0</v>
      </c>
    </row>
    <row r="66" spans="2:34" x14ac:dyDescent="0.4">
      <c r="B66" s="209" t="s">
        <v>851</v>
      </c>
      <c r="D66" s="124" t="s">
        <v>50</v>
      </c>
      <c r="F66" s="124"/>
      <c r="H66" s="124"/>
      <c r="AH66" s="109">
        <f t="shared" si="2"/>
        <v>0</v>
      </c>
    </row>
    <row r="67" spans="2:34" x14ac:dyDescent="0.4">
      <c r="B67" s="209" t="s">
        <v>845</v>
      </c>
      <c r="D67" s="124" t="s">
        <v>51</v>
      </c>
      <c r="F67" s="124"/>
      <c r="H67" s="124"/>
      <c r="AH67" s="109">
        <f t="shared" si="2"/>
        <v>0</v>
      </c>
    </row>
    <row r="68" spans="2:34" x14ac:dyDescent="0.4">
      <c r="B68" s="209" t="s">
        <v>846</v>
      </c>
      <c r="D68" s="124" t="s">
        <v>52</v>
      </c>
      <c r="F68" s="124"/>
      <c r="H68" s="124"/>
      <c r="AH68" s="109">
        <f t="shared" si="2"/>
        <v>0</v>
      </c>
    </row>
    <row r="69" spans="2:34" x14ac:dyDescent="0.4">
      <c r="B69" s="209" t="s">
        <v>847</v>
      </c>
      <c r="D69" s="124" t="s">
        <v>53</v>
      </c>
      <c r="F69" s="124"/>
      <c r="H69" s="124"/>
      <c r="AH69" s="109">
        <f t="shared" si="2"/>
        <v>0</v>
      </c>
    </row>
    <row r="70" spans="2:34" x14ac:dyDescent="0.4">
      <c r="B70" s="209" t="s">
        <v>848</v>
      </c>
      <c r="D70" s="124" t="s">
        <v>54</v>
      </c>
      <c r="F70" s="124"/>
      <c r="H70" s="124"/>
      <c r="AH70" s="109">
        <f t="shared" si="2"/>
        <v>0</v>
      </c>
    </row>
    <row r="71" spans="2:34" x14ac:dyDescent="0.4">
      <c r="B71" s="209" t="s">
        <v>849</v>
      </c>
      <c r="D71" s="124" t="s">
        <v>55</v>
      </c>
      <c r="F71" s="124"/>
      <c r="H71" s="124"/>
      <c r="AH71" s="109">
        <f t="shared" si="2"/>
        <v>0</v>
      </c>
    </row>
    <row r="72" spans="2:34" x14ac:dyDescent="0.4">
      <c r="B72" s="209" t="s">
        <v>850</v>
      </c>
      <c r="D72" s="124" t="s">
        <v>56</v>
      </c>
      <c r="F72" s="124"/>
      <c r="H72" s="124"/>
      <c r="AH72" s="109">
        <f t="shared" si="2"/>
        <v>0</v>
      </c>
    </row>
    <row r="73" spans="2:34" x14ac:dyDescent="0.4">
      <c r="B73" s="209" t="s">
        <v>851</v>
      </c>
      <c r="D73" s="124" t="s">
        <v>57</v>
      </c>
      <c r="F73" s="124"/>
      <c r="H73" s="124"/>
      <c r="AH73" s="109">
        <f t="shared" si="2"/>
        <v>0</v>
      </c>
    </row>
    <row r="74" spans="2:34" x14ac:dyDescent="0.4">
      <c r="B74" s="209" t="s">
        <v>845</v>
      </c>
      <c r="D74" s="124" t="s">
        <v>58</v>
      </c>
      <c r="F74" s="124"/>
      <c r="H74" s="124"/>
      <c r="AH74" s="109">
        <f t="shared" si="2"/>
        <v>0</v>
      </c>
    </row>
    <row r="75" spans="2:34" x14ac:dyDescent="0.4">
      <c r="B75" s="209" t="s">
        <v>846</v>
      </c>
      <c r="D75" s="124" t="s">
        <v>59</v>
      </c>
      <c r="F75" s="124"/>
      <c r="H75" s="124"/>
      <c r="AH75" s="109">
        <f t="shared" si="2"/>
        <v>0</v>
      </c>
    </row>
    <row r="76" spans="2:34" x14ac:dyDescent="0.4">
      <c r="B76" s="209" t="s">
        <v>847</v>
      </c>
      <c r="D76" s="124" t="s">
        <v>60</v>
      </c>
      <c r="F76" s="124"/>
      <c r="H76" s="124"/>
      <c r="AH76" s="109">
        <f t="shared" si="2"/>
        <v>0</v>
      </c>
    </row>
    <row r="77" spans="2:34" x14ac:dyDescent="0.4">
      <c r="B77" s="209" t="s">
        <v>848</v>
      </c>
      <c r="D77" s="124" t="s">
        <v>61</v>
      </c>
      <c r="F77" s="124"/>
      <c r="H77" s="124"/>
      <c r="AH77" s="109">
        <f t="shared" si="2"/>
        <v>0</v>
      </c>
    </row>
    <row r="78" spans="2:34" x14ac:dyDescent="0.4">
      <c r="B78" s="209" t="s">
        <v>849</v>
      </c>
      <c r="D78" s="124" t="s">
        <v>62</v>
      </c>
      <c r="F78" s="124"/>
      <c r="H78" s="124"/>
      <c r="AH78" s="109">
        <f t="shared" si="2"/>
        <v>0</v>
      </c>
    </row>
    <row r="79" spans="2:34" x14ac:dyDescent="0.4">
      <c r="B79" s="209" t="s">
        <v>850</v>
      </c>
      <c r="D79" s="124" t="s">
        <v>63</v>
      </c>
      <c r="F79" s="124"/>
      <c r="H79" s="124"/>
      <c r="AH79" s="109">
        <f t="shared" si="2"/>
        <v>0</v>
      </c>
    </row>
    <row r="80" spans="2:34" x14ac:dyDescent="0.4">
      <c r="B80" s="209" t="s">
        <v>851</v>
      </c>
      <c r="D80" s="124" t="s">
        <v>64</v>
      </c>
      <c r="F80" s="124"/>
      <c r="H80" s="124"/>
      <c r="AH80" s="109">
        <f t="shared" si="2"/>
        <v>0</v>
      </c>
    </row>
    <row r="81" spans="1:34" x14ac:dyDescent="0.4">
      <c r="B81" s="209" t="s">
        <v>845</v>
      </c>
      <c r="D81" s="124" t="s">
        <v>65</v>
      </c>
      <c r="F81" s="124"/>
      <c r="H81" s="124"/>
      <c r="AH81" s="109">
        <f t="shared" si="2"/>
        <v>0</v>
      </c>
    </row>
    <row r="82" spans="1:34" x14ac:dyDescent="0.4">
      <c r="B82" s="209" t="s">
        <v>846</v>
      </c>
      <c r="D82" s="124" t="s">
        <v>66</v>
      </c>
      <c r="F82" s="124"/>
      <c r="H82" s="124"/>
      <c r="AH82" s="109">
        <f t="shared" si="2"/>
        <v>0</v>
      </c>
    </row>
    <row r="83" spans="1:34" s="129" customFormat="1" x14ac:dyDescent="0.4">
      <c r="A83" s="129" t="s">
        <v>869</v>
      </c>
      <c r="F83" s="130"/>
      <c r="H83" s="130"/>
      <c r="J83" s="130"/>
      <c r="L83" s="130"/>
      <c r="N83" s="123"/>
      <c r="O83" s="123"/>
      <c r="Q83" s="130"/>
      <c r="S83" s="130"/>
      <c r="U83" s="130"/>
      <c r="W83" s="130"/>
      <c r="X83" s="123"/>
      <c r="Z83" s="130"/>
      <c r="AC83" s="130"/>
      <c r="AE83" s="130"/>
      <c r="AG83" s="130"/>
      <c r="AH83" s="131">
        <f>SUM(AH52:AH82)</f>
        <v>406</v>
      </c>
    </row>
    <row r="84" spans="1:34" x14ac:dyDescent="0.4">
      <c r="D84" s="124"/>
      <c r="F84" s="124"/>
      <c r="H84" s="124"/>
    </row>
    <row r="85" spans="1:34" s="121" customFormat="1" x14ac:dyDescent="0.4">
      <c r="A85" s="121" t="s">
        <v>870</v>
      </c>
      <c r="F85" s="122"/>
      <c r="H85" s="122"/>
      <c r="J85" s="122"/>
      <c r="L85" s="122"/>
      <c r="N85" s="123"/>
      <c r="O85" s="123"/>
      <c r="Q85" s="122"/>
      <c r="S85" s="122"/>
      <c r="U85" s="122"/>
      <c r="W85" s="122"/>
      <c r="X85" s="123"/>
      <c r="Z85" s="122"/>
      <c r="AC85" s="122"/>
      <c r="AE85" s="122"/>
      <c r="AG85" s="122"/>
      <c r="AH85" s="109"/>
    </row>
    <row r="86" spans="1:34" x14ac:dyDescent="0.4">
      <c r="B86" s="209" t="s">
        <v>847</v>
      </c>
      <c r="D86" s="132" t="s">
        <v>68</v>
      </c>
      <c r="F86" s="132"/>
      <c r="H86" s="132"/>
      <c r="AH86" s="109">
        <f t="shared" ref="AH86:AH115" si="3">SUM(E86,G86,I86,K86,M86,R86,T86,V86,Y86,X86,AA86,AB86,AD86,AF86)</f>
        <v>0</v>
      </c>
    </row>
    <row r="87" spans="1:34" x14ac:dyDescent="0.4">
      <c r="B87" s="209" t="s">
        <v>848</v>
      </c>
      <c r="D87" s="132" t="s">
        <v>69</v>
      </c>
      <c r="F87" s="132"/>
      <c r="H87" s="132"/>
      <c r="AH87" s="109">
        <f t="shared" si="3"/>
        <v>0</v>
      </c>
    </row>
    <row r="88" spans="1:34" x14ac:dyDescent="0.4">
      <c r="B88" s="209" t="s">
        <v>849</v>
      </c>
      <c r="D88" s="132" t="s">
        <v>70</v>
      </c>
      <c r="F88" s="132"/>
      <c r="H88" s="132"/>
      <c r="AH88" s="109">
        <f t="shared" si="3"/>
        <v>0</v>
      </c>
    </row>
    <row r="89" spans="1:34" x14ac:dyDescent="0.4">
      <c r="B89" s="209" t="s">
        <v>850</v>
      </c>
      <c r="D89" s="132" t="s">
        <v>71</v>
      </c>
      <c r="F89" s="132"/>
      <c r="H89" s="132"/>
      <c r="AH89" s="109">
        <f t="shared" si="3"/>
        <v>0</v>
      </c>
    </row>
    <row r="90" spans="1:34" x14ac:dyDescent="0.4">
      <c r="B90" s="209" t="s">
        <v>851</v>
      </c>
      <c r="D90" s="132" t="s">
        <v>72</v>
      </c>
      <c r="F90" s="132"/>
      <c r="H90" s="132"/>
      <c r="AH90" s="109">
        <f t="shared" si="3"/>
        <v>0</v>
      </c>
    </row>
    <row r="91" spans="1:34" x14ac:dyDescent="0.4">
      <c r="B91" s="209" t="s">
        <v>845</v>
      </c>
      <c r="D91" s="132" t="s">
        <v>73</v>
      </c>
      <c r="F91" s="132"/>
      <c r="H91" s="132"/>
      <c r="AH91" s="109">
        <f t="shared" si="3"/>
        <v>0</v>
      </c>
    </row>
    <row r="92" spans="1:34" x14ac:dyDescent="0.4">
      <c r="B92" s="209" t="s">
        <v>846</v>
      </c>
      <c r="D92" s="132" t="s">
        <v>74</v>
      </c>
      <c r="F92" s="132"/>
      <c r="H92" s="132"/>
      <c r="AH92" s="109">
        <f t="shared" si="3"/>
        <v>0</v>
      </c>
    </row>
    <row r="93" spans="1:34" x14ac:dyDescent="0.4">
      <c r="B93" s="209" t="s">
        <v>847</v>
      </c>
      <c r="D93" s="132" t="s">
        <v>75</v>
      </c>
      <c r="F93" s="132"/>
      <c r="H93" s="132"/>
      <c r="AH93" s="109">
        <f t="shared" si="3"/>
        <v>0</v>
      </c>
    </row>
    <row r="94" spans="1:34" x14ac:dyDescent="0.4">
      <c r="B94" s="209" t="s">
        <v>848</v>
      </c>
      <c r="D94" s="132" t="s">
        <v>76</v>
      </c>
      <c r="F94" s="132"/>
      <c r="H94" s="132"/>
      <c r="AH94" s="109">
        <f t="shared" si="3"/>
        <v>0</v>
      </c>
    </row>
    <row r="95" spans="1:34" x14ac:dyDescent="0.4">
      <c r="B95" s="209" t="s">
        <v>849</v>
      </c>
      <c r="D95" s="132" t="s">
        <v>77</v>
      </c>
      <c r="F95" s="132"/>
      <c r="H95" s="132"/>
      <c r="AH95" s="109">
        <f t="shared" si="3"/>
        <v>0</v>
      </c>
    </row>
    <row r="96" spans="1:34" x14ac:dyDescent="0.4">
      <c r="B96" s="209" t="s">
        <v>850</v>
      </c>
      <c r="D96" s="132" t="s">
        <v>78</v>
      </c>
      <c r="F96" s="132"/>
      <c r="H96" s="132"/>
      <c r="AH96" s="109">
        <f t="shared" si="3"/>
        <v>0</v>
      </c>
    </row>
    <row r="97" spans="2:37" x14ac:dyDescent="0.4">
      <c r="B97" s="209" t="s">
        <v>851</v>
      </c>
      <c r="D97" s="132" t="s">
        <v>79</v>
      </c>
      <c r="F97" s="132"/>
      <c r="H97" s="132"/>
      <c r="AH97" s="109">
        <f t="shared" si="3"/>
        <v>0</v>
      </c>
    </row>
    <row r="98" spans="2:37" x14ac:dyDescent="0.4">
      <c r="B98" s="209" t="s">
        <v>845</v>
      </c>
      <c r="D98" s="132" t="s">
        <v>80</v>
      </c>
      <c r="F98" s="132"/>
      <c r="H98" s="132"/>
      <c r="AH98" s="109">
        <f t="shared" si="3"/>
        <v>0</v>
      </c>
    </row>
    <row r="99" spans="2:37" x14ac:dyDescent="0.4">
      <c r="B99" s="209" t="s">
        <v>846</v>
      </c>
      <c r="D99" s="132" t="s">
        <v>81</v>
      </c>
      <c r="F99" s="132"/>
      <c r="H99" s="132"/>
      <c r="AH99" s="109">
        <f t="shared" si="3"/>
        <v>0</v>
      </c>
    </row>
    <row r="100" spans="2:37" x14ac:dyDescent="0.4">
      <c r="B100" s="209" t="s">
        <v>847</v>
      </c>
      <c r="D100" s="132" t="s">
        <v>82</v>
      </c>
      <c r="F100" s="132"/>
      <c r="H100" s="132"/>
      <c r="AH100" s="109">
        <f t="shared" si="3"/>
        <v>0</v>
      </c>
    </row>
    <row r="101" spans="2:37" x14ac:dyDescent="0.4">
      <c r="B101" s="209" t="s">
        <v>848</v>
      </c>
      <c r="D101" s="132" t="s">
        <v>83</v>
      </c>
      <c r="F101" s="132"/>
      <c r="H101" s="132"/>
      <c r="AH101" s="109">
        <f t="shared" si="3"/>
        <v>0</v>
      </c>
    </row>
    <row r="102" spans="2:37" x14ac:dyDescent="0.4">
      <c r="B102" s="209" t="s">
        <v>849</v>
      </c>
      <c r="D102" s="132" t="s">
        <v>84</v>
      </c>
      <c r="F102" s="132"/>
      <c r="G102" s="109">
        <v>12</v>
      </c>
      <c r="H102" s="132"/>
      <c r="I102" s="109">
        <v>15</v>
      </c>
      <c r="X102" s="106">
        <v>3</v>
      </c>
      <c r="AH102" s="109">
        <f t="shared" si="3"/>
        <v>30</v>
      </c>
    </row>
    <row r="103" spans="2:37" x14ac:dyDescent="0.4">
      <c r="B103" s="209" t="s">
        <v>850</v>
      </c>
      <c r="D103" s="132" t="s">
        <v>85</v>
      </c>
      <c r="F103" s="132"/>
      <c r="H103" s="132"/>
      <c r="AH103" s="109">
        <f t="shared" si="3"/>
        <v>0</v>
      </c>
    </row>
    <row r="104" spans="2:37" x14ac:dyDescent="0.4">
      <c r="B104" s="209" t="s">
        <v>851</v>
      </c>
      <c r="D104" s="132" t="s">
        <v>86</v>
      </c>
      <c r="E104" s="109">
        <v>5</v>
      </c>
      <c r="F104" s="132"/>
      <c r="G104" s="109">
        <v>7</v>
      </c>
      <c r="H104" s="132"/>
      <c r="I104" s="109">
        <v>6</v>
      </c>
      <c r="R104" s="209">
        <v>3</v>
      </c>
      <c r="AH104" s="109">
        <f t="shared" si="3"/>
        <v>21</v>
      </c>
    </row>
    <row r="105" spans="2:37" x14ac:dyDescent="0.4">
      <c r="B105" s="209" t="s">
        <v>845</v>
      </c>
      <c r="D105" s="132" t="s">
        <v>87</v>
      </c>
      <c r="E105" s="109">
        <v>4</v>
      </c>
      <c r="F105" s="132"/>
      <c r="G105" s="109">
        <v>7</v>
      </c>
      <c r="H105" s="132"/>
      <c r="I105" s="109">
        <v>6</v>
      </c>
      <c r="R105" s="209">
        <v>3</v>
      </c>
      <c r="AH105" s="109">
        <f t="shared" si="3"/>
        <v>20</v>
      </c>
    </row>
    <row r="106" spans="2:37" x14ac:dyDescent="0.4">
      <c r="B106" s="209">
        <v>20</v>
      </c>
      <c r="D106" s="132" t="s">
        <v>88</v>
      </c>
      <c r="E106" s="109">
        <v>4</v>
      </c>
      <c r="F106" s="132"/>
      <c r="G106" s="109">
        <v>7</v>
      </c>
      <c r="H106" s="132"/>
      <c r="I106" s="109">
        <v>6</v>
      </c>
      <c r="R106" s="209">
        <v>3</v>
      </c>
      <c r="AH106" s="109">
        <f t="shared" si="3"/>
        <v>20</v>
      </c>
    </row>
    <row r="107" spans="2:37" x14ac:dyDescent="0.4">
      <c r="B107" s="209" t="s">
        <v>847</v>
      </c>
      <c r="D107" s="132" t="s">
        <v>89</v>
      </c>
      <c r="E107" s="109">
        <v>4</v>
      </c>
      <c r="F107" s="132"/>
      <c r="G107" s="109">
        <v>9</v>
      </c>
      <c r="H107" s="132"/>
      <c r="I107" s="109">
        <v>6</v>
      </c>
      <c r="R107" s="209">
        <v>3</v>
      </c>
      <c r="AH107" s="109">
        <f t="shared" si="3"/>
        <v>22</v>
      </c>
    </row>
    <row r="108" spans="2:37" x14ac:dyDescent="0.4">
      <c r="B108" s="209" t="s">
        <v>848</v>
      </c>
      <c r="D108" s="132" t="s">
        <v>90</v>
      </c>
      <c r="E108" s="109">
        <v>4</v>
      </c>
      <c r="F108" s="132"/>
      <c r="G108" s="109">
        <v>9</v>
      </c>
      <c r="H108" s="132"/>
      <c r="I108" s="109">
        <v>6</v>
      </c>
      <c r="R108" s="209">
        <v>3</v>
      </c>
      <c r="AH108" s="109">
        <f t="shared" si="3"/>
        <v>22</v>
      </c>
      <c r="AK108" s="124" t="s">
        <v>96</v>
      </c>
    </row>
    <row r="109" spans="2:37" x14ac:dyDescent="0.4">
      <c r="B109" s="209" t="s">
        <v>849</v>
      </c>
      <c r="D109" s="132" t="s">
        <v>91</v>
      </c>
      <c r="F109" s="132"/>
      <c r="G109" s="109">
        <v>40</v>
      </c>
      <c r="H109" s="132"/>
      <c r="R109" s="209">
        <v>3</v>
      </c>
      <c r="T109" s="109">
        <v>26</v>
      </c>
      <c r="AH109" s="109">
        <f t="shared" si="3"/>
        <v>69</v>
      </c>
    </row>
    <row r="110" spans="2:37" x14ac:dyDescent="0.4">
      <c r="B110" s="209" t="s">
        <v>850</v>
      </c>
      <c r="D110" s="132" t="s">
        <v>92</v>
      </c>
      <c r="F110" s="132"/>
      <c r="H110" s="132"/>
      <c r="AH110" s="109">
        <f t="shared" si="3"/>
        <v>0</v>
      </c>
    </row>
    <row r="111" spans="2:37" x14ac:dyDescent="0.4">
      <c r="B111" s="209" t="s">
        <v>851</v>
      </c>
      <c r="D111" s="132" t="s">
        <v>93</v>
      </c>
      <c r="F111" s="132"/>
      <c r="H111" s="132"/>
      <c r="AH111" s="109">
        <f t="shared" si="3"/>
        <v>0</v>
      </c>
    </row>
    <row r="112" spans="2:37" x14ac:dyDescent="0.4">
      <c r="B112" s="209" t="s">
        <v>845</v>
      </c>
      <c r="D112" s="132" t="s">
        <v>94</v>
      </c>
      <c r="F112" s="132"/>
      <c r="H112" s="132"/>
      <c r="AH112" s="109">
        <f t="shared" si="3"/>
        <v>0</v>
      </c>
    </row>
    <row r="113" spans="1:34" x14ac:dyDescent="0.4">
      <c r="B113" s="209" t="s">
        <v>846</v>
      </c>
      <c r="D113" s="132" t="s">
        <v>95</v>
      </c>
      <c r="F113" s="132"/>
      <c r="H113" s="132"/>
      <c r="AH113" s="109">
        <f t="shared" si="3"/>
        <v>0</v>
      </c>
    </row>
    <row r="114" spans="1:34" x14ac:dyDescent="0.4">
      <c r="B114" s="209" t="s">
        <v>847</v>
      </c>
      <c r="D114" s="132" t="s">
        <v>97</v>
      </c>
      <c r="F114" s="132"/>
      <c r="H114" s="132"/>
      <c r="AH114" s="109">
        <f t="shared" si="3"/>
        <v>0</v>
      </c>
    </row>
    <row r="115" spans="1:34" x14ac:dyDescent="0.4">
      <c r="B115" s="209" t="s">
        <v>848</v>
      </c>
      <c r="D115" s="132" t="s">
        <v>98</v>
      </c>
      <c r="F115" s="132"/>
      <c r="H115" s="132"/>
      <c r="AH115" s="109">
        <f t="shared" si="3"/>
        <v>0</v>
      </c>
    </row>
    <row r="116" spans="1:34" s="129" customFormat="1" x14ac:dyDescent="0.4">
      <c r="A116" s="129" t="s">
        <v>871</v>
      </c>
      <c r="F116" s="130"/>
      <c r="H116" s="130"/>
      <c r="J116" s="130"/>
      <c r="L116" s="130"/>
      <c r="N116" s="123"/>
      <c r="O116" s="123"/>
      <c r="Q116" s="130"/>
      <c r="S116" s="130"/>
      <c r="U116" s="130"/>
      <c r="W116" s="130"/>
      <c r="X116" s="123"/>
      <c r="Z116" s="130"/>
      <c r="AC116" s="130"/>
      <c r="AE116" s="130"/>
      <c r="AG116" s="130"/>
      <c r="AH116" s="131">
        <f>SUM(AH86:AH115)</f>
        <v>204</v>
      </c>
    </row>
    <row r="117" spans="1:34" x14ac:dyDescent="0.4">
      <c r="D117" s="132"/>
      <c r="F117" s="132"/>
      <c r="H117" s="132"/>
    </row>
    <row r="118" spans="1:34" s="121" customFormat="1" x14ac:dyDescent="0.4">
      <c r="A118" s="121" t="s">
        <v>872</v>
      </c>
      <c r="F118" s="122"/>
      <c r="H118" s="122"/>
      <c r="J118" s="122"/>
      <c r="L118" s="122"/>
      <c r="N118" s="123"/>
      <c r="O118" s="123"/>
      <c r="Q118" s="122"/>
      <c r="S118" s="122"/>
      <c r="U118" s="122"/>
      <c r="W118" s="122"/>
      <c r="X118" s="123"/>
      <c r="Z118" s="122"/>
      <c r="AC118" s="122"/>
      <c r="AE118" s="122"/>
      <c r="AG118" s="122"/>
      <c r="AH118" s="109"/>
    </row>
    <row r="119" spans="1:34" x14ac:dyDescent="0.4">
      <c r="B119" s="209" t="s">
        <v>849</v>
      </c>
      <c r="D119" s="132" t="s">
        <v>99</v>
      </c>
      <c r="F119" s="132"/>
      <c r="H119" s="132"/>
      <c r="AH119" s="109">
        <f t="shared" ref="AH119:AH149" si="4">SUM(E119,G119,I119,K119,M119,R119,T119,V119,Y119,X119,AA119,AB119,AD119,AF119)</f>
        <v>0</v>
      </c>
    </row>
    <row r="120" spans="1:34" x14ac:dyDescent="0.4">
      <c r="B120" s="209" t="s">
        <v>850</v>
      </c>
      <c r="D120" s="132" t="s">
        <v>100</v>
      </c>
      <c r="F120" s="132"/>
      <c r="H120" s="132"/>
      <c r="AH120" s="109">
        <f t="shared" si="4"/>
        <v>0</v>
      </c>
    </row>
    <row r="121" spans="1:34" x14ac:dyDescent="0.4">
      <c r="B121" s="209" t="s">
        <v>851</v>
      </c>
      <c r="D121" s="132" t="s">
        <v>101</v>
      </c>
      <c r="F121" s="132"/>
      <c r="H121" s="132"/>
      <c r="AH121" s="109">
        <f t="shared" si="4"/>
        <v>0</v>
      </c>
    </row>
    <row r="122" spans="1:34" x14ac:dyDescent="0.4">
      <c r="B122" s="209" t="s">
        <v>845</v>
      </c>
      <c r="D122" s="132" t="s">
        <v>102</v>
      </c>
      <c r="F122" s="132"/>
      <c r="H122" s="132"/>
      <c r="AH122" s="109">
        <f t="shared" si="4"/>
        <v>0</v>
      </c>
    </row>
    <row r="123" spans="1:34" x14ac:dyDescent="0.4">
      <c r="B123" s="209" t="s">
        <v>846</v>
      </c>
      <c r="D123" s="132" t="s">
        <v>103</v>
      </c>
      <c r="F123" s="132"/>
      <c r="H123" s="132"/>
      <c r="AH123" s="109">
        <f t="shared" si="4"/>
        <v>0</v>
      </c>
    </row>
    <row r="124" spans="1:34" x14ac:dyDescent="0.4">
      <c r="B124" s="209" t="s">
        <v>847</v>
      </c>
      <c r="D124" s="132" t="s">
        <v>104</v>
      </c>
      <c r="F124" s="132"/>
      <c r="H124" s="132"/>
      <c r="AH124" s="109">
        <f t="shared" si="4"/>
        <v>0</v>
      </c>
    </row>
    <row r="125" spans="1:34" x14ac:dyDescent="0.4">
      <c r="B125" s="209" t="s">
        <v>848</v>
      </c>
      <c r="D125" s="132" t="s">
        <v>105</v>
      </c>
      <c r="F125" s="132"/>
      <c r="H125" s="132"/>
      <c r="AH125" s="109">
        <f t="shared" si="4"/>
        <v>0</v>
      </c>
    </row>
    <row r="126" spans="1:34" x14ac:dyDescent="0.4">
      <c r="B126" s="209" t="s">
        <v>849</v>
      </c>
      <c r="D126" s="132" t="s">
        <v>106</v>
      </c>
      <c r="F126" s="132"/>
      <c r="H126" s="132"/>
      <c r="AH126" s="109">
        <f t="shared" si="4"/>
        <v>0</v>
      </c>
    </row>
    <row r="127" spans="1:34" x14ac:dyDescent="0.4">
      <c r="B127" s="209" t="s">
        <v>850</v>
      </c>
      <c r="D127" s="132" t="s">
        <v>107</v>
      </c>
      <c r="F127" s="132"/>
      <c r="H127" s="132"/>
      <c r="AH127" s="109">
        <f t="shared" si="4"/>
        <v>0</v>
      </c>
    </row>
    <row r="128" spans="1:34" x14ac:dyDescent="0.4">
      <c r="B128" s="209" t="s">
        <v>851</v>
      </c>
      <c r="D128" s="132" t="s">
        <v>108</v>
      </c>
      <c r="F128" s="132"/>
      <c r="H128" s="132"/>
      <c r="AH128" s="109">
        <f t="shared" si="4"/>
        <v>0</v>
      </c>
    </row>
    <row r="129" spans="2:34" x14ac:dyDescent="0.4">
      <c r="B129" s="209" t="s">
        <v>845</v>
      </c>
      <c r="D129" s="132" t="s">
        <v>109</v>
      </c>
      <c r="F129" s="132"/>
      <c r="H129" s="132"/>
      <c r="AH129" s="109">
        <f t="shared" si="4"/>
        <v>0</v>
      </c>
    </row>
    <row r="130" spans="2:34" x14ac:dyDescent="0.4">
      <c r="B130" s="209" t="s">
        <v>846</v>
      </c>
      <c r="D130" s="132" t="s">
        <v>110</v>
      </c>
      <c r="F130" s="132"/>
      <c r="H130" s="132"/>
      <c r="AH130" s="109">
        <f t="shared" si="4"/>
        <v>0</v>
      </c>
    </row>
    <row r="131" spans="2:34" x14ac:dyDescent="0.4">
      <c r="B131" s="209" t="s">
        <v>847</v>
      </c>
      <c r="D131" s="132" t="s">
        <v>111</v>
      </c>
      <c r="F131" s="132"/>
      <c r="H131" s="132"/>
      <c r="AH131" s="109">
        <f t="shared" si="4"/>
        <v>0</v>
      </c>
    </row>
    <row r="132" spans="2:34" x14ac:dyDescent="0.4">
      <c r="B132" s="209" t="s">
        <v>848</v>
      </c>
      <c r="D132" s="132" t="s">
        <v>112</v>
      </c>
      <c r="E132" s="109">
        <v>1.5</v>
      </c>
      <c r="F132" s="132"/>
      <c r="G132" s="109">
        <v>7</v>
      </c>
      <c r="H132" s="132"/>
      <c r="I132" s="109">
        <v>11</v>
      </c>
      <c r="R132" s="109">
        <v>11</v>
      </c>
      <c r="X132" s="106">
        <v>3</v>
      </c>
      <c r="AH132" s="109">
        <f t="shared" si="4"/>
        <v>33.5</v>
      </c>
    </row>
    <row r="133" spans="2:34" x14ac:dyDescent="0.4">
      <c r="B133" s="209" t="s">
        <v>849</v>
      </c>
      <c r="D133" s="132" t="s">
        <v>113</v>
      </c>
      <c r="F133" s="132"/>
      <c r="H133" s="132"/>
      <c r="AH133" s="109">
        <f t="shared" si="4"/>
        <v>0</v>
      </c>
    </row>
    <row r="134" spans="2:34" x14ac:dyDescent="0.4">
      <c r="B134" s="209" t="s">
        <v>850</v>
      </c>
      <c r="D134" s="132" t="s">
        <v>114</v>
      </c>
      <c r="F134" s="132"/>
      <c r="H134" s="132"/>
      <c r="AH134" s="109">
        <f t="shared" si="4"/>
        <v>0</v>
      </c>
    </row>
    <row r="135" spans="2:34" x14ac:dyDescent="0.4">
      <c r="B135" s="209" t="s">
        <v>851</v>
      </c>
      <c r="D135" s="132" t="s">
        <v>115</v>
      </c>
      <c r="F135" s="132"/>
      <c r="H135" s="132"/>
      <c r="AH135" s="109">
        <f t="shared" si="4"/>
        <v>0</v>
      </c>
    </row>
    <row r="136" spans="2:34" x14ac:dyDescent="0.4">
      <c r="B136" s="209" t="s">
        <v>845</v>
      </c>
      <c r="D136" s="132" t="s">
        <v>116</v>
      </c>
      <c r="F136" s="132"/>
      <c r="H136" s="132"/>
      <c r="AH136" s="109">
        <f t="shared" si="4"/>
        <v>0</v>
      </c>
    </row>
    <row r="137" spans="2:34" x14ac:dyDescent="0.4">
      <c r="B137" s="209" t="s">
        <v>846</v>
      </c>
      <c r="D137" s="132" t="s">
        <v>117</v>
      </c>
      <c r="F137" s="132"/>
      <c r="H137" s="132"/>
      <c r="AH137" s="109">
        <f t="shared" si="4"/>
        <v>0</v>
      </c>
    </row>
    <row r="138" spans="2:34" x14ac:dyDescent="0.4">
      <c r="B138" s="209" t="s">
        <v>847</v>
      </c>
      <c r="D138" s="132" t="s">
        <v>118</v>
      </c>
      <c r="F138" s="132"/>
      <c r="H138" s="132"/>
      <c r="AH138" s="109">
        <f t="shared" si="4"/>
        <v>0</v>
      </c>
    </row>
    <row r="139" spans="2:34" x14ac:dyDescent="0.4">
      <c r="B139" s="209" t="s">
        <v>848</v>
      </c>
      <c r="D139" s="132" t="s">
        <v>119</v>
      </c>
      <c r="F139" s="132"/>
      <c r="H139" s="132"/>
      <c r="AH139" s="109">
        <f t="shared" si="4"/>
        <v>0</v>
      </c>
    </row>
    <row r="140" spans="2:34" x14ac:dyDescent="0.4">
      <c r="B140" s="209" t="s">
        <v>849</v>
      </c>
      <c r="D140" s="132" t="s">
        <v>120</v>
      </c>
      <c r="F140" s="132"/>
      <c r="H140" s="132"/>
      <c r="AH140" s="109">
        <f t="shared" si="4"/>
        <v>0</v>
      </c>
    </row>
    <row r="141" spans="2:34" x14ac:dyDescent="0.4">
      <c r="B141" s="209" t="s">
        <v>850</v>
      </c>
      <c r="D141" s="132" t="s">
        <v>121</v>
      </c>
      <c r="F141" s="132"/>
      <c r="H141" s="132"/>
      <c r="AH141" s="109">
        <f t="shared" si="4"/>
        <v>0</v>
      </c>
    </row>
    <row r="142" spans="2:34" x14ac:dyDescent="0.4">
      <c r="B142" s="209" t="s">
        <v>851</v>
      </c>
      <c r="D142" s="132" t="s">
        <v>122</v>
      </c>
      <c r="F142" s="132"/>
      <c r="H142" s="132"/>
      <c r="AH142" s="109">
        <f t="shared" si="4"/>
        <v>0</v>
      </c>
    </row>
    <row r="143" spans="2:34" x14ac:dyDescent="0.4">
      <c r="B143" s="209" t="s">
        <v>845</v>
      </c>
      <c r="D143" s="132" t="s">
        <v>123</v>
      </c>
      <c r="F143" s="132"/>
      <c r="H143" s="132"/>
      <c r="AH143" s="109">
        <f t="shared" si="4"/>
        <v>0</v>
      </c>
    </row>
    <row r="144" spans="2:34" x14ac:dyDescent="0.4">
      <c r="B144" s="209" t="s">
        <v>846</v>
      </c>
      <c r="D144" s="132" t="s">
        <v>124</v>
      </c>
      <c r="F144" s="132"/>
      <c r="H144" s="132"/>
      <c r="AH144" s="109">
        <f t="shared" si="4"/>
        <v>0</v>
      </c>
    </row>
    <row r="145" spans="1:52" x14ac:dyDescent="0.4">
      <c r="B145" s="209" t="s">
        <v>847</v>
      </c>
      <c r="D145" s="132" t="s">
        <v>125</v>
      </c>
      <c r="F145" s="132"/>
      <c r="H145" s="132"/>
      <c r="AH145" s="109">
        <f t="shared" si="4"/>
        <v>0</v>
      </c>
    </row>
    <row r="146" spans="1:52" x14ac:dyDescent="0.4">
      <c r="B146" s="209" t="s">
        <v>848</v>
      </c>
      <c r="D146" s="132" t="s">
        <v>126</v>
      </c>
      <c r="F146" s="132"/>
      <c r="H146" s="132"/>
      <c r="AH146" s="109">
        <f t="shared" si="4"/>
        <v>0</v>
      </c>
    </row>
    <row r="147" spans="1:52" x14ac:dyDescent="0.4">
      <c r="B147" s="209" t="s">
        <v>849</v>
      </c>
      <c r="D147" s="132" t="s">
        <v>127</v>
      </c>
      <c r="F147" s="132"/>
      <c r="H147" s="132"/>
      <c r="AH147" s="109">
        <f t="shared" si="4"/>
        <v>0</v>
      </c>
    </row>
    <row r="148" spans="1:52" x14ac:dyDescent="0.4">
      <c r="B148" s="209" t="s">
        <v>850</v>
      </c>
      <c r="D148" s="132" t="s">
        <v>128</v>
      </c>
      <c r="F148" s="132"/>
      <c r="H148" s="132"/>
      <c r="AH148" s="109">
        <f t="shared" si="4"/>
        <v>0</v>
      </c>
    </row>
    <row r="149" spans="1:52" x14ac:dyDescent="0.4">
      <c r="B149" s="209" t="s">
        <v>851</v>
      </c>
      <c r="D149" s="132" t="s">
        <v>129</v>
      </c>
      <c r="F149" s="132"/>
      <c r="H149" s="132"/>
      <c r="AH149" s="109">
        <f t="shared" si="4"/>
        <v>0</v>
      </c>
    </row>
    <row r="150" spans="1:52" s="129" customFormat="1" x14ac:dyDescent="0.4">
      <c r="A150" s="129" t="s">
        <v>873</v>
      </c>
      <c r="F150" s="130"/>
      <c r="H150" s="130"/>
      <c r="J150" s="130"/>
      <c r="L150" s="130"/>
      <c r="N150" s="123"/>
      <c r="O150" s="123"/>
      <c r="Q150" s="130"/>
      <c r="S150" s="130"/>
      <c r="U150" s="130"/>
      <c r="W150" s="130"/>
      <c r="X150" s="123"/>
      <c r="Z150" s="130"/>
      <c r="AC150" s="130"/>
      <c r="AE150" s="130"/>
      <c r="AG150" s="130"/>
      <c r="AH150" s="131">
        <f>SUM(AH119:AH149)</f>
        <v>33.5</v>
      </c>
    </row>
    <row r="151" spans="1:52" s="134" customFormat="1" ht="33" x14ac:dyDescent="0.65">
      <c r="A151" s="133">
        <v>2016</v>
      </c>
      <c r="D151" s="135"/>
      <c r="E151" s="136"/>
      <c r="F151" s="135"/>
      <c r="G151" s="136"/>
      <c r="H151" s="135"/>
      <c r="I151" s="136"/>
      <c r="J151" s="137"/>
      <c r="K151" s="136"/>
      <c r="L151" s="137"/>
      <c r="M151" s="136"/>
      <c r="N151" s="136"/>
      <c r="O151" s="136"/>
      <c r="P151" s="136"/>
      <c r="Q151" s="137"/>
      <c r="S151" s="137"/>
      <c r="T151" s="136"/>
      <c r="U151" s="137"/>
      <c r="W151" s="137"/>
      <c r="X151" s="136"/>
      <c r="Z151" s="137"/>
      <c r="AA151" s="136"/>
      <c r="AC151" s="137"/>
      <c r="AD151" s="136"/>
      <c r="AE151" s="137"/>
      <c r="AF151" s="136"/>
      <c r="AG151" s="138"/>
      <c r="AH151" s="139">
        <f>SUM(AH1:AH150)/2</f>
        <v>1974.2</v>
      </c>
      <c r="AI151" s="140"/>
      <c r="AJ151" s="140"/>
      <c r="AL151" s="136"/>
      <c r="AO151" s="141"/>
      <c r="AP151" s="141"/>
      <c r="AQ151" s="141"/>
      <c r="AR151" s="141"/>
      <c r="AS151" s="142"/>
      <c r="AT151" s="142"/>
      <c r="AU151" s="142"/>
      <c r="AV151" s="142"/>
      <c r="AW151" s="143"/>
      <c r="AX151" s="143"/>
      <c r="AY151" s="143"/>
      <c r="AZ151" s="143"/>
    </row>
    <row r="153" spans="1:52" ht="25.5" x14ac:dyDescent="0.5">
      <c r="B153" s="114">
        <v>2017</v>
      </c>
    </row>
    <row r="154" spans="1:52" s="121" customFormat="1" x14ac:dyDescent="0.4">
      <c r="A154" s="121" t="s">
        <v>874</v>
      </c>
      <c r="F154" s="122"/>
      <c r="H154" s="122"/>
      <c r="J154" s="122"/>
      <c r="L154" s="122"/>
      <c r="N154" s="123"/>
      <c r="O154" s="123"/>
      <c r="Q154" s="122"/>
      <c r="S154" s="122"/>
      <c r="U154" s="122"/>
      <c r="W154" s="122"/>
      <c r="X154" s="123"/>
      <c r="Z154" s="122"/>
      <c r="AC154" s="122"/>
      <c r="AE154" s="122"/>
      <c r="AG154" s="122"/>
      <c r="AH154" s="109"/>
    </row>
    <row r="155" spans="1:52" x14ac:dyDescent="0.4">
      <c r="B155" s="209" t="s">
        <v>855</v>
      </c>
      <c r="D155" s="124" t="s">
        <v>151</v>
      </c>
      <c r="F155" s="124"/>
      <c r="G155" s="109">
        <v>8.5</v>
      </c>
      <c r="H155" s="124"/>
      <c r="I155" s="109">
        <v>8</v>
      </c>
      <c r="R155" s="209">
        <v>15</v>
      </c>
      <c r="S155" s="125" t="s">
        <v>958</v>
      </c>
      <c r="AH155" s="109">
        <f t="shared" ref="AH155:AH176" si="5">SUM(E155,G155,I155,K155,M155,R155,T155,V155,Y155,X155,AA155,AB155,AD155,AF155)</f>
        <v>31.5</v>
      </c>
    </row>
    <row r="156" spans="1:52" x14ac:dyDescent="0.4">
      <c r="B156" s="209" t="s">
        <v>844</v>
      </c>
      <c r="D156" s="124" t="s">
        <v>130</v>
      </c>
      <c r="F156" s="124"/>
      <c r="G156" s="109">
        <v>2.5</v>
      </c>
      <c r="H156" s="124"/>
      <c r="I156" s="109">
        <v>15.7</v>
      </c>
      <c r="Q156" s="115" t="s">
        <v>944</v>
      </c>
      <c r="R156" s="209">
        <v>2.5</v>
      </c>
      <c r="S156" s="115" t="s">
        <v>959</v>
      </c>
      <c r="AF156" s="109">
        <v>88</v>
      </c>
      <c r="AG156" s="125" t="s">
        <v>1017</v>
      </c>
      <c r="AH156" s="109">
        <f t="shared" si="5"/>
        <v>108.7</v>
      </c>
      <c r="AL156" s="109">
        <v>221</v>
      </c>
      <c r="AN156" s="209" t="s">
        <v>875</v>
      </c>
    </row>
    <row r="157" spans="1:52" x14ac:dyDescent="0.4">
      <c r="B157" s="209" t="s">
        <v>845</v>
      </c>
      <c r="D157" s="124" t="s">
        <v>131</v>
      </c>
      <c r="E157" s="109">
        <v>4.5</v>
      </c>
      <c r="F157" s="124"/>
      <c r="G157" s="109">
        <v>6.5</v>
      </c>
      <c r="H157" s="124"/>
      <c r="I157" s="109">
        <v>13</v>
      </c>
      <c r="Q157" s="115" t="s">
        <v>945</v>
      </c>
      <c r="X157" s="106">
        <v>3</v>
      </c>
      <c r="AF157" s="109">
        <v>94.5</v>
      </c>
      <c r="AG157" s="125" t="s">
        <v>1018</v>
      </c>
      <c r="AH157" s="109">
        <f t="shared" si="5"/>
        <v>121.5</v>
      </c>
    </row>
    <row r="158" spans="1:52" x14ac:dyDescent="0.4">
      <c r="B158" s="209" t="s">
        <v>846</v>
      </c>
      <c r="D158" s="124" t="s">
        <v>132</v>
      </c>
      <c r="F158" s="124"/>
      <c r="G158" s="109">
        <v>7.5</v>
      </c>
      <c r="H158" s="124"/>
      <c r="R158" s="209">
        <v>11</v>
      </c>
      <c r="S158" s="115" t="s">
        <v>960</v>
      </c>
      <c r="AH158" s="109">
        <f t="shared" si="5"/>
        <v>18.5</v>
      </c>
    </row>
    <row r="159" spans="1:52" x14ac:dyDescent="0.4">
      <c r="B159" s="209" t="s">
        <v>847</v>
      </c>
      <c r="D159" s="124" t="s">
        <v>133</v>
      </c>
      <c r="F159" s="124"/>
      <c r="G159" s="109">
        <v>15</v>
      </c>
      <c r="H159" s="124"/>
      <c r="AH159" s="109">
        <f t="shared" si="5"/>
        <v>15</v>
      </c>
    </row>
    <row r="160" spans="1:52" x14ac:dyDescent="0.4">
      <c r="B160" s="209" t="s">
        <v>848</v>
      </c>
      <c r="D160" s="124" t="s">
        <v>134</v>
      </c>
      <c r="F160" s="124"/>
      <c r="G160" s="109">
        <v>8</v>
      </c>
      <c r="H160" s="124"/>
      <c r="R160" s="209">
        <v>11.8</v>
      </c>
      <c r="AH160" s="109">
        <f t="shared" si="5"/>
        <v>19.8</v>
      </c>
    </row>
    <row r="161" spans="2:35" x14ac:dyDescent="0.4">
      <c r="B161" s="209" t="s">
        <v>849</v>
      </c>
      <c r="D161" s="124" t="s">
        <v>135</v>
      </c>
      <c r="F161" s="124"/>
      <c r="H161" s="124"/>
      <c r="T161" s="109">
        <v>40</v>
      </c>
      <c r="AH161" s="109">
        <f t="shared" si="5"/>
        <v>40</v>
      </c>
    </row>
    <row r="162" spans="2:35" x14ac:dyDescent="0.4">
      <c r="B162" s="209" t="s">
        <v>850</v>
      </c>
      <c r="D162" s="124" t="s">
        <v>136</v>
      </c>
      <c r="F162" s="124"/>
      <c r="G162" s="109">
        <v>10</v>
      </c>
      <c r="H162" s="124"/>
      <c r="R162" s="209">
        <v>14</v>
      </c>
      <c r="X162" s="106">
        <v>3</v>
      </c>
      <c r="AH162" s="109">
        <f t="shared" si="5"/>
        <v>27</v>
      </c>
    </row>
    <row r="163" spans="2:35" x14ac:dyDescent="0.4">
      <c r="B163" s="209" t="s">
        <v>851</v>
      </c>
      <c r="D163" s="124" t="s">
        <v>137</v>
      </c>
      <c r="E163" s="109">
        <v>6</v>
      </c>
      <c r="F163" s="124"/>
      <c r="G163" s="109">
        <v>9</v>
      </c>
      <c r="H163" s="124"/>
      <c r="R163" s="209">
        <v>7.5</v>
      </c>
      <c r="AF163" s="109">
        <v>49</v>
      </c>
      <c r="AG163" s="125" t="s">
        <v>918</v>
      </c>
      <c r="AH163" s="109">
        <f t="shared" si="5"/>
        <v>71.5</v>
      </c>
    </row>
    <row r="164" spans="2:35" x14ac:dyDescent="0.4">
      <c r="B164" s="209" t="s">
        <v>845</v>
      </c>
      <c r="D164" s="124" t="s">
        <v>138</v>
      </c>
      <c r="E164" s="109">
        <v>6.5</v>
      </c>
      <c r="F164" s="124"/>
      <c r="G164" s="109">
        <v>3.5</v>
      </c>
      <c r="H164" s="124"/>
      <c r="AH164" s="109">
        <f t="shared" si="5"/>
        <v>10</v>
      </c>
    </row>
    <row r="165" spans="2:35" x14ac:dyDescent="0.4">
      <c r="B165" s="209" t="s">
        <v>846</v>
      </c>
      <c r="D165" s="124" t="s">
        <v>139</v>
      </c>
      <c r="E165" s="109">
        <v>16</v>
      </c>
      <c r="F165" s="124"/>
      <c r="G165" s="109">
        <v>3</v>
      </c>
      <c r="H165" s="124"/>
      <c r="AF165" s="109">
        <v>23</v>
      </c>
      <c r="AG165" s="125" t="s">
        <v>1019</v>
      </c>
      <c r="AH165" s="109">
        <f t="shared" si="5"/>
        <v>42</v>
      </c>
    </row>
    <row r="166" spans="2:35" x14ac:dyDescent="0.4">
      <c r="B166" s="209" t="s">
        <v>847</v>
      </c>
      <c r="D166" s="124" t="s">
        <v>140</v>
      </c>
      <c r="F166" s="124"/>
      <c r="G166" s="109">
        <v>17</v>
      </c>
      <c r="H166" s="124"/>
      <c r="R166" s="209">
        <v>11</v>
      </c>
      <c r="S166" s="115" t="s">
        <v>960</v>
      </c>
      <c r="AH166" s="109">
        <f t="shared" si="5"/>
        <v>28</v>
      </c>
      <c r="AI166" s="110">
        <v>500</v>
      </c>
    </row>
    <row r="167" spans="2:35" x14ac:dyDescent="0.4">
      <c r="B167" s="209" t="s">
        <v>848</v>
      </c>
      <c r="D167" s="124" t="s">
        <v>141</v>
      </c>
      <c r="F167" s="124"/>
      <c r="G167" s="109">
        <v>8</v>
      </c>
      <c r="H167" s="124"/>
      <c r="R167" s="209">
        <f>14.5+5.8</f>
        <v>20.3</v>
      </c>
      <c r="S167" s="115" t="s">
        <v>961</v>
      </c>
      <c r="X167" s="106">
        <v>3</v>
      </c>
      <c r="AA167" s="109">
        <v>20</v>
      </c>
      <c r="AF167" s="109">
        <v>29</v>
      </c>
      <c r="AG167" s="125" t="s">
        <v>1020</v>
      </c>
      <c r="AH167" s="109">
        <f t="shared" si="5"/>
        <v>80.3</v>
      </c>
    </row>
    <row r="168" spans="2:35" x14ac:dyDescent="0.4">
      <c r="B168" s="209" t="s">
        <v>849</v>
      </c>
      <c r="D168" s="124" t="s">
        <v>142</v>
      </c>
      <c r="F168" s="124"/>
      <c r="H168" s="124"/>
      <c r="R168" s="209">
        <v>12</v>
      </c>
      <c r="S168" s="115" t="s">
        <v>960</v>
      </c>
      <c r="AH168" s="109">
        <f t="shared" si="5"/>
        <v>12</v>
      </c>
    </row>
    <row r="169" spans="2:35" x14ac:dyDescent="0.4">
      <c r="B169" s="209" t="s">
        <v>850</v>
      </c>
      <c r="D169" s="124" t="s">
        <v>143</v>
      </c>
      <c r="F169" s="124"/>
      <c r="G169" s="109">
        <v>8</v>
      </c>
      <c r="H169" s="124"/>
      <c r="I169" s="109">
        <v>13</v>
      </c>
      <c r="R169" s="209">
        <v>11</v>
      </c>
      <c r="S169" s="115" t="s">
        <v>962</v>
      </c>
      <c r="T169" s="109">
        <v>29.8</v>
      </c>
      <c r="AH169" s="109">
        <f t="shared" si="5"/>
        <v>61.8</v>
      </c>
      <c r="AI169" s="110">
        <v>258</v>
      </c>
    </row>
    <row r="170" spans="2:35" x14ac:dyDescent="0.4">
      <c r="B170" s="209" t="s">
        <v>851</v>
      </c>
      <c r="D170" s="124" t="s">
        <v>144</v>
      </c>
      <c r="F170" s="124"/>
      <c r="G170" s="109">
        <v>7.5</v>
      </c>
      <c r="H170" s="124"/>
      <c r="R170" s="209">
        <v>5</v>
      </c>
      <c r="S170" s="115" t="s">
        <v>963</v>
      </c>
      <c r="AH170" s="109">
        <f t="shared" si="5"/>
        <v>12.5</v>
      </c>
    </row>
    <row r="171" spans="2:35" x14ac:dyDescent="0.4">
      <c r="B171" s="209" t="s">
        <v>845</v>
      </c>
      <c r="D171" s="124" t="s">
        <v>145</v>
      </c>
      <c r="E171" s="109">
        <v>6.5</v>
      </c>
      <c r="F171" s="124"/>
      <c r="G171" s="109">
        <v>7.5</v>
      </c>
      <c r="H171" s="124"/>
      <c r="R171" s="209">
        <v>5</v>
      </c>
      <c r="S171" s="115" t="s">
        <v>963</v>
      </c>
      <c r="AF171" s="109">
        <v>25</v>
      </c>
      <c r="AG171" s="125" t="s">
        <v>1021</v>
      </c>
      <c r="AH171" s="109">
        <f t="shared" si="5"/>
        <v>44</v>
      </c>
    </row>
    <row r="172" spans="2:35" x14ac:dyDescent="0.4">
      <c r="B172" s="209" t="s">
        <v>846</v>
      </c>
      <c r="D172" s="124" t="s">
        <v>146</v>
      </c>
      <c r="F172" s="124"/>
      <c r="G172" s="109">
        <v>8</v>
      </c>
      <c r="H172" s="124"/>
      <c r="I172" s="109">
        <v>11</v>
      </c>
      <c r="R172" s="209">
        <v>5</v>
      </c>
      <c r="S172" s="115" t="s">
        <v>964</v>
      </c>
      <c r="X172" s="106">
        <v>3</v>
      </c>
      <c r="AF172" s="109">
        <v>12.5</v>
      </c>
      <c r="AG172" s="125" t="s">
        <v>1022</v>
      </c>
      <c r="AH172" s="109">
        <f t="shared" si="5"/>
        <v>39.5</v>
      </c>
    </row>
    <row r="173" spans="2:35" x14ac:dyDescent="0.4">
      <c r="B173" s="209" t="s">
        <v>847</v>
      </c>
      <c r="D173" s="124" t="s">
        <v>147</v>
      </c>
      <c r="E173" s="109">
        <v>12</v>
      </c>
      <c r="F173" s="124"/>
      <c r="H173" s="124"/>
      <c r="R173" s="209">
        <v>12</v>
      </c>
      <c r="S173" s="115" t="s">
        <v>960</v>
      </c>
      <c r="AH173" s="109">
        <f t="shared" si="5"/>
        <v>24</v>
      </c>
    </row>
    <row r="174" spans="2:35" x14ac:dyDescent="0.4">
      <c r="B174" s="209" t="s">
        <v>848</v>
      </c>
      <c r="D174" s="124" t="s">
        <v>148</v>
      </c>
      <c r="F174" s="124"/>
      <c r="G174" s="109">
        <v>9</v>
      </c>
      <c r="H174" s="124"/>
      <c r="R174" s="209">
        <v>14.5</v>
      </c>
      <c r="AH174" s="109">
        <f t="shared" si="5"/>
        <v>23.5</v>
      </c>
    </row>
    <row r="175" spans="2:35" x14ac:dyDescent="0.4">
      <c r="B175" s="209" t="s">
        <v>849</v>
      </c>
      <c r="D175" s="124" t="s">
        <v>149</v>
      </c>
      <c r="E175" s="109">
        <v>12</v>
      </c>
      <c r="F175" s="124"/>
      <c r="H175" s="124"/>
      <c r="R175" s="209">
        <v>20</v>
      </c>
      <c r="S175" s="115" t="s">
        <v>965</v>
      </c>
      <c r="AH175" s="109">
        <f t="shared" si="5"/>
        <v>32</v>
      </c>
    </row>
    <row r="176" spans="2:35" x14ac:dyDescent="0.4">
      <c r="B176" s="209" t="s">
        <v>850</v>
      </c>
      <c r="D176" s="124" t="s">
        <v>150</v>
      </c>
      <c r="E176" s="109">
        <v>7</v>
      </c>
      <c r="F176" s="124"/>
      <c r="H176" s="124"/>
      <c r="R176" s="209">
        <v>27</v>
      </c>
      <c r="S176" s="115" t="s">
        <v>966</v>
      </c>
      <c r="AH176" s="109">
        <f t="shared" si="5"/>
        <v>34</v>
      </c>
    </row>
    <row r="177" spans="1:38" s="129" customFormat="1" x14ac:dyDescent="0.4">
      <c r="A177" s="129" t="s">
        <v>876</v>
      </c>
      <c r="F177" s="130"/>
      <c r="H177" s="130"/>
      <c r="J177" s="130"/>
      <c r="L177" s="130"/>
      <c r="N177" s="123"/>
      <c r="O177" s="123"/>
      <c r="Q177" s="130"/>
      <c r="S177" s="130"/>
      <c r="U177" s="130"/>
      <c r="W177" s="130"/>
      <c r="X177" s="123"/>
      <c r="Z177" s="130"/>
      <c r="AC177" s="130"/>
      <c r="AE177" s="130"/>
      <c r="AG177" s="130"/>
      <c r="AH177" s="131">
        <f>SUM(AH155:AH176)</f>
        <v>897.09999999999991</v>
      </c>
    </row>
    <row r="178" spans="1:38" x14ac:dyDescent="0.4">
      <c r="D178" s="124"/>
      <c r="F178" s="124"/>
      <c r="H178" s="124"/>
    </row>
    <row r="179" spans="1:38" s="121" customFormat="1" x14ac:dyDescent="0.4">
      <c r="A179" s="121" t="s">
        <v>877</v>
      </c>
      <c r="F179" s="122"/>
      <c r="H179" s="122"/>
      <c r="J179" s="122"/>
      <c r="L179" s="122"/>
      <c r="N179" s="123"/>
      <c r="O179" s="123"/>
      <c r="Q179" s="122"/>
      <c r="S179" s="122"/>
      <c r="U179" s="122"/>
      <c r="W179" s="122"/>
      <c r="X179" s="123"/>
      <c r="Z179" s="122"/>
      <c r="AC179" s="122"/>
      <c r="AE179" s="122"/>
      <c r="AG179" s="122"/>
      <c r="AH179" s="109"/>
    </row>
    <row r="180" spans="1:38" x14ac:dyDescent="0.4">
      <c r="B180" s="209" t="s">
        <v>851</v>
      </c>
      <c r="D180" s="124" t="s">
        <v>152</v>
      </c>
      <c r="F180" s="124"/>
      <c r="G180" s="109">
        <v>15</v>
      </c>
      <c r="H180" s="124"/>
      <c r="AA180" s="109">
        <v>10</v>
      </c>
      <c r="AH180" s="109">
        <f t="shared" ref="AH180:AH210" si="6">SUM(E180,G180,I180,K180,M180,R180,T180,V180,Y180,X180,AA180,AB180,AD180,AF180)</f>
        <v>25</v>
      </c>
      <c r="AI180" s="110">
        <v>312</v>
      </c>
    </row>
    <row r="181" spans="1:38" x14ac:dyDescent="0.4">
      <c r="B181" s="209" t="s">
        <v>845</v>
      </c>
      <c r="D181" s="124" t="s">
        <v>153</v>
      </c>
      <c r="F181" s="124"/>
      <c r="G181" s="109">
        <v>8</v>
      </c>
      <c r="H181" s="124"/>
      <c r="AH181" s="109">
        <f t="shared" si="6"/>
        <v>8</v>
      </c>
    </row>
    <row r="182" spans="1:38" x14ac:dyDescent="0.4">
      <c r="B182" s="209" t="s">
        <v>846</v>
      </c>
      <c r="D182" s="124" t="s">
        <v>154</v>
      </c>
      <c r="E182" s="109">
        <v>7.5</v>
      </c>
      <c r="F182" s="124"/>
      <c r="H182" s="124"/>
      <c r="R182" s="209">
        <v>13</v>
      </c>
      <c r="S182" s="115" t="s">
        <v>960</v>
      </c>
      <c r="AH182" s="109">
        <f t="shared" si="6"/>
        <v>20.5</v>
      </c>
    </row>
    <row r="183" spans="1:38" x14ac:dyDescent="0.4">
      <c r="B183" s="209" t="s">
        <v>847</v>
      </c>
      <c r="D183" s="124" t="s">
        <v>155</v>
      </c>
      <c r="F183" s="124"/>
      <c r="G183" s="109">
        <v>8.5</v>
      </c>
      <c r="H183" s="124"/>
      <c r="I183" s="109">
        <v>10</v>
      </c>
      <c r="AH183" s="109">
        <f t="shared" si="6"/>
        <v>18.5</v>
      </c>
      <c r="AK183" s="209">
        <v>39.799999999999997</v>
      </c>
      <c r="AL183" s="109">
        <v>348</v>
      </c>
    </row>
    <row r="184" spans="1:38" x14ac:dyDescent="0.4">
      <c r="B184" s="209" t="s">
        <v>848</v>
      </c>
      <c r="D184" s="124" t="s">
        <v>156</v>
      </c>
      <c r="E184" s="109">
        <v>9</v>
      </c>
      <c r="F184" s="124"/>
      <c r="G184" s="109">
        <v>6.5</v>
      </c>
      <c r="H184" s="124"/>
      <c r="R184" s="209">
        <v>4.5</v>
      </c>
      <c r="AH184" s="109">
        <f t="shared" si="6"/>
        <v>20</v>
      </c>
    </row>
    <row r="185" spans="1:38" x14ac:dyDescent="0.4">
      <c r="B185" s="209" t="s">
        <v>849</v>
      </c>
      <c r="D185" s="124" t="s">
        <v>157</v>
      </c>
      <c r="E185" s="109">
        <v>7</v>
      </c>
      <c r="F185" s="124"/>
      <c r="H185" s="124"/>
      <c r="AH185" s="109">
        <f t="shared" si="6"/>
        <v>7</v>
      </c>
      <c r="AL185" s="109">
        <v>95</v>
      </c>
    </row>
    <row r="186" spans="1:38" x14ac:dyDescent="0.4">
      <c r="B186" s="209" t="s">
        <v>850</v>
      </c>
      <c r="D186" s="124" t="s">
        <v>158</v>
      </c>
      <c r="F186" s="124"/>
      <c r="G186" s="109">
        <v>20</v>
      </c>
      <c r="H186" s="124"/>
      <c r="I186" s="109">
        <v>14</v>
      </c>
      <c r="R186" s="209">
        <v>18</v>
      </c>
      <c r="S186" s="115" t="s">
        <v>967</v>
      </c>
      <c r="AH186" s="109">
        <f t="shared" si="6"/>
        <v>52</v>
      </c>
      <c r="AI186" s="110">
        <v>444</v>
      </c>
    </row>
    <row r="187" spans="1:38" x14ac:dyDescent="0.4">
      <c r="B187" s="209" t="s">
        <v>851</v>
      </c>
      <c r="D187" s="124" t="s">
        <v>159</v>
      </c>
      <c r="F187" s="124"/>
      <c r="G187" s="109">
        <v>8</v>
      </c>
      <c r="H187" s="124"/>
      <c r="AH187" s="109">
        <f t="shared" si="6"/>
        <v>8</v>
      </c>
      <c r="AK187" s="209">
        <v>500</v>
      </c>
      <c r="AL187" s="109">
        <f>500+138+95</f>
        <v>733</v>
      </c>
    </row>
    <row r="188" spans="1:38" x14ac:dyDescent="0.4">
      <c r="B188" s="209" t="s">
        <v>845</v>
      </c>
      <c r="D188" s="124" t="s">
        <v>160</v>
      </c>
      <c r="E188" s="109">
        <v>4.5</v>
      </c>
      <c r="F188" s="124"/>
      <c r="H188" s="124"/>
      <c r="AH188" s="109">
        <f t="shared" si="6"/>
        <v>4.5</v>
      </c>
    </row>
    <row r="189" spans="1:38" x14ac:dyDescent="0.4">
      <c r="B189" s="209" t="s">
        <v>846</v>
      </c>
      <c r="D189" s="124" t="s">
        <v>161</v>
      </c>
      <c r="F189" s="124"/>
      <c r="G189" s="109">
        <v>10.5</v>
      </c>
      <c r="H189" s="124"/>
      <c r="I189" s="109">
        <v>10.5</v>
      </c>
      <c r="R189" s="209">
        <f>18+3</f>
        <v>21</v>
      </c>
      <c r="S189" s="115" t="s">
        <v>968</v>
      </c>
      <c r="AH189" s="109">
        <f t="shared" si="6"/>
        <v>42</v>
      </c>
    </row>
    <row r="190" spans="1:38" x14ac:dyDescent="0.4">
      <c r="B190" s="209" t="s">
        <v>847</v>
      </c>
      <c r="D190" s="124" t="s">
        <v>162</v>
      </c>
      <c r="F190" s="124"/>
      <c r="G190" s="109">
        <v>12</v>
      </c>
      <c r="H190" s="124"/>
      <c r="R190" s="209">
        <v>15</v>
      </c>
      <c r="AH190" s="109">
        <f t="shared" si="6"/>
        <v>27</v>
      </c>
    </row>
    <row r="191" spans="1:38" x14ac:dyDescent="0.4">
      <c r="B191" s="209" t="s">
        <v>848</v>
      </c>
      <c r="D191" s="124" t="s">
        <v>163</v>
      </c>
      <c r="F191" s="124"/>
      <c r="G191" s="109">
        <v>10.5</v>
      </c>
      <c r="H191" s="124"/>
      <c r="V191" s="209">
        <v>67.5</v>
      </c>
      <c r="Y191" s="209">
        <v>5</v>
      </c>
      <c r="AH191" s="109">
        <f t="shared" si="6"/>
        <v>83</v>
      </c>
    </row>
    <row r="192" spans="1:38" x14ac:dyDescent="0.4">
      <c r="B192" s="209" t="s">
        <v>849</v>
      </c>
      <c r="D192" s="124" t="s">
        <v>164</v>
      </c>
      <c r="E192" s="109">
        <v>7</v>
      </c>
      <c r="F192" s="124"/>
      <c r="H192" s="124"/>
      <c r="X192" s="106">
        <v>3</v>
      </c>
      <c r="AH192" s="109">
        <f t="shared" si="6"/>
        <v>10</v>
      </c>
    </row>
    <row r="193" spans="2:38" x14ac:dyDescent="0.4">
      <c r="B193" s="209" t="s">
        <v>850</v>
      </c>
      <c r="D193" s="124" t="s">
        <v>165</v>
      </c>
      <c r="F193" s="124"/>
      <c r="G193" s="109">
        <v>24</v>
      </c>
      <c r="H193" s="124"/>
      <c r="I193" s="109">
        <v>17</v>
      </c>
      <c r="R193" s="209">
        <v>25</v>
      </c>
      <c r="S193" s="115" t="s">
        <v>965</v>
      </c>
      <c r="AH193" s="109">
        <f t="shared" si="6"/>
        <v>66</v>
      </c>
      <c r="AI193" s="110">
        <v>408</v>
      </c>
      <c r="AL193" s="109">
        <v>196</v>
      </c>
    </row>
    <row r="194" spans="2:38" x14ac:dyDescent="0.4">
      <c r="B194" s="209" t="s">
        <v>851</v>
      </c>
      <c r="D194" s="124" t="s">
        <v>166</v>
      </c>
      <c r="E194" s="109">
        <v>5.5</v>
      </c>
      <c r="F194" s="124"/>
      <c r="H194" s="124"/>
      <c r="R194" s="209">
        <v>8.8000000000000007</v>
      </c>
      <c r="AF194" s="109">
        <v>238</v>
      </c>
      <c r="AH194" s="109">
        <f t="shared" si="6"/>
        <v>252.3</v>
      </c>
    </row>
    <row r="195" spans="2:38" x14ac:dyDescent="0.4">
      <c r="B195" s="209" t="s">
        <v>845</v>
      </c>
      <c r="D195" s="124" t="s">
        <v>167</v>
      </c>
      <c r="F195" s="124"/>
      <c r="H195" s="124"/>
      <c r="R195" s="209">
        <v>10</v>
      </c>
      <c r="AH195" s="109">
        <f t="shared" si="6"/>
        <v>10</v>
      </c>
    </row>
    <row r="196" spans="2:38" x14ac:dyDescent="0.4">
      <c r="B196" s="209" t="s">
        <v>846</v>
      </c>
      <c r="D196" s="124" t="s">
        <v>168</v>
      </c>
      <c r="F196" s="124"/>
      <c r="G196" s="109">
        <v>13</v>
      </c>
      <c r="H196" s="124"/>
      <c r="R196" s="209">
        <v>10</v>
      </c>
      <c r="AH196" s="109">
        <f t="shared" si="6"/>
        <v>23</v>
      </c>
    </row>
    <row r="197" spans="2:38" x14ac:dyDescent="0.4">
      <c r="B197" s="209" t="s">
        <v>847</v>
      </c>
      <c r="D197" s="124" t="s">
        <v>169</v>
      </c>
      <c r="F197" s="124"/>
      <c r="G197" s="109">
        <v>8</v>
      </c>
      <c r="H197" s="124"/>
      <c r="R197" s="209">
        <v>6.5</v>
      </c>
      <c r="AH197" s="109">
        <f t="shared" si="6"/>
        <v>14.5</v>
      </c>
    </row>
    <row r="198" spans="2:38" x14ac:dyDescent="0.4">
      <c r="B198" s="209" t="s">
        <v>848</v>
      </c>
      <c r="D198" s="124" t="s">
        <v>170</v>
      </c>
      <c r="F198" s="124"/>
      <c r="H198" s="124"/>
      <c r="I198" s="109">
        <v>20</v>
      </c>
      <c r="AA198" s="109">
        <v>10</v>
      </c>
      <c r="AH198" s="109">
        <f t="shared" si="6"/>
        <v>30</v>
      </c>
    </row>
    <row r="199" spans="2:38" x14ac:dyDescent="0.4">
      <c r="B199" s="209" t="s">
        <v>849</v>
      </c>
      <c r="D199" s="124" t="s">
        <v>171</v>
      </c>
      <c r="F199" s="124"/>
      <c r="G199" s="109">
        <v>6.5</v>
      </c>
      <c r="H199" s="124"/>
      <c r="R199" s="209">
        <v>11</v>
      </c>
      <c r="AH199" s="109">
        <f t="shared" si="6"/>
        <v>17.5</v>
      </c>
    </row>
    <row r="200" spans="2:38" x14ac:dyDescent="0.4">
      <c r="B200" s="209" t="s">
        <v>850</v>
      </c>
      <c r="D200" s="124" t="s">
        <v>172</v>
      </c>
      <c r="F200" s="124"/>
      <c r="G200" s="109">
        <v>10</v>
      </c>
      <c r="H200" s="124"/>
      <c r="R200" s="209">
        <v>14</v>
      </c>
      <c r="AH200" s="109">
        <f t="shared" si="6"/>
        <v>24</v>
      </c>
      <c r="AI200" s="110">
        <v>504</v>
      </c>
      <c r="AL200" s="109">
        <v>227</v>
      </c>
    </row>
    <row r="201" spans="2:38" x14ac:dyDescent="0.4">
      <c r="B201" s="209" t="s">
        <v>851</v>
      </c>
      <c r="D201" s="124" t="s">
        <v>173</v>
      </c>
      <c r="F201" s="124"/>
      <c r="H201" s="124"/>
      <c r="I201" s="109">
        <v>57</v>
      </c>
      <c r="AH201" s="109">
        <f t="shared" si="6"/>
        <v>57</v>
      </c>
    </row>
    <row r="202" spans="2:38" x14ac:dyDescent="0.4">
      <c r="B202" s="209" t="s">
        <v>845</v>
      </c>
      <c r="D202" s="124" t="s">
        <v>174</v>
      </c>
      <c r="F202" s="124"/>
      <c r="G202" s="109">
        <v>6.5</v>
      </c>
      <c r="H202" s="124"/>
      <c r="I202" s="109">
        <v>15</v>
      </c>
      <c r="AA202" s="109">
        <v>10</v>
      </c>
      <c r="AF202" s="109">
        <v>80</v>
      </c>
      <c r="AG202" s="125" t="s">
        <v>1023</v>
      </c>
      <c r="AH202" s="109">
        <f t="shared" si="6"/>
        <v>111.5</v>
      </c>
    </row>
    <row r="203" spans="2:38" x14ac:dyDescent="0.4">
      <c r="B203" s="209" t="s">
        <v>846</v>
      </c>
      <c r="D203" s="124" t="s">
        <v>175</v>
      </c>
      <c r="F203" s="124"/>
      <c r="H203" s="124"/>
      <c r="AF203" s="109">
        <v>25</v>
      </c>
      <c r="AG203" s="125" t="s">
        <v>1024</v>
      </c>
      <c r="AH203" s="109">
        <f t="shared" si="6"/>
        <v>25</v>
      </c>
    </row>
    <row r="204" spans="2:38" x14ac:dyDescent="0.4">
      <c r="B204" s="209" t="s">
        <v>847</v>
      </c>
      <c r="D204" s="124" t="s">
        <v>176</v>
      </c>
      <c r="F204" s="124"/>
      <c r="H204" s="124"/>
      <c r="R204" s="209">
        <v>10</v>
      </c>
      <c r="AH204" s="109">
        <f t="shared" si="6"/>
        <v>10</v>
      </c>
    </row>
    <row r="205" spans="2:38" x14ac:dyDescent="0.4">
      <c r="B205" s="209" t="s">
        <v>848</v>
      </c>
      <c r="D205" s="124" t="s">
        <v>177</v>
      </c>
      <c r="E205" s="109">
        <v>5.5</v>
      </c>
      <c r="F205" s="124"/>
      <c r="G205" s="109">
        <v>9</v>
      </c>
      <c r="H205" s="124"/>
      <c r="R205" s="209">
        <v>9.5</v>
      </c>
      <c r="AH205" s="109">
        <f t="shared" si="6"/>
        <v>24</v>
      </c>
    </row>
    <row r="206" spans="2:38" x14ac:dyDescent="0.4">
      <c r="B206" s="209" t="s">
        <v>849</v>
      </c>
      <c r="D206" s="124" t="s">
        <v>178</v>
      </c>
      <c r="F206" s="124"/>
      <c r="G206" s="109">
        <v>56</v>
      </c>
      <c r="H206" s="124"/>
      <c r="AH206" s="109">
        <f t="shared" si="6"/>
        <v>56</v>
      </c>
    </row>
    <row r="207" spans="2:38" x14ac:dyDescent="0.4">
      <c r="B207" s="209" t="s">
        <v>850</v>
      </c>
      <c r="D207" s="124" t="s">
        <v>179</v>
      </c>
      <c r="F207" s="124"/>
      <c r="H207" s="124"/>
      <c r="I207" s="109">
        <v>22</v>
      </c>
      <c r="AH207" s="109">
        <f t="shared" si="6"/>
        <v>22</v>
      </c>
    </row>
    <row r="208" spans="2:38" x14ac:dyDescent="0.4">
      <c r="B208" s="209" t="s">
        <v>851</v>
      </c>
      <c r="D208" s="124" t="s">
        <v>180</v>
      </c>
      <c r="F208" s="124"/>
      <c r="G208" s="109">
        <v>9</v>
      </c>
      <c r="H208" s="124"/>
      <c r="I208" s="109">
        <v>12</v>
      </c>
      <c r="AH208" s="109">
        <f t="shared" si="6"/>
        <v>21</v>
      </c>
    </row>
    <row r="209" spans="1:38" x14ac:dyDescent="0.4">
      <c r="B209" s="209" t="s">
        <v>845</v>
      </c>
      <c r="D209" s="124" t="s">
        <v>256</v>
      </c>
      <c r="F209" s="124"/>
      <c r="H209" s="124"/>
      <c r="I209" s="109">
        <v>8</v>
      </c>
      <c r="AH209" s="109">
        <f t="shared" si="6"/>
        <v>8</v>
      </c>
    </row>
    <row r="210" spans="1:38" x14ac:dyDescent="0.4">
      <c r="B210" s="209" t="s">
        <v>846</v>
      </c>
      <c r="D210" s="124" t="s">
        <v>257</v>
      </c>
      <c r="F210" s="124"/>
      <c r="G210" s="109">
        <v>21</v>
      </c>
      <c r="H210" s="124"/>
      <c r="I210" s="109">
        <v>6</v>
      </c>
      <c r="AA210" s="109">
        <v>10</v>
      </c>
      <c r="AF210" s="109">
        <v>60</v>
      </c>
      <c r="AG210" s="125" t="s">
        <v>1025</v>
      </c>
      <c r="AH210" s="109">
        <f t="shared" si="6"/>
        <v>97</v>
      </c>
      <c r="AL210" s="109">
        <v>655</v>
      </c>
    </row>
    <row r="211" spans="1:38" s="129" customFormat="1" x14ac:dyDescent="0.4">
      <c r="A211" s="129" t="s">
        <v>878</v>
      </c>
      <c r="F211" s="130"/>
      <c r="H211" s="130"/>
      <c r="J211" s="130"/>
      <c r="L211" s="130"/>
      <c r="N211" s="123"/>
      <c r="O211" s="123"/>
      <c r="Q211" s="130"/>
      <c r="S211" s="130"/>
      <c r="U211" s="130"/>
      <c r="W211" s="130"/>
      <c r="X211" s="123"/>
      <c r="Z211" s="130"/>
      <c r="AC211" s="130"/>
      <c r="AE211" s="130"/>
      <c r="AG211" s="130"/>
      <c r="AH211" s="131">
        <f>SUM(AH180:AH210)</f>
        <v>1194.3</v>
      </c>
    </row>
    <row r="212" spans="1:38" x14ac:dyDescent="0.4">
      <c r="D212" s="124"/>
      <c r="F212" s="124"/>
      <c r="H212" s="124"/>
    </row>
    <row r="213" spans="1:38" s="121" customFormat="1" x14ac:dyDescent="0.4">
      <c r="A213" s="121" t="s">
        <v>843</v>
      </c>
      <c r="F213" s="122"/>
      <c r="H213" s="122"/>
      <c r="J213" s="122"/>
      <c r="L213" s="122"/>
      <c r="N213" s="123"/>
      <c r="O213" s="123"/>
      <c r="Q213" s="122"/>
      <c r="S213" s="122"/>
      <c r="U213" s="122"/>
      <c r="W213" s="122"/>
      <c r="X213" s="123"/>
      <c r="Z213" s="122"/>
      <c r="AC213" s="122"/>
      <c r="AE213" s="122"/>
      <c r="AG213" s="122"/>
      <c r="AH213" s="109"/>
    </row>
    <row r="214" spans="1:38" x14ac:dyDescent="0.4">
      <c r="B214" s="209" t="s">
        <v>847</v>
      </c>
      <c r="D214" s="102">
        <v>6.1</v>
      </c>
      <c r="G214" s="109">
        <v>10</v>
      </c>
      <c r="R214" s="209">
        <v>13</v>
      </c>
      <c r="S214" s="115" t="s">
        <v>969</v>
      </c>
      <c r="T214" s="109">
        <v>14.8</v>
      </c>
      <c r="AA214" s="109">
        <v>10</v>
      </c>
      <c r="AH214" s="109">
        <f t="shared" ref="AH214:AH243" si="7">SUM(E214,G214,I214,K214,M214,R214,T214,V214,Y214,X214,AA214,AB214,AD214,AF214)</f>
        <v>47.8</v>
      </c>
    </row>
    <row r="215" spans="1:38" x14ac:dyDescent="0.4">
      <c r="B215" s="209" t="s">
        <v>848</v>
      </c>
      <c r="D215" s="102">
        <v>6.2</v>
      </c>
      <c r="I215" s="109">
        <v>14</v>
      </c>
      <c r="Q215" s="144" t="s">
        <v>946</v>
      </c>
      <c r="AH215" s="109">
        <f t="shared" si="7"/>
        <v>14</v>
      </c>
    </row>
    <row r="216" spans="1:38" x14ac:dyDescent="0.4">
      <c r="B216" s="209" t="s">
        <v>849</v>
      </c>
      <c r="D216" s="102">
        <v>6.3</v>
      </c>
      <c r="E216" s="109">
        <v>20</v>
      </c>
      <c r="Q216" s="144" t="s">
        <v>947</v>
      </c>
      <c r="AH216" s="109">
        <f t="shared" si="7"/>
        <v>20</v>
      </c>
    </row>
    <row r="217" spans="1:38" x14ac:dyDescent="0.4">
      <c r="B217" s="209" t="s">
        <v>850</v>
      </c>
      <c r="D217" s="102">
        <v>6.4</v>
      </c>
      <c r="I217" s="109">
        <v>55</v>
      </c>
      <c r="R217" s="209">
        <v>10</v>
      </c>
      <c r="Y217" s="209">
        <v>31</v>
      </c>
      <c r="AA217" s="109">
        <v>10</v>
      </c>
      <c r="AF217" s="109">
        <v>13</v>
      </c>
      <c r="AG217" s="125" t="s">
        <v>1026</v>
      </c>
      <c r="AH217" s="109">
        <f t="shared" si="7"/>
        <v>119</v>
      </c>
      <c r="AI217" s="110">
        <v>90</v>
      </c>
    </row>
    <row r="218" spans="1:38" x14ac:dyDescent="0.4">
      <c r="B218" s="209" t="s">
        <v>851</v>
      </c>
      <c r="D218" s="102">
        <v>6.5</v>
      </c>
      <c r="AF218" s="109">
        <v>12</v>
      </c>
      <c r="AG218" s="125" t="s">
        <v>1026</v>
      </c>
      <c r="AH218" s="109">
        <f t="shared" si="7"/>
        <v>12</v>
      </c>
    </row>
    <row r="219" spans="1:38" x14ac:dyDescent="0.4">
      <c r="B219" s="209" t="s">
        <v>845</v>
      </c>
      <c r="D219" s="102">
        <v>6.6</v>
      </c>
      <c r="AF219" s="109">
        <v>15</v>
      </c>
      <c r="AG219" s="125" t="s">
        <v>1027</v>
      </c>
      <c r="AH219" s="109">
        <f t="shared" si="7"/>
        <v>15</v>
      </c>
      <c r="AL219" s="109">
        <v>10</v>
      </c>
    </row>
    <row r="220" spans="1:38" x14ac:dyDescent="0.4">
      <c r="B220" s="209" t="s">
        <v>846</v>
      </c>
      <c r="D220" s="102">
        <v>6.7</v>
      </c>
      <c r="R220" s="209">
        <v>10.5</v>
      </c>
      <c r="AH220" s="109">
        <f t="shared" si="7"/>
        <v>10.5</v>
      </c>
    </row>
    <row r="221" spans="1:38" x14ac:dyDescent="0.4">
      <c r="B221" s="209" t="s">
        <v>847</v>
      </c>
      <c r="D221" s="102">
        <v>6.8</v>
      </c>
      <c r="Y221" s="209">
        <f>17.18+50+21.5</f>
        <v>88.68</v>
      </c>
      <c r="AA221" s="109">
        <v>10</v>
      </c>
      <c r="AF221" s="109">
        <v>55</v>
      </c>
      <c r="AG221" s="125" t="s">
        <v>1028</v>
      </c>
      <c r="AH221" s="109">
        <f t="shared" si="7"/>
        <v>153.68</v>
      </c>
    </row>
    <row r="222" spans="1:38" x14ac:dyDescent="0.4">
      <c r="B222" s="209" t="s">
        <v>848</v>
      </c>
      <c r="D222" s="102">
        <v>6.9</v>
      </c>
      <c r="R222" s="209">
        <v>24.85</v>
      </c>
      <c r="S222" s="115" t="s">
        <v>970</v>
      </c>
      <c r="AH222" s="109">
        <f t="shared" si="7"/>
        <v>24.85</v>
      </c>
    </row>
    <row r="223" spans="1:38" x14ac:dyDescent="0.4">
      <c r="B223" s="209" t="s">
        <v>849</v>
      </c>
      <c r="D223" s="102" t="s">
        <v>258</v>
      </c>
      <c r="R223" s="209">
        <v>25</v>
      </c>
      <c r="S223" s="115" t="s">
        <v>970</v>
      </c>
      <c r="AH223" s="109">
        <f t="shared" si="7"/>
        <v>25</v>
      </c>
    </row>
    <row r="224" spans="1:38" x14ac:dyDescent="0.4">
      <c r="B224" s="209" t="s">
        <v>850</v>
      </c>
      <c r="D224" s="102" t="s">
        <v>259</v>
      </c>
      <c r="R224" s="209">
        <v>43.5</v>
      </c>
      <c r="S224" s="115" t="s">
        <v>971</v>
      </c>
      <c r="Y224" s="209">
        <f>16.9+20.31</f>
        <v>37.209999999999994</v>
      </c>
      <c r="AA224" s="109">
        <v>10</v>
      </c>
      <c r="AF224" s="109">
        <v>39.9</v>
      </c>
      <c r="AG224" s="125" t="s">
        <v>1029</v>
      </c>
      <c r="AH224" s="109">
        <f t="shared" si="7"/>
        <v>130.60999999999999</v>
      </c>
      <c r="AL224" s="109">
        <v>11</v>
      </c>
    </row>
    <row r="225" spans="2:39" x14ac:dyDescent="0.4">
      <c r="B225" s="209" t="s">
        <v>851</v>
      </c>
      <c r="D225" s="102" t="s">
        <v>260</v>
      </c>
      <c r="R225" s="209">
        <v>34</v>
      </c>
      <c r="S225" s="115" t="s">
        <v>948</v>
      </c>
      <c r="AH225" s="109">
        <f t="shared" si="7"/>
        <v>34</v>
      </c>
      <c r="AL225" s="109">
        <v>310</v>
      </c>
      <c r="AM225" s="209">
        <v>700</v>
      </c>
    </row>
    <row r="226" spans="2:39" x14ac:dyDescent="0.4">
      <c r="B226" s="209" t="s">
        <v>845</v>
      </c>
      <c r="D226" s="102" t="s">
        <v>261</v>
      </c>
      <c r="R226" s="209">
        <v>15</v>
      </c>
      <c r="S226" s="115" t="s">
        <v>970</v>
      </c>
      <c r="AF226" s="109">
        <v>170</v>
      </c>
      <c r="AG226" s="125" t="s">
        <v>1030</v>
      </c>
      <c r="AH226" s="109">
        <f t="shared" si="7"/>
        <v>185</v>
      </c>
    </row>
    <row r="227" spans="2:39" x14ac:dyDescent="0.4">
      <c r="B227" s="209" t="s">
        <v>846</v>
      </c>
      <c r="D227" s="102" t="s">
        <v>262</v>
      </c>
      <c r="G227" s="109">
        <v>43</v>
      </c>
      <c r="AH227" s="109">
        <f t="shared" si="7"/>
        <v>43</v>
      </c>
    </row>
    <row r="228" spans="2:39" x14ac:dyDescent="0.4">
      <c r="B228" s="209" t="s">
        <v>847</v>
      </c>
      <c r="D228" s="102" t="s">
        <v>263</v>
      </c>
      <c r="I228" s="109">
        <v>59</v>
      </c>
      <c r="Q228" s="115" t="s">
        <v>948</v>
      </c>
      <c r="AA228" s="109">
        <v>10</v>
      </c>
      <c r="AF228" s="109">
        <v>480</v>
      </c>
      <c r="AG228" s="125" t="s">
        <v>1031</v>
      </c>
      <c r="AH228" s="109">
        <f t="shared" si="7"/>
        <v>549</v>
      </c>
    </row>
    <row r="229" spans="2:39" x14ac:dyDescent="0.4">
      <c r="B229" s="209" t="s">
        <v>848</v>
      </c>
      <c r="D229" s="102" t="s">
        <v>264</v>
      </c>
      <c r="G229" s="109">
        <v>12.87</v>
      </c>
      <c r="Q229" s="115" t="s">
        <v>948</v>
      </c>
      <c r="Y229" s="209">
        <v>13.85</v>
      </c>
      <c r="AH229" s="109">
        <f t="shared" si="7"/>
        <v>26.72</v>
      </c>
    </row>
    <row r="230" spans="2:39" x14ac:dyDescent="0.4">
      <c r="B230" s="209" t="s">
        <v>849</v>
      </c>
      <c r="D230" s="102" t="s">
        <v>265</v>
      </c>
      <c r="G230" s="109">
        <v>13</v>
      </c>
      <c r="Q230" s="115" t="s">
        <v>948</v>
      </c>
      <c r="R230" s="209">
        <v>15</v>
      </c>
      <c r="S230" s="115" t="s">
        <v>972</v>
      </c>
      <c r="AA230" s="109">
        <v>10</v>
      </c>
      <c r="AH230" s="109">
        <f t="shared" si="7"/>
        <v>38</v>
      </c>
    </row>
    <row r="231" spans="2:39" x14ac:dyDescent="0.4">
      <c r="B231" s="209" t="s">
        <v>850</v>
      </c>
      <c r="D231" s="102" t="s">
        <v>266</v>
      </c>
      <c r="I231" s="109">
        <v>33</v>
      </c>
      <c r="Q231" s="115" t="s">
        <v>948</v>
      </c>
      <c r="R231" s="209">
        <v>15</v>
      </c>
      <c r="S231" s="115" t="s">
        <v>970</v>
      </c>
      <c r="AF231" s="109">
        <v>58</v>
      </c>
      <c r="AG231" s="125" t="s">
        <v>1032</v>
      </c>
      <c r="AH231" s="109">
        <f t="shared" si="7"/>
        <v>106</v>
      </c>
      <c r="AI231" s="110">
        <v>210</v>
      </c>
      <c r="AK231" s="209">
        <v>1000</v>
      </c>
      <c r="AL231" s="109">
        <f>196.39+160</f>
        <v>356.39</v>
      </c>
    </row>
    <row r="232" spans="2:39" x14ac:dyDescent="0.4">
      <c r="B232" s="209" t="s">
        <v>851</v>
      </c>
      <c r="D232" s="102" t="s">
        <v>267</v>
      </c>
      <c r="G232" s="109">
        <v>38</v>
      </c>
      <c r="I232" s="109">
        <v>26</v>
      </c>
      <c r="Q232" s="115" t="s">
        <v>948</v>
      </c>
      <c r="Y232" s="209">
        <f>50+15.19</f>
        <v>65.19</v>
      </c>
      <c r="AF232" s="109">
        <f>12.6+100+40</f>
        <v>152.6</v>
      </c>
      <c r="AG232" s="125" t="s">
        <v>1033</v>
      </c>
      <c r="AH232" s="109">
        <f t="shared" si="7"/>
        <v>281.78999999999996</v>
      </c>
    </row>
    <row r="233" spans="2:39" x14ac:dyDescent="0.4">
      <c r="B233" s="209" t="s">
        <v>845</v>
      </c>
      <c r="D233" s="102" t="s">
        <v>268</v>
      </c>
      <c r="G233" s="109">
        <v>6</v>
      </c>
      <c r="Y233" s="209">
        <v>48</v>
      </c>
      <c r="AH233" s="109">
        <f t="shared" si="7"/>
        <v>54</v>
      </c>
    </row>
    <row r="234" spans="2:39" x14ac:dyDescent="0.4">
      <c r="B234" s="209" t="s">
        <v>846</v>
      </c>
      <c r="D234" s="102" t="s">
        <v>4</v>
      </c>
      <c r="AF234" s="109">
        <v>38</v>
      </c>
      <c r="AG234" s="125" t="s">
        <v>1034</v>
      </c>
      <c r="AH234" s="109">
        <f t="shared" si="7"/>
        <v>38</v>
      </c>
    </row>
    <row r="235" spans="2:39" x14ac:dyDescent="0.4">
      <c r="B235" s="209" t="s">
        <v>847</v>
      </c>
      <c r="D235" s="102" t="s">
        <v>5</v>
      </c>
      <c r="G235" s="109">
        <v>11</v>
      </c>
      <c r="Y235" s="209">
        <v>20</v>
      </c>
      <c r="AH235" s="109">
        <f t="shared" si="7"/>
        <v>31</v>
      </c>
    </row>
    <row r="236" spans="2:39" x14ac:dyDescent="0.4">
      <c r="B236" s="209" t="s">
        <v>848</v>
      </c>
      <c r="D236" s="102" t="s">
        <v>6</v>
      </c>
      <c r="R236" s="209">
        <v>15</v>
      </c>
      <c r="Y236" s="209">
        <v>14</v>
      </c>
      <c r="AA236" s="109">
        <v>30</v>
      </c>
      <c r="AH236" s="109">
        <f t="shared" si="7"/>
        <v>59</v>
      </c>
    </row>
    <row r="237" spans="2:39" x14ac:dyDescent="0.4">
      <c r="B237" s="209" t="s">
        <v>849</v>
      </c>
      <c r="D237" s="102" t="s">
        <v>7</v>
      </c>
      <c r="R237" s="209">
        <v>42</v>
      </c>
      <c r="AH237" s="109">
        <f t="shared" si="7"/>
        <v>42</v>
      </c>
    </row>
    <row r="238" spans="2:39" x14ac:dyDescent="0.4">
      <c r="B238" s="209" t="s">
        <v>850</v>
      </c>
      <c r="D238" s="102" t="s">
        <v>8</v>
      </c>
      <c r="I238" s="109">
        <v>21</v>
      </c>
      <c r="AA238" s="109">
        <v>30</v>
      </c>
      <c r="AH238" s="109">
        <f t="shared" si="7"/>
        <v>51</v>
      </c>
    </row>
    <row r="239" spans="2:39" x14ac:dyDescent="0.4">
      <c r="B239" s="209" t="s">
        <v>851</v>
      </c>
      <c r="D239" s="102" t="s">
        <v>9</v>
      </c>
      <c r="I239" s="109">
        <v>25</v>
      </c>
      <c r="AH239" s="109">
        <f t="shared" si="7"/>
        <v>25</v>
      </c>
    </row>
    <row r="240" spans="2:39" x14ac:dyDescent="0.4">
      <c r="B240" s="209" t="s">
        <v>845</v>
      </c>
      <c r="D240" s="102" t="s">
        <v>10</v>
      </c>
      <c r="I240" s="109">
        <v>36.5</v>
      </c>
      <c r="AH240" s="109">
        <f t="shared" si="7"/>
        <v>36.5</v>
      </c>
    </row>
    <row r="241" spans="1:38" x14ac:dyDescent="0.4">
      <c r="B241" s="209" t="s">
        <v>846</v>
      </c>
      <c r="D241" s="102" t="s">
        <v>11</v>
      </c>
      <c r="I241" s="109">
        <v>19</v>
      </c>
      <c r="AH241" s="109">
        <f t="shared" si="7"/>
        <v>19</v>
      </c>
    </row>
    <row r="242" spans="1:38" x14ac:dyDescent="0.4">
      <c r="B242" s="209" t="s">
        <v>847</v>
      </c>
      <c r="D242" s="102" t="s">
        <v>12</v>
      </c>
      <c r="AH242" s="109">
        <f t="shared" si="7"/>
        <v>0</v>
      </c>
    </row>
    <row r="243" spans="1:38" x14ac:dyDescent="0.4">
      <c r="B243" s="209" t="s">
        <v>848</v>
      </c>
      <c r="D243" s="102" t="s">
        <v>13</v>
      </c>
      <c r="Y243" s="209">
        <v>50</v>
      </c>
      <c r="AA243" s="109">
        <v>20</v>
      </c>
      <c r="AH243" s="109">
        <f t="shared" si="7"/>
        <v>70</v>
      </c>
    </row>
    <row r="244" spans="1:38" s="129" customFormat="1" x14ac:dyDescent="0.4">
      <c r="A244" s="129" t="s">
        <v>852</v>
      </c>
      <c r="F244" s="130"/>
      <c r="H244" s="130"/>
      <c r="J244" s="130"/>
      <c r="L244" s="130"/>
      <c r="N244" s="123"/>
      <c r="O244" s="123"/>
      <c r="Q244" s="130"/>
      <c r="S244" s="130"/>
      <c r="U244" s="130"/>
      <c r="W244" s="130"/>
      <c r="X244" s="123"/>
      <c r="Z244" s="130"/>
      <c r="AC244" s="130"/>
      <c r="AE244" s="130"/>
      <c r="AG244" s="130"/>
      <c r="AH244" s="131">
        <f>SUM(AH214:AH243)</f>
        <v>2261.4499999999998</v>
      </c>
    </row>
    <row r="246" spans="1:38" s="121" customFormat="1" x14ac:dyDescent="0.4">
      <c r="A246" s="121" t="s">
        <v>853</v>
      </c>
      <c r="F246" s="122"/>
      <c r="H246" s="122"/>
      <c r="J246" s="122"/>
      <c r="L246" s="122"/>
      <c r="N246" s="123"/>
      <c r="O246" s="123"/>
      <c r="Q246" s="122"/>
      <c r="S246" s="122"/>
      <c r="U246" s="122"/>
      <c r="W246" s="122"/>
      <c r="X246" s="123"/>
      <c r="Z246" s="122"/>
      <c r="AC246" s="122"/>
      <c r="AE246" s="122"/>
      <c r="AG246" s="122"/>
      <c r="AH246" s="109"/>
    </row>
    <row r="247" spans="1:38" x14ac:dyDescent="0.4">
      <c r="B247" s="209" t="s">
        <v>849</v>
      </c>
      <c r="D247" s="124" t="s">
        <v>269</v>
      </c>
      <c r="E247" s="109">
        <v>22</v>
      </c>
      <c r="F247" s="124"/>
      <c r="H247" s="124"/>
      <c r="R247" s="209">
        <v>18</v>
      </c>
      <c r="Y247" s="209">
        <f>50+13+24</f>
        <v>87</v>
      </c>
      <c r="AA247" s="109">
        <v>10</v>
      </c>
      <c r="AH247" s="109">
        <f t="shared" ref="AH247:AH277" si="8">SUM(E247,G247,I247,K247,M247,R247,T247,V247,Y247,X247,AA247,AB247,AD247,AF247)</f>
        <v>137</v>
      </c>
    </row>
    <row r="248" spans="1:38" x14ac:dyDescent="0.4">
      <c r="B248" s="209" t="s">
        <v>850</v>
      </c>
      <c r="D248" s="124" t="s">
        <v>270</v>
      </c>
      <c r="F248" s="124"/>
      <c r="H248" s="124"/>
      <c r="Y248" s="209">
        <v>14.57</v>
      </c>
      <c r="AH248" s="109">
        <f t="shared" si="8"/>
        <v>14.57</v>
      </c>
    </row>
    <row r="249" spans="1:38" x14ac:dyDescent="0.4">
      <c r="B249" s="209" t="s">
        <v>851</v>
      </c>
      <c r="D249" s="124" t="s">
        <v>271</v>
      </c>
      <c r="F249" s="124"/>
      <c r="H249" s="124"/>
      <c r="AH249" s="109">
        <f t="shared" si="8"/>
        <v>0</v>
      </c>
      <c r="AL249" s="109">
        <v>357</v>
      </c>
    </row>
    <row r="250" spans="1:38" x14ac:dyDescent="0.4">
      <c r="B250" s="209" t="s">
        <v>845</v>
      </c>
      <c r="D250" s="124" t="s">
        <v>272</v>
      </c>
      <c r="F250" s="124"/>
      <c r="H250" s="124"/>
      <c r="AF250" s="109">
        <v>17.8</v>
      </c>
      <c r="AG250" s="125" t="s">
        <v>1035</v>
      </c>
      <c r="AH250" s="109">
        <f t="shared" si="8"/>
        <v>17.8</v>
      </c>
    </row>
    <row r="251" spans="1:38" x14ac:dyDescent="0.4">
      <c r="B251" s="209" t="s">
        <v>846</v>
      </c>
      <c r="D251" s="124" t="s">
        <v>273</v>
      </c>
      <c r="F251" s="124"/>
      <c r="H251" s="124"/>
      <c r="AH251" s="109">
        <f t="shared" si="8"/>
        <v>0</v>
      </c>
    </row>
    <row r="252" spans="1:38" x14ac:dyDescent="0.4">
      <c r="B252" s="209" t="s">
        <v>847</v>
      </c>
      <c r="D252" s="124" t="s">
        <v>274</v>
      </c>
      <c r="F252" s="124"/>
      <c r="H252" s="124"/>
      <c r="I252" s="109">
        <v>36</v>
      </c>
      <c r="Q252" s="115" t="s">
        <v>948</v>
      </c>
      <c r="AH252" s="109">
        <f t="shared" si="8"/>
        <v>36</v>
      </c>
    </row>
    <row r="253" spans="1:38" x14ac:dyDescent="0.4">
      <c r="B253" s="209" t="s">
        <v>848</v>
      </c>
      <c r="D253" s="124" t="s">
        <v>275</v>
      </c>
      <c r="F253" s="124"/>
      <c r="H253" s="124"/>
      <c r="AH253" s="109">
        <f t="shared" si="8"/>
        <v>0</v>
      </c>
    </row>
    <row r="254" spans="1:38" x14ac:dyDescent="0.4">
      <c r="B254" s="209" t="s">
        <v>849</v>
      </c>
      <c r="D254" s="124" t="s">
        <v>276</v>
      </c>
      <c r="E254" s="109">
        <v>6</v>
      </c>
      <c r="F254" s="124"/>
      <c r="H254" s="124"/>
      <c r="I254" s="109">
        <v>23</v>
      </c>
      <c r="Q254" s="115" t="s">
        <v>948</v>
      </c>
      <c r="AA254" s="109">
        <v>10</v>
      </c>
      <c r="AH254" s="109">
        <f t="shared" si="8"/>
        <v>39</v>
      </c>
      <c r="AL254" s="109">
        <v>175</v>
      </c>
    </row>
    <row r="255" spans="1:38" x14ac:dyDescent="0.4">
      <c r="B255" s="209" t="s">
        <v>850</v>
      </c>
      <c r="D255" s="124" t="s">
        <v>277</v>
      </c>
      <c r="E255" s="109">
        <v>6</v>
      </c>
      <c r="F255" s="124"/>
      <c r="H255" s="124"/>
      <c r="AH255" s="109">
        <f t="shared" si="8"/>
        <v>6</v>
      </c>
    </row>
    <row r="256" spans="1:38" x14ac:dyDescent="0.4">
      <c r="B256" s="209" t="s">
        <v>851</v>
      </c>
      <c r="D256" s="124" t="s">
        <v>278</v>
      </c>
      <c r="E256" s="109">
        <v>6</v>
      </c>
      <c r="F256" s="124"/>
      <c r="H256" s="124"/>
      <c r="AH256" s="109">
        <f t="shared" si="8"/>
        <v>6</v>
      </c>
    </row>
    <row r="257" spans="2:38" x14ac:dyDescent="0.4">
      <c r="B257" s="209" t="s">
        <v>845</v>
      </c>
      <c r="D257" s="124" t="s">
        <v>279</v>
      </c>
      <c r="E257" s="109">
        <v>6</v>
      </c>
      <c r="F257" s="124"/>
      <c r="H257" s="124"/>
      <c r="AH257" s="109">
        <f t="shared" si="8"/>
        <v>6</v>
      </c>
    </row>
    <row r="258" spans="2:38" x14ac:dyDescent="0.4">
      <c r="B258" s="209" t="s">
        <v>846</v>
      </c>
      <c r="D258" s="124" t="s">
        <v>280</v>
      </c>
      <c r="E258" s="109">
        <v>6</v>
      </c>
      <c r="F258" s="124"/>
      <c r="H258" s="124"/>
      <c r="AA258" s="109">
        <v>10</v>
      </c>
      <c r="AH258" s="109">
        <f t="shared" si="8"/>
        <v>16</v>
      </c>
    </row>
    <row r="259" spans="2:38" x14ac:dyDescent="0.4">
      <c r="B259" s="209" t="s">
        <v>847</v>
      </c>
      <c r="D259" s="124" t="s">
        <v>281</v>
      </c>
      <c r="E259" s="109">
        <v>8</v>
      </c>
      <c r="F259" s="124"/>
      <c r="H259" s="124"/>
      <c r="R259" s="209">
        <v>18</v>
      </c>
      <c r="S259" s="115" t="s">
        <v>973</v>
      </c>
      <c r="AH259" s="109">
        <f t="shared" si="8"/>
        <v>26</v>
      </c>
    </row>
    <row r="260" spans="2:38" x14ac:dyDescent="0.4">
      <c r="B260" s="209" t="s">
        <v>848</v>
      </c>
      <c r="D260" s="124" t="s">
        <v>18</v>
      </c>
      <c r="E260" s="109">
        <v>6</v>
      </c>
      <c r="F260" s="124"/>
      <c r="H260" s="124"/>
      <c r="AH260" s="109">
        <f t="shared" si="8"/>
        <v>6</v>
      </c>
    </row>
    <row r="261" spans="2:38" x14ac:dyDescent="0.4">
      <c r="B261" s="209" t="s">
        <v>849</v>
      </c>
      <c r="D261" s="124" t="s">
        <v>19</v>
      </c>
      <c r="E261" s="109">
        <v>8.5</v>
      </c>
      <c r="F261" s="124"/>
      <c r="G261" s="109">
        <v>19</v>
      </c>
      <c r="H261" s="124"/>
      <c r="R261" s="209">
        <v>10</v>
      </c>
      <c r="S261" s="115" t="s">
        <v>973</v>
      </c>
      <c r="AH261" s="109">
        <f t="shared" si="8"/>
        <v>37.5</v>
      </c>
      <c r="AL261" s="109">
        <v>196.39</v>
      </c>
    </row>
    <row r="262" spans="2:38" x14ac:dyDescent="0.4">
      <c r="B262" s="209" t="s">
        <v>850</v>
      </c>
      <c r="D262" s="124" t="s">
        <v>20</v>
      </c>
      <c r="E262" s="109">
        <v>6</v>
      </c>
      <c r="F262" s="124"/>
      <c r="H262" s="124"/>
      <c r="I262" s="109">
        <v>22.5</v>
      </c>
      <c r="AA262" s="109">
        <v>10</v>
      </c>
      <c r="AH262" s="109">
        <f t="shared" si="8"/>
        <v>38.5</v>
      </c>
    </row>
    <row r="263" spans="2:38" x14ac:dyDescent="0.4">
      <c r="B263" s="209" t="s">
        <v>851</v>
      </c>
      <c r="D263" s="124" t="s">
        <v>21</v>
      </c>
      <c r="E263" s="109">
        <v>8.5</v>
      </c>
      <c r="F263" s="124"/>
      <c r="H263" s="124"/>
      <c r="AH263" s="109">
        <f t="shared" si="8"/>
        <v>8.5</v>
      </c>
    </row>
    <row r="264" spans="2:38" x14ac:dyDescent="0.4">
      <c r="B264" s="209" t="s">
        <v>845</v>
      </c>
      <c r="D264" s="124" t="s">
        <v>22</v>
      </c>
      <c r="E264" s="109">
        <v>6</v>
      </c>
      <c r="F264" s="124"/>
      <c r="H264" s="124"/>
      <c r="I264" s="109">
        <v>23</v>
      </c>
      <c r="AH264" s="109">
        <f t="shared" si="8"/>
        <v>29</v>
      </c>
      <c r="AL264" s="109">
        <v>175.68</v>
      </c>
    </row>
    <row r="265" spans="2:38" x14ac:dyDescent="0.4">
      <c r="B265" s="209" t="s">
        <v>846</v>
      </c>
      <c r="D265" s="124" t="s">
        <v>23</v>
      </c>
      <c r="E265" s="109">
        <v>6</v>
      </c>
      <c r="F265" s="124"/>
      <c r="H265" s="124"/>
      <c r="AH265" s="109">
        <f t="shared" si="8"/>
        <v>6</v>
      </c>
    </row>
    <row r="266" spans="2:38" x14ac:dyDescent="0.4">
      <c r="B266" s="209" t="s">
        <v>847</v>
      </c>
      <c r="D266" s="124" t="s">
        <v>24</v>
      </c>
      <c r="E266" s="109">
        <v>6</v>
      </c>
      <c r="F266" s="124"/>
      <c r="H266" s="124"/>
      <c r="AF266" s="109">
        <v>12.6</v>
      </c>
      <c r="AG266" s="125" t="s">
        <v>1036</v>
      </c>
      <c r="AH266" s="109">
        <f t="shared" si="8"/>
        <v>18.600000000000001</v>
      </c>
    </row>
    <row r="267" spans="2:38" x14ac:dyDescent="0.4">
      <c r="B267" s="209" t="s">
        <v>848</v>
      </c>
      <c r="D267" s="124" t="s">
        <v>25</v>
      </c>
      <c r="E267" s="109">
        <v>7</v>
      </c>
      <c r="F267" s="124"/>
      <c r="H267" s="124"/>
      <c r="AA267" s="109">
        <v>10</v>
      </c>
      <c r="AH267" s="109">
        <f t="shared" si="8"/>
        <v>17</v>
      </c>
    </row>
    <row r="268" spans="2:38" x14ac:dyDescent="0.4">
      <c r="B268" s="209" t="s">
        <v>849</v>
      </c>
      <c r="D268" s="124" t="s">
        <v>26</v>
      </c>
      <c r="E268" s="109">
        <v>6</v>
      </c>
      <c r="F268" s="124"/>
      <c r="H268" s="124"/>
      <c r="I268" s="109">
        <v>19</v>
      </c>
      <c r="Q268" s="115" t="s">
        <v>897</v>
      </c>
      <c r="R268" s="209">
        <v>17</v>
      </c>
      <c r="S268" s="115" t="s">
        <v>973</v>
      </c>
      <c r="AH268" s="109">
        <f t="shared" si="8"/>
        <v>42</v>
      </c>
    </row>
    <row r="269" spans="2:38" x14ac:dyDescent="0.4">
      <c r="B269" s="209" t="s">
        <v>850</v>
      </c>
      <c r="D269" s="124" t="s">
        <v>27</v>
      </c>
      <c r="E269" s="109">
        <v>6</v>
      </c>
      <c r="F269" s="124"/>
      <c r="H269" s="124"/>
      <c r="R269" s="209">
        <v>18</v>
      </c>
      <c r="S269" s="115" t="s">
        <v>973</v>
      </c>
      <c r="AH269" s="109">
        <f t="shared" si="8"/>
        <v>24</v>
      </c>
    </row>
    <row r="270" spans="2:38" x14ac:dyDescent="0.4">
      <c r="B270" s="209" t="s">
        <v>851</v>
      </c>
      <c r="D270" s="124" t="s">
        <v>28</v>
      </c>
      <c r="E270" s="109">
        <v>6</v>
      </c>
      <c r="F270" s="124"/>
      <c r="H270" s="124"/>
      <c r="I270" s="109">
        <v>22.4</v>
      </c>
      <c r="AF270" s="109">
        <v>58</v>
      </c>
      <c r="AG270" s="125" t="s">
        <v>1037</v>
      </c>
      <c r="AH270" s="109">
        <f t="shared" si="8"/>
        <v>86.4</v>
      </c>
    </row>
    <row r="271" spans="2:38" x14ac:dyDescent="0.4">
      <c r="B271" s="209" t="s">
        <v>845</v>
      </c>
      <c r="D271" s="124" t="s">
        <v>29</v>
      </c>
      <c r="E271" s="109">
        <v>6</v>
      </c>
      <c r="F271" s="124"/>
      <c r="H271" s="124"/>
      <c r="AH271" s="109">
        <f t="shared" si="8"/>
        <v>6</v>
      </c>
    </row>
    <row r="272" spans="2:38" x14ac:dyDescent="0.4">
      <c r="B272" s="209" t="s">
        <v>846</v>
      </c>
      <c r="D272" s="124" t="s">
        <v>30</v>
      </c>
      <c r="E272" s="109">
        <v>6</v>
      </c>
      <c r="F272" s="124"/>
      <c r="G272" s="109">
        <v>25</v>
      </c>
      <c r="H272" s="124"/>
      <c r="Q272" s="115" t="s">
        <v>949</v>
      </c>
      <c r="AA272" s="109">
        <v>10</v>
      </c>
      <c r="AH272" s="109">
        <f t="shared" si="8"/>
        <v>41</v>
      </c>
    </row>
    <row r="273" spans="1:38" x14ac:dyDescent="0.4">
      <c r="B273" s="209" t="s">
        <v>847</v>
      </c>
      <c r="D273" s="124" t="s">
        <v>31</v>
      </c>
      <c r="E273" s="109">
        <v>6</v>
      </c>
      <c r="F273" s="124"/>
      <c r="H273" s="124"/>
      <c r="I273" s="109">
        <v>18</v>
      </c>
      <c r="AH273" s="109">
        <f t="shared" si="8"/>
        <v>24</v>
      </c>
    </row>
    <row r="274" spans="1:38" x14ac:dyDescent="0.4">
      <c r="B274" s="209" t="s">
        <v>848</v>
      </c>
      <c r="D274" s="124" t="s">
        <v>283</v>
      </c>
      <c r="E274" s="109">
        <v>6</v>
      </c>
      <c r="F274" s="124"/>
      <c r="H274" s="124"/>
      <c r="R274" s="209">
        <v>10</v>
      </c>
      <c r="S274" s="115" t="s">
        <v>973</v>
      </c>
      <c r="AF274" s="109">
        <v>22</v>
      </c>
      <c r="AG274" s="125" t="s">
        <v>1038</v>
      </c>
      <c r="AH274" s="109">
        <f t="shared" si="8"/>
        <v>38</v>
      </c>
    </row>
    <row r="275" spans="1:38" x14ac:dyDescent="0.4">
      <c r="B275" s="209" t="s">
        <v>849</v>
      </c>
      <c r="D275" s="124" t="s">
        <v>33</v>
      </c>
      <c r="E275" s="109">
        <v>6</v>
      </c>
      <c r="F275" s="124"/>
      <c r="H275" s="124"/>
      <c r="R275" s="209">
        <v>18</v>
      </c>
      <c r="S275" s="115" t="s">
        <v>973</v>
      </c>
      <c r="AH275" s="109">
        <f t="shared" si="8"/>
        <v>24</v>
      </c>
    </row>
    <row r="276" spans="1:38" x14ac:dyDescent="0.4">
      <c r="B276" s="209" t="s">
        <v>850</v>
      </c>
      <c r="D276" s="124" t="s">
        <v>34</v>
      </c>
      <c r="E276" s="109">
        <v>6</v>
      </c>
      <c r="F276" s="124"/>
      <c r="H276" s="124"/>
      <c r="AH276" s="109">
        <f t="shared" si="8"/>
        <v>6</v>
      </c>
    </row>
    <row r="277" spans="1:38" x14ac:dyDescent="0.4">
      <c r="B277" s="209" t="s">
        <v>851</v>
      </c>
      <c r="D277" s="124" t="s">
        <v>35</v>
      </c>
      <c r="E277" s="109">
        <v>6</v>
      </c>
      <c r="F277" s="124"/>
      <c r="H277" s="124"/>
      <c r="R277" s="209">
        <v>16</v>
      </c>
      <c r="S277" s="115" t="s">
        <v>973</v>
      </c>
      <c r="AH277" s="109">
        <f t="shared" si="8"/>
        <v>22</v>
      </c>
    </row>
    <row r="278" spans="1:38" s="129" customFormat="1" x14ac:dyDescent="0.4">
      <c r="A278" s="129" t="s">
        <v>861</v>
      </c>
      <c r="F278" s="130"/>
      <c r="H278" s="130"/>
      <c r="J278" s="130"/>
      <c r="L278" s="130"/>
      <c r="N278" s="123"/>
      <c r="O278" s="123"/>
      <c r="Q278" s="130"/>
      <c r="S278" s="130"/>
      <c r="U278" s="130"/>
      <c r="W278" s="130"/>
      <c r="X278" s="123"/>
      <c r="Z278" s="130"/>
      <c r="AC278" s="130"/>
      <c r="AE278" s="130"/>
      <c r="AG278" s="130"/>
      <c r="AH278" s="131">
        <f>SUM(AH247:AH277)</f>
        <v>778.87</v>
      </c>
    </row>
    <row r="279" spans="1:38" x14ac:dyDescent="0.4">
      <c r="D279" s="124"/>
      <c r="F279" s="124"/>
      <c r="H279" s="124"/>
    </row>
    <row r="280" spans="1:38" s="121" customFormat="1" x14ac:dyDescent="0.4">
      <c r="A280" s="121" t="s">
        <v>862</v>
      </c>
      <c r="F280" s="122"/>
      <c r="H280" s="122"/>
      <c r="J280" s="122"/>
      <c r="L280" s="122"/>
      <c r="N280" s="123"/>
      <c r="O280" s="123"/>
      <c r="Q280" s="122"/>
      <c r="S280" s="122"/>
      <c r="U280" s="122"/>
      <c r="W280" s="122"/>
      <c r="X280" s="123"/>
      <c r="Z280" s="122"/>
      <c r="AC280" s="122"/>
      <c r="AE280" s="122"/>
      <c r="AG280" s="122"/>
      <c r="AH280" s="109"/>
    </row>
    <row r="281" spans="1:38" x14ac:dyDescent="0.4">
      <c r="B281" s="209" t="s">
        <v>845</v>
      </c>
      <c r="D281" s="124" t="s">
        <v>282</v>
      </c>
      <c r="E281" s="109">
        <v>8</v>
      </c>
      <c r="F281" s="124"/>
      <c r="H281" s="124"/>
      <c r="R281" s="209">
        <v>13</v>
      </c>
      <c r="S281" s="115" t="s">
        <v>973</v>
      </c>
      <c r="AH281" s="109">
        <f t="shared" ref="AH281:AH311" si="9">SUM(E281,G281,I281,K281,M281,R281,T281,V281,Y281,X281,AA281,AB281,AD281,AF281)</f>
        <v>21</v>
      </c>
    </row>
    <row r="282" spans="1:38" x14ac:dyDescent="0.4">
      <c r="B282" s="209" t="s">
        <v>846</v>
      </c>
      <c r="D282" s="124" t="s">
        <v>284</v>
      </c>
      <c r="E282" s="109">
        <v>8</v>
      </c>
      <c r="F282" s="124"/>
      <c r="H282" s="124"/>
      <c r="AH282" s="109">
        <f t="shared" si="9"/>
        <v>8</v>
      </c>
    </row>
    <row r="283" spans="1:38" x14ac:dyDescent="0.4">
      <c r="B283" s="209" t="s">
        <v>847</v>
      </c>
      <c r="D283" s="124" t="s">
        <v>285</v>
      </c>
      <c r="E283" s="109">
        <v>9.5</v>
      </c>
      <c r="F283" s="124"/>
      <c r="G283" s="109">
        <v>21</v>
      </c>
      <c r="H283" s="124"/>
      <c r="I283" s="109">
        <v>30</v>
      </c>
      <c r="Q283" s="115" t="s">
        <v>897</v>
      </c>
      <c r="R283" s="209">
        <v>15</v>
      </c>
      <c r="S283" s="115" t="s">
        <v>973</v>
      </c>
      <c r="Y283" s="209">
        <f>14.55+11.53</f>
        <v>26.08</v>
      </c>
      <c r="AH283" s="109">
        <f t="shared" si="9"/>
        <v>101.58</v>
      </c>
    </row>
    <row r="284" spans="1:38" x14ac:dyDescent="0.4">
      <c r="B284" s="209" t="s">
        <v>848</v>
      </c>
      <c r="D284" s="124" t="s">
        <v>39</v>
      </c>
      <c r="E284" s="109">
        <v>7.5</v>
      </c>
      <c r="F284" s="124"/>
      <c r="H284" s="124"/>
      <c r="AF284" s="109">
        <v>7</v>
      </c>
      <c r="AG284" s="125" t="s">
        <v>1039</v>
      </c>
      <c r="AH284" s="109">
        <f t="shared" si="9"/>
        <v>14.5</v>
      </c>
      <c r="AL284" s="109">
        <v>172</v>
      </c>
    </row>
    <row r="285" spans="1:38" x14ac:dyDescent="0.4">
      <c r="B285" s="209" t="s">
        <v>849</v>
      </c>
      <c r="D285" s="124" t="s">
        <v>40</v>
      </c>
      <c r="E285" s="109">
        <v>8</v>
      </c>
      <c r="F285" s="124"/>
      <c r="H285" s="124"/>
      <c r="R285" s="209">
        <v>12</v>
      </c>
      <c r="S285" s="115" t="s">
        <v>973</v>
      </c>
      <c r="AH285" s="109">
        <f t="shared" si="9"/>
        <v>20</v>
      </c>
    </row>
    <row r="286" spans="1:38" x14ac:dyDescent="0.4">
      <c r="B286" s="209" t="s">
        <v>850</v>
      </c>
      <c r="D286" s="124" t="s">
        <v>41</v>
      </c>
      <c r="E286" s="109">
        <v>7.5</v>
      </c>
      <c r="F286" s="124"/>
      <c r="H286" s="124"/>
      <c r="AH286" s="109">
        <f t="shared" si="9"/>
        <v>7.5</v>
      </c>
      <c r="AK286" s="209">
        <v>2000</v>
      </c>
      <c r="AL286" s="109">
        <v>176.59</v>
      </c>
    </row>
    <row r="287" spans="1:38" x14ac:dyDescent="0.4">
      <c r="B287" s="209" t="s">
        <v>851</v>
      </c>
      <c r="D287" s="124" t="s">
        <v>42</v>
      </c>
      <c r="E287" s="109">
        <v>8</v>
      </c>
      <c r="F287" s="124"/>
      <c r="H287" s="124"/>
      <c r="I287" s="109">
        <v>8</v>
      </c>
      <c r="Q287" s="115" t="s">
        <v>897</v>
      </c>
      <c r="AF287" s="109">
        <v>37</v>
      </c>
      <c r="AG287" s="125" t="s">
        <v>1040</v>
      </c>
      <c r="AH287" s="109">
        <f t="shared" si="9"/>
        <v>53</v>
      </c>
    </row>
    <row r="288" spans="1:38" x14ac:dyDescent="0.4">
      <c r="B288" s="209" t="s">
        <v>845</v>
      </c>
      <c r="D288" s="124" t="s">
        <v>43</v>
      </c>
      <c r="E288" s="109">
        <v>6</v>
      </c>
      <c r="F288" s="124"/>
      <c r="H288" s="124"/>
      <c r="AF288" s="109">
        <v>6</v>
      </c>
      <c r="AG288" s="125" t="s">
        <v>1040</v>
      </c>
      <c r="AH288" s="109">
        <f t="shared" si="9"/>
        <v>12</v>
      </c>
    </row>
    <row r="289" spans="2:40" x14ac:dyDescent="0.4">
      <c r="B289" s="209" t="s">
        <v>846</v>
      </c>
      <c r="D289" s="124" t="s">
        <v>44</v>
      </c>
      <c r="E289" s="109">
        <v>6</v>
      </c>
      <c r="F289" s="124"/>
      <c r="G289" s="109">
        <v>13</v>
      </c>
      <c r="H289" s="124"/>
      <c r="Y289" s="209">
        <v>10.19</v>
      </c>
      <c r="AH289" s="109">
        <f t="shared" si="9"/>
        <v>29.189999999999998</v>
      </c>
    </row>
    <row r="290" spans="2:40" x14ac:dyDescent="0.4">
      <c r="B290" s="209" t="s">
        <v>847</v>
      </c>
      <c r="D290" s="124" t="s">
        <v>45</v>
      </c>
      <c r="E290" s="109">
        <v>6</v>
      </c>
      <c r="F290" s="124"/>
      <c r="H290" s="124"/>
      <c r="AH290" s="109">
        <f t="shared" si="9"/>
        <v>6</v>
      </c>
    </row>
    <row r="291" spans="2:40" x14ac:dyDescent="0.4">
      <c r="B291" s="209" t="s">
        <v>848</v>
      </c>
      <c r="D291" s="124" t="s">
        <v>46</v>
      </c>
      <c r="E291" s="109">
        <v>6</v>
      </c>
      <c r="F291" s="124"/>
      <c r="H291" s="124"/>
      <c r="AH291" s="109">
        <f t="shared" si="9"/>
        <v>6</v>
      </c>
      <c r="AI291" s="110">
        <v>4500</v>
      </c>
    </row>
    <row r="292" spans="2:40" x14ac:dyDescent="0.4">
      <c r="B292" s="209" t="s">
        <v>849</v>
      </c>
      <c r="D292" s="124" t="s">
        <v>47</v>
      </c>
      <c r="F292" s="124"/>
      <c r="G292" s="109">
        <v>36</v>
      </c>
      <c r="H292" s="124"/>
      <c r="Q292" s="115" t="s">
        <v>897</v>
      </c>
      <c r="AH292" s="109">
        <f t="shared" si="9"/>
        <v>36</v>
      </c>
      <c r="AL292" s="109">
        <v>20006</v>
      </c>
      <c r="AN292" s="209" t="s">
        <v>286</v>
      </c>
    </row>
    <row r="293" spans="2:40" x14ac:dyDescent="0.4">
      <c r="B293" s="209" t="s">
        <v>850</v>
      </c>
      <c r="D293" s="124" t="s">
        <v>48</v>
      </c>
      <c r="F293" s="124"/>
      <c r="H293" s="124"/>
      <c r="AH293" s="109">
        <f t="shared" si="9"/>
        <v>0</v>
      </c>
    </row>
    <row r="294" spans="2:40" x14ac:dyDescent="0.4">
      <c r="B294" s="209" t="s">
        <v>851</v>
      </c>
      <c r="D294" s="124" t="s">
        <v>49</v>
      </c>
      <c r="E294" s="109">
        <v>18</v>
      </c>
      <c r="F294" s="124"/>
      <c r="H294" s="124"/>
      <c r="AH294" s="109">
        <f t="shared" si="9"/>
        <v>18</v>
      </c>
    </row>
    <row r="295" spans="2:40" x14ac:dyDescent="0.4">
      <c r="B295" s="209" t="s">
        <v>845</v>
      </c>
      <c r="D295" s="124" t="s">
        <v>50</v>
      </c>
      <c r="F295" s="124"/>
      <c r="H295" s="124"/>
      <c r="AH295" s="109">
        <f t="shared" si="9"/>
        <v>0</v>
      </c>
    </row>
    <row r="296" spans="2:40" x14ac:dyDescent="0.4">
      <c r="B296" s="209" t="s">
        <v>846</v>
      </c>
      <c r="D296" s="124" t="s">
        <v>51</v>
      </c>
      <c r="F296" s="124"/>
      <c r="H296" s="124"/>
      <c r="R296" s="209">
        <v>7.3</v>
      </c>
      <c r="AF296" s="109">
        <v>20</v>
      </c>
      <c r="AG296" s="125" t="s">
        <v>1041</v>
      </c>
      <c r="AH296" s="109">
        <f t="shared" si="9"/>
        <v>27.3</v>
      </c>
    </row>
    <row r="297" spans="2:40" x14ac:dyDescent="0.4">
      <c r="B297" s="209" t="s">
        <v>847</v>
      </c>
      <c r="D297" s="124" t="s">
        <v>52</v>
      </c>
      <c r="F297" s="124"/>
      <c r="H297" s="124"/>
      <c r="R297" s="209">
        <v>15</v>
      </c>
      <c r="S297" s="115" t="s">
        <v>973</v>
      </c>
      <c r="AH297" s="109">
        <f t="shared" si="9"/>
        <v>15</v>
      </c>
      <c r="AL297" s="109">
        <f>196.39+175.68</f>
        <v>372.07</v>
      </c>
    </row>
    <row r="298" spans="2:40" x14ac:dyDescent="0.4">
      <c r="B298" s="209" t="s">
        <v>848</v>
      </c>
      <c r="D298" s="124" t="s">
        <v>53</v>
      </c>
      <c r="F298" s="124"/>
      <c r="H298" s="124"/>
      <c r="AF298" s="109">
        <v>29</v>
      </c>
      <c r="AG298" s="125" t="s">
        <v>975</v>
      </c>
      <c r="AH298" s="109">
        <f t="shared" si="9"/>
        <v>29</v>
      </c>
    </row>
    <row r="299" spans="2:40" x14ac:dyDescent="0.4">
      <c r="B299" s="209" t="s">
        <v>849</v>
      </c>
      <c r="D299" s="124" t="s">
        <v>54</v>
      </c>
      <c r="F299" s="124"/>
      <c r="H299" s="124"/>
      <c r="AH299" s="109">
        <f t="shared" si="9"/>
        <v>0</v>
      </c>
    </row>
    <row r="300" spans="2:40" x14ac:dyDescent="0.4">
      <c r="B300" s="209" t="s">
        <v>850</v>
      </c>
      <c r="D300" s="124" t="s">
        <v>55</v>
      </c>
      <c r="F300" s="124"/>
      <c r="H300" s="124"/>
      <c r="R300" s="209">
        <v>15</v>
      </c>
      <c r="S300" s="115" t="s">
        <v>973</v>
      </c>
      <c r="AF300" s="109">
        <v>12.6</v>
      </c>
      <c r="AG300" s="125" t="s">
        <v>1042</v>
      </c>
      <c r="AH300" s="109">
        <f t="shared" si="9"/>
        <v>27.6</v>
      </c>
    </row>
    <row r="301" spans="2:40" x14ac:dyDescent="0.4">
      <c r="B301" s="209" t="s">
        <v>851</v>
      </c>
      <c r="D301" s="124" t="s">
        <v>56</v>
      </c>
      <c r="F301" s="124"/>
      <c r="H301" s="124"/>
      <c r="AH301" s="109">
        <f t="shared" si="9"/>
        <v>0</v>
      </c>
    </row>
    <row r="302" spans="2:40" x14ac:dyDescent="0.4">
      <c r="B302" s="209" t="s">
        <v>845</v>
      </c>
      <c r="D302" s="124" t="s">
        <v>57</v>
      </c>
      <c r="F302" s="124"/>
      <c r="H302" s="124"/>
      <c r="AA302" s="109">
        <v>10</v>
      </c>
      <c r="AH302" s="109">
        <f t="shared" si="9"/>
        <v>10</v>
      </c>
    </row>
    <row r="303" spans="2:40" x14ac:dyDescent="0.4">
      <c r="B303" s="209" t="s">
        <v>846</v>
      </c>
      <c r="D303" s="124" t="s">
        <v>58</v>
      </c>
      <c r="F303" s="124"/>
      <c r="H303" s="124"/>
      <c r="R303" s="209">
        <v>5.0999999999999996</v>
      </c>
      <c r="S303" s="115" t="s">
        <v>974</v>
      </c>
      <c r="AH303" s="109">
        <f t="shared" si="9"/>
        <v>5.0999999999999996</v>
      </c>
    </row>
    <row r="304" spans="2:40" x14ac:dyDescent="0.4">
      <c r="B304" s="209" t="s">
        <v>847</v>
      </c>
      <c r="D304" s="124" t="s">
        <v>59</v>
      </c>
      <c r="F304" s="124"/>
      <c r="H304" s="124"/>
      <c r="Y304" s="209">
        <f>13.29+11.69</f>
        <v>24.979999999999997</v>
      </c>
      <c r="AH304" s="109">
        <f t="shared" si="9"/>
        <v>24.979999999999997</v>
      </c>
    </row>
    <row r="305" spans="1:34" x14ac:dyDescent="0.4">
      <c r="B305" s="209" t="s">
        <v>848</v>
      </c>
      <c r="D305" s="124" t="s">
        <v>60</v>
      </c>
      <c r="F305" s="124"/>
      <c r="H305" s="124"/>
      <c r="AF305" s="109">
        <f>13+12</f>
        <v>25</v>
      </c>
      <c r="AG305" s="125" t="s">
        <v>1043</v>
      </c>
      <c r="AH305" s="109">
        <f t="shared" si="9"/>
        <v>25</v>
      </c>
    </row>
    <row r="306" spans="1:34" x14ac:dyDescent="0.4">
      <c r="B306" s="209" t="s">
        <v>849</v>
      </c>
      <c r="D306" s="124" t="s">
        <v>61</v>
      </c>
      <c r="F306" s="124"/>
      <c r="H306" s="124"/>
      <c r="AF306" s="109">
        <v>58</v>
      </c>
      <c r="AG306" s="125" t="s">
        <v>1037</v>
      </c>
      <c r="AH306" s="109">
        <f t="shared" si="9"/>
        <v>58</v>
      </c>
    </row>
    <row r="307" spans="1:34" x14ac:dyDescent="0.4">
      <c r="B307" s="209" t="s">
        <v>850</v>
      </c>
      <c r="D307" s="124" t="s">
        <v>62</v>
      </c>
      <c r="F307" s="124"/>
      <c r="H307" s="124"/>
      <c r="AF307" s="109">
        <f>78+78</f>
        <v>156</v>
      </c>
      <c r="AG307" s="125" t="s">
        <v>902</v>
      </c>
      <c r="AH307" s="109">
        <f t="shared" si="9"/>
        <v>156</v>
      </c>
    </row>
    <row r="308" spans="1:34" x14ac:dyDescent="0.4">
      <c r="B308" s="209" t="s">
        <v>851</v>
      </c>
      <c r="D308" s="124" t="s">
        <v>63</v>
      </c>
      <c r="F308" s="124"/>
      <c r="H308" s="124"/>
      <c r="AF308" s="109">
        <v>49</v>
      </c>
      <c r="AG308" s="125" t="s">
        <v>918</v>
      </c>
      <c r="AH308" s="109">
        <f t="shared" si="9"/>
        <v>49</v>
      </c>
    </row>
    <row r="309" spans="1:34" x14ac:dyDescent="0.4">
      <c r="B309" s="209" t="s">
        <v>845</v>
      </c>
      <c r="D309" s="124" t="s">
        <v>64</v>
      </c>
      <c r="F309" s="124"/>
      <c r="H309" s="124"/>
      <c r="AH309" s="109">
        <f t="shared" si="9"/>
        <v>0</v>
      </c>
    </row>
    <row r="310" spans="1:34" x14ac:dyDescent="0.4">
      <c r="B310" s="209" t="s">
        <v>846</v>
      </c>
      <c r="D310" s="124" t="s">
        <v>65</v>
      </c>
      <c r="F310" s="124"/>
      <c r="H310" s="124"/>
      <c r="R310" s="209">
        <v>15</v>
      </c>
      <c r="S310" s="115" t="s">
        <v>973</v>
      </c>
      <c r="AA310" s="109">
        <v>10</v>
      </c>
      <c r="AH310" s="109">
        <f t="shared" si="9"/>
        <v>25</v>
      </c>
    </row>
    <row r="311" spans="1:34" x14ac:dyDescent="0.4">
      <c r="B311" s="209" t="s">
        <v>847</v>
      </c>
      <c r="D311" s="124" t="s">
        <v>66</v>
      </c>
      <c r="F311" s="124"/>
      <c r="H311" s="124"/>
      <c r="AF311" s="109">
        <v>100</v>
      </c>
      <c r="AG311" s="125" t="s">
        <v>1044</v>
      </c>
      <c r="AH311" s="109">
        <f t="shared" si="9"/>
        <v>100</v>
      </c>
    </row>
    <row r="312" spans="1:34" s="129" customFormat="1" x14ac:dyDescent="0.4">
      <c r="A312" s="129" t="s">
        <v>869</v>
      </c>
      <c r="F312" s="130"/>
      <c r="H312" s="130"/>
      <c r="J312" s="130"/>
      <c r="L312" s="130"/>
      <c r="N312" s="123"/>
      <c r="O312" s="123"/>
      <c r="Q312" s="130"/>
      <c r="S312" s="130"/>
      <c r="U312" s="130"/>
      <c r="W312" s="130"/>
      <c r="X312" s="123"/>
      <c r="Z312" s="130"/>
      <c r="AC312" s="130"/>
      <c r="AE312" s="130"/>
      <c r="AG312" s="130"/>
      <c r="AH312" s="131">
        <f>SUM(AH281:AH311)</f>
        <v>884.75</v>
      </c>
    </row>
    <row r="313" spans="1:34" x14ac:dyDescent="0.4">
      <c r="D313" s="124"/>
      <c r="F313" s="124"/>
      <c r="H313" s="124"/>
    </row>
    <row r="314" spans="1:34" s="121" customFormat="1" x14ac:dyDescent="0.4">
      <c r="A314" s="121" t="s">
        <v>870</v>
      </c>
      <c r="F314" s="122"/>
      <c r="H314" s="122"/>
      <c r="J314" s="122"/>
      <c r="L314" s="122"/>
      <c r="N314" s="123"/>
      <c r="O314" s="123"/>
      <c r="Q314" s="122"/>
      <c r="S314" s="122"/>
      <c r="U314" s="122"/>
      <c r="W314" s="122"/>
      <c r="X314" s="123"/>
      <c r="Z314" s="122"/>
      <c r="AC314" s="122"/>
      <c r="AE314" s="122"/>
      <c r="AG314" s="122"/>
      <c r="AH314" s="109"/>
    </row>
    <row r="315" spans="1:34" x14ac:dyDescent="0.4">
      <c r="B315" s="209" t="s">
        <v>848</v>
      </c>
      <c r="D315" s="102" t="s">
        <v>287</v>
      </c>
      <c r="I315" s="109">
        <v>20.2</v>
      </c>
      <c r="Q315" s="115" t="s">
        <v>950</v>
      </c>
      <c r="AF315" s="109">
        <f>106+80</f>
        <v>186</v>
      </c>
      <c r="AG315" s="125" t="s">
        <v>1045</v>
      </c>
      <c r="AH315" s="109">
        <f t="shared" ref="AH315:AH344" si="10">SUM(E315,G315,I315,K315,M315,R315,T315,V315,Y315,X315,AA315,AB315,AD315,AF315)</f>
        <v>206.2</v>
      </c>
    </row>
    <row r="316" spans="1:34" x14ac:dyDescent="0.4">
      <c r="B316" s="209" t="s">
        <v>849</v>
      </c>
      <c r="D316" s="102" t="s">
        <v>288</v>
      </c>
      <c r="I316" s="109">
        <v>16</v>
      </c>
      <c r="AH316" s="109">
        <f t="shared" si="10"/>
        <v>16</v>
      </c>
    </row>
    <row r="317" spans="1:34" x14ac:dyDescent="0.4">
      <c r="B317" s="209" t="s">
        <v>850</v>
      </c>
      <c r="D317" s="102" t="s">
        <v>70</v>
      </c>
      <c r="AH317" s="109">
        <f t="shared" si="10"/>
        <v>0</v>
      </c>
    </row>
    <row r="318" spans="1:34" x14ac:dyDescent="0.4">
      <c r="B318" s="209" t="s">
        <v>851</v>
      </c>
      <c r="D318" s="102" t="s">
        <v>71</v>
      </c>
      <c r="AF318" s="109">
        <v>46</v>
      </c>
      <c r="AG318" s="125" t="s">
        <v>1038</v>
      </c>
      <c r="AH318" s="109">
        <f t="shared" si="10"/>
        <v>46</v>
      </c>
    </row>
    <row r="319" spans="1:34" x14ac:dyDescent="0.4">
      <c r="B319" s="209" t="s">
        <v>845</v>
      </c>
      <c r="D319" s="102" t="s">
        <v>72</v>
      </c>
      <c r="G319" s="109">
        <v>16</v>
      </c>
      <c r="I319" s="109">
        <v>8.5</v>
      </c>
      <c r="R319" s="209">
        <v>16</v>
      </c>
      <c r="S319" s="115" t="s">
        <v>973</v>
      </c>
      <c r="AH319" s="109">
        <f t="shared" si="10"/>
        <v>40.5</v>
      </c>
    </row>
    <row r="320" spans="1:34" x14ac:dyDescent="0.4">
      <c r="B320" s="209" t="s">
        <v>846</v>
      </c>
      <c r="D320" s="102" t="s">
        <v>73</v>
      </c>
      <c r="E320" s="109">
        <v>11.5</v>
      </c>
      <c r="AF320" s="109">
        <v>13.3</v>
      </c>
      <c r="AG320" s="125" t="s">
        <v>1045</v>
      </c>
      <c r="AH320" s="109">
        <f t="shared" si="10"/>
        <v>24.8</v>
      </c>
    </row>
    <row r="321" spans="2:38" x14ac:dyDescent="0.4">
      <c r="B321" s="209" t="s">
        <v>847</v>
      </c>
      <c r="D321" s="102" t="s">
        <v>74</v>
      </c>
      <c r="Y321" s="209">
        <v>51</v>
      </c>
      <c r="AH321" s="109">
        <f t="shared" si="10"/>
        <v>51</v>
      </c>
    </row>
    <row r="322" spans="2:38" x14ac:dyDescent="0.4">
      <c r="B322" s="209" t="s">
        <v>848</v>
      </c>
      <c r="D322" s="102" t="s">
        <v>75</v>
      </c>
      <c r="Y322" s="209">
        <v>30.7</v>
      </c>
      <c r="AA322" s="109">
        <v>20</v>
      </c>
      <c r="AH322" s="109">
        <f t="shared" si="10"/>
        <v>50.7</v>
      </c>
    </row>
    <row r="323" spans="2:38" x14ac:dyDescent="0.4">
      <c r="B323" s="209" t="s">
        <v>849</v>
      </c>
      <c r="D323" s="102" t="s">
        <v>76</v>
      </c>
      <c r="E323" s="109">
        <f>4.5+2</f>
        <v>6.5</v>
      </c>
      <c r="N323" s="106">
        <v>6.5</v>
      </c>
      <c r="AH323" s="109">
        <f t="shared" si="10"/>
        <v>6.5</v>
      </c>
      <c r="AK323" s="209">
        <v>2000</v>
      </c>
      <c r="AL323" s="109">
        <v>59</v>
      </c>
    </row>
    <row r="324" spans="2:38" x14ac:dyDescent="0.4">
      <c r="B324" s="209" t="s">
        <v>850</v>
      </c>
      <c r="D324" s="102" t="s">
        <v>77</v>
      </c>
      <c r="I324" s="109">
        <v>8</v>
      </c>
      <c r="O324" s="106">
        <v>8</v>
      </c>
      <c r="AF324" s="109">
        <v>25</v>
      </c>
      <c r="AG324" s="125" t="s">
        <v>1046</v>
      </c>
      <c r="AH324" s="109">
        <f t="shared" si="10"/>
        <v>33</v>
      </c>
    </row>
    <row r="325" spans="2:38" x14ac:dyDescent="0.4">
      <c r="B325" s="209" t="s">
        <v>851</v>
      </c>
      <c r="D325" s="102" t="s">
        <v>78</v>
      </c>
      <c r="E325" s="109">
        <v>5.5</v>
      </c>
      <c r="G325" s="109">
        <v>11</v>
      </c>
      <c r="I325" s="109">
        <v>2</v>
      </c>
      <c r="AH325" s="109">
        <f t="shared" si="10"/>
        <v>18.5</v>
      </c>
    </row>
    <row r="326" spans="2:38" x14ac:dyDescent="0.4">
      <c r="B326" s="209" t="s">
        <v>845</v>
      </c>
      <c r="D326" s="145" t="s">
        <v>79</v>
      </c>
      <c r="E326" s="109">
        <f>5.4+1.5</f>
        <v>6.9</v>
      </c>
      <c r="F326" s="145"/>
      <c r="G326" s="109">
        <v>10</v>
      </c>
      <c r="H326" s="145"/>
      <c r="I326" s="109">
        <v>12</v>
      </c>
      <c r="N326" s="106">
        <v>24.5</v>
      </c>
      <c r="O326" s="106">
        <v>4</v>
      </c>
      <c r="P326" s="109">
        <v>100</v>
      </c>
      <c r="AH326" s="109">
        <f t="shared" si="10"/>
        <v>28.9</v>
      </c>
      <c r="AL326" s="109">
        <v>2000</v>
      </c>
    </row>
    <row r="327" spans="2:38" x14ac:dyDescent="0.4">
      <c r="B327" s="209" t="s">
        <v>846</v>
      </c>
      <c r="D327" s="102" t="s">
        <v>80</v>
      </c>
      <c r="E327" s="109">
        <v>5.5</v>
      </c>
      <c r="N327" s="106">
        <v>5.5</v>
      </c>
      <c r="AH327" s="109">
        <f t="shared" si="10"/>
        <v>5.5</v>
      </c>
    </row>
    <row r="328" spans="2:38" x14ac:dyDescent="0.4">
      <c r="B328" s="209" t="s">
        <v>847</v>
      </c>
      <c r="D328" s="102" t="s">
        <v>81</v>
      </c>
      <c r="E328" s="109">
        <v>6</v>
      </c>
      <c r="G328" s="109">
        <v>11</v>
      </c>
      <c r="I328" s="109">
        <v>12</v>
      </c>
      <c r="N328" s="106">
        <v>6</v>
      </c>
      <c r="R328" s="209">
        <v>3</v>
      </c>
      <c r="AA328" s="109">
        <v>10</v>
      </c>
      <c r="AH328" s="109">
        <f t="shared" si="10"/>
        <v>42</v>
      </c>
    </row>
    <row r="329" spans="2:38" x14ac:dyDescent="0.4">
      <c r="B329" s="209" t="s">
        <v>848</v>
      </c>
      <c r="D329" s="102" t="s">
        <v>82</v>
      </c>
      <c r="E329" s="109">
        <v>3.5</v>
      </c>
      <c r="G329" s="109">
        <v>12</v>
      </c>
      <c r="AH329" s="109">
        <f t="shared" si="10"/>
        <v>15.5</v>
      </c>
    </row>
    <row r="330" spans="2:38" x14ac:dyDescent="0.4">
      <c r="B330" s="209" t="s">
        <v>849</v>
      </c>
      <c r="D330" s="145" t="s">
        <v>83</v>
      </c>
      <c r="E330" s="109">
        <v>13</v>
      </c>
      <c r="F330" s="145"/>
      <c r="G330" s="109">
        <v>10</v>
      </c>
      <c r="H330" s="145"/>
      <c r="I330" s="109">
        <v>10</v>
      </c>
      <c r="P330" s="109">
        <v>100</v>
      </c>
      <c r="R330" s="209">
        <v>47.2</v>
      </c>
      <c r="AH330" s="109">
        <f t="shared" si="10"/>
        <v>80.2</v>
      </c>
    </row>
    <row r="331" spans="2:38" x14ac:dyDescent="0.4">
      <c r="B331" s="209" t="s">
        <v>850</v>
      </c>
      <c r="D331" s="102" t="s">
        <v>84</v>
      </c>
      <c r="G331" s="109">
        <v>23</v>
      </c>
      <c r="I331" s="109">
        <v>12</v>
      </c>
      <c r="AH331" s="109">
        <f t="shared" si="10"/>
        <v>35</v>
      </c>
      <c r="AL331" s="109">
        <v>196.39</v>
      </c>
    </row>
    <row r="332" spans="2:38" x14ac:dyDescent="0.4">
      <c r="B332" s="209" t="s">
        <v>851</v>
      </c>
      <c r="D332" s="102" t="s">
        <v>85</v>
      </c>
      <c r="E332" s="109">
        <v>6.5</v>
      </c>
      <c r="G332" s="109">
        <v>12</v>
      </c>
      <c r="I332" s="109">
        <v>13</v>
      </c>
      <c r="AA332" s="109">
        <v>10</v>
      </c>
      <c r="AH332" s="109">
        <f t="shared" si="10"/>
        <v>41.5</v>
      </c>
      <c r="AL332" s="109">
        <v>175.68</v>
      </c>
    </row>
    <row r="333" spans="2:38" x14ac:dyDescent="0.4">
      <c r="B333" s="209" t="s">
        <v>845</v>
      </c>
      <c r="D333" s="102" t="s">
        <v>86</v>
      </c>
      <c r="E333" s="109">
        <v>8.6999999999999993</v>
      </c>
      <c r="G333" s="109">
        <v>10.8</v>
      </c>
      <c r="I333" s="109">
        <v>15</v>
      </c>
      <c r="P333" s="109">
        <v>100</v>
      </c>
      <c r="AA333" s="109">
        <v>10</v>
      </c>
      <c r="AH333" s="109">
        <f t="shared" si="10"/>
        <v>44.5</v>
      </c>
    </row>
    <row r="334" spans="2:38" x14ac:dyDescent="0.4">
      <c r="B334" s="209" t="s">
        <v>846</v>
      </c>
      <c r="D334" s="102" t="s">
        <v>87</v>
      </c>
      <c r="E334" s="109">
        <v>7</v>
      </c>
      <c r="I334" s="109">
        <v>14</v>
      </c>
      <c r="R334" s="209">
        <v>2.5</v>
      </c>
      <c r="AF334" s="109">
        <v>22.5</v>
      </c>
      <c r="AG334" s="125" t="s">
        <v>1047</v>
      </c>
      <c r="AH334" s="109">
        <f t="shared" si="10"/>
        <v>46</v>
      </c>
    </row>
    <row r="335" spans="2:38" x14ac:dyDescent="0.4">
      <c r="B335" s="209" t="s">
        <v>847</v>
      </c>
      <c r="D335" s="102" t="s">
        <v>88</v>
      </c>
      <c r="E335" s="109">
        <v>6</v>
      </c>
      <c r="G335" s="109">
        <v>13</v>
      </c>
      <c r="AH335" s="109">
        <f t="shared" si="10"/>
        <v>19</v>
      </c>
    </row>
    <row r="336" spans="2:38" x14ac:dyDescent="0.4">
      <c r="B336" s="209" t="s">
        <v>848</v>
      </c>
      <c r="D336" s="102" t="s">
        <v>89</v>
      </c>
      <c r="E336" s="109">
        <v>12.3</v>
      </c>
      <c r="G336" s="109">
        <v>11</v>
      </c>
      <c r="I336" s="109">
        <v>13</v>
      </c>
      <c r="AH336" s="109">
        <f t="shared" si="10"/>
        <v>36.299999999999997</v>
      </c>
    </row>
    <row r="337" spans="1:37" x14ac:dyDescent="0.4">
      <c r="B337" s="209" t="s">
        <v>849</v>
      </c>
      <c r="D337" s="102" t="s">
        <v>90</v>
      </c>
      <c r="G337" s="109">
        <v>10</v>
      </c>
      <c r="I337" s="109">
        <v>18</v>
      </c>
      <c r="AF337" s="109">
        <v>21.8</v>
      </c>
      <c r="AG337" s="125" t="s">
        <v>1048</v>
      </c>
      <c r="AH337" s="109">
        <f t="shared" si="10"/>
        <v>49.8</v>
      </c>
      <c r="AK337" s="209">
        <v>1000</v>
      </c>
    </row>
    <row r="338" spans="1:37" x14ac:dyDescent="0.4">
      <c r="B338" s="209" t="s">
        <v>850</v>
      </c>
      <c r="D338" s="145" t="s">
        <v>91</v>
      </c>
      <c r="F338" s="145"/>
      <c r="H338" s="145"/>
      <c r="I338" s="109">
        <v>13.5</v>
      </c>
      <c r="P338" s="109">
        <v>100</v>
      </c>
      <c r="AH338" s="109">
        <f t="shared" si="10"/>
        <v>13.5</v>
      </c>
    </row>
    <row r="339" spans="1:37" x14ac:dyDescent="0.4">
      <c r="B339" s="209" t="s">
        <v>851</v>
      </c>
      <c r="D339" s="102" t="s">
        <v>92</v>
      </c>
      <c r="E339" s="109">
        <v>5</v>
      </c>
      <c r="G339" s="109">
        <v>11.5</v>
      </c>
      <c r="I339" s="109">
        <v>9</v>
      </c>
      <c r="R339" s="209">
        <v>12</v>
      </c>
      <c r="AH339" s="109">
        <f t="shared" si="10"/>
        <v>37.5</v>
      </c>
    </row>
    <row r="340" spans="1:37" x14ac:dyDescent="0.4">
      <c r="B340" s="209" t="s">
        <v>845</v>
      </c>
      <c r="D340" s="102" t="s">
        <v>93</v>
      </c>
      <c r="G340" s="109">
        <v>13.5</v>
      </c>
      <c r="AH340" s="109">
        <f t="shared" si="10"/>
        <v>13.5</v>
      </c>
    </row>
    <row r="341" spans="1:37" x14ac:dyDescent="0.4">
      <c r="B341" s="209" t="s">
        <v>846</v>
      </c>
      <c r="D341" s="145" t="s">
        <v>94</v>
      </c>
      <c r="E341" s="109">
        <v>10.4</v>
      </c>
      <c r="F341" s="145"/>
      <c r="G341" s="109">
        <v>11</v>
      </c>
      <c r="H341" s="145"/>
      <c r="I341" s="109">
        <v>19</v>
      </c>
      <c r="AH341" s="109">
        <f t="shared" si="10"/>
        <v>40.4</v>
      </c>
    </row>
    <row r="342" spans="1:37" x14ac:dyDescent="0.4">
      <c r="B342" s="209" t="s">
        <v>847</v>
      </c>
      <c r="D342" s="102" t="s">
        <v>95</v>
      </c>
      <c r="E342" s="109">
        <v>5</v>
      </c>
      <c r="G342" s="109">
        <v>10</v>
      </c>
      <c r="I342" s="109">
        <v>17</v>
      </c>
      <c r="AH342" s="109">
        <f t="shared" si="10"/>
        <v>32</v>
      </c>
    </row>
    <row r="343" spans="1:37" x14ac:dyDescent="0.4">
      <c r="B343" s="209" t="s">
        <v>848</v>
      </c>
      <c r="D343" s="102" t="s">
        <v>97</v>
      </c>
      <c r="E343" s="109">
        <v>7.5</v>
      </c>
      <c r="G343" s="109">
        <v>14</v>
      </c>
      <c r="I343" s="109">
        <v>11</v>
      </c>
      <c r="T343" s="109">
        <v>11.5</v>
      </c>
      <c r="AH343" s="109">
        <f t="shared" si="10"/>
        <v>44</v>
      </c>
    </row>
    <row r="344" spans="1:37" x14ac:dyDescent="0.4">
      <c r="B344" s="209" t="s">
        <v>849</v>
      </c>
      <c r="D344" s="102" t="s">
        <v>98</v>
      </c>
      <c r="E344" s="109">
        <v>6.2</v>
      </c>
      <c r="Y344" s="209">
        <f>17.48+55</f>
        <v>72.48</v>
      </c>
      <c r="AA344" s="109">
        <v>20</v>
      </c>
      <c r="AF344" s="109">
        <v>58</v>
      </c>
      <c r="AG344" s="125" t="s">
        <v>1037</v>
      </c>
      <c r="AH344" s="109">
        <f t="shared" si="10"/>
        <v>156.68</v>
      </c>
    </row>
    <row r="345" spans="1:37" s="129" customFormat="1" x14ac:dyDescent="0.4">
      <c r="A345" s="129" t="s">
        <v>871</v>
      </c>
      <c r="F345" s="130"/>
      <c r="H345" s="130"/>
      <c r="J345" s="130"/>
      <c r="L345" s="130"/>
      <c r="N345" s="123"/>
      <c r="O345" s="123"/>
      <c r="Q345" s="130"/>
      <c r="S345" s="130"/>
      <c r="U345" s="130"/>
      <c r="W345" s="130"/>
      <c r="X345" s="123"/>
      <c r="Z345" s="130"/>
      <c r="AC345" s="130"/>
      <c r="AE345" s="130"/>
      <c r="AG345" s="130"/>
      <c r="AH345" s="131">
        <f>SUM(AH315:AH344)</f>
        <v>1274.98</v>
      </c>
    </row>
    <row r="347" spans="1:37" s="121" customFormat="1" x14ac:dyDescent="0.4">
      <c r="A347" s="121" t="s">
        <v>872</v>
      </c>
      <c r="F347" s="122"/>
      <c r="H347" s="122"/>
      <c r="J347" s="122"/>
      <c r="L347" s="122"/>
      <c r="N347" s="123"/>
      <c r="O347" s="123"/>
      <c r="Q347" s="122"/>
      <c r="S347" s="122"/>
      <c r="U347" s="122"/>
      <c r="W347" s="122"/>
      <c r="X347" s="123"/>
      <c r="Z347" s="122"/>
      <c r="AC347" s="122"/>
      <c r="AE347" s="122"/>
      <c r="AG347" s="122"/>
      <c r="AH347" s="109"/>
    </row>
    <row r="348" spans="1:37" x14ac:dyDescent="0.4">
      <c r="B348" s="209" t="s">
        <v>850</v>
      </c>
      <c r="D348" s="102" t="s">
        <v>289</v>
      </c>
      <c r="AH348" s="109">
        <f t="shared" ref="AH348:AH378" si="11">SUM(E348,G348,I348,K348,M348,R348,T348,V348,Y348,X348,AA348,AB348,AD348,AF348)</f>
        <v>0</v>
      </c>
    </row>
    <row r="349" spans="1:37" x14ac:dyDescent="0.4">
      <c r="B349" s="209" t="s">
        <v>851</v>
      </c>
      <c r="D349" s="102" t="s">
        <v>290</v>
      </c>
      <c r="I349" s="109">
        <v>9</v>
      </c>
      <c r="R349" s="209">
        <v>12</v>
      </c>
      <c r="S349" s="115" t="s">
        <v>975</v>
      </c>
      <c r="AA349" s="109">
        <v>10</v>
      </c>
      <c r="AH349" s="109">
        <f t="shared" si="11"/>
        <v>31</v>
      </c>
    </row>
    <row r="350" spans="1:37" x14ac:dyDescent="0.4">
      <c r="B350" s="209" t="s">
        <v>845</v>
      </c>
      <c r="D350" s="102" t="s">
        <v>101</v>
      </c>
      <c r="R350" s="209">
        <f>90+40+52</f>
        <v>182</v>
      </c>
      <c r="S350" s="115" t="s">
        <v>976</v>
      </c>
      <c r="Y350" s="209">
        <f>7.91+10.64</f>
        <v>18.55</v>
      </c>
      <c r="AH350" s="109">
        <f t="shared" si="11"/>
        <v>200.55</v>
      </c>
    </row>
    <row r="351" spans="1:37" x14ac:dyDescent="0.4">
      <c r="B351" s="209" t="s">
        <v>846</v>
      </c>
      <c r="D351" s="102" t="s">
        <v>102</v>
      </c>
      <c r="AH351" s="109">
        <f t="shared" si="11"/>
        <v>0</v>
      </c>
    </row>
    <row r="352" spans="1:37" x14ac:dyDescent="0.4">
      <c r="B352" s="209" t="s">
        <v>847</v>
      </c>
      <c r="D352" s="102" t="s">
        <v>103</v>
      </c>
      <c r="AH352" s="109">
        <f t="shared" si="11"/>
        <v>0</v>
      </c>
    </row>
    <row r="353" spans="2:34" x14ac:dyDescent="0.4">
      <c r="B353" s="209" t="s">
        <v>848</v>
      </c>
      <c r="D353" s="102" t="s">
        <v>104</v>
      </c>
      <c r="Y353" s="209">
        <v>51</v>
      </c>
      <c r="AH353" s="109">
        <f t="shared" si="11"/>
        <v>51</v>
      </c>
    </row>
    <row r="354" spans="2:34" x14ac:dyDescent="0.4">
      <c r="B354" s="209" t="s">
        <v>849</v>
      </c>
      <c r="D354" s="102" t="s">
        <v>105</v>
      </c>
      <c r="Y354" s="209">
        <v>13.61</v>
      </c>
      <c r="AA354" s="109">
        <v>20</v>
      </c>
      <c r="AH354" s="109">
        <f t="shared" si="11"/>
        <v>33.61</v>
      </c>
    </row>
    <row r="355" spans="2:34" x14ac:dyDescent="0.4">
      <c r="B355" s="209" t="s">
        <v>850</v>
      </c>
      <c r="D355" s="145" t="s">
        <v>106</v>
      </c>
      <c r="F355" s="145"/>
      <c r="H355" s="145"/>
      <c r="I355" s="109">
        <v>14</v>
      </c>
      <c r="R355" s="209">
        <v>21.9</v>
      </c>
      <c r="AH355" s="109">
        <f t="shared" si="11"/>
        <v>35.9</v>
      </c>
    </row>
    <row r="356" spans="2:34" x14ac:dyDescent="0.4">
      <c r="B356" s="209" t="s">
        <v>851</v>
      </c>
      <c r="D356" s="102" t="s">
        <v>107</v>
      </c>
      <c r="E356" s="109">
        <v>4.7</v>
      </c>
      <c r="G356" s="109">
        <v>6</v>
      </c>
      <c r="I356" s="109">
        <v>12</v>
      </c>
      <c r="R356" s="209">
        <v>4.5</v>
      </c>
      <c r="AH356" s="109">
        <f t="shared" si="11"/>
        <v>27.2</v>
      </c>
    </row>
    <row r="357" spans="2:34" x14ac:dyDescent="0.4">
      <c r="B357" s="209" t="s">
        <v>845</v>
      </c>
      <c r="D357" s="102" t="s">
        <v>108</v>
      </c>
      <c r="E357" s="109">
        <v>5.5</v>
      </c>
      <c r="G357" s="109">
        <v>9.5</v>
      </c>
      <c r="I357" s="109">
        <v>11</v>
      </c>
      <c r="AH357" s="109">
        <f t="shared" si="11"/>
        <v>26</v>
      </c>
    </row>
    <row r="358" spans="2:34" x14ac:dyDescent="0.4">
      <c r="B358" s="209" t="s">
        <v>846</v>
      </c>
      <c r="D358" s="102" t="s">
        <v>109</v>
      </c>
      <c r="G358" s="109">
        <v>19.399999999999999</v>
      </c>
      <c r="AH358" s="109">
        <f t="shared" si="11"/>
        <v>19.399999999999999</v>
      </c>
    </row>
    <row r="359" spans="2:34" x14ac:dyDescent="0.4">
      <c r="B359" s="209" t="s">
        <v>847</v>
      </c>
      <c r="D359" s="145" t="s">
        <v>110</v>
      </c>
      <c r="F359" s="145"/>
      <c r="G359" s="109">
        <v>12</v>
      </c>
      <c r="H359" s="145"/>
      <c r="I359" s="109">
        <v>8</v>
      </c>
      <c r="R359" s="209">
        <v>17</v>
      </c>
      <c r="AH359" s="109">
        <f t="shared" si="11"/>
        <v>37</v>
      </c>
    </row>
    <row r="360" spans="2:34" x14ac:dyDescent="0.4">
      <c r="B360" s="209" t="s">
        <v>848</v>
      </c>
      <c r="D360" s="102" t="s">
        <v>111</v>
      </c>
      <c r="E360" s="109">
        <v>6.5</v>
      </c>
      <c r="G360" s="109">
        <v>12</v>
      </c>
      <c r="I360" s="109">
        <v>17.5</v>
      </c>
      <c r="R360" s="209">
        <v>8</v>
      </c>
      <c r="AH360" s="109">
        <f t="shared" si="11"/>
        <v>44</v>
      </c>
    </row>
    <row r="361" spans="2:34" x14ac:dyDescent="0.4">
      <c r="B361" s="209" t="s">
        <v>849</v>
      </c>
      <c r="D361" s="102" t="s">
        <v>112</v>
      </c>
      <c r="AF361" s="109">
        <v>50</v>
      </c>
      <c r="AG361" s="125" t="s">
        <v>1049</v>
      </c>
      <c r="AH361" s="109">
        <f t="shared" si="11"/>
        <v>50</v>
      </c>
    </row>
    <row r="362" spans="2:34" x14ac:dyDescent="0.4">
      <c r="B362" s="209" t="s">
        <v>850</v>
      </c>
      <c r="D362" s="102" t="s">
        <v>113</v>
      </c>
      <c r="G362" s="109">
        <v>30</v>
      </c>
      <c r="I362" s="109">
        <v>21.8</v>
      </c>
      <c r="AH362" s="109">
        <f t="shared" si="11"/>
        <v>51.8</v>
      </c>
    </row>
    <row r="363" spans="2:34" x14ac:dyDescent="0.4">
      <c r="B363" s="209" t="s">
        <v>851</v>
      </c>
      <c r="D363" s="102" t="s">
        <v>114</v>
      </c>
      <c r="E363" s="109">
        <v>5.7</v>
      </c>
      <c r="G363" s="109">
        <v>12</v>
      </c>
      <c r="I363" s="109">
        <v>21.9</v>
      </c>
      <c r="AH363" s="109">
        <f t="shared" si="11"/>
        <v>39.599999999999994</v>
      </c>
    </row>
    <row r="364" spans="2:34" x14ac:dyDescent="0.4">
      <c r="B364" s="209" t="s">
        <v>845</v>
      </c>
      <c r="D364" s="102" t="s">
        <v>115</v>
      </c>
      <c r="E364" s="109">
        <v>5</v>
      </c>
      <c r="G364" s="109">
        <v>4.5</v>
      </c>
      <c r="I364" s="109">
        <v>8</v>
      </c>
      <c r="AH364" s="109">
        <f t="shared" si="11"/>
        <v>17.5</v>
      </c>
    </row>
    <row r="365" spans="2:34" x14ac:dyDescent="0.4">
      <c r="B365" s="209" t="s">
        <v>846</v>
      </c>
      <c r="D365" s="146" t="s">
        <v>291</v>
      </c>
      <c r="F365" s="146"/>
      <c r="G365" s="109">
        <v>7.5</v>
      </c>
      <c r="H365" s="146"/>
      <c r="I365" s="109">
        <v>15.8</v>
      </c>
      <c r="AH365" s="109">
        <f t="shared" si="11"/>
        <v>23.3</v>
      </c>
    </row>
    <row r="366" spans="2:34" x14ac:dyDescent="0.4">
      <c r="B366" s="209" t="s">
        <v>847</v>
      </c>
      <c r="D366" s="102" t="s">
        <v>117</v>
      </c>
      <c r="E366" s="109">
        <v>7.5</v>
      </c>
      <c r="G366" s="109">
        <v>8.5</v>
      </c>
      <c r="I366" s="109">
        <v>23.9</v>
      </c>
      <c r="R366" s="209">
        <v>5.5</v>
      </c>
      <c r="AH366" s="109">
        <f t="shared" si="11"/>
        <v>45.4</v>
      </c>
    </row>
    <row r="367" spans="2:34" x14ac:dyDescent="0.4">
      <c r="B367" s="209" t="s">
        <v>848</v>
      </c>
      <c r="D367" s="102" t="s">
        <v>118</v>
      </c>
      <c r="E367" s="109">
        <v>14.2</v>
      </c>
      <c r="G367" s="109">
        <v>13</v>
      </c>
      <c r="I367" s="109">
        <v>38</v>
      </c>
      <c r="Q367" s="115" t="s">
        <v>951</v>
      </c>
      <c r="AH367" s="109">
        <f t="shared" si="11"/>
        <v>65.2</v>
      </c>
    </row>
    <row r="368" spans="2:34" x14ac:dyDescent="0.4">
      <c r="B368" s="209" t="s">
        <v>849</v>
      </c>
      <c r="D368" s="145" t="s">
        <v>119</v>
      </c>
      <c r="F368" s="145"/>
      <c r="G368" s="109">
        <v>13</v>
      </c>
      <c r="H368" s="145"/>
      <c r="I368" s="109">
        <v>9.5</v>
      </c>
      <c r="R368" s="209">
        <v>20.5</v>
      </c>
      <c r="AF368" s="109">
        <v>12.6</v>
      </c>
      <c r="AH368" s="109">
        <f t="shared" si="11"/>
        <v>55.6</v>
      </c>
    </row>
    <row r="369" spans="1:37" x14ac:dyDescent="0.4">
      <c r="B369" s="209" t="s">
        <v>850</v>
      </c>
      <c r="D369" s="102" t="s">
        <v>120</v>
      </c>
      <c r="G369" s="109">
        <v>40</v>
      </c>
      <c r="I369" s="109">
        <v>14.5</v>
      </c>
      <c r="Q369" s="115" t="s">
        <v>952</v>
      </c>
      <c r="AH369" s="109">
        <f t="shared" si="11"/>
        <v>54.5</v>
      </c>
    </row>
    <row r="370" spans="1:37" x14ac:dyDescent="0.4">
      <c r="B370" s="209" t="s">
        <v>851</v>
      </c>
      <c r="D370" s="102" t="s">
        <v>121</v>
      </c>
      <c r="E370" s="109">
        <v>5.7</v>
      </c>
      <c r="G370" s="109">
        <v>15</v>
      </c>
      <c r="I370" s="109">
        <v>10</v>
      </c>
      <c r="AH370" s="109">
        <f t="shared" si="11"/>
        <v>30.7</v>
      </c>
    </row>
    <row r="371" spans="1:37" x14ac:dyDescent="0.4">
      <c r="B371" s="209" t="s">
        <v>845</v>
      </c>
      <c r="D371" s="102" t="s">
        <v>122</v>
      </c>
      <c r="E371" s="109">
        <v>11.2</v>
      </c>
      <c r="G371" s="109">
        <v>11.2</v>
      </c>
      <c r="I371" s="109">
        <v>10</v>
      </c>
      <c r="R371" s="209">
        <v>7.5</v>
      </c>
      <c r="AH371" s="109">
        <f t="shared" si="11"/>
        <v>39.9</v>
      </c>
    </row>
    <row r="372" spans="1:37" x14ac:dyDescent="0.4">
      <c r="B372" s="209" t="s">
        <v>846</v>
      </c>
      <c r="D372" s="102" t="s">
        <v>123</v>
      </c>
      <c r="E372" s="109">
        <v>5.7</v>
      </c>
      <c r="G372" s="109">
        <v>43.8</v>
      </c>
      <c r="R372" s="209">
        <v>22</v>
      </c>
      <c r="AH372" s="109">
        <f t="shared" si="11"/>
        <v>71.5</v>
      </c>
    </row>
    <row r="373" spans="1:37" x14ac:dyDescent="0.4">
      <c r="B373" s="209" t="s">
        <v>847</v>
      </c>
      <c r="D373" s="145" t="s">
        <v>124</v>
      </c>
      <c r="E373" s="109">
        <v>7</v>
      </c>
      <c r="F373" s="145"/>
      <c r="G373" s="109">
        <v>8</v>
      </c>
      <c r="H373" s="145"/>
      <c r="I373" s="109">
        <v>8</v>
      </c>
      <c r="R373" s="209">
        <f>30+3</f>
        <v>33</v>
      </c>
      <c r="AA373" s="109">
        <v>10</v>
      </c>
      <c r="AH373" s="109">
        <f t="shared" si="11"/>
        <v>66</v>
      </c>
    </row>
    <row r="374" spans="1:37" x14ac:dyDescent="0.4">
      <c r="B374" s="209" t="s">
        <v>848</v>
      </c>
      <c r="D374" s="102" t="s">
        <v>125</v>
      </c>
      <c r="E374" s="109">
        <v>6.2</v>
      </c>
      <c r="G374" s="109">
        <v>16</v>
      </c>
      <c r="I374" s="109">
        <v>8</v>
      </c>
      <c r="R374" s="209">
        <v>10.5</v>
      </c>
      <c r="AH374" s="109">
        <f t="shared" si="11"/>
        <v>40.700000000000003</v>
      </c>
    </row>
    <row r="375" spans="1:37" x14ac:dyDescent="0.4">
      <c r="B375" s="209" t="s">
        <v>849</v>
      </c>
      <c r="D375" s="102" t="s">
        <v>126</v>
      </c>
      <c r="G375" s="109">
        <v>16</v>
      </c>
      <c r="AH375" s="109">
        <f t="shared" si="11"/>
        <v>16</v>
      </c>
    </row>
    <row r="376" spans="1:37" x14ac:dyDescent="0.4">
      <c r="B376" s="209" t="s">
        <v>850</v>
      </c>
      <c r="D376" s="102" t="s">
        <v>127</v>
      </c>
      <c r="G376" s="109">
        <v>11.5</v>
      </c>
      <c r="R376" s="209">
        <v>12</v>
      </c>
      <c r="AH376" s="109">
        <f t="shared" si="11"/>
        <v>23.5</v>
      </c>
      <c r="AK376" s="209">
        <v>500</v>
      </c>
    </row>
    <row r="377" spans="1:37" x14ac:dyDescent="0.4">
      <c r="B377" s="209" t="s">
        <v>851</v>
      </c>
      <c r="D377" s="102" t="s">
        <v>128</v>
      </c>
      <c r="E377" s="109">
        <v>5</v>
      </c>
      <c r="G377" s="109">
        <v>10.5</v>
      </c>
      <c r="I377" s="109">
        <v>9.5</v>
      </c>
      <c r="R377" s="209">
        <v>40</v>
      </c>
      <c r="AA377" s="109">
        <v>10</v>
      </c>
      <c r="AH377" s="109">
        <f t="shared" si="11"/>
        <v>75</v>
      </c>
    </row>
    <row r="378" spans="1:37" x14ac:dyDescent="0.4">
      <c r="B378" s="209" t="s">
        <v>845</v>
      </c>
      <c r="D378" s="147" t="s">
        <v>312</v>
      </c>
      <c r="F378" s="147"/>
      <c r="H378" s="147"/>
      <c r="I378" s="109">
        <v>9.5</v>
      </c>
      <c r="R378" s="209">
        <f>4+20</f>
        <v>24</v>
      </c>
      <c r="AH378" s="109">
        <f t="shared" si="11"/>
        <v>33.5</v>
      </c>
    </row>
    <row r="379" spans="1:37" s="129" customFormat="1" x14ac:dyDescent="0.4">
      <c r="A379" s="129" t="s">
        <v>873</v>
      </c>
      <c r="F379" s="130"/>
      <c r="H379" s="130"/>
      <c r="J379" s="130"/>
      <c r="L379" s="130"/>
      <c r="N379" s="123"/>
      <c r="O379" s="123"/>
      <c r="Q379" s="130"/>
      <c r="S379" s="130"/>
      <c r="U379" s="130"/>
      <c r="W379" s="130"/>
      <c r="X379" s="123"/>
      <c r="Z379" s="130"/>
      <c r="AC379" s="130"/>
      <c r="AE379" s="130"/>
      <c r="AG379" s="130"/>
      <c r="AH379" s="131">
        <f>SUM(AH348:AH378)</f>
        <v>1305.3599999999999</v>
      </c>
    </row>
    <row r="380" spans="1:37" x14ac:dyDescent="0.4">
      <c r="D380" s="147"/>
      <c r="F380" s="147"/>
      <c r="H380" s="147"/>
    </row>
    <row r="381" spans="1:37" s="121" customFormat="1" x14ac:dyDescent="0.4">
      <c r="A381" s="121" t="s">
        <v>879</v>
      </c>
      <c r="F381" s="122"/>
      <c r="H381" s="122"/>
      <c r="J381" s="122"/>
      <c r="L381" s="122"/>
      <c r="N381" s="123"/>
      <c r="O381" s="123"/>
      <c r="Q381" s="122"/>
      <c r="S381" s="122"/>
      <c r="U381" s="122"/>
      <c r="W381" s="122"/>
      <c r="X381" s="123"/>
      <c r="Z381" s="122"/>
      <c r="AC381" s="122"/>
      <c r="AE381" s="122"/>
      <c r="AG381" s="122"/>
      <c r="AH381" s="109"/>
    </row>
    <row r="382" spans="1:37" x14ac:dyDescent="0.4">
      <c r="B382" s="209" t="s">
        <v>846</v>
      </c>
      <c r="D382" s="102" t="s">
        <v>292</v>
      </c>
      <c r="E382" s="109">
        <v>4.7</v>
      </c>
      <c r="G382" s="109">
        <v>7.5</v>
      </c>
      <c r="I382" s="109">
        <v>9</v>
      </c>
      <c r="R382" s="209">
        <v>10</v>
      </c>
      <c r="AA382" s="109">
        <v>30</v>
      </c>
      <c r="AH382" s="109">
        <f t="shared" ref="AH382:AH411" si="12">SUM(E382,G382,I382,K382,M382,R382,T382,V382,Y382,X382,AA382,AB382,AD382,AF382)</f>
        <v>61.2</v>
      </c>
    </row>
    <row r="383" spans="1:37" x14ac:dyDescent="0.4">
      <c r="B383" s="209" t="s">
        <v>847</v>
      </c>
      <c r="D383" s="102" t="s">
        <v>293</v>
      </c>
      <c r="E383" s="109">
        <v>5.2</v>
      </c>
      <c r="G383" s="109">
        <v>9.5</v>
      </c>
      <c r="I383" s="109">
        <v>11</v>
      </c>
      <c r="T383" s="109">
        <v>7.3</v>
      </c>
      <c r="AH383" s="109">
        <f t="shared" si="12"/>
        <v>33</v>
      </c>
    </row>
    <row r="384" spans="1:37" x14ac:dyDescent="0.4">
      <c r="B384" s="209" t="s">
        <v>848</v>
      </c>
      <c r="D384" s="102" t="s">
        <v>294</v>
      </c>
      <c r="E384" s="109">
        <v>5.2</v>
      </c>
      <c r="G384" s="109">
        <v>11</v>
      </c>
      <c r="R384" s="209">
        <v>10</v>
      </c>
      <c r="AH384" s="109">
        <f t="shared" si="12"/>
        <v>26.2</v>
      </c>
    </row>
    <row r="385" spans="2:38" x14ac:dyDescent="0.4">
      <c r="B385" s="209" t="s">
        <v>849</v>
      </c>
      <c r="D385" s="145" t="s">
        <v>295</v>
      </c>
      <c r="E385" s="109">
        <v>6.2</v>
      </c>
      <c r="F385" s="145"/>
      <c r="H385" s="145"/>
      <c r="AH385" s="109">
        <f t="shared" si="12"/>
        <v>6.2</v>
      </c>
    </row>
    <row r="386" spans="2:38" x14ac:dyDescent="0.4">
      <c r="B386" s="209" t="s">
        <v>850</v>
      </c>
      <c r="D386" s="102" t="s">
        <v>296</v>
      </c>
      <c r="G386" s="109">
        <v>13</v>
      </c>
      <c r="I386" s="109">
        <v>8</v>
      </c>
      <c r="R386" s="209">
        <v>34</v>
      </c>
      <c r="AF386" s="109">
        <f>23.9+39.8</f>
        <v>63.699999999999996</v>
      </c>
      <c r="AG386" s="125" t="s">
        <v>1050</v>
      </c>
      <c r="AH386" s="109">
        <f t="shared" si="12"/>
        <v>118.69999999999999</v>
      </c>
      <c r="AK386" s="209">
        <v>1000</v>
      </c>
      <c r="AL386" s="109">
        <v>360.57</v>
      </c>
    </row>
    <row r="387" spans="2:38" x14ac:dyDescent="0.4">
      <c r="B387" s="209" t="s">
        <v>851</v>
      </c>
      <c r="D387" s="102" t="s">
        <v>297</v>
      </c>
      <c r="E387" s="109">
        <v>5.2</v>
      </c>
      <c r="G387" s="109">
        <v>19.5</v>
      </c>
      <c r="I387" s="109">
        <v>11</v>
      </c>
      <c r="AF387" s="109">
        <v>44.9</v>
      </c>
      <c r="AG387" s="125" t="s">
        <v>1034</v>
      </c>
      <c r="AH387" s="109">
        <f t="shared" si="12"/>
        <v>80.599999999999994</v>
      </c>
    </row>
    <row r="388" spans="2:38" x14ac:dyDescent="0.4">
      <c r="B388" s="209" t="s">
        <v>845</v>
      </c>
      <c r="D388" s="102" t="s">
        <v>298</v>
      </c>
      <c r="E388" s="109">
        <v>6.5</v>
      </c>
      <c r="G388" s="109">
        <v>17</v>
      </c>
      <c r="I388" s="109">
        <v>10</v>
      </c>
      <c r="AF388" s="109">
        <v>11.2</v>
      </c>
      <c r="AG388" s="125" t="s">
        <v>1051</v>
      </c>
      <c r="AH388" s="109">
        <f t="shared" si="12"/>
        <v>44.7</v>
      </c>
    </row>
    <row r="389" spans="2:38" x14ac:dyDescent="0.4">
      <c r="B389" s="209" t="s">
        <v>846</v>
      </c>
      <c r="D389" s="145" t="s">
        <v>299</v>
      </c>
      <c r="E389" s="109">
        <v>5.2</v>
      </c>
      <c r="F389" s="145"/>
      <c r="G389" s="109">
        <v>12.5</v>
      </c>
      <c r="H389" s="145"/>
      <c r="I389" s="109">
        <v>7</v>
      </c>
      <c r="AH389" s="109">
        <f t="shared" si="12"/>
        <v>24.7</v>
      </c>
    </row>
    <row r="390" spans="2:38" x14ac:dyDescent="0.4">
      <c r="B390" s="209" t="s">
        <v>847</v>
      </c>
      <c r="D390" s="102" t="s">
        <v>300</v>
      </c>
      <c r="E390" s="109">
        <v>6.2</v>
      </c>
      <c r="G390" s="109">
        <v>7.5</v>
      </c>
      <c r="I390" s="109">
        <v>8</v>
      </c>
      <c r="R390" s="209">
        <v>4.5</v>
      </c>
      <c r="AH390" s="109">
        <f t="shared" si="12"/>
        <v>26.2</v>
      </c>
    </row>
    <row r="391" spans="2:38" x14ac:dyDescent="0.4">
      <c r="B391" s="209" t="s">
        <v>848</v>
      </c>
      <c r="D391" s="102" t="s">
        <v>301</v>
      </c>
      <c r="E391" s="109">
        <v>5.2</v>
      </c>
      <c r="G391" s="109">
        <f>8.5+10.5+8.5</f>
        <v>27.5</v>
      </c>
      <c r="I391" s="109">
        <v>11</v>
      </c>
      <c r="AH391" s="109">
        <f t="shared" si="12"/>
        <v>43.7</v>
      </c>
    </row>
    <row r="392" spans="2:38" x14ac:dyDescent="0.4">
      <c r="B392" s="209" t="s">
        <v>849</v>
      </c>
      <c r="D392" s="102" t="s">
        <v>302</v>
      </c>
      <c r="E392" s="109">
        <v>3.2</v>
      </c>
      <c r="AF392" s="109">
        <f>22.19+15.9+22.5</f>
        <v>60.59</v>
      </c>
      <c r="AG392" s="125" t="s">
        <v>1052</v>
      </c>
      <c r="AH392" s="109">
        <f t="shared" si="12"/>
        <v>63.790000000000006</v>
      </c>
    </row>
    <row r="393" spans="2:38" x14ac:dyDescent="0.4">
      <c r="B393" s="209" t="s">
        <v>850</v>
      </c>
      <c r="D393" s="145" t="s">
        <v>303</v>
      </c>
      <c r="F393" s="145"/>
      <c r="G393" s="109">
        <v>12.5</v>
      </c>
      <c r="H393" s="145"/>
      <c r="I393" s="109">
        <v>8</v>
      </c>
      <c r="AA393" s="109">
        <v>10</v>
      </c>
      <c r="AH393" s="109">
        <f t="shared" si="12"/>
        <v>30.5</v>
      </c>
    </row>
    <row r="394" spans="2:38" x14ac:dyDescent="0.4">
      <c r="B394" s="209" t="s">
        <v>851</v>
      </c>
      <c r="D394" s="102" t="s">
        <v>304</v>
      </c>
      <c r="E394" s="109">
        <v>6.2</v>
      </c>
      <c r="G394" s="109">
        <v>7.5</v>
      </c>
      <c r="I394" s="109">
        <f>9+6.5</f>
        <v>15.5</v>
      </c>
      <c r="AH394" s="109">
        <f t="shared" si="12"/>
        <v>29.2</v>
      </c>
    </row>
    <row r="395" spans="2:38" x14ac:dyDescent="0.4">
      <c r="B395" s="209" t="s">
        <v>845</v>
      </c>
      <c r="D395" s="102" t="s">
        <v>305</v>
      </c>
      <c r="G395" s="109">
        <v>11</v>
      </c>
      <c r="I395" s="109">
        <v>12</v>
      </c>
      <c r="AH395" s="109">
        <f t="shared" si="12"/>
        <v>23</v>
      </c>
    </row>
    <row r="396" spans="2:38" x14ac:dyDescent="0.4">
      <c r="B396" s="209" t="s">
        <v>846</v>
      </c>
      <c r="D396" s="102" t="s">
        <v>306</v>
      </c>
      <c r="E396" s="109">
        <v>5.7</v>
      </c>
      <c r="G396" s="109">
        <v>7.5</v>
      </c>
      <c r="I396" s="109">
        <v>9.5</v>
      </c>
      <c r="AA396" s="109">
        <v>10</v>
      </c>
      <c r="AH396" s="109">
        <f t="shared" si="12"/>
        <v>32.700000000000003</v>
      </c>
    </row>
    <row r="397" spans="2:38" x14ac:dyDescent="0.4">
      <c r="B397" s="209" t="s">
        <v>847</v>
      </c>
      <c r="D397" s="102" t="s">
        <v>307</v>
      </c>
      <c r="G397" s="109">
        <v>6</v>
      </c>
      <c r="I397" s="109">
        <v>10</v>
      </c>
      <c r="AH397" s="109">
        <f t="shared" si="12"/>
        <v>16</v>
      </c>
    </row>
    <row r="398" spans="2:38" x14ac:dyDescent="0.4">
      <c r="B398" s="209" t="s">
        <v>859</v>
      </c>
      <c r="D398" s="102" t="s">
        <v>308</v>
      </c>
      <c r="I398" s="109">
        <v>25</v>
      </c>
      <c r="R398" s="209">
        <v>17</v>
      </c>
      <c r="AF398" s="109">
        <v>27</v>
      </c>
      <c r="AG398" s="125" t="s">
        <v>1053</v>
      </c>
      <c r="AH398" s="109">
        <f t="shared" si="12"/>
        <v>69</v>
      </c>
      <c r="AL398" s="109">
        <v>196.39</v>
      </c>
    </row>
    <row r="399" spans="2:38" x14ac:dyDescent="0.4">
      <c r="B399" s="209" t="s">
        <v>849</v>
      </c>
      <c r="D399" s="145" t="s">
        <v>309</v>
      </c>
      <c r="F399" s="145"/>
      <c r="G399" s="109">
        <v>13</v>
      </c>
      <c r="H399" s="145"/>
      <c r="I399" s="109">
        <v>7</v>
      </c>
      <c r="AH399" s="109">
        <f t="shared" si="12"/>
        <v>20</v>
      </c>
      <c r="AL399" s="109">
        <v>668.45</v>
      </c>
    </row>
    <row r="400" spans="2:38" x14ac:dyDescent="0.4">
      <c r="B400" s="209" t="s">
        <v>850</v>
      </c>
      <c r="D400" s="102" t="s">
        <v>310</v>
      </c>
      <c r="I400" s="109">
        <v>11</v>
      </c>
      <c r="R400" s="209">
        <v>4</v>
      </c>
      <c r="AH400" s="109">
        <f t="shared" si="12"/>
        <v>15</v>
      </c>
    </row>
    <row r="401" spans="1:39" x14ac:dyDescent="0.4">
      <c r="B401" s="209" t="s">
        <v>851</v>
      </c>
      <c r="D401" s="102" t="s">
        <v>311</v>
      </c>
      <c r="E401" s="109">
        <v>4.7</v>
      </c>
      <c r="G401" s="109">
        <v>8.5</v>
      </c>
      <c r="I401" s="109">
        <v>14</v>
      </c>
      <c r="AA401" s="109">
        <v>20</v>
      </c>
      <c r="AH401" s="109">
        <f t="shared" si="12"/>
        <v>47.2</v>
      </c>
    </row>
    <row r="402" spans="1:39" x14ac:dyDescent="0.4">
      <c r="B402" s="209" t="s">
        <v>845</v>
      </c>
      <c r="D402" s="145" t="s">
        <v>313</v>
      </c>
      <c r="F402" s="145"/>
      <c r="G402" s="109">
        <v>10.5</v>
      </c>
      <c r="H402" s="145"/>
      <c r="I402" s="109">
        <v>10</v>
      </c>
      <c r="AF402" s="109">
        <f>12.6+38</f>
        <v>50.6</v>
      </c>
      <c r="AG402" s="125" t="s">
        <v>1054</v>
      </c>
      <c r="AH402" s="109">
        <f t="shared" si="12"/>
        <v>71.099999999999994</v>
      </c>
    </row>
    <row r="403" spans="1:39" x14ac:dyDescent="0.4">
      <c r="B403" s="209" t="s">
        <v>846</v>
      </c>
      <c r="D403" s="102" t="s">
        <v>314</v>
      </c>
      <c r="G403" s="109">
        <v>7</v>
      </c>
      <c r="I403" s="109">
        <v>11</v>
      </c>
      <c r="R403" s="209">
        <f>10+3.8</f>
        <v>13.8</v>
      </c>
      <c r="AA403" s="109">
        <v>10</v>
      </c>
      <c r="AF403" s="109">
        <v>300</v>
      </c>
      <c r="AG403" s="125" t="s">
        <v>1055</v>
      </c>
      <c r="AH403" s="109">
        <f t="shared" si="12"/>
        <v>341.8</v>
      </c>
      <c r="AM403" s="209">
        <f>655+5200+1100+200</f>
        <v>7155</v>
      </c>
    </row>
    <row r="404" spans="1:39" x14ac:dyDescent="0.4">
      <c r="B404" s="209" t="s">
        <v>847</v>
      </c>
      <c r="D404" s="102" t="s">
        <v>315</v>
      </c>
      <c r="E404" s="109">
        <v>8</v>
      </c>
      <c r="G404" s="109">
        <v>7</v>
      </c>
      <c r="I404" s="109">
        <v>7.5</v>
      </c>
      <c r="AH404" s="109">
        <f t="shared" si="12"/>
        <v>22.5</v>
      </c>
    </row>
    <row r="405" spans="1:39" x14ac:dyDescent="0.4">
      <c r="B405" s="209" t="s">
        <v>848</v>
      </c>
      <c r="D405" s="102" t="s">
        <v>316</v>
      </c>
      <c r="E405" s="109">
        <v>5</v>
      </c>
      <c r="G405" s="109">
        <v>9.5</v>
      </c>
      <c r="I405" s="109">
        <v>9.5</v>
      </c>
      <c r="AH405" s="109">
        <f t="shared" si="12"/>
        <v>24</v>
      </c>
    </row>
    <row r="406" spans="1:39" x14ac:dyDescent="0.4">
      <c r="B406" s="209" t="s">
        <v>849</v>
      </c>
      <c r="D406" s="146" t="s">
        <v>317</v>
      </c>
      <c r="F406" s="146"/>
      <c r="G406" s="109">
        <v>10</v>
      </c>
      <c r="H406" s="146"/>
      <c r="AF406" s="109">
        <v>12</v>
      </c>
      <c r="AG406" s="125" t="s">
        <v>1056</v>
      </c>
      <c r="AH406" s="109">
        <f t="shared" si="12"/>
        <v>22</v>
      </c>
    </row>
    <row r="407" spans="1:39" x14ac:dyDescent="0.4">
      <c r="B407" s="209" t="s">
        <v>850</v>
      </c>
      <c r="D407" s="102" t="s">
        <v>318</v>
      </c>
      <c r="I407" s="109">
        <v>11</v>
      </c>
      <c r="AA407" s="109">
        <v>10</v>
      </c>
      <c r="AH407" s="109">
        <f t="shared" si="12"/>
        <v>21</v>
      </c>
    </row>
    <row r="408" spans="1:39" x14ac:dyDescent="0.4">
      <c r="B408" s="209" t="s">
        <v>851</v>
      </c>
      <c r="D408" s="102" t="s">
        <v>319</v>
      </c>
      <c r="G408" s="109">
        <v>7</v>
      </c>
      <c r="I408" s="109">
        <v>11</v>
      </c>
      <c r="R408" s="209">
        <v>11</v>
      </c>
      <c r="S408" s="115" t="s">
        <v>961</v>
      </c>
      <c r="AH408" s="109">
        <f t="shared" si="12"/>
        <v>29</v>
      </c>
    </row>
    <row r="409" spans="1:39" x14ac:dyDescent="0.4">
      <c r="B409" s="209" t="s">
        <v>845</v>
      </c>
      <c r="D409" s="145" t="s">
        <v>320</v>
      </c>
      <c r="E409" s="109">
        <v>7.5</v>
      </c>
      <c r="F409" s="145"/>
      <c r="G409" s="109">
        <v>11</v>
      </c>
      <c r="H409" s="145"/>
      <c r="I409" s="109">
        <v>12</v>
      </c>
      <c r="R409" s="209">
        <v>9.5</v>
      </c>
      <c r="AH409" s="109">
        <f t="shared" si="12"/>
        <v>40</v>
      </c>
    </row>
    <row r="410" spans="1:39" x14ac:dyDescent="0.4">
      <c r="B410" s="209" t="s">
        <v>846</v>
      </c>
      <c r="D410" s="102" t="s">
        <v>321</v>
      </c>
      <c r="E410" s="109">
        <v>8.6999999999999993</v>
      </c>
      <c r="G410" s="109">
        <v>10.5</v>
      </c>
      <c r="I410" s="109">
        <v>8</v>
      </c>
      <c r="AF410" s="109">
        <v>10</v>
      </c>
      <c r="AG410" s="125" t="s">
        <v>1046</v>
      </c>
      <c r="AH410" s="109">
        <f t="shared" si="12"/>
        <v>37.200000000000003</v>
      </c>
    </row>
    <row r="411" spans="1:39" x14ac:dyDescent="0.4">
      <c r="B411" s="209" t="s">
        <v>847</v>
      </c>
      <c r="D411" s="102" t="s">
        <v>322</v>
      </c>
      <c r="E411" s="109">
        <v>5</v>
      </c>
      <c r="G411" s="109">
        <v>11.5</v>
      </c>
      <c r="I411" s="109">
        <v>9</v>
      </c>
      <c r="AF411" s="109">
        <v>17</v>
      </c>
      <c r="AG411" s="125" t="s">
        <v>1057</v>
      </c>
      <c r="AH411" s="109">
        <f t="shared" si="12"/>
        <v>42.5</v>
      </c>
    </row>
    <row r="412" spans="1:39" s="129" customFormat="1" x14ac:dyDescent="0.4">
      <c r="A412" s="129" t="s">
        <v>880</v>
      </c>
      <c r="F412" s="130"/>
      <c r="H412" s="130"/>
      <c r="J412" s="130"/>
      <c r="L412" s="130"/>
      <c r="N412" s="123"/>
      <c r="O412" s="123"/>
      <c r="Q412" s="130"/>
      <c r="S412" s="130"/>
      <c r="U412" s="130"/>
      <c r="W412" s="130"/>
      <c r="X412" s="123"/>
      <c r="Z412" s="130"/>
      <c r="AC412" s="130"/>
      <c r="AE412" s="130"/>
      <c r="AG412" s="130"/>
      <c r="AH412" s="131">
        <f>SUM(AH382:AH411)</f>
        <v>1462.69</v>
      </c>
    </row>
    <row r="414" spans="1:39" s="121" customFormat="1" x14ac:dyDescent="0.4">
      <c r="A414" s="121" t="s">
        <v>881</v>
      </c>
      <c r="F414" s="122"/>
      <c r="H414" s="122"/>
      <c r="J414" s="122"/>
      <c r="L414" s="122"/>
      <c r="N414" s="123"/>
      <c r="O414" s="123"/>
      <c r="Q414" s="122"/>
      <c r="S414" s="122"/>
      <c r="U414" s="122"/>
      <c r="W414" s="122"/>
      <c r="X414" s="123"/>
      <c r="Z414" s="122"/>
      <c r="AC414" s="122"/>
      <c r="AE414" s="122"/>
      <c r="AG414" s="122"/>
      <c r="AH414" s="109"/>
    </row>
    <row r="415" spans="1:39" x14ac:dyDescent="0.4">
      <c r="B415" s="209" t="s">
        <v>848</v>
      </c>
      <c r="D415" s="124" t="s">
        <v>323</v>
      </c>
      <c r="F415" s="124"/>
      <c r="H415" s="124"/>
      <c r="AA415" s="109">
        <v>20</v>
      </c>
      <c r="AH415" s="109">
        <f t="shared" ref="AH415:AH445" si="13">SUM(E415,G415,I415,K415,M415,R415,T415,V415,Y415,X415,AA415,AB415,AD415,AF415)</f>
        <v>20</v>
      </c>
    </row>
    <row r="416" spans="1:39" x14ac:dyDescent="0.4">
      <c r="B416" s="209" t="s">
        <v>849</v>
      </c>
      <c r="D416" s="124" t="s">
        <v>324</v>
      </c>
      <c r="F416" s="124"/>
      <c r="H416" s="124"/>
      <c r="I416" s="109">
        <v>3</v>
      </c>
      <c r="AH416" s="109">
        <f t="shared" si="13"/>
        <v>3</v>
      </c>
    </row>
    <row r="417" spans="2:39" x14ac:dyDescent="0.4">
      <c r="B417" s="209" t="s">
        <v>850</v>
      </c>
      <c r="D417" s="148" t="s">
        <v>325</v>
      </c>
      <c r="F417" s="148"/>
      <c r="G417" s="109">
        <v>15</v>
      </c>
      <c r="H417" s="148"/>
      <c r="I417" s="109">
        <v>8</v>
      </c>
      <c r="AH417" s="109">
        <f t="shared" si="13"/>
        <v>23</v>
      </c>
    </row>
    <row r="418" spans="2:39" x14ac:dyDescent="0.4">
      <c r="B418" s="209" t="s">
        <v>851</v>
      </c>
      <c r="D418" s="124" t="s">
        <v>326</v>
      </c>
      <c r="E418" s="109">
        <v>8</v>
      </c>
      <c r="F418" s="124"/>
      <c r="G418" s="109">
        <v>7.5</v>
      </c>
      <c r="H418" s="124"/>
      <c r="I418" s="109">
        <v>8.5</v>
      </c>
      <c r="AH418" s="109">
        <f t="shared" si="13"/>
        <v>24</v>
      </c>
    </row>
    <row r="419" spans="2:39" x14ac:dyDescent="0.4">
      <c r="B419" s="209" t="s">
        <v>845</v>
      </c>
      <c r="D419" s="148" t="s">
        <v>327</v>
      </c>
      <c r="E419" s="109">
        <v>6</v>
      </c>
      <c r="F419" s="148"/>
      <c r="G419" s="109">
        <v>9.5</v>
      </c>
      <c r="H419" s="148"/>
      <c r="I419" s="109">
        <v>11</v>
      </c>
      <c r="AH419" s="109">
        <f t="shared" si="13"/>
        <v>26.5</v>
      </c>
    </row>
    <row r="420" spans="2:39" x14ac:dyDescent="0.4">
      <c r="B420" s="209" t="s">
        <v>846</v>
      </c>
      <c r="D420" s="147" t="s">
        <v>328</v>
      </c>
      <c r="E420" s="109">
        <v>7.7</v>
      </c>
      <c r="F420" s="147"/>
      <c r="G420" s="109">
        <v>7</v>
      </c>
      <c r="H420" s="147"/>
      <c r="I420" s="109">
        <v>9</v>
      </c>
      <c r="R420" s="209">
        <v>20.100000000000001</v>
      </c>
      <c r="AH420" s="109">
        <f t="shared" si="13"/>
        <v>43.8</v>
      </c>
      <c r="AI420" s="110">
        <v>1500</v>
      </c>
    </row>
    <row r="421" spans="2:39" x14ac:dyDescent="0.4">
      <c r="B421" s="209" t="s">
        <v>847</v>
      </c>
      <c r="D421" s="124" t="s">
        <v>329</v>
      </c>
      <c r="E421" s="109">
        <v>4.2</v>
      </c>
      <c r="F421" s="124"/>
      <c r="G421" s="109">
        <v>17.600000000000001</v>
      </c>
      <c r="H421" s="124"/>
      <c r="AF421" s="109">
        <v>20</v>
      </c>
      <c r="AG421" s="125" t="s">
        <v>1058</v>
      </c>
      <c r="AH421" s="109">
        <f t="shared" si="13"/>
        <v>41.8</v>
      </c>
    </row>
    <row r="422" spans="2:39" x14ac:dyDescent="0.4">
      <c r="B422" s="209" t="s">
        <v>848</v>
      </c>
      <c r="D422" s="124" t="s">
        <v>330</v>
      </c>
      <c r="E422" s="109">
        <v>8</v>
      </c>
      <c r="F422" s="124"/>
      <c r="G422" s="109">
        <v>10.5</v>
      </c>
      <c r="H422" s="124"/>
      <c r="I422" s="109">
        <v>6</v>
      </c>
      <c r="T422" s="109">
        <v>12.2</v>
      </c>
      <c r="AH422" s="109">
        <f t="shared" si="13"/>
        <v>36.700000000000003</v>
      </c>
    </row>
    <row r="423" spans="2:39" x14ac:dyDescent="0.4">
      <c r="B423" s="209" t="s">
        <v>849</v>
      </c>
      <c r="D423" s="147" t="s">
        <v>331</v>
      </c>
      <c r="F423" s="147"/>
      <c r="G423" s="109">
        <v>10.5</v>
      </c>
      <c r="H423" s="147"/>
      <c r="I423" s="109">
        <v>21</v>
      </c>
      <c r="AH423" s="109">
        <f t="shared" si="13"/>
        <v>31.5</v>
      </c>
      <c r="AL423" s="109">
        <v>493.95</v>
      </c>
    </row>
    <row r="424" spans="2:39" x14ac:dyDescent="0.4">
      <c r="B424" s="209" t="s">
        <v>850</v>
      </c>
      <c r="D424" s="124" t="s">
        <v>332</v>
      </c>
      <c r="F424" s="124"/>
      <c r="G424" s="109">
        <v>10</v>
      </c>
      <c r="H424" s="124"/>
      <c r="I424" s="109">
        <v>13</v>
      </c>
      <c r="AA424" s="109">
        <v>10</v>
      </c>
      <c r="AF424" s="109">
        <v>29.9</v>
      </c>
      <c r="AG424" s="125" t="s">
        <v>1059</v>
      </c>
      <c r="AH424" s="109">
        <f t="shared" si="13"/>
        <v>62.9</v>
      </c>
    </row>
    <row r="425" spans="2:39" x14ac:dyDescent="0.4">
      <c r="B425" s="209" t="s">
        <v>851</v>
      </c>
      <c r="D425" s="124" t="s">
        <v>333</v>
      </c>
      <c r="E425" s="109">
        <v>4.2</v>
      </c>
      <c r="F425" s="124"/>
      <c r="G425" s="109">
        <v>8.5</v>
      </c>
      <c r="H425" s="124"/>
      <c r="I425" s="109">
        <v>8</v>
      </c>
      <c r="AH425" s="109">
        <f t="shared" si="13"/>
        <v>20.7</v>
      </c>
      <c r="AI425" s="110" t="s">
        <v>814</v>
      </c>
    </row>
    <row r="426" spans="2:39" x14ac:dyDescent="0.4">
      <c r="B426" s="209" t="s">
        <v>845</v>
      </c>
      <c r="D426" s="124" t="s">
        <v>334</v>
      </c>
      <c r="E426" s="109">
        <v>4.2</v>
      </c>
      <c r="F426" s="124"/>
      <c r="G426" s="109">
        <v>8</v>
      </c>
      <c r="H426" s="124"/>
      <c r="I426" s="109">
        <v>7</v>
      </c>
      <c r="AH426" s="109">
        <f t="shared" si="13"/>
        <v>19.2</v>
      </c>
      <c r="AL426" s="109">
        <v>384.67</v>
      </c>
    </row>
    <row r="427" spans="2:39" x14ac:dyDescent="0.4">
      <c r="B427" s="209" t="s">
        <v>846</v>
      </c>
      <c r="D427" s="147" t="s">
        <v>335</v>
      </c>
      <c r="E427" s="109">
        <v>4.7</v>
      </c>
      <c r="F427" s="147"/>
      <c r="G427" s="109">
        <v>7.5</v>
      </c>
      <c r="H427" s="147"/>
      <c r="I427" s="109">
        <v>10</v>
      </c>
      <c r="AA427" s="109">
        <v>10</v>
      </c>
      <c r="AH427" s="109">
        <f t="shared" si="13"/>
        <v>32.200000000000003</v>
      </c>
    </row>
    <row r="428" spans="2:39" x14ac:dyDescent="0.4">
      <c r="B428" s="209" t="s">
        <v>847</v>
      </c>
      <c r="D428" s="124" t="s">
        <v>336</v>
      </c>
      <c r="E428" s="109">
        <v>5.2</v>
      </c>
      <c r="F428" s="124"/>
      <c r="G428" s="109">
        <v>14</v>
      </c>
      <c r="H428" s="124"/>
      <c r="I428" s="109">
        <v>11</v>
      </c>
      <c r="AH428" s="109">
        <f t="shared" si="13"/>
        <v>30.2</v>
      </c>
    </row>
    <row r="429" spans="2:39" x14ac:dyDescent="0.4">
      <c r="B429" s="209" t="s">
        <v>848</v>
      </c>
      <c r="D429" s="124" t="s">
        <v>337</v>
      </c>
      <c r="E429" s="109">
        <v>10.5</v>
      </c>
      <c r="F429" s="124"/>
      <c r="H429" s="124"/>
      <c r="I429" s="109">
        <v>15</v>
      </c>
      <c r="AF429" s="109">
        <v>209</v>
      </c>
      <c r="AG429" s="125" t="s">
        <v>1060</v>
      </c>
      <c r="AH429" s="109">
        <f t="shared" si="13"/>
        <v>234.5</v>
      </c>
    </row>
    <row r="430" spans="2:39" x14ac:dyDescent="0.4">
      <c r="B430" s="209" t="s">
        <v>849</v>
      </c>
      <c r="D430" s="124" t="s">
        <v>338</v>
      </c>
      <c r="F430" s="124"/>
      <c r="G430" s="109">
        <v>14</v>
      </c>
      <c r="H430" s="124"/>
      <c r="I430" s="109">
        <v>21</v>
      </c>
      <c r="AF430" s="109">
        <v>20</v>
      </c>
      <c r="AG430" s="125" t="s">
        <v>1058</v>
      </c>
      <c r="AH430" s="109">
        <f t="shared" si="13"/>
        <v>55</v>
      </c>
    </row>
    <row r="431" spans="2:39" x14ac:dyDescent="0.4">
      <c r="B431" s="209" t="s">
        <v>850</v>
      </c>
      <c r="D431" s="124" t="s">
        <v>339</v>
      </c>
      <c r="F431" s="124"/>
      <c r="G431" s="109">
        <v>12</v>
      </c>
      <c r="H431" s="124"/>
      <c r="AA431" s="109">
        <v>10</v>
      </c>
      <c r="AH431" s="109">
        <f t="shared" si="13"/>
        <v>22</v>
      </c>
      <c r="AL431" s="109">
        <v>196.39</v>
      </c>
    </row>
    <row r="432" spans="2:39" x14ac:dyDescent="0.4">
      <c r="B432" s="209" t="s">
        <v>851</v>
      </c>
      <c r="D432" s="147" t="s">
        <v>340</v>
      </c>
      <c r="E432" s="109">
        <v>3.2</v>
      </c>
      <c r="F432" s="147"/>
      <c r="H432" s="147"/>
      <c r="I432" s="109">
        <v>12.5</v>
      </c>
      <c r="R432" s="209">
        <f>2.5+2.5</f>
        <v>5</v>
      </c>
      <c r="T432" s="109">
        <v>33.11</v>
      </c>
      <c r="X432" s="106">
        <v>2</v>
      </c>
      <c r="AH432" s="109">
        <f t="shared" si="13"/>
        <v>55.81</v>
      </c>
      <c r="AL432" s="109">
        <v>845.15</v>
      </c>
      <c r="AM432" s="209">
        <v>1000</v>
      </c>
    </row>
    <row r="433" spans="1:52" x14ac:dyDescent="0.4">
      <c r="B433" s="209" t="s">
        <v>845</v>
      </c>
      <c r="D433" s="124" t="s">
        <v>341</v>
      </c>
      <c r="E433" s="109">
        <v>3.2</v>
      </c>
      <c r="F433" s="124"/>
      <c r="G433" s="109">
        <v>10</v>
      </c>
      <c r="H433" s="124"/>
      <c r="AH433" s="109">
        <f t="shared" si="13"/>
        <v>13.2</v>
      </c>
    </row>
    <row r="434" spans="1:52" x14ac:dyDescent="0.4">
      <c r="B434" s="209" t="s">
        <v>846</v>
      </c>
      <c r="D434" s="124" t="s">
        <v>342</v>
      </c>
      <c r="E434" s="109">
        <v>5.2</v>
      </c>
      <c r="F434" s="124"/>
      <c r="G434" s="109">
        <v>7.5</v>
      </c>
      <c r="H434" s="124"/>
      <c r="I434" s="109">
        <v>11</v>
      </c>
      <c r="AF434" s="109">
        <f>44.73+17+4.9</f>
        <v>66.63</v>
      </c>
      <c r="AG434" s="125" t="s">
        <v>1061</v>
      </c>
      <c r="AH434" s="109">
        <f t="shared" si="13"/>
        <v>90.33</v>
      </c>
    </row>
    <row r="435" spans="1:52" x14ac:dyDescent="0.4">
      <c r="B435" s="209" t="s">
        <v>847</v>
      </c>
      <c r="D435" s="124" t="s">
        <v>343</v>
      </c>
      <c r="E435" s="109">
        <v>5.2</v>
      </c>
      <c r="F435" s="124"/>
      <c r="G435" s="109">
        <v>8.5</v>
      </c>
      <c r="H435" s="124"/>
      <c r="I435" s="109">
        <v>15</v>
      </c>
      <c r="AA435" s="109">
        <v>10</v>
      </c>
      <c r="AH435" s="109">
        <f t="shared" si="13"/>
        <v>38.700000000000003</v>
      </c>
    </row>
    <row r="436" spans="1:52" x14ac:dyDescent="0.4">
      <c r="B436" s="209" t="s">
        <v>848</v>
      </c>
      <c r="D436" s="148" t="s">
        <v>344</v>
      </c>
      <c r="E436" s="109">
        <v>7</v>
      </c>
      <c r="F436" s="148"/>
      <c r="G436" s="109">
        <v>11</v>
      </c>
      <c r="H436" s="148"/>
      <c r="I436" s="109">
        <v>15</v>
      </c>
      <c r="AF436" s="109">
        <f>20+12.6</f>
        <v>32.6</v>
      </c>
      <c r="AG436" s="125" t="s">
        <v>882</v>
      </c>
      <c r="AH436" s="109">
        <f t="shared" si="13"/>
        <v>65.599999999999994</v>
      </c>
    </row>
    <row r="437" spans="1:52" x14ac:dyDescent="0.4">
      <c r="B437" s="209" t="s">
        <v>849</v>
      </c>
      <c r="D437" s="124" t="s">
        <v>345</v>
      </c>
      <c r="F437" s="124"/>
      <c r="G437" s="109">
        <v>7</v>
      </c>
      <c r="H437" s="124"/>
      <c r="I437" s="109">
        <v>8</v>
      </c>
      <c r="AH437" s="109">
        <f t="shared" si="13"/>
        <v>15</v>
      </c>
    </row>
    <row r="438" spans="1:52" x14ac:dyDescent="0.4">
      <c r="B438" s="209" t="s">
        <v>850</v>
      </c>
      <c r="D438" s="132" t="s">
        <v>346</v>
      </c>
      <c r="F438" s="132"/>
      <c r="G438" s="109">
        <v>27</v>
      </c>
      <c r="H438" s="132"/>
      <c r="AA438" s="109">
        <v>10</v>
      </c>
      <c r="AH438" s="109">
        <f t="shared" si="13"/>
        <v>37</v>
      </c>
    </row>
    <row r="439" spans="1:52" x14ac:dyDescent="0.4">
      <c r="B439" s="209" t="s">
        <v>851</v>
      </c>
      <c r="D439" s="132" t="s">
        <v>347</v>
      </c>
      <c r="E439" s="109">
        <v>3.2</v>
      </c>
      <c r="F439" s="132"/>
      <c r="G439" s="109">
        <v>10</v>
      </c>
      <c r="H439" s="132"/>
      <c r="R439" s="209">
        <f>2.5+12.25+7.5</f>
        <v>22.25</v>
      </c>
      <c r="S439" s="115" t="s">
        <v>977</v>
      </c>
      <c r="AH439" s="109">
        <f t="shared" si="13"/>
        <v>35.450000000000003</v>
      </c>
    </row>
    <row r="440" spans="1:52" x14ac:dyDescent="0.4">
      <c r="B440" s="209" t="s">
        <v>845</v>
      </c>
      <c r="D440" s="132" t="s">
        <v>348</v>
      </c>
      <c r="E440" s="109">
        <v>5.6</v>
      </c>
      <c r="F440" s="132"/>
      <c r="G440" s="109">
        <v>15</v>
      </c>
      <c r="H440" s="132"/>
      <c r="I440" s="109">
        <v>12.5</v>
      </c>
      <c r="R440" s="209">
        <f>9+16</f>
        <v>25</v>
      </c>
      <c r="S440" s="115" t="s">
        <v>978</v>
      </c>
      <c r="AH440" s="109">
        <f t="shared" si="13"/>
        <v>58.1</v>
      </c>
    </row>
    <row r="441" spans="1:52" x14ac:dyDescent="0.4">
      <c r="B441" s="209" t="s">
        <v>846</v>
      </c>
      <c r="D441" s="149" t="s">
        <v>349</v>
      </c>
      <c r="E441" s="109">
        <v>5</v>
      </c>
      <c r="F441" s="149"/>
      <c r="G441" s="109">
        <v>9</v>
      </c>
      <c r="H441" s="149"/>
      <c r="AH441" s="109">
        <f t="shared" si="13"/>
        <v>14</v>
      </c>
    </row>
    <row r="442" spans="1:52" x14ac:dyDescent="0.4">
      <c r="B442" s="209" t="s">
        <v>847</v>
      </c>
      <c r="D442" s="150" t="s">
        <v>350</v>
      </c>
      <c r="E442" s="109">
        <v>5.5</v>
      </c>
      <c r="F442" s="150"/>
      <c r="G442" s="109">
        <v>4.2</v>
      </c>
      <c r="H442" s="150"/>
      <c r="R442" s="209">
        <v>15</v>
      </c>
      <c r="AH442" s="109">
        <f t="shared" si="13"/>
        <v>24.7</v>
      </c>
    </row>
    <row r="443" spans="1:52" x14ac:dyDescent="0.4">
      <c r="B443" s="209" t="s">
        <v>848</v>
      </c>
      <c r="D443" s="132" t="s">
        <v>351</v>
      </c>
      <c r="F443" s="132"/>
      <c r="G443" s="109">
        <v>17</v>
      </c>
      <c r="H443" s="132"/>
      <c r="I443" s="109">
        <v>10</v>
      </c>
      <c r="R443" s="209">
        <v>8.1</v>
      </c>
      <c r="AH443" s="109">
        <f t="shared" si="13"/>
        <v>35.1</v>
      </c>
    </row>
    <row r="444" spans="1:52" x14ac:dyDescent="0.4">
      <c r="B444" s="209" t="s">
        <v>849</v>
      </c>
      <c r="D444" s="132" t="s">
        <v>352</v>
      </c>
      <c r="F444" s="132"/>
      <c r="G444" s="109">
        <v>14</v>
      </c>
      <c r="H444" s="132"/>
      <c r="I444" s="109">
        <v>6.5</v>
      </c>
      <c r="AH444" s="109">
        <f t="shared" si="13"/>
        <v>20.5</v>
      </c>
    </row>
    <row r="445" spans="1:52" x14ac:dyDescent="0.4">
      <c r="B445" s="209" t="s">
        <v>850</v>
      </c>
      <c r="D445" s="132" t="s">
        <v>353</v>
      </c>
      <c r="F445" s="132"/>
      <c r="H445" s="132"/>
      <c r="I445" s="109">
        <v>10.5</v>
      </c>
      <c r="AA445" s="109">
        <v>30</v>
      </c>
      <c r="AH445" s="109">
        <f t="shared" si="13"/>
        <v>40.5</v>
      </c>
    </row>
    <row r="446" spans="1:52" s="129" customFormat="1" x14ac:dyDescent="0.4">
      <c r="A446" s="129" t="s">
        <v>883</v>
      </c>
      <c r="F446" s="130"/>
      <c r="H446" s="130"/>
      <c r="J446" s="130"/>
      <c r="L446" s="130"/>
      <c r="N446" s="123"/>
      <c r="O446" s="123"/>
      <c r="Q446" s="130"/>
      <c r="S446" s="130"/>
      <c r="U446" s="130"/>
      <c r="W446" s="130"/>
      <c r="X446" s="123"/>
      <c r="Z446" s="130"/>
      <c r="AC446" s="130"/>
      <c r="AE446" s="130"/>
      <c r="AG446" s="130"/>
      <c r="AH446" s="131">
        <f>SUM(AH415:AH445)</f>
        <v>1270.99</v>
      </c>
    </row>
    <row r="447" spans="1:52" s="134" customFormat="1" ht="33" x14ac:dyDescent="0.65">
      <c r="A447" s="133">
        <v>2017</v>
      </c>
      <c r="D447" s="135"/>
      <c r="E447" s="136"/>
      <c r="F447" s="135"/>
      <c r="G447" s="136"/>
      <c r="H447" s="135"/>
      <c r="I447" s="136"/>
      <c r="J447" s="137"/>
      <c r="K447" s="136"/>
      <c r="L447" s="137"/>
      <c r="M447" s="136"/>
      <c r="N447" s="136"/>
      <c r="O447" s="136"/>
      <c r="P447" s="136"/>
      <c r="Q447" s="137"/>
      <c r="S447" s="137"/>
      <c r="T447" s="136"/>
      <c r="U447" s="137"/>
      <c r="W447" s="137"/>
      <c r="X447" s="136"/>
      <c r="Z447" s="137"/>
      <c r="AA447" s="136"/>
      <c r="AC447" s="137"/>
      <c r="AD447" s="136"/>
      <c r="AE447" s="137"/>
      <c r="AF447" s="136"/>
      <c r="AG447" s="138"/>
      <c r="AH447" s="168">
        <f>SUM(AH155:AH446)/2</f>
        <v>11330.490000000005</v>
      </c>
      <c r="AI447" s="140"/>
      <c r="AJ447" s="140"/>
      <c r="AL447" s="136"/>
      <c r="AO447" s="141"/>
      <c r="AP447" s="141"/>
      <c r="AQ447" s="141"/>
      <c r="AR447" s="141"/>
      <c r="AS447" s="142"/>
      <c r="AT447" s="142"/>
      <c r="AU447" s="142"/>
      <c r="AV447" s="142"/>
      <c r="AW447" s="143"/>
      <c r="AX447" s="143"/>
      <c r="AY447" s="143"/>
      <c r="AZ447" s="143"/>
    </row>
    <row r="448" spans="1:52" s="151" customFormat="1" x14ac:dyDescent="0.4">
      <c r="D448" s="152"/>
      <c r="E448" s="153"/>
      <c r="F448" s="152"/>
      <c r="G448" s="153"/>
      <c r="H448" s="152"/>
      <c r="I448" s="153"/>
      <c r="J448" s="154"/>
      <c r="K448" s="153"/>
      <c r="L448" s="154"/>
      <c r="M448" s="153"/>
      <c r="N448" s="153"/>
      <c r="O448" s="153"/>
      <c r="P448" s="153"/>
      <c r="Q448" s="154"/>
      <c r="S448" s="154"/>
      <c r="T448" s="153"/>
      <c r="U448" s="154"/>
      <c r="W448" s="154"/>
      <c r="X448" s="153"/>
      <c r="Z448" s="154"/>
      <c r="AA448" s="153"/>
      <c r="AC448" s="154"/>
      <c r="AD448" s="153"/>
      <c r="AE448" s="154"/>
      <c r="AF448" s="153"/>
      <c r="AG448" s="155"/>
      <c r="AH448" s="153"/>
      <c r="AI448" s="156"/>
      <c r="AJ448" s="156"/>
      <c r="AL448" s="153"/>
      <c r="AO448" s="157"/>
      <c r="AP448" s="157"/>
      <c r="AQ448" s="157"/>
      <c r="AR448" s="157"/>
      <c r="AS448" s="158"/>
      <c r="AT448" s="158"/>
      <c r="AU448" s="158"/>
      <c r="AV448" s="158"/>
      <c r="AW448" s="159"/>
      <c r="AX448" s="159"/>
      <c r="AY448" s="159"/>
      <c r="AZ448" s="159"/>
    </row>
    <row r="449" spans="1:34" ht="28.5" x14ac:dyDescent="0.55000000000000004">
      <c r="B449" s="160">
        <v>2018</v>
      </c>
      <c r="D449" s="132"/>
      <c r="F449" s="132"/>
      <c r="H449" s="132"/>
    </row>
    <row r="450" spans="1:34" s="121" customFormat="1" x14ac:dyDescent="0.4">
      <c r="A450" s="121" t="s">
        <v>884</v>
      </c>
      <c r="F450" s="122"/>
      <c r="H450" s="122"/>
      <c r="J450" s="122"/>
      <c r="L450" s="122"/>
      <c r="N450" s="123"/>
      <c r="O450" s="123"/>
      <c r="Q450" s="122"/>
      <c r="S450" s="122"/>
      <c r="U450" s="122"/>
      <c r="W450" s="122"/>
      <c r="X450" s="123"/>
      <c r="Z450" s="122"/>
      <c r="AC450" s="122"/>
      <c r="AE450" s="122"/>
      <c r="AG450" s="122"/>
      <c r="AH450" s="109"/>
    </row>
    <row r="451" spans="1:34" x14ac:dyDescent="0.4">
      <c r="B451" s="209" t="s">
        <v>851</v>
      </c>
      <c r="D451" s="132" t="s">
        <v>691</v>
      </c>
      <c r="F451" s="132"/>
      <c r="G451" s="109">
        <v>15.5</v>
      </c>
      <c r="H451" s="132"/>
      <c r="I451" s="109">
        <v>7.5</v>
      </c>
      <c r="AH451" s="109">
        <f t="shared" ref="AH451:AH481" si="14">SUM(E451,G451,I451,K451,M451,R451,T451,V451,Y451,X451,AA451,AB451,AD451,AF451)</f>
        <v>23</v>
      </c>
    </row>
    <row r="452" spans="1:34" x14ac:dyDescent="0.4">
      <c r="B452" s="209" t="s">
        <v>845</v>
      </c>
      <c r="D452" s="132" t="s">
        <v>692</v>
      </c>
      <c r="E452" s="109">
        <v>7.5</v>
      </c>
      <c r="F452" s="132"/>
      <c r="G452" s="109">
        <v>7.5</v>
      </c>
      <c r="H452" s="132"/>
      <c r="AH452" s="109">
        <f t="shared" si="14"/>
        <v>15</v>
      </c>
    </row>
    <row r="453" spans="1:34" x14ac:dyDescent="0.4">
      <c r="B453" s="209" t="s">
        <v>846</v>
      </c>
      <c r="D453" s="132" t="s">
        <v>693</v>
      </c>
      <c r="F453" s="132"/>
      <c r="G453" s="109">
        <v>16</v>
      </c>
      <c r="H453" s="132"/>
      <c r="T453" s="109">
        <v>44</v>
      </c>
      <c r="AF453" s="109">
        <v>30</v>
      </c>
      <c r="AG453" s="125" t="s">
        <v>1039</v>
      </c>
      <c r="AH453" s="109">
        <f t="shared" si="14"/>
        <v>90</v>
      </c>
    </row>
    <row r="454" spans="1:34" x14ac:dyDescent="0.4">
      <c r="B454" s="209" t="s">
        <v>847</v>
      </c>
      <c r="C454" s="209">
        <v>30</v>
      </c>
      <c r="D454" s="132" t="s">
        <v>694</v>
      </c>
      <c r="F454" s="132"/>
      <c r="G454" s="109">
        <v>7.5</v>
      </c>
      <c r="H454" s="132"/>
      <c r="I454" s="109">
        <v>11</v>
      </c>
      <c r="AH454" s="109">
        <f t="shared" si="14"/>
        <v>18.5</v>
      </c>
    </row>
    <row r="455" spans="1:34" x14ac:dyDescent="0.4">
      <c r="B455" s="209" t="s">
        <v>848</v>
      </c>
      <c r="C455" s="209">
        <v>10</v>
      </c>
      <c r="D455" s="132" t="s">
        <v>695</v>
      </c>
      <c r="F455" s="132"/>
      <c r="G455" s="109">
        <v>7.5</v>
      </c>
      <c r="H455" s="132"/>
      <c r="I455" s="109">
        <v>12</v>
      </c>
      <c r="AA455" s="109">
        <v>30</v>
      </c>
      <c r="AH455" s="109">
        <f t="shared" si="14"/>
        <v>49.5</v>
      </c>
    </row>
    <row r="456" spans="1:34" x14ac:dyDescent="0.4">
      <c r="B456" s="209" t="s">
        <v>849</v>
      </c>
      <c r="C456" s="209">
        <v>50</v>
      </c>
      <c r="D456" s="132" t="s">
        <v>696</v>
      </c>
      <c r="F456" s="132"/>
      <c r="G456" s="109">
        <v>8.5</v>
      </c>
      <c r="H456" s="132"/>
      <c r="I456" s="109">
        <v>11</v>
      </c>
      <c r="AH456" s="109">
        <f t="shared" si="14"/>
        <v>19.5</v>
      </c>
    </row>
    <row r="457" spans="1:34" x14ac:dyDescent="0.4">
      <c r="B457" s="209" t="s">
        <v>850</v>
      </c>
      <c r="D457" s="132" t="s">
        <v>697</v>
      </c>
      <c r="F457" s="132"/>
      <c r="G457" s="109">
        <v>16</v>
      </c>
      <c r="H457" s="132"/>
      <c r="I457" s="109">
        <v>9</v>
      </c>
      <c r="AH457" s="109">
        <f t="shared" si="14"/>
        <v>25</v>
      </c>
    </row>
    <row r="458" spans="1:34" x14ac:dyDescent="0.4">
      <c r="B458" s="209" t="s">
        <v>851</v>
      </c>
      <c r="D458" s="132" t="s">
        <v>698</v>
      </c>
      <c r="E458" s="109">
        <v>9.5</v>
      </c>
      <c r="F458" s="132"/>
      <c r="H458" s="132"/>
      <c r="I458" s="109">
        <v>6</v>
      </c>
      <c r="AH458" s="109">
        <f t="shared" si="14"/>
        <v>15.5</v>
      </c>
    </row>
    <row r="459" spans="1:34" x14ac:dyDescent="0.4">
      <c r="B459" s="209" t="s">
        <v>845</v>
      </c>
      <c r="C459" s="209">
        <v>50</v>
      </c>
      <c r="D459" s="132" t="s">
        <v>699</v>
      </c>
      <c r="F459" s="132"/>
      <c r="G459" s="109">
        <v>13</v>
      </c>
      <c r="H459" s="132"/>
      <c r="I459" s="109">
        <v>12</v>
      </c>
      <c r="AF459" s="109">
        <f>15+24</f>
        <v>39</v>
      </c>
      <c r="AG459" s="125" t="s">
        <v>1062</v>
      </c>
      <c r="AH459" s="109">
        <f t="shared" si="14"/>
        <v>64</v>
      </c>
    </row>
    <row r="460" spans="1:34" x14ac:dyDescent="0.4">
      <c r="B460" s="209" t="s">
        <v>846</v>
      </c>
      <c r="D460" s="132" t="s">
        <v>700</v>
      </c>
      <c r="F460" s="132"/>
      <c r="G460" s="109">
        <v>10</v>
      </c>
      <c r="H460" s="132"/>
      <c r="I460" s="109">
        <v>7</v>
      </c>
      <c r="AH460" s="109">
        <f t="shared" si="14"/>
        <v>17</v>
      </c>
    </row>
    <row r="461" spans="1:34" x14ac:dyDescent="0.4">
      <c r="B461" s="209" t="s">
        <v>847</v>
      </c>
      <c r="C461" s="209">
        <v>100</v>
      </c>
      <c r="D461" s="132" t="s">
        <v>701</v>
      </c>
      <c r="F461" s="132"/>
      <c r="G461" s="109">
        <v>7</v>
      </c>
      <c r="H461" s="132"/>
      <c r="I461" s="109">
        <v>11</v>
      </c>
      <c r="T461" s="109">
        <v>29.4</v>
      </c>
      <c r="AH461" s="109">
        <f t="shared" si="14"/>
        <v>47.4</v>
      </c>
    </row>
    <row r="462" spans="1:34" x14ac:dyDescent="0.4">
      <c r="B462" s="209" t="s">
        <v>848</v>
      </c>
      <c r="D462" s="132" t="s">
        <v>702</v>
      </c>
      <c r="F462" s="132"/>
      <c r="H462" s="132"/>
      <c r="R462" s="209">
        <v>2.8</v>
      </c>
      <c r="AF462" s="109">
        <v>66.8</v>
      </c>
      <c r="AG462" s="115" t="s">
        <v>1063</v>
      </c>
      <c r="AH462" s="109">
        <f t="shared" si="14"/>
        <v>69.599999999999994</v>
      </c>
    </row>
    <row r="463" spans="1:34" x14ac:dyDescent="0.4">
      <c r="B463" s="209" t="s">
        <v>849</v>
      </c>
      <c r="D463" s="132" t="s">
        <v>703</v>
      </c>
      <c r="F463" s="132"/>
      <c r="G463" s="109">
        <v>23</v>
      </c>
      <c r="H463" s="132"/>
      <c r="I463" s="109">
        <v>9</v>
      </c>
      <c r="AH463" s="109">
        <f t="shared" si="14"/>
        <v>32</v>
      </c>
    </row>
    <row r="464" spans="1:34" x14ac:dyDescent="0.4">
      <c r="B464" s="209" t="s">
        <v>850</v>
      </c>
      <c r="D464" s="132" t="s">
        <v>704</v>
      </c>
      <c r="F464" s="132"/>
      <c r="G464" s="109">
        <v>7</v>
      </c>
      <c r="H464" s="132"/>
      <c r="I464" s="109">
        <v>9</v>
      </c>
      <c r="R464" s="209">
        <v>7.5</v>
      </c>
      <c r="AH464" s="109">
        <f t="shared" si="14"/>
        <v>23.5</v>
      </c>
    </row>
    <row r="465" spans="2:38" x14ac:dyDescent="0.4">
      <c r="B465" s="209" t="s">
        <v>851</v>
      </c>
      <c r="C465" s="209">
        <v>100</v>
      </c>
      <c r="D465" s="132" t="s">
        <v>705</v>
      </c>
      <c r="E465" s="109">
        <v>3</v>
      </c>
      <c r="F465" s="132"/>
      <c r="H465" s="132"/>
      <c r="I465" s="109">
        <v>10.5</v>
      </c>
      <c r="AH465" s="109">
        <f t="shared" si="14"/>
        <v>13.5</v>
      </c>
    </row>
    <row r="466" spans="2:38" x14ac:dyDescent="0.4">
      <c r="B466" s="209" t="s">
        <v>845</v>
      </c>
      <c r="D466" s="132" t="s">
        <v>706</v>
      </c>
      <c r="F466" s="132"/>
      <c r="G466" s="109">
        <v>10.5</v>
      </c>
      <c r="H466" s="132"/>
      <c r="I466" s="109">
        <v>7</v>
      </c>
      <c r="AH466" s="109">
        <f t="shared" si="14"/>
        <v>17.5</v>
      </c>
    </row>
    <row r="467" spans="2:38" x14ac:dyDescent="0.4">
      <c r="B467" s="209" t="s">
        <v>846</v>
      </c>
      <c r="D467" s="132" t="s">
        <v>707</v>
      </c>
      <c r="E467" s="109">
        <v>2</v>
      </c>
      <c r="F467" s="132"/>
      <c r="G467" s="109">
        <v>8.5</v>
      </c>
      <c r="H467" s="132"/>
      <c r="I467" s="109">
        <v>15</v>
      </c>
      <c r="AF467" s="109">
        <v>15</v>
      </c>
      <c r="AG467" s="125" t="s">
        <v>1046</v>
      </c>
      <c r="AH467" s="109">
        <f t="shared" si="14"/>
        <v>40.5</v>
      </c>
    </row>
    <row r="468" spans="2:38" x14ac:dyDescent="0.4">
      <c r="B468" s="209" t="s">
        <v>847</v>
      </c>
      <c r="D468" s="132" t="s">
        <v>708</v>
      </c>
      <c r="F468" s="132"/>
      <c r="G468" s="109">
        <v>9.5</v>
      </c>
      <c r="H468" s="132"/>
      <c r="I468" s="109">
        <v>8</v>
      </c>
      <c r="AH468" s="109">
        <f t="shared" si="14"/>
        <v>17.5</v>
      </c>
      <c r="AK468" s="209">
        <v>1000</v>
      </c>
      <c r="AL468" s="109">
        <v>1013</v>
      </c>
    </row>
    <row r="469" spans="2:38" x14ac:dyDescent="0.4">
      <c r="B469" s="209" t="s">
        <v>848</v>
      </c>
      <c r="D469" s="132" t="s">
        <v>709</v>
      </c>
      <c r="F469" s="132"/>
      <c r="G469" s="109">
        <v>9</v>
      </c>
      <c r="H469" s="132"/>
      <c r="I469" s="109">
        <v>35</v>
      </c>
      <c r="AH469" s="109">
        <f t="shared" si="14"/>
        <v>44</v>
      </c>
    </row>
    <row r="470" spans="2:38" x14ac:dyDescent="0.4">
      <c r="B470" s="209" t="s">
        <v>849</v>
      </c>
      <c r="C470" s="209">
        <v>100</v>
      </c>
      <c r="D470" s="132" t="s">
        <v>710</v>
      </c>
      <c r="F470" s="132"/>
      <c r="G470" s="109">
        <v>14</v>
      </c>
      <c r="H470" s="132"/>
      <c r="I470" s="109">
        <v>14.7</v>
      </c>
      <c r="Q470" s="115" t="s">
        <v>953</v>
      </c>
      <c r="AH470" s="109">
        <f t="shared" si="14"/>
        <v>28.7</v>
      </c>
    </row>
    <row r="471" spans="2:38" x14ac:dyDescent="0.4">
      <c r="B471" s="209" t="s">
        <v>850</v>
      </c>
      <c r="D471" s="132" t="s">
        <v>711</v>
      </c>
      <c r="F471" s="132"/>
      <c r="G471" s="109">
        <v>11</v>
      </c>
      <c r="H471" s="132"/>
      <c r="I471" s="109">
        <v>53</v>
      </c>
      <c r="Q471" s="115" t="s">
        <v>954</v>
      </c>
      <c r="AH471" s="109">
        <f t="shared" si="14"/>
        <v>64</v>
      </c>
    </row>
    <row r="472" spans="2:38" x14ac:dyDescent="0.4">
      <c r="B472" s="209" t="s">
        <v>851</v>
      </c>
      <c r="D472" s="132" t="s">
        <v>712</v>
      </c>
      <c r="F472" s="132"/>
      <c r="G472" s="109">
        <v>8</v>
      </c>
      <c r="H472" s="132"/>
      <c r="T472" s="109">
        <v>32.799999999999997</v>
      </c>
      <c r="AF472" s="109">
        <v>12.6</v>
      </c>
      <c r="AG472" s="125" t="s">
        <v>1042</v>
      </c>
      <c r="AH472" s="109">
        <f t="shared" si="14"/>
        <v>53.4</v>
      </c>
    </row>
    <row r="473" spans="2:38" x14ac:dyDescent="0.4">
      <c r="B473" s="209" t="s">
        <v>845</v>
      </c>
      <c r="D473" s="132" t="s">
        <v>713</v>
      </c>
      <c r="E473" s="109">
        <v>10</v>
      </c>
      <c r="F473" s="132"/>
      <c r="G473" s="109">
        <v>12</v>
      </c>
      <c r="H473" s="132"/>
      <c r="I473" s="109">
        <v>6</v>
      </c>
      <c r="AH473" s="109">
        <f t="shared" si="14"/>
        <v>28</v>
      </c>
    </row>
    <row r="474" spans="2:38" x14ac:dyDescent="0.4">
      <c r="B474" s="209" t="s">
        <v>846</v>
      </c>
      <c r="D474" s="132" t="s">
        <v>714</v>
      </c>
      <c r="F474" s="132"/>
      <c r="G474" s="109">
        <v>10</v>
      </c>
      <c r="H474" s="132"/>
      <c r="I474" s="109">
        <v>13</v>
      </c>
      <c r="AH474" s="109">
        <f t="shared" si="14"/>
        <v>23</v>
      </c>
    </row>
    <row r="475" spans="2:38" x14ac:dyDescent="0.4">
      <c r="B475" s="209" t="s">
        <v>847</v>
      </c>
      <c r="D475" s="132" t="s">
        <v>715</v>
      </c>
      <c r="F475" s="132"/>
      <c r="H475" s="132"/>
      <c r="Y475" s="109"/>
      <c r="AA475" s="209">
        <v>50</v>
      </c>
      <c r="AB475" s="109"/>
      <c r="AC475" s="102"/>
      <c r="AD475" s="209"/>
      <c r="AE475" s="102"/>
      <c r="AG475" s="102"/>
      <c r="AH475" s="109">
        <f t="shared" si="14"/>
        <v>50</v>
      </c>
    </row>
    <row r="476" spans="2:38" x14ac:dyDescent="0.4">
      <c r="B476" s="209" t="s">
        <v>848</v>
      </c>
      <c r="D476" s="132" t="s">
        <v>716</v>
      </c>
      <c r="F476" s="132"/>
      <c r="G476" s="109">
        <v>15</v>
      </c>
      <c r="H476" s="132"/>
      <c r="Y476" s="109"/>
      <c r="AB476" s="109"/>
      <c r="AH476" s="109">
        <f t="shared" si="14"/>
        <v>15</v>
      </c>
    </row>
    <row r="477" spans="2:38" x14ac:dyDescent="0.4">
      <c r="B477" s="209" t="s">
        <v>849</v>
      </c>
      <c r="D477" s="132" t="s">
        <v>717</v>
      </c>
      <c r="F477" s="132"/>
      <c r="H477" s="132"/>
      <c r="Y477" s="109"/>
      <c r="AB477" s="109"/>
      <c r="AF477" s="109">
        <v>20</v>
      </c>
      <c r="AG477" s="125" t="s">
        <v>1058</v>
      </c>
      <c r="AH477" s="109">
        <f t="shared" si="14"/>
        <v>20</v>
      </c>
    </row>
    <row r="478" spans="2:38" x14ac:dyDescent="0.4">
      <c r="B478" s="209" t="s">
        <v>850</v>
      </c>
      <c r="D478" s="132" t="s">
        <v>718</v>
      </c>
      <c r="F478" s="132"/>
      <c r="H478" s="132"/>
      <c r="I478" s="109">
        <v>22</v>
      </c>
      <c r="T478" s="109">
        <v>44</v>
      </c>
      <c r="Y478" s="109"/>
      <c r="AA478" s="209"/>
      <c r="AB478" s="109"/>
      <c r="AC478" s="102"/>
      <c r="AD478" s="209"/>
      <c r="AE478" s="102"/>
      <c r="AG478" s="102"/>
      <c r="AH478" s="109">
        <f t="shared" si="14"/>
        <v>66</v>
      </c>
    </row>
    <row r="479" spans="2:38" x14ac:dyDescent="0.4">
      <c r="B479" s="209" t="s">
        <v>851</v>
      </c>
      <c r="C479" s="209">
        <v>50</v>
      </c>
      <c r="D479" s="132" t="s">
        <v>719</v>
      </c>
      <c r="F479" s="132"/>
      <c r="G479" s="109">
        <v>45</v>
      </c>
      <c r="H479" s="132"/>
      <c r="AA479" s="109">
        <v>20</v>
      </c>
      <c r="AF479" s="109">
        <v>20</v>
      </c>
      <c r="AG479" s="125" t="s">
        <v>1058</v>
      </c>
      <c r="AH479" s="109">
        <f t="shared" si="14"/>
        <v>85</v>
      </c>
    </row>
    <row r="480" spans="2:38" x14ac:dyDescent="0.4">
      <c r="B480" s="209" t="s">
        <v>845</v>
      </c>
      <c r="D480" s="132" t="s">
        <v>720</v>
      </c>
      <c r="F480" s="132"/>
      <c r="G480" s="109">
        <v>27.5</v>
      </c>
      <c r="H480" s="132"/>
      <c r="AF480" s="109">
        <f>10+36</f>
        <v>46</v>
      </c>
      <c r="AG480" s="125" t="s">
        <v>1064</v>
      </c>
      <c r="AH480" s="109">
        <f t="shared" si="14"/>
        <v>73.5</v>
      </c>
    </row>
    <row r="481" spans="1:44" x14ac:dyDescent="0.4">
      <c r="B481" s="209" t="s">
        <v>846</v>
      </c>
      <c r="D481" s="132" t="s">
        <v>721</v>
      </c>
      <c r="F481" s="132"/>
      <c r="H481" s="132"/>
      <c r="T481" s="109">
        <v>10</v>
      </c>
      <c r="AA481" s="109">
        <v>20</v>
      </c>
      <c r="AF481" s="109">
        <v>20</v>
      </c>
      <c r="AG481" s="125" t="s">
        <v>1058</v>
      </c>
      <c r="AH481" s="109">
        <f t="shared" si="14"/>
        <v>50</v>
      </c>
      <c r="AQ481" s="161"/>
      <c r="AR481" s="161"/>
    </row>
    <row r="482" spans="1:44" s="129" customFormat="1" x14ac:dyDescent="0.4">
      <c r="A482" s="129" t="s">
        <v>885</v>
      </c>
      <c r="F482" s="130"/>
      <c r="H482" s="130"/>
      <c r="J482" s="130"/>
      <c r="L482" s="130"/>
      <c r="N482" s="123"/>
      <c r="O482" s="123"/>
      <c r="Q482" s="130"/>
      <c r="S482" s="130"/>
      <c r="U482" s="130"/>
      <c r="W482" s="130"/>
      <c r="X482" s="123"/>
      <c r="Z482" s="130"/>
      <c r="AC482" s="130"/>
      <c r="AE482" s="130"/>
      <c r="AG482" s="130"/>
      <c r="AH482" s="131">
        <f>SUM(AH451:AH481)</f>
        <v>1199.0999999999999</v>
      </c>
    </row>
    <row r="483" spans="1:44" x14ac:dyDescent="0.4">
      <c r="D483" s="132"/>
      <c r="F483" s="132"/>
      <c r="H483" s="132"/>
      <c r="AQ483" s="161"/>
      <c r="AR483" s="161"/>
    </row>
    <row r="484" spans="1:44" s="121" customFormat="1" x14ac:dyDescent="0.4">
      <c r="A484" s="121" t="s">
        <v>886</v>
      </c>
      <c r="F484" s="122"/>
      <c r="H484" s="122"/>
      <c r="J484" s="122"/>
      <c r="L484" s="122"/>
      <c r="N484" s="123"/>
      <c r="O484" s="123"/>
      <c r="Q484" s="122"/>
      <c r="S484" s="122"/>
      <c r="U484" s="122"/>
      <c r="W484" s="122"/>
      <c r="X484" s="123"/>
      <c r="Z484" s="122"/>
      <c r="AC484" s="122"/>
      <c r="AE484" s="122"/>
      <c r="AG484" s="122"/>
      <c r="AH484" s="109"/>
    </row>
    <row r="485" spans="1:44" x14ac:dyDescent="0.4">
      <c r="B485" s="209" t="s">
        <v>847</v>
      </c>
      <c r="D485" s="132" t="s">
        <v>722</v>
      </c>
      <c r="F485" s="132"/>
      <c r="G485" s="109">
        <v>21.9</v>
      </c>
      <c r="H485" s="132"/>
      <c r="I485" s="109">
        <v>58</v>
      </c>
      <c r="Q485" s="115" t="s">
        <v>897</v>
      </c>
      <c r="R485" s="209">
        <v>11</v>
      </c>
      <c r="S485" s="115" t="s">
        <v>961</v>
      </c>
      <c r="AH485" s="109">
        <f t="shared" ref="AH485:AH512" si="15">SUM(E485,G485,I485,K485,M485,R485,T485,V485,Y485,X485,AA485,AB485,AD485,AF485)</f>
        <v>90.9</v>
      </c>
      <c r="AQ485" s="161"/>
      <c r="AR485" s="161"/>
    </row>
    <row r="486" spans="1:44" x14ac:dyDescent="0.4">
      <c r="B486" s="209" t="s">
        <v>848</v>
      </c>
      <c r="D486" s="132" t="s">
        <v>723</v>
      </c>
      <c r="F486" s="132"/>
      <c r="H486" s="132"/>
      <c r="I486" s="109">
        <v>29</v>
      </c>
      <c r="AH486" s="109">
        <f t="shared" si="15"/>
        <v>29</v>
      </c>
    </row>
    <row r="487" spans="1:44" x14ac:dyDescent="0.4">
      <c r="B487" s="209" t="s">
        <v>849</v>
      </c>
      <c r="D487" s="132" t="s">
        <v>724</v>
      </c>
      <c r="F487" s="132"/>
      <c r="G487" s="109">
        <v>37.6</v>
      </c>
      <c r="H487" s="132"/>
      <c r="AH487" s="109">
        <f t="shared" si="15"/>
        <v>37.6</v>
      </c>
      <c r="AK487" s="209">
        <v>500</v>
      </c>
    </row>
    <row r="488" spans="1:44" x14ac:dyDescent="0.4">
      <c r="B488" s="209" t="s">
        <v>850</v>
      </c>
      <c r="D488" s="132" t="s">
        <v>725</v>
      </c>
      <c r="F488" s="132"/>
      <c r="H488" s="132"/>
      <c r="I488" s="109">
        <v>75</v>
      </c>
      <c r="Q488" s="115" t="s">
        <v>955</v>
      </c>
      <c r="AF488" s="109">
        <v>9</v>
      </c>
      <c r="AG488" s="125" t="s">
        <v>1058</v>
      </c>
      <c r="AH488" s="109">
        <f t="shared" si="15"/>
        <v>84</v>
      </c>
    </row>
    <row r="489" spans="1:44" x14ac:dyDescent="0.4">
      <c r="B489" s="209" t="s">
        <v>851</v>
      </c>
      <c r="C489" s="209">
        <v>30</v>
      </c>
      <c r="D489" s="132" t="s">
        <v>726</v>
      </c>
      <c r="F489" s="132"/>
      <c r="H489" s="132"/>
      <c r="I489" s="109">
        <v>10</v>
      </c>
      <c r="AF489" s="109">
        <v>20</v>
      </c>
      <c r="AG489" s="125" t="s">
        <v>1065</v>
      </c>
      <c r="AH489" s="109">
        <f t="shared" si="15"/>
        <v>30</v>
      </c>
    </row>
    <row r="490" spans="1:44" x14ac:dyDescent="0.4">
      <c r="B490" s="209" t="s">
        <v>845</v>
      </c>
      <c r="C490" s="209">
        <v>20</v>
      </c>
      <c r="D490" s="132" t="s">
        <v>727</v>
      </c>
      <c r="F490" s="132"/>
      <c r="G490" s="109">
        <v>11</v>
      </c>
      <c r="H490" s="132"/>
      <c r="I490" s="109">
        <v>4</v>
      </c>
      <c r="AH490" s="109">
        <f t="shared" si="15"/>
        <v>15</v>
      </c>
    </row>
    <row r="491" spans="1:44" x14ac:dyDescent="0.4">
      <c r="B491" s="209" t="s">
        <v>846</v>
      </c>
      <c r="C491" s="209">
        <v>50</v>
      </c>
      <c r="D491" s="132" t="s">
        <v>728</v>
      </c>
      <c r="F491" s="132"/>
      <c r="H491" s="132"/>
      <c r="I491" s="109">
        <v>15</v>
      </c>
      <c r="AF491" s="109">
        <v>20</v>
      </c>
      <c r="AG491" s="125" t="s">
        <v>1058</v>
      </c>
      <c r="AH491" s="109">
        <f t="shared" si="15"/>
        <v>35</v>
      </c>
    </row>
    <row r="492" spans="1:44" x14ac:dyDescent="0.4">
      <c r="B492" s="209" t="s">
        <v>847</v>
      </c>
      <c r="D492" s="132" t="s">
        <v>729</v>
      </c>
      <c r="F492" s="132"/>
      <c r="G492" s="109">
        <v>55</v>
      </c>
      <c r="H492" s="132"/>
      <c r="I492" s="109">
        <v>15</v>
      </c>
      <c r="Q492" s="115" t="s">
        <v>955</v>
      </c>
      <c r="AF492" s="109">
        <v>30</v>
      </c>
      <c r="AG492" s="125" t="s">
        <v>1039</v>
      </c>
      <c r="AH492" s="109">
        <f t="shared" si="15"/>
        <v>100</v>
      </c>
      <c r="AK492" s="209">
        <v>500</v>
      </c>
    </row>
    <row r="493" spans="1:44" x14ac:dyDescent="0.4">
      <c r="B493" s="209" t="s">
        <v>848</v>
      </c>
      <c r="D493" s="132" t="s">
        <v>730</v>
      </c>
      <c r="F493" s="132"/>
      <c r="G493" s="109">
        <v>16.5</v>
      </c>
      <c r="H493" s="132"/>
      <c r="AH493" s="109">
        <f t="shared" si="15"/>
        <v>16.5</v>
      </c>
    </row>
    <row r="494" spans="1:44" x14ac:dyDescent="0.4">
      <c r="B494" s="209" t="s">
        <v>849</v>
      </c>
      <c r="D494" s="132" t="s">
        <v>731</v>
      </c>
      <c r="F494" s="132"/>
      <c r="H494" s="132"/>
      <c r="AH494" s="109">
        <f t="shared" si="15"/>
        <v>0</v>
      </c>
    </row>
    <row r="495" spans="1:44" x14ac:dyDescent="0.4">
      <c r="B495" s="209" t="s">
        <v>850</v>
      </c>
      <c r="C495" s="209">
        <v>50</v>
      </c>
      <c r="D495" s="132" t="s">
        <v>732</v>
      </c>
      <c r="F495" s="132"/>
      <c r="H495" s="132"/>
      <c r="I495" s="109">
        <v>8.5</v>
      </c>
      <c r="AH495" s="109">
        <f t="shared" si="15"/>
        <v>8.5</v>
      </c>
    </row>
    <row r="496" spans="1:44" x14ac:dyDescent="0.4">
      <c r="B496" s="209" t="s">
        <v>851</v>
      </c>
      <c r="D496" s="132" t="s">
        <v>733</v>
      </c>
      <c r="F496" s="132"/>
      <c r="H496" s="132"/>
      <c r="Y496" s="209">
        <v>73</v>
      </c>
      <c r="AH496" s="109">
        <f t="shared" si="15"/>
        <v>73</v>
      </c>
    </row>
    <row r="497" spans="2:38" x14ac:dyDescent="0.4">
      <c r="B497" s="209" t="s">
        <v>845</v>
      </c>
      <c r="D497" s="132" t="s">
        <v>734</v>
      </c>
      <c r="F497" s="132"/>
      <c r="H497" s="132"/>
      <c r="I497" s="109">
        <v>55</v>
      </c>
      <c r="Q497" s="115" t="s">
        <v>897</v>
      </c>
      <c r="Y497" s="209">
        <f>13.79+17.85</f>
        <v>31.64</v>
      </c>
      <c r="AH497" s="109">
        <f t="shared" si="15"/>
        <v>86.64</v>
      </c>
      <c r="AK497" s="209">
        <v>500</v>
      </c>
    </row>
    <row r="498" spans="2:38" x14ac:dyDescent="0.4">
      <c r="B498" s="209" t="s">
        <v>846</v>
      </c>
      <c r="D498" s="132" t="s">
        <v>735</v>
      </c>
      <c r="F498" s="132"/>
      <c r="H498" s="132"/>
      <c r="Y498" s="209">
        <v>21.71</v>
      </c>
      <c r="AA498" s="109">
        <v>20</v>
      </c>
      <c r="AF498" s="109">
        <v>7.5</v>
      </c>
      <c r="AG498" s="125" t="s">
        <v>1042</v>
      </c>
      <c r="AH498" s="109">
        <f t="shared" si="15"/>
        <v>49.21</v>
      </c>
      <c r="AL498" s="109">
        <f>264.25+27.52+1288.08+391.41+799.84</f>
        <v>2771.1</v>
      </c>
    </row>
    <row r="499" spans="2:38" x14ac:dyDescent="0.4">
      <c r="B499" s="209" t="s">
        <v>847</v>
      </c>
      <c r="D499" s="132" t="s">
        <v>736</v>
      </c>
      <c r="F499" s="132"/>
      <c r="H499" s="132"/>
      <c r="AH499" s="109">
        <f t="shared" si="15"/>
        <v>0</v>
      </c>
    </row>
    <row r="500" spans="2:38" x14ac:dyDescent="0.4">
      <c r="B500" s="209" t="s">
        <v>848</v>
      </c>
      <c r="D500" s="132" t="s">
        <v>737</v>
      </c>
      <c r="F500" s="132"/>
      <c r="H500" s="132"/>
      <c r="AH500" s="109">
        <f t="shared" si="15"/>
        <v>0</v>
      </c>
    </row>
    <row r="501" spans="2:38" x14ac:dyDescent="0.4">
      <c r="B501" s="209" t="s">
        <v>849</v>
      </c>
      <c r="D501" s="132" t="s">
        <v>738</v>
      </c>
      <c r="F501" s="132"/>
      <c r="H501" s="132"/>
      <c r="AF501" s="109">
        <v>70.3</v>
      </c>
      <c r="AG501" s="125" t="s">
        <v>1066</v>
      </c>
      <c r="AH501" s="109">
        <f t="shared" si="15"/>
        <v>70.3</v>
      </c>
    </row>
    <row r="502" spans="2:38" x14ac:dyDescent="0.4">
      <c r="B502" s="209" t="s">
        <v>850</v>
      </c>
      <c r="D502" s="132" t="s">
        <v>739</v>
      </c>
      <c r="F502" s="132"/>
      <c r="H502" s="132"/>
      <c r="AH502" s="109">
        <f t="shared" si="15"/>
        <v>0</v>
      </c>
    </row>
    <row r="503" spans="2:38" x14ac:dyDescent="0.4">
      <c r="B503" s="209" t="s">
        <v>851</v>
      </c>
      <c r="D503" s="132" t="s">
        <v>740</v>
      </c>
      <c r="F503" s="132"/>
      <c r="H503" s="132"/>
      <c r="AH503" s="109">
        <f t="shared" si="15"/>
        <v>0</v>
      </c>
    </row>
    <row r="504" spans="2:38" x14ac:dyDescent="0.4">
      <c r="B504" s="209" t="s">
        <v>845</v>
      </c>
      <c r="D504" s="132" t="s">
        <v>741</v>
      </c>
      <c r="F504" s="132"/>
      <c r="H504" s="132"/>
      <c r="AH504" s="109">
        <f t="shared" si="15"/>
        <v>0</v>
      </c>
    </row>
    <row r="505" spans="2:38" x14ac:dyDescent="0.4">
      <c r="B505" s="209" t="s">
        <v>846</v>
      </c>
      <c r="D505" s="132" t="s">
        <v>742</v>
      </c>
      <c r="F505" s="132"/>
      <c r="H505" s="132"/>
      <c r="AA505" s="109">
        <v>40</v>
      </c>
      <c r="AH505" s="109">
        <f t="shared" si="15"/>
        <v>40</v>
      </c>
    </row>
    <row r="506" spans="2:38" x14ac:dyDescent="0.4">
      <c r="B506" s="209" t="s">
        <v>847</v>
      </c>
      <c r="D506" s="132" t="s">
        <v>743</v>
      </c>
      <c r="F506" s="132"/>
      <c r="H506" s="132"/>
      <c r="AF506" s="109">
        <v>12.6</v>
      </c>
      <c r="AG506" s="125" t="s">
        <v>1042</v>
      </c>
      <c r="AH506" s="109">
        <f t="shared" si="15"/>
        <v>12.6</v>
      </c>
    </row>
    <row r="507" spans="2:38" x14ac:dyDescent="0.4">
      <c r="B507" s="209" t="s">
        <v>848</v>
      </c>
      <c r="D507" s="132" t="s">
        <v>744</v>
      </c>
      <c r="F507" s="132"/>
      <c r="H507" s="132"/>
      <c r="AH507" s="109">
        <f t="shared" si="15"/>
        <v>0</v>
      </c>
    </row>
    <row r="508" spans="2:38" x14ac:dyDescent="0.4">
      <c r="B508" s="209" t="s">
        <v>849</v>
      </c>
      <c r="D508" s="132" t="s">
        <v>745</v>
      </c>
      <c r="F508" s="132"/>
      <c r="H508" s="132"/>
      <c r="AH508" s="109">
        <f t="shared" si="15"/>
        <v>0</v>
      </c>
    </row>
    <row r="509" spans="2:38" x14ac:dyDescent="0.4">
      <c r="B509" s="209" t="s">
        <v>850</v>
      </c>
      <c r="D509" s="132" t="s">
        <v>746</v>
      </c>
      <c r="F509" s="132"/>
      <c r="H509" s="132"/>
      <c r="AA509" s="109">
        <v>20</v>
      </c>
      <c r="AH509" s="109">
        <f t="shared" si="15"/>
        <v>20</v>
      </c>
    </row>
    <row r="510" spans="2:38" x14ac:dyDescent="0.4">
      <c r="B510" s="209" t="s">
        <v>851</v>
      </c>
      <c r="D510" s="132" t="s">
        <v>747</v>
      </c>
      <c r="F510" s="132"/>
      <c r="H510" s="132"/>
      <c r="AH510" s="109">
        <f t="shared" si="15"/>
        <v>0</v>
      </c>
    </row>
    <row r="511" spans="2:38" x14ac:dyDescent="0.4">
      <c r="B511" s="209" t="s">
        <v>845</v>
      </c>
      <c r="D511" s="132" t="s">
        <v>748</v>
      </c>
      <c r="F511" s="132"/>
      <c r="H511" s="132"/>
      <c r="AH511" s="109">
        <f t="shared" si="15"/>
        <v>0</v>
      </c>
    </row>
    <row r="512" spans="2:38" x14ac:dyDescent="0.4">
      <c r="B512" s="209" t="s">
        <v>846</v>
      </c>
      <c r="D512" s="132" t="s">
        <v>749</v>
      </c>
      <c r="F512" s="132"/>
      <c r="H512" s="132"/>
      <c r="R512" s="209">
        <v>18</v>
      </c>
      <c r="S512" s="115" t="s">
        <v>973</v>
      </c>
      <c r="AF512" s="109">
        <v>58</v>
      </c>
      <c r="AG512" s="125" t="s">
        <v>1037</v>
      </c>
      <c r="AH512" s="109">
        <f t="shared" si="15"/>
        <v>76</v>
      </c>
    </row>
    <row r="513" spans="1:34" s="129" customFormat="1" x14ac:dyDescent="0.4">
      <c r="A513" s="129" t="s">
        <v>887</v>
      </c>
      <c r="F513" s="130"/>
      <c r="H513" s="130"/>
      <c r="J513" s="130"/>
      <c r="L513" s="130"/>
      <c r="N513" s="123"/>
      <c r="O513" s="123"/>
      <c r="Q513" s="130"/>
      <c r="S513" s="130"/>
      <c r="U513" s="130"/>
      <c r="W513" s="130"/>
      <c r="X513" s="123"/>
      <c r="Z513" s="130"/>
      <c r="AC513" s="130"/>
      <c r="AE513" s="130"/>
      <c r="AG513" s="130"/>
      <c r="AH513" s="131">
        <f>SUM(AH485:AH512)</f>
        <v>874.25</v>
      </c>
    </row>
    <row r="514" spans="1:34" x14ac:dyDescent="0.4">
      <c r="D514" s="132"/>
      <c r="F514" s="132"/>
      <c r="H514" s="132"/>
    </row>
    <row r="515" spans="1:34" s="121" customFormat="1" x14ac:dyDescent="0.4">
      <c r="A515" s="121" t="s">
        <v>888</v>
      </c>
      <c r="F515" s="122"/>
      <c r="H515" s="122"/>
      <c r="J515" s="122"/>
      <c r="L515" s="122"/>
      <c r="N515" s="123"/>
      <c r="O515" s="123"/>
      <c r="Q515" s="122"/>
      <c r="S515" s="122"/>
      <c r="U515" s="122"/>
      <c r="W515" s="122"/>
      <c r="X515" s="123"/>
      <c r="Z515" s="122"/>
      <c r="AC515" s="122"/>
      <c r="AE515" s="122"/>
      <c r="AG515" s="122"/>
      <c r="AH515" s="109"/>
    </row>
    <row r="516" spans="1:34" x14ac:dyDescent="0.4">
      <c r="B516" s="209" t="s">
        <v>847</v>
      </c>
      <c r="D516" s="132" t="s">
        <v>750</v>
      </c>
      <c r="F516" s="132"/>
      <c r="H516" s="132"/>
      <c r="I516" s="109">
        <v>51.5</v>
      </c>
      <c r="Q516" s="115" t="s">
        <v>948</v>
      </c>
      <c r="Y516" s="209">
        <v>73</v>
      </c>
      <c r="AA516" s="109">
        <v>20</v>
      </c>
      <c r="AF516" s="109">
        <f>36+27+21.4</f>
        <v>84.4</v>
      </c>
      <c r="AG516" s="125" t="s">
        <v>1067</v>
      </c>
      <c r="AH516" s="109">
        <f t="shared" ref="AH516:AH546" si="16">SUM(E516,G516,I516,K516,M516,R516,T516,V516,Y516,X516,AA516,AB516,AD516,AF516)</f>
        <v>228.9</v>
      </c>
    </row>
    <row r="517" spans="1:34" x14ac:dyDescent="0.4">
      <c r="B517" s="209" t="s">
        <v>848</v>
      </c>
      <c r="D517" s="132" t="s">
        <v>751</v>
      </c>
      <c r="F517" s="132"/>
      <c r="H517" s="132"/>
      <c r="I517" s="109">
        <v>43.5</v>
      </c>
      <c r="Q517" s="115" t="s">
        <v>955</v>
      </c>
      <c r="Y517" s="209">
        <v>15.72</v>
      </c>
      <c r="AH517" s="109">
        <f t="shared" si="16"/>
        <v>59.22</v>
      </c>
    </row>
    <row r="518" spans="1:34" x14ac:dyDescent="0.4">
      <c r="B518" s="209" t="s">
        <v>849</v>
      </c>
      <c r="D518" s="132" t="s">
        <v>752</v>
      </c>
      <c r="F518" s="132"/>
      <c r="G518" s="109">
        <v>6</v>
      </c>
      <c r="H518" s="132"/>
      <c r="AH518" s="109">
        <f t="shared" si="16"/>
        <v>6</v>
      </c>
    </row>
    <row r="519" spans="1:34" x14ac:dyDescent="0.4">
      <c r="B519" s="209" t="s">
        <v>850</v>
      </c>
      <c r="D519" s="132" t="s">
        <v>753</v>
      </c>
      <c r="F519" s="132"/>
      <c r="H519" s="132"/>
      <c r="I519" s="109">
        <v>18</v>
      </c>
      <c r="R519" s="209">
        <v>19</v>
      </c>
      <c r="S519" s="115" t="s">
        <v>966</v>
      </c>
      <c r="T519" s="109">
        <v>152</v>
      </c>
      <c r="AH519" s="109">
        <f t="shared" si="16"/>
        <v>189</v>
      </c>
    </row>
    <row r="520" spans="1:34" x14ac:dyDescent="0.4">
      <c r="B520" s="209" t="s">
        <v>851</v>
      </c>
      <c r="C520" s="209">
        <v>50</v>
      </c>
      <c r="D520" s="132" t="s">
        <v>754</v>
      </c>
      <c r="F520" s="132"/>
      <c r="G520" s="109">
        <v>10</v>
      </c>
      <c r="H520" s="132"/>
      <c r="I520" s="109">
        <v>8.5</v>
      </c>
      <c r="AF520" s="109">
        <f>51.9+41+224</f>
        <v>316.89999999999998</v>
      </c>
      <c r="AG520" s="125" t="s">
        <v>1068</v>
      </c>
      <c r="AH520" s="109">
        <f t="shared" si="16"/>
        <v>335.4</v>
      </c>
    </row>
    <row r="521" spans="1:34" x14ac:dyDescent="0.4">
      <c r="B521" s="209" t="s">
        <v>845</v>
      </c>
      <c r="D521" s="132" t="s">
        <v>755</v>
      </c>
      <c r="E521" s="109">
        <v>4</v>
      </c>
      <c r="F521" s="132"/>
      <c r="G521" s="109">
        <v>8.5</v>
      </c>
      <c r="H521" s="132"/>
      <c r="I521" s="109">
        <v>11</v>
      </c>
      <c r="AH521" s="109">
        <f t="shared" si="16"/>
        <v>23.5</v>
      </c>
    </row>
    <row r="522" spans="1:34" x14ac:dyDescent="0.4">
      <c r="B522" s="209" t="s">
        <v>846</v>
      </c>
      <c r="C522" s="209">
        <v>50</v>
      </c>
      <c r="D522" s="132" t="s">
        <v>756</v>
      </c>
      <c r="E522" s="109">
        <v>4</v>
      </c>
      <c r="F522" s="132"/>
      <c r="G522" s="109">
        <v>12</v>
      </c>
      <c r="H522" s="132"/>
      <c r="I522" s="109">
        <v>14</v>
      </c>
      <c r="AH522" s="109">
        <f t="shared" si="16"/>
        <v>30</v>
      </c>
    </row>
    <row r="523" spans="1:34" x14ac:dyDescent="0.4">
      <c r="B523" s="209" t="s">
        <v>847</v>
      </c>
      <c r="D523" s="132" t="s">
        <v>757</v>
      </c>
      <c r="E523" s="109">
        <v>11.5</v>
      </c>
      <c r="F523" s="132"/>
      <c r="G523" s="109">
        <v>12.5</v>
      </c>
      <c r="H523" s="132"/>
      <c r="I523" s="109">
        <v>8</v>
      </c>
      <c r="AF523" s="109">
        <v>30</v>
      </c>
      <c r="AG523" s="125" t="s">
        <v>1056</v>
      </c>
      <c r="AH523" s="109">
        <f t="shared" si="16"/>
        <v>62</v>
      </c>
    </row>
    <row r="524" spans="1:34" x14ac:dyDescent="0.4">
      <c r="B524" s="209" t="s">
        <v>848</v>
      </c>
      <c r="D524" s="132" t="s">
        <v>758</v>
      </c>
      <c r="E524" s="109">
        <v>4</v>
      </c>
      <c r="F524" s="132"/>
      <c r="H524" s="132"/>
      <c r="AF524" s="109">
        <v>30</v>
      </c>
      <c r="AG524" s="125" t="s">
        <v>1069</v>
      </c>
      <c r="AH524" s="109">
        <f t="shared" si="16"/>
        <v>34</v>
      </c>
    </row>
    <row r="525" spans="1:34" x14ac:dyDescent="0.4">
      <c r="B525" s="209" t="s">
        <v>849</v>
      </c>
      <c r="D525" s="132" t="s">
        <v>759</v>
      </c>
      <c r="F525" s="132"/>
      <c r="G525" s="109">
        <v>36.5</v>
      </c>
      <c r="H525" s="132"/>
      <c r="I525" s="109">
        <v>28</v>
      </c>
      <c r="Q525" s="115" t="s">
        <v>956</v>
      </c>
      <c r="AH525" s="109">
        <f t="shared" si="16"/>
        <v>64.5</v>
      </c>
    </row>
    <row r="526" spans="1:34" x14ac:dyDescent="0.4">
      <c r="B526" s="209" t="s">
        <v>850</v>
      </c>
      <c r="C526" s="209">
        <v>100</v>
      </c>
      <c r="D526" s="132" t="s">
        <v>760</v>
      </c>
      <c r="F526" s="132"/>
      <c r="H526" s="132"/>
      <c r="AH526" s="109">
        <f t="shared" si="16"/>
        <v>0</v>
      </c>
    </row>
    <row r="527" spans="1:34" x14ac:dyDescent="0.4">
      <c r="B527" s="209" t="s">
        <v>851</v>
      </c>
      <c r="D527" s="132" t="s">
        <v>761</v>
      </c>
      <c r="E527" s="109">
        <v>9</v>
      </c>
      <c r="F527" s="132"/>
      <c r="H527" s="132"/>
      <c r="I527" s="109">
        <v>8</v>
      </c>
      <c r="T527" s="109">
        <v>32</v>
      </c>
      <c r="AH527" s="109">
        <f t="shared" si="16"/>
        <v>49</v>
      </c>
    </row>
    <row r="528" spans="1:34" x14ac:dyDescent="0.4">
      <c r="B528" s="209" t="s">
        <v>845</v>
      </c>
      <c r="D528" s="132" t="s">
        <v>762</v>
      </c>
      <c r="E528" s="109">
        <v>10</v>
      </c>
      <c r="F528" s="132"/>
      <c r="G528" s="109">
        <v>10</v>
      </c>
      <c r="H528" s="132"/>
      <c r="R528" s="209">
        <v>17.47</v>
      </c>
      <c r="S528" s="115" t="s">
        <v>979</v>
      </c>
      <c r="AF528" s="109">
        <v>18</v>
      </c>
      <c r="AG528" s="125" t="s">
        <v>1070</v>
      </c>
      <c r="AH528" s="109">
        <f t="shared" si="16"/>
        <v>55.47</v>
      </c>
    </row>
    <row r="529" spans="2:34" x14ac:dyDescent="0.4">
      <c r="B529" s="209" t="s">
        <v>846</v>
      </c>
      <c r="C529" s="209">
        <v>100</v>
      </c>
      <c r="D529" s="150" t="s">
        <v>763</v>
      </c>
      <c r="F529" s="150"/>
      <c r="G529" s="109">
        <v>11</v>
      </c>
      <c r="H529" s="150"/>
      <c r="I529" s="109">
        <v>14.5</v>
      </c>
      <c r="AH529" s="109">
        <f t="shared" si="16"/>
        <v>25.5</v>
      </c>
    </row>
    <row r="530" spans="2:34" x14ac:dyDescent="0.4">
      <c r="B530" s="209" t="s">
        <v>847</v>
      </c>
      <c r="D530" s="132" t="s">
        <v>764</v>
      </c>
      <c r="F530" s="132"/>
      <c r="G530" s="109">
        <v>8.5</v>
      </c>
      <c r="H530" s="132"/>
      <c r="AF530" s="109">
        <v>15</v>
      </c>
      <c r="AG530" s="125" t="s">
        <v>1046</v>
      </c>
      <c r="AH530" s="109">
        <f t="shared" si="16"/>
        <v>23.5</v>
      </c>
    </row>
    <row r="531" spans="2:34" x14ac:dyDescent="0.4">
      <c r="B531" s="209" t="s">
        <v>848</v>
      </c>
      <c r="D531" s="132" t="s">
        <v>765</v>
      </c>
      <c r="E531" s="109">
        <v>10</v>
      </c>
      <c r="F531" s="132"/>
      <c r="G531" s="109">
        <v>10</v>
      </c>
      <c r="H531" s="132"/>
      <c r="I531" s="109">
        <v>10</v>
      </c>
      <c r="AH531" s="109">
        <f t="shared" si="16"/>
        <v>30</v>
      </c>
    </row>
    <row r="532" spans="2:34" x14ac:dyDescent="0.4">
      <c r="B532" s="209" t="s">
        <v>849</v>
      </c>
      <c r="C532" s="209">
        <v>100</v>
      </c>
      <c r="D532" s="150" t="s">
        <v>766</v>
      </c>
      <c r="F532" s="150"/>
      <c r="G532" s="109">
        <v>11.5</v>
      </c>
      <c r="H532" s="150"/>
      <c r="I532" s="109">
        <v>10</v>
      </c>
      <c r="AH532" s="109">
        <f t="shared" si="16"/>
        <v>21.5</v>
      </c>
    </row>
    <row r="533" spans="2:34" x14ac:dyDescent="0.4">
      <c r="B533" s="209" t="s">
        <v>850</v>
      </c>
      <c r="D533" s="132" t="s">
        <v>767</v>
      </c>
      <c r="F533" s="132"/>
      <c r="H533" s="132"/>
      <c r="I533" s="109">
        <v>8</v>
      </c>
      <c r="AA533" s="109">
        <v>30</v>
      </c>
      <c r="AH533" s="109">
        <f t="shared" si="16"/>
        <v>38</v>
      </c>
    </row>
    <row r="534" spans="2:34" x14ac:dyDescent="0.4">
      <c r="B534" s="209" t="s">
        <v>851</v>
      </c>
      <c r="D534" s="132" t="s">
        <v>768</v>
      </c>
      <c r="F534" s="132"/>
      <c r="G534" s="109">
        <v>8.5</v>
      </c>
      <c r="H534" s="132"/>
      <c r="I534" s="109">
        <v>6</v>
      </c>
      <c r="AA534" s="109">
        <v>20</v>
      </c>
      <c r="AH534" s="109">
        <f t="shared" si="16"/>
        <v>34.5</v>
      </c>
    </row>
    <row r="535" spans="2:34" x14ac:dyDescent="0.4">
      <c r="B535" s="209" t="s">
        <v>845</v>
      </c>
      <c r="C535" s="109"/>
      <c r="D535" s="132" t="s">
        <v>769</v>
      </c>
      <c r="E535" s="109">
        <v>6</v>
      </c>
      <c r="F535" s="132"/>
      <c r="G535" s="109">
        <v>8</v>
      </c>
      <c r="H535" s="132"/>
      <c r="I535" s="109">
        <v>9</v>
      </c>
      <c r="T535" s="109">
        <v>13.1</v>
      </c>
      <c r="AH535" s="109">
        <f t="shared" si="16"/>
        <v>36.1</v>
      </c>
    </row>
    <row r="536" spans="2:34" x14ac:dyDescent="0.4">
      <c r="B536" s="209" t="s">
        <v>846</v>
      </c>
      <c r="C536" s="109"/>
      <c r="D536" s="132" t="s">
        <v>770</v>
      </c>
      <c r="F536" s="132"/>
      <c r="G536" s="109">
        <v>8.5</v>
      </c>
      <c r="H536" s="132"/>
      <c r="I536" s="109">
        <v>17</v>
      </c>
      <c r="AH536" s="109">
        <f t="shared" si="16"/>
        <v>25.5</v>
      </c>
    </row>
    <row r="537" spans="2:34" x14ac:dyDescent="0.4">
      <c r="B537" s="209" t="s">
        <v>847</v>
      </c>
      <c r="C537" s="109">
        <v>100</v>
      </c>
      <c r="D537" s="150" t="s">
        <v>771</v>
      </c>
      <c r="F537" s="150"/>
      <c r="G537" s="109">
        <v>8</v>
      </c>
      <c r="H537" s="150"/>
      <c r="I537" s="109">
        <v>13</v>
      </c>
      <c r="T537" s="109">
        <v>27</v>
      </c>
      <c r="AA537" s="109">
        <v>10</v>
      </c>
      <c r="AH537" s="109">
        <f t="shared" si="16"/>
        <v>58</v>
      </c>
    </row>
    <row r="538" spans="2:34" x14ac:dyDescent="0.4">
      <c r="B538" s="209" t="s">
        <v>848</v>
      </c>
      <c r="C538" s="109"/>
      <c r="D538" s="132" t="s">
        <v>772</v>
      </c>
      <c r="E538" s="109">
        <v>7</v>
      </c>
      <c r="F538" s="132"/>
      <c r="G538" s="109">
        <v>12.5</v>
      </c>
      <c r="H538" s="132"/>
      <c r="AH538" s="109">
        <f t="shared" si="16"/>
        <v>19.5</v>
      </c>
    </row>
    <row r="539" spans="2:34" x14ac:dyDescent="0.4">
      <c r="B539" s="209" t="s">
        <v>849</v>
      </c>
      <c r="C539" s="109"/>
      <c r="D539" s="132" t="s">
        <v>773</v>
      </c>
      <c r="F539" s="132"/>
      <c r="H539" s="132"/>
      <c r="AH539" s="109">
        <f t="shared" si="16"/>
        <v>0</v>
      </c>
    </row>
    <row r="540" spans="2:34" x14ac:dyDescent="0.4">
      <c r="B540" s="209" t="s">
        <v>850</v>
      </c>
      <c r="C540" s="109"/>
      <c r="D540" s="132" t="s">
        <v>774</v>
      </c>
      <c r="F540" s="132"/>
      <c r="G540" s="109">
        <v>9</v>
      </c>
      <c r="H540" s="132"/>
      <c r="I540" s="109">
        <v>7.5</v>
      </c>
      <c r="AA540" s="109">
        <v>10</v>
      </c>
      <c r="AF540" s="109">
        <v>12.6</v>
      </c>
      <c r="AG540" s="125" t="s">
        <v>1042</v>
      </c>
      <c r="AH540" s="109">
        <f t="shared" si="16"/>
        <v>39.1</v>
      </c>
    </row>
    <row r="541" spans="2:34" x14ac:dyDescent="0.4">
      <c r="B541" s="209" t="s">
        <v>851</v>
      </c>
      <c r="C541" s="109"/>
      <c r="D541" s="132" t="s">
        <v>775</v>
      </c>
      <c r="F541" s="132"/>
      <c r="H541" s="132"/>
      <c r="I541" s="109">
        <v>8</v>
      </c>
      <c r="AH541" s="109">
        <f t="shared" si="16"/>
        <v>8</v>
      </c>
    </row>
    <row r="542" spans="2:34" x14ac:dyDescent="0.4">
      <c r="B542" s="209" t="s">
        <v>845</v>
      </c>
      <c r="C542" s="109">
        <v>100</v>
      </c>
      <c r="D542" s="150" t="s">
        <v>776</v>
      </c>
      <c r="E542" s="109">
        <v>5</v>
      </c>
      <c r="F542" s="150"/>
      <c r="H542" s="150"/>
      <c r="I542" s="109">
        <v>10</v>
      </c>
      <c r="R542" s="209">
        <v>19</v>
      </c>
      <c r="S542" s="115" t="s">
        <v>966</v>
      </c>
      <c r="AF542" s="109">
        <f>34.9+38.98</f>
        <v>73.88</v>
      </c>
      <c r="AG542" s="125" t="s">
        <v>1071</v>
      </c>
      <c r="AH542" s="109">
        <f t="shared" si="16"/>
        <v>107.88</v>
      </c>
    </row>
    <row r="543" spans="2:34" x14ac:dyDescent="0.4">
      <c r="B543" s="209" t="s">
        <v>846</v>
      </c>
      <c r="C543" s="109"/>
      <c r="D543" s="132" t="s">
        <v>777</v>
      </c>
      <c r="E543" s="109">
        <v>5.2</v>
      </c>
      <c r="F543" s="132"/>
      <c r="G543" s="109">
        <v>8.5</v>
      </c>
      <c r="H543" s="132"/>
      <c r="I543" s="109">
        <v>13</v>
      </c>
      <c r="AH543" s="109">
        <f t="shared" si="16"/>
        <v>26.7</v>
      </c>
    </row>
    <row r="544" spans="2:34" x14ac:dyDescent="0.4">
      <c r="B544" s="209" t="s">
        <v>847</v>
      </c>
      <c r="C544" s="109"/>
      <c r="D544" s="132" t="s">
        <v>778</v>
      </c>
      <c r="E544" s="109">
        <v>5.5</v>
      </c>
      <c r="F544" s="132"/>
      <c r="H544" s="132"/>
      <c r="AH544" s="109">
        <f t="shared" si="16"/>
        <v>5.5</v>
      </c>
    </row>
    <row r="545" spans="1:34" x14ac:dyDescent="0.4">
      <c r="B545" s="209" t="s">
        <v>848</v>
      </c>
      <c r="C545" s="109">
        <v>70</v>
      </c>
      <c r="D545" s="150" t="s">
        <v>779</v>
      </c>
      <c r="F545" s="150"/>
      <c r="G545" s="109">
        <v>9.5</v>
      </c>
      <c r="H545" s="150"/>
      <c r="I545" s="109">
        <v>10</v>
      </c>
      <c r="AF545" s="109">
        <v>5</v>
      </c>
      <c r="AG545" s="125" t="s">
        <v>1046</v>
      </c>
      <c r="AH545" s="109">
        <f t="shared" si="16"/>
        <v>24.5</v>
      </c>
    </row>
    <row r="546" spans="1:34" x14ac:dyDescent="0.4">
      <c r="B546" s="209" t="s">
        <v>849</v>
      </c>
      <c r="C546" s="109"/>
      <c r="D546" s="132" t="s">
        <v>780</v>
      </c>
      <c r="F546" s="132"/>
      <c r="G546" s="109">
        <v>11</v>
      </c>
      <c r="H546" s="132"/>
      <c r="I546" s="109">
        <v>20</v>
      </c>
      <c r="T546" s="109">
        <v>11.5</v>
      </c>
      <c r="AH546" s="109">
        <f t="shared" si="16"/>
        <v>42.5</v>
      </c>
    </row>
    <row r="547" spans="1:34" s="129" customFormat="1" x14ac:dyDescent="0.4">
      <c r="A547" s="129" t="s">
        <v>889</v>
      </c>
      <c r="F547" s="130"/>
      <c r="H547" s="130"/>
      <c r="J547" s="130"/>
      <c r="L547" s="130"/>
      <c r="N547" s="123"/>
      <c r="O547" s="123"/>
      <c r="Q547" s="130"/>
      <c r="S547" s="130"/>
      <c r="U547" s="130"/>
      <c r="W547" s="130"/>
      <c r="X547" s="123"/>
      <c r="Z547" s="130"/>
      <c r="AC547" s="130"/>
      <c r="AE547" s="130"/>
      <c r="AG547" s="130"/>
      <c r="AH547" s="131">
        <f>SUM(AH516:AH546)</f>
        <v>1703.2699999999998</v>
      </c>
    </row>
    <row r="548" spans="1:34" x14ac:dyDescent="0.4">
      <c r="C548" s="109"/>
      <c r="D548" s="132"/>
      <c r="F548" s="132"/>
      <c r="H548" s="132"/>
    </row>
    <row r="549" spans="1:34" s="121" customFormat="1" x14ac:dyDescent="0.4">
      <c r="A549" s="121" t="s">
        <v>874</v>
      </c>
      <c r="F549" s="122"/>
      <c r="H549" s="122"/>
      <c r="J549" s="122"/>
      <c r="L549" s="122"/>
      <c r="N549" s="123"/>
      <c r="O549" s="123"/>
      <c r="Q549" s="122"/>
      <c r="S549" s="122"/>
      <c r="U549" s="122"/>
      <c r="W549" s="122"/>
      <c r="X549" s="123"/>
      <c r="Z549" s="122"/>
      <c r="AC549" s="122"/>
      <c r="AE549" s="122"/>
      <c r="AG549" s="122"/>
      <c r="AH549" s="109"/>
    </row>
    <row r="550" spans="1:34" x14ac:dyDescent="0.4">
      <c r="B550" s="209" t="s">
        <v>850</v>
      </c>
      <c r="C550" s="109"/>
      <c r="D550" s="102" t="s">
        <v>781</v>
      </c>
      <c r="E550" s="109">
        <v>10.6</v>
      </c>
      <c r="T550" s="109">
        <v>28</v>
      </c>
      <c r="AH550" s="109">
        <f t="shared" ref="AH550:AH579" si="17">SUM(E550,G550,I550,K550,M550,R550,T550,V550,Y550,X550,AA550,AB550,AD550,AF550)</f>
        <v>38.6</v>
      </c>
    </row>
    <row r="551" spans="1:34" x14ac:dyDescent="0.4">
      <c r="B551" s="209" t="s">
        <v>851</v>
      </c>
      <c r="C551" s="109">
        <v>80</v>
      </c>
      <c r="D551" s="145" t="s">
        <v>782</v>
      </c>
      <c r="F551" s="145"/>
      <c r="H551" s="145"/>
      <c r="AH551" s="109">
        <f t="shared" si="17"/>
        <v>0</v>
      </c>
    </row>
    <row r="552" spans="1:34" x14ac:dyDescent="0.4">
      <c r="B552" s="209" t="s">
        <v>845</v>
      </c>
      <c r="C552" s="109"/>
      <c r="D552" s="102" t="s">
        <v>783</v>
      </c>
      <c r="E552" s="109">
        <v>5</v>
      </c>
      <c r="G552" s="109">
        <v>11</v>
      </c>
      <c r="I552" s="109">
        <v>12.5</v>
      </c>
      <c r="AH552" s="109">
        <f t="shared" si="17"/>
        <v>28.5</v>
      </c>
    </row>
    <row r="553" spans="1:34" x14ac:dyDescent="0.4">
      <c r="B553" s="209" t="s">
        <v>846</v>
      </c>
      <c r="C553" s="109"/>
      <c r="D553" s="102" t="s">
        <v>784</v>
      </c>
      <c r="E553" s="109">
        <v>5.5</v>
      </c>
      <c r="G553" s="109">
        <v>8.5</v>
      </c>
      <c r="AH553" s="109">
        <f t="shared" si="17"/>
        <v>14</v>
      </c>
    </row>
    <row r="554" spans="1:34" x14ac:dyDescent="0.4">
      <c r="B554" s="209" t="s">
        <v>847</v>
      </c>
      <c r="C554" s="109"/>
      <c r="D554" s="102" t="s">
        <v>785</v>
      </c>
      <c r="G554" s="109">
        <v>22</v>
      </c>
      <c r="AH554" s="109">
        <f t="shared" si="17"/>
        <v>22</v>
      </c>
    </row>
    <row r="555" spans="1:34" x14ac:dyDescent="0.4">
      <c r="B555" s="209" t="s">
        <v>848</v>
      </c>
      <c r="C555" s="109"/>
      <c r="D555" s="102" t="s">
        <v>786</v>
      </c>
      <c r="AH555" s="109">
        <f t="shared" si="17"/>
        <v>0</v>
      </c>
    </row>
    <row r="556" spans="1:34" x14ac:dyDescent="0.4">
      <c r="B556" s="209" t="s">
        <v>849</v>
      </c>
      <c r="C556" s="109"/>
      <c r="D556" s="102" t="s">
        <v>787</v>
      </c>
      <c r="AH556" s="109">
        <f t="shared" si="17"/>
        <v>0</v>
      </c>
    </row>
    <row r="557" spans="1:34" x14ac:dyDescent="0.4">
      <c r="B557" s="209" t="s">
        <v>850</v>
      </c>
      <c r="C557" s="109"/>
      <c r="D557" s="102" t="s">
        <v>788</v>
      </c>
      <c r="E557" s="109">
        <v>5</v>
      </c>
      <c r="G557" s="109">
        <v>8.5</v>
      </c>
      <c r="AF557" s="109">
        <v>3.5</v>
      </c>
      <c r="AG557" s="125" t="s">
        <v>1072</v>
      </c>
      <c r="AH557" s="109">
        <f t="shared" si="17"/>
        <v>17</v>
      </c>
    </row>
    <row r="558" spans="1:34" x14ac:dyDescent="0.4">
      <c r="B558" s="209" t="s">
        <v>851</v>
      </c>
      <c r="C558" s="109">
        <v>100</v>
      </c>
      <c r="D558" s="145" t="s">
        <v>151</v>
      </c>
      <c r="E558" s="109">
        <v>5.2</v>
      </c>
      <c r="F558" s="145"/>
      <c r="H558" s="145"/>
      <c r="I558" s="109">
        <v>5.5</v>
      </c>
      <c r="AF558" s="109">
        <v>10</v>
      </c>
      <c r="AG558" s="125" t="s">
        <v>1046</v>
      </c>
      <c r="AH558" s="109">
        <f t="shared" si="17"/>
        <v>20.7</v>
      </c>
    </row>
    <row r="559" spans="1:34" x14ac:dyDescent="0.4">
      <c r="B559" s="209" t="s">
        <v>845</v>
      </c>
      <c r="C559" s="109"/>
      <c r="D559" s="102" t="s">
        <v>789</v>
      </c>
      <c r="E559" s="109">
        <v>5</v>
      </c>
      <c r="G559" s="109">
        <v>12</v>
      </c>
      <c r="T559" s="109">
        <v>19.600000000000001</v>
      </c>
      <c r="AA559" s="109">
        <v>20</v>
      </c>
      <c r="AH559" s="109">
        <f t="shared" si="17"/>
        <v>56.6</v>
      </c>
    </row>
    <row r="560" spans="1:34" x14ac:dyDescent="0.4">
      <c r="B560" s="209" t="s">
        <v>846</v>
      </c>
      <c r="C560" s="109"/>
      <c r="D560" s="102" t="s">
        <v>131</v>
      </c>
      <c r="I560" s="109">
        <v>10</v>
      </c>
      <c r="T560" s="109">
        <v>2.5</v>
      </c>
      <c r="AH560" s="109">
        <f t="shared" si="17"/>
        <v>12.5</v>
      </c>
    </row>
    <row r="561" spans="2:34" x14ac:dyDescent="0.4">
      <c r="B561" s="209" t="s">
        <v>847</v>
      </c>
      <c r="C561" s="109"/>
      <c r="D561" s="102" t="s">
        <v>132</v>
      </c>
      <c r="E561" s="109">
        <v>9</v>
      </c>
      <c r="I561" s="109">
        <v>6</v>
      </c>
      <c r="AH561" s="109">
        <f t="shared" si="17"/>
        <v>15</v>
      </c>
    </row>
    <row r="562" spans="2:34" x14ac:dyDescent="0.4">
      <c r="B562" s="209" t="s">
        <v>848</v>
      </c>
      <c r="C562" s="109">
        <v>50</v>
      </c>
      <c r="D562" s="145" t="s">
        <v>133</v>
      </c>
      <c r="E562" s="109">
        <v>4</v>
      </c>
      <c r="F562" s="145"/>
      <c r="G562" s="109">
        <v>17</v>
      </c>
      <c r="H562" s="145"/>
      <c r="I562" s="109">
        <v>7</v>
      </c>
      <c r="AF562" s="109">
        <v>10</v>
      </c>
      <c r="AG562" s="125" t="s">
        <v>1073</v>
      </c>
      <c r="AH562" s="109">
        <f t="shared" si="17"/>
        <v>38</v>
      </c>
    </row>
    <row r="563" spans="2:34" x14ac:dyDescent="0.4">
      <c r="B563" s="209" t="s">
        <v>849</v>
      </c>
      <c r="C563" s="109"/>
      <c r="D563" s="102" t="s">
        <v>134</v>
      </c>
      <c r="G563" s="109">
        <v>10</v>
      </c>
      <c r="AH563" s="109">
        <f t="shared" si="17"/>
        <v>10</v>
      </c>
    </row>
    <row r="564" spans="2:34" x14ac:dyDescent="0.4">
      <c r="B564" s="209" t="s">
        <v>850</v>
      </c>
      <c r="C564" s="109">
        <v>20</v>
      </c>
      <c r="D564" s="145" t="s">
        <v>135</v>
      </c>
      <c r="F564" s="145"/>
      <c r="G564" s="109">
        <v>13</v>
      </c>
      <c r="H564" s="145"/>
      <c r="I564" s="109">
        <v>10</v>
      </c>
      <c r="AH564" s="109">
        <f t="shared" si="17"/>
        <v>23</v>
      </c>
    </row>
    <row r="565" spans="2:34" x14ac:dyDescent="0.4">
      <c r="B565" s="209" t="s">
        <v>851</v>
      </c>
      <c r="C565" s="109"/>
      <c r="D565" s="102" t="s">
        <v>136</v>
      </c>
      <c r="E565" s="109">
        <v>6.8</v>
      </c>
      <c r="G565" s="109">
        <v>7.5</v>
      </c>
      <c r="AH565" s="109">
        <f t="shared" si="17"/>
        <v>14.3</v>
      </c>
    </row>
    <row r="566" spans="2:34" x14ac:dyDescent="0.4">
      <c r="B566" s="209" t="s">
        <v>845</v>
      </c>
      <c r="C566" s="109">
        <v>55</v>
      </c>
      <c r="D566" s="145" t="s">
        <v>137</v>
      </c>
      <c r="F566" s="145"/>
      <c r="G566" s="109">
        <v>7</v>
      </c>
      <c r="H566" s="145"/>
      <c r="I566" s="109">
        <v>8.5</v>
      </c>
      <c r="AH566" s="109">
        <f t="shared" si="17"/>
        <v>15.5</v>
      </c>
    </row>
    <row r="567" spans="2:34" x14ac:dyDescent="0.4">
      <c r="B567" s="209" t="s">
        <v>846</v>
      </c>
      <c r="C567" s="109"/>
      <c r="D567" s="102" t="s">
        <v>138</v>
      </c>
      <c r="G567" s="109">
        <v>10.5</v>
      </c>
      <c r="AH567" s="109">
        <f t="shared" si="17"/>
        <v>10.5</v>
      </c>
    </row>
    <row r="568" spans="2:34" x14ac:dyDescent="0.4">
      <c r="B568" s="209" t="s">
        <v>847</v>
      </c>
      <c r="C568" s="109">
        <v>40</v>
      </c>
      <c r="D568" s="145" t="s">
        <v>139</v>
      </c>
      <c r="E568" s="109">
        <v>6</v>
      </c>
      <c r="F568" s="145"/>
      <c r="G568" s="109">
        <v>16.5</v>
      </c>
      <c r="H568" s="145"/>
      <c r="I568" s="109">
        <v>18</v>
      </c>
      <c r="AH568" s="109">
        <f t="shared" si="17"/>
        <v>40.5</v>
      </c>
    </row>
    <row r="569" spans="2:34" x14ac:dyDescent="0.4">
      <c r="B569" s="209" t="s">
        <v>848</v>
      </c>
      <c r="C569" s="109"/>
      <c r="D569" s="102" t="s">
        <v>140</v>
      </c>
      <c r="E569" s="109">
        <v>7.3</v>
      </c>
      <c r="G569" s="109">
        <v>14.5</v>
      </c>
      <c r="AF569" s="109">
        <v>5</v>
      </c>
      <c r="AG569" s="125" t="s">
        <v>1046</v>
      </c>
      <c r="AH569" s="109">
        <f t="shared" si="17"/>
        <v>26.8</v>
      </c>
    </row>
    <row r="570" spans="2:34" x14ac:dyDescent="0.4">
      <c r="B570" s="209" t="s">
        <v>849</v>
      </c>
      <c r="C570" s="109">
        <v>100</v>
      </c>
      <c r="D570" s="145" t="s">
        <v>141</v>
      </c>
      <c r="F570" s="145"/>
      <c r="H570" s="145"/>
      <c r="I570" s="109">
        <v>7</v>
      </c>
      <c r="AH570" s="109">
        <f t="shared" si="17"/>
        <v>7</v>
      </c>
    </row>
    <row r="571" spans="2:34" x14ac:dyDescent="0.4">
      <c r="B571" s="209" t="s">
        <v>850</v>
      </c>
      <c r="C571" s="109"/>
      <c r="D571" s="102" t="s">
        <v>142</v>
      </c>
      <c r="G571" s="109">
        <v>23</v>
      </c>
      <c r="AH571" s="109">
        <f t="shared" si="17"/>
        <v>23</v>
      </c>
    </row>
    <row r="572" spans="2:34" x14ac:dyDescent="0.4">
      <c r="B572" s="209" t="s">
        <v>851</v>
      </c>
      <c r="C572" s="109"/>
      <c r="D572" s="102" t="s">
        <v>143</v>
      </c>
      <c r="G572" s="109">
        <v>8.1999999999999993</v>
      </c>
      <c r="I572" s="109">
        <v>9.1999999999999993</v>
      </c>
      <c r="AH572" s="109">
        <f t="shared" si="17"/>
        <v>17.399999999999999</v>
      </c>
    </row>
    <row r="573" spans="2:34" x14ac:dyDescent="0.4">
      <c r="B573" s="209" t="s">
        <v>845</v>
      </c>
      <c r="C573" s="109"/>
      <c r="D573" s="102" t="s">
        <v>144</v>
      </c>
      <c r="E573" s="109">
        <v>5.8</v>
      </c>
      <c r="G573" s="109">
        <v>8.5</v>
      </c>
      <c r="AH573" s="109">
        <f t="shared" si="17"/>
        <v>14.3</v>
      </c>
    </row>
    <row r="574" spans="2:34" x14ac:dyDescent="0.4">
      <c r="B574" s="209" t="s">
        <v>846</v>
      </c>
      <c r="C574" s="109"/>
      <c r="D574" s="102" t="s">
        <v>145</v>
      </c>
      <c r="E574" s="109">
        <v>12</v>
      </c>
      <c r="G574" s="109">
        <v>17.5</v>
      </c>
      <c r="AH574" s="109">
        <f t="shared" si="17"/>
        <v>29.5</v>
      </c>
    </row>
    <row r="575" spans="2:34" x14ac:dyDescent="0.4">
      <c r="B575" s="209" t="s">
        <v>847</v>
      </c>
      <c r="C575" s="109">
        <v>100</v>
      </c>
      <c r="D575" s="145" t="s">
        <v>146</v>
      </c>
      <c r="E575" s="109">
        <v>6.5</v>
      </c>
      <c r="F575" s="145"/>
      <c r="H575" s="145"/>
      <c r="I575" s="109">
        <v>8.5</v>
      </c>
      <c r="AH575" s="109">
        <f t="shared" si="17"/>
        <v>15</v>
      </c>
    </row>
    <row r="576" spans="2:34" x14ac:dyDescent="0.4">
      <c r="B576" s="209" t="s">
        <v>848</v>
      </c>
      <c r="C576" s="109"/>
      <c r="D576" s="102" t="s">
        <v>147</v>
      </c>
      <c r="E576" s="109">
        <v>4.2</v>
      </c>
      <c r="G576" s="109">
        <v>13.5</v>
      </c>
      <c r="AH576" s="109">
        <f t="shared" si="17"/>
        <v>17.7</v>
      </c>
    </row>
    <row r="577" spans="1:34" x14ac:dyDescent="0.4">
      <c r="B577" s="209" t="s">
        <v>849</v>
      </c>
      <c r="C577" s="109"/>
      <c r="D577" s="102" t="s">
        <v>148</v>
      </c>
      <c r="E577" s="109">
        <v>8</v>
      </c>
      <c r="AH577" s="109">
        <f t="shared" si="17"/>
        <v>8</v>
      </c>
    </row>
    <row r="578" spans="1:34" x14ac:dyDescent="0.4">
      <c r="B578" s="209" t="s">
        <v>850</v>
      </c>
      <c r="C578" s="109"/>
      <c r="D578" s="102" t="s">
        <v>149</v>
      </c>
      <c r="AH578" s="109">
        <f t="shared" si="17"/>
        <v>0</v>
      </c>
    </row>
    <row r="579" spans="1:34" x14ac:dyDescent="0.4">
      <c r="B579" s="209" t="s">
        <v>851</v>
      </c>
      <c r="C579" s="109"/>
      <c r="D579" s="102" t="s">
        <v>150</v>
      </c>
      <c r="AH579" s="109">
        <f t="shared" si="17"/>
        <v>0</v>
      </c>
    </row>
    <row r="580" spans="1:34" s="129" customFormat="1" x14ac:dyDescent="0.4">
      <c r="A580" s="129" t="s">
        <v>876</v>
      </c>
      <c r="F580" s="130"/>
      <c r="H580" s="130"/>
      <c r="J580" s="130"/>
      <c r="L580" s="130"/>
      <c r="N580" s="123"/>
      <c r="O580" s="123"/>
      <c r="Q580" s="130"/>
      <c r="S580" s="130"/>
      <c r="U580" s="130"/>
      <c r="W580" s="130"/>
      <c r="X580" s="123"/>
      <c r="Z580" s="130"/>
      <c r="AC580" s="130"/>
      <c r="AE580" s="130"/>
      <c r="AG580" s="130"/>
      <c r="AH580" s="131">
        <f>SUM(AH550:AH579)</f>
        <v>535.4</v>
      </c>
    </row>
    <row r="581" spans="1:34" x14ac:dyDescent="0.4">
      <c r="C581" s="109"/>
    </row>
    <row r="582" spans="1:34" s="121" customFormat="1" x14ac:dyDescent="0.4">
      <c r="A582" s="121" t="s">
        <v>877</v>
      </c>
      <c r="F582" s="122"/>
      <c r="H582" s="122"/>
      <c r="J582" s="122"/>
      <c r="L582" s="122"/>
      <c r="N582" s="123"/>
      <c r="O582" s="123"/>
      <c r="Q582" s="122"/>
      <c r="S582" s="122"/>
      <c r="U582" s="122"/>
      <c r="W582" s="122"/>
      <c r="X582" s="123"/>
      <c r="Z582" s="122"/>
      <c r="AC582" s="122"/>
      <c r="AE582" s="122"/>
      <c r="AG582" s="122"/>
      <c r="AH582" s="109"/>
    </row>
    <row r="583" spans="1:34" x14ac:dyDescent="0.4">
      <c r="B583" s="209" t="s">
        <v>845</v>
      </c>
      <c r="C583" s="109"/>
      <c r="D583" s="102" t="s">
        <v>790</v>
      </c>
      <c r="AH583" s="109">
        <f t="shared" ref="AH583:AH612" si="18">SUM(E583,G583,I583,K583,M583,R583,T583,V583,Y583,X583,AA583,AB583,AD583,AF583)</f>
        <v>0</v>
      </c>
    </row>
    <row r="584" spans="1:34" x14ac:dyDescent="0.4">
      <c r="B584" s="209" t="s">
        <v>846</v>
      </c>
      <c r="C584" s="109"/>
      <c r="D584" s="102" t="s">
        <v>153</v>
      </c>
      <c r="AH584" s="109">
        <f t="shared" si="18"/>
        <v>0</v>
      </c>
    </row>
    <row r="585" spans="1:34" x14ac:dyDescent="0.4">
      <c r="B585" s="209" t="s">
        <v>847</v>
      </c>
      <c r="C585" s="109"/>
      <c r="D585" s="102" t="s">
        <v>154</v>
      </c>
      <c r="I585" s="109">
        <v>11.5</v>
      </c>
      <c r="AH585" s="109">
        <f t="shared" si="18"/>
        <v>11.5</v>
      </c>
    </row>
    <row r="586" spans="1:34" x14ac:dyDescent="0.4">
      <c r="B586" s="209" t="s">
        <v>848</v>
      </c>
      <c r="C586" s="109"/>
      <c r="D586" s="102" t="s">
        <v>155</v>
      </c>
      <c r="E586" s="109">
        <v>8.6999999999999993</v>
      </c>
      <c r="G586" s="109">
        <v>11</v>
      </c>
      <c r="I586" s="109">
        <v>8</v>
      </c>
      <c r="AH586" s="109">
        <f t="shared" si="18"/>
        <v>27.7</v>
      </c>
    </row>
    <row r="587" spans="1:34" x14ac:dyDescent="0.4">
      <c r="B587" s="209" t="s">
        <v>849</v>
      </c>
      <c r="C587" s="109">
        <v>50</v>
      </c>
      <c r="D587" s="145" t="s">
        <v>156</v>
      </c>
      <c r="F587" s="145"/>
      <c r="G587" s="109">
        <v>10</v>
      </c>
      <c r="H587" s="145"/>
      <c r="I587" s="109">
        <v>14</v>
      </c>
      <c r="AF587" s="109">
        <v>10</v>
      </c>
      <c r="AG587" s="125" t="s">
        <v>1046</v>
      </c>
      <c r="AH587" s="109">
        <f t="shared" si="18"/>
        <v>34</v>
      </c>
    </row>
    <row r="588" spans="1:34" x14ac:dyDescent="0.4">
      <c r="B588" s="209" t="s">
        <v>850</v>
      </c>
      <c r="C588" s="109"/>
      <c r="D588" s="102" t="s">
        <v>157</v>
      </c>
      <c r="I588" s="109">
        <v>19</v>
      </c>
      <c r="AH588" s="109">
        <f t="shared" si="18"/>
        <v>19</v>
      </c>
    </row>
    <row r="589" spans="1:34" x14ac:dyDescent="0.4">
      <c r="B589" s="209" t="s">
        <v>851</v>
      </c>
      <c r="C589" s="109">
        <v>50</v>
      </c>
      <c r="D589" s="145" t="s">
        <v>158</v>
      </c>
      <c r="E589" s="109">
        <v>3</v>
      </c>
      <c r="F589" s="145"/>
      <c r="G589" s="109">
        <v>11</v>
      </c>
      <c r="H589" s="145"/>
      <c r="AF589" s="109">
        <v>15</v>
      </c>
      <c r="AG589" s="125" t="s">
        <v>1046</v>
      </c>
      <c r="AH589" s="109">
        <f t="shared" si="18"/>
        <v>29</v>
      </c>
    </row>
    <row r="590" spans="1:34" x14ac:dyDescent="0.4">
      <c r="B590" s="209" t="s">
        <v>845</v>
      </c>
      <c r="C590" s="109"/>
      <c r="D590" s="102" t="s">
        <v>159</v>
      </c>
      <c r="E590" s="109">
        <v>4</v>
      </c>
      <c r="G590" s="109">
        <v>14</v>
      </c>
      <c r="T590" s="109">
        <v>15.1</v>
      </c>
      <c r="AH590" s="109">
        <f t="shared" si="18"/>
        <v>33.1</v>
      </c>
    </row>
    <row r="591" spans="1:34" x14ac:dyDescent="0.4">
      <c r="B591" s="209" t="s">
        <v>846</v>
      </c>
      <c r="C591" s="109">
        <v>50</v>
      </c>
      <c r="D591" s="145" t="s">
        <v>160</v>
      </c>
      <c r="E591" s="109">
        <v>5.4</v>
      </c>
      <c r="F591" s="145"/>
      <c r="G591" s="109">
        <v>3</v>
      </c>
      <c r="H591" s="145"/>
      <c r="I591" s="109">
        <v>7.5</v>
      </c>
      <c r="AH591" s="109">
        <f t="shared" si="18"/>
        <v>15.9</v>
      </c>
    </row>
    <row r="592" spans="1:34" x14ac:dyDescent="0.4">
      <c r="B592" s="209" t="s">
        <v>847</v>
      </c>
      <c r="C592" s="109"/>
      <c r="D592" s="102" t="s">
        <v>161</v>
      </c>
      <c r="E592" s="109">
        <v>3.4</v>
      </c>
      <c r="G592" s="109">
        <v>15</v>
      </c>
      <c r="I592" s="109">
        <v>8</v>
      </c>
      <c r="AF592" s="109">
        <v>5</v>
      </c>
      <c r="AG592" s="125" t="s">
        <v>1046</v>
      </c>
      <c r="AH592" s="109">
        <f t="shared" si="18"/>
        <v>31.4</v>
      </c>
    </row>
    <row r="593" spans="2:34" x14ac:dyDescent="0.4">
      <c r="B593" s="209" t="s">
        <v>848</v>
      </c>
      <c r="C593" s="109"/>
      <c r="D593" s="102" t="s">
        <v>162</v>
      </c>
      <c r="E593" s="109">
        <v>3.8</v>
      </c>
      <c r="G593" s="109">
        <v>10.5</v>
      </c>
      <c r="AH593" s="109">
        <f t="shared" si="18"/>
        <v>14.3</v>
      </c>
    </row>
    <row r="594" spans="2:34" x14ac:dyDescent="0.4">
      <c r="B594" s="209" t="s">
        <v>849</v>
      </c>
      <c r="C594" s="109"/>
      <c r="D594" s="102" t="s">
        <v>163</v>
      </c>
      <c r="AH594" s="109">
        <f t="shared" si="18"/>
        <v>0</v>
      </c>
    </row>
    <row r="595" spans="2:34" x14ac:dyDescent="0.4">
      <c r="B595" s="209" t="s">
        <v>850</v>
      </c>
      <c r="C595" s="109">
        <v>50</v>
      </c>
      <c r="D595" s="145" t="s">
        <v>164</v>
      </c>
      <c r="F595" s="145"/>
      <c r="H595" s="145"/>
      <c r="I595" s="109">
        <v>13</v>
      </c>
      <c r="AH595" s="109">
        <f t="shared" si="18"/>
        <v>13</v>
      </c>
    </row>
    <row r="596" spans="2:34" x14ac:dyDescent="0.4">
      <c r="B596" s="209" t="s">
        <v>851</v>
      </c>
      <c r="C596" s="109"/>
      <c r="D596" s="102" t="s">
        <v>165</v>
      </c>
      <c r="G596" s="109">
        <v>3</v>
      </c>
      <c r="I596" s="109">
        <v>9</v>
      </c>
      <c r="AH596" s="109">
        <f t="shared" si="18"/>
        <v>12</v>
      </c>
    </row>
    <row r="597" spans="2:34" x14ac:dyDescent="0.4">
      <c r="B597" s="209" t="s">
        <v>845</v>
      </c>
      <c r="C597" s="109"/>
      <c r="D597" s="102" t="s">
        <v>166</v>
      </c>
      <c r="G597" s="109">
        <v>11</v>
      </c>
      <c r="AF597" s="109">
        <v>27</v>
      </c>
      <c r="AG597" s="125" t="s">
        <v>1074</v>
      </c>
      <c r="AH597" s="109">
        <f t="shared" si="18"/>
        <v>38</v>
      </c>
    </row>
    <row r="598" spans="2:34" x14ac:dyDescent="0.4">
      <c r="B598" s="209" t="s">
        <v>846</v>
      </c>
      <c r="C598" s="109"/>
      <c r="D598" s="102" t="s">
        <v>167</v>
      </c>
      <c r="AH598" s="109">
        <f t="shared" si="18"/>
        <v>0</v>
      </c>
    </row>
    <row r="599" spans="2:34" x14ac:dyDescent="0.4">
      <c r="B599" s="209" t="s">
        <v>847</v>
      </c>
      <c r="C599" s="109"/>
      <c r="D599" s="102" t="s">
        <v>168</v>
      </c>
      <c r="AH599" s="109">
        <f t="shared" si="18"/>
        <v>0</v>
      </c>
    </row>
    <row r="600" spans="2:34" x14ac:dyDescent="0.4">
      <c r="B600" s="209" t="s">
        <v>848</v>
      </c>
      <c r="D600" s="102" t="s">
        <v>169</v>
      </c>
      <c r="AH600" s="109">
        <f t="shared" si="18"/>
        <v>0</v>
      </c>
    </row>
    <row r="601" spans="2:34" x14ac:dyDescent="0.4">
      <c r="B601" s="209" t="s">
        <v>849</v>
      </c>
      <c r="D601" s="102" t="s">
        <v>170</v>
      </c>
      <c r="AH601" s="109">
        <f t="shared" si="18"/>
        <v>0</v>
      </c>
    </row>
    <row r="602" spans="2:34" x14ac:dyDescent="0.4">
      <c r="B602" s="209" t="s">
        <v>850</v>
      </c>
      <c r="D602" s="102" t="s">
        <v>171</v>
      </c>
      <c r="AH602" s="109">
        <f t="shared" si="18"/>
        <v>0</v>
      </c>
    </row>
    <row r="603" spans="2:34" x14ac:dyDescent="0.4">
      <c r="B603" s="209" t="s">
        <v>851</v>
      </c>
      <c r="D603" s="102" t="s">
        <v>172</v>
      </c>
      <c r="AH603" s="109">
        <f t="shared" si="18"/>
        <v>0</v>
      </c>
    </row>
    <row r="604" spans="2:34" x14ac:dyDescent="0.4">
      <c r="B604" s="209" t="s">
        <v>845</v>
      </c>
      <c r="D604" s="102" t="s">
        <v>173</v>
      </c>
      <c r="AH604" s="109">
        <f t="shared" si="18"/>
        <v>0</v>
      </c>
    </row>
    <row r="605" spans="2:34" x14ac:dyDescent="0.4">
      <c r="B605" s="209" t="s">
        <v>846</v>
      </c>
      <c r="D605" s="102" t="s">
        <v>174</v>
      </c>
      <c r="AH605" s="109">
        <f t="shared" si="18"/>
        <v>0</v>
      </c>
    </row>
    <row r="606" spans="2:34" x14ac:dyDescent="0.4">
      <c r="B606" s="209" t="s">
        <v>847</v>
      </c>
      <c r="D606" s="102" t="s">
        <v>175</v>
      </c>
      <c r="AH606" s="109">
        <f t="shared" si="18"/>
        <v>0</v>
      </c>
    </row>
    <row r="607" spans="2:34" x14ac:dyDescent="0.4">
      <c r="B607" s="209" t="s">
        <v>848</v>
      </c>
      <c r="D607" s="102" t="s">
        <v>176</v>
      </c>
      <c r="AH607" s="109">
        <f t="shared" si="18"/>
        <v>0</v>
      </c>
    </row>
    <row r="608" spans="2:34" x14ac:dyDescent="0.4">
      <c r="B608" s="209" t="s">
        <v>849</v>
      </c>
      <c r="D608" s="102" t="s">
        <v>177</v>
      </c>
      <c r="AH608" s="109">
        <f t="shared" si="18"/>
        <v>0</v>
      </c>
    </row>
    <row r="609" spans="1:52" x14ac:dyDescent="0.4">
      <c r="B609" s="209" t="s">
        <v>850</v>
      </c>
      <c r="D609" s="102" t="s">
        <v>178</v>
      </c>
      <c r="AH609" s="109">
        <f t="shared" si="18"/>
        <v>0</v>
      </c>
    </row>
    <row r="610" spans="1:52" x14ac:dyDescent="0.4">
      <c r="B610" s="209" t="s">
        <v>851</v>
      </c>
      <c r="D610" s="102" t="s">
        <v>179</v>
      </c>
      <c r="AH610" s="109">
        <f t="shared" si="18"/>
        <v>0</v>
      </c>
    </row>
    <row r="611" spans="1:52" x14ac:dyDescent="0.4">
      <c r="B611" s="209" t="s">
        <v>845</v>
      </c>
      <c r="D611" s="102" t="s">
        <v>180</v>
      </c>
      <c r="AH611" s="109">
        <f t="shared" si="18"/>
        <v>0</v>
      </c>
    </row>
    <row r="612" spans="1:52" x14ac:dyDescent="0.4">
      <c r="B612" s="209" t="s">
        <v>846</v>
      </c>
      <c r="D612" s="102" t="s">
        <v>256</v>
      </c>
      <c r="AH612" s="109">
        <f t="shared" si="18"/>
        <v>0</v>
      </c>
    </row>
    <row r="613" spans="1:52" s="129" customFormat="1" x14ac:dyDescent="0.4">
      <c r="A613" s="129" t="s">
        <v>878</v>
      </c>
      <c r="F613" s="130"/>
      <c r="H613" s="130"/>
      <c r="J613" s="130"/>
      <c r="L613" s="130"/>
      <c r="N613" s="123"/>
      <c r="O613" s="123"/>
      <c r="Q613" s="130"/>
      <c r="S613" s="130"/>
      <c r="U613" s="130"/>
      <c r="W613" s="130"/>
      <c r="X613" s="123"/>
      <c r="Z613" s="130"/>
      <c r="AC613" s="130"/>
      <c r="AE613" s="130"/>
      <c r="AG613" s="130"/>
      <c r="AH613" s="131">
        <f>SUM(AH583:AH612)</f>
        <v>278.90000000000003</v>
      </c>
    </row>
    <row r="615" spans="1:52" s="134" customFormat="1" ht="33" x14ac:dyDescent="0.65">
      <c r="A615" s="133">
        <v>2018</v>
      </c>
      <c r="D615" s="135"/>
      <c r="E615" s="136"/>
      <c r="F615" s="135"/>
      <c r="G615" s="136"/>
      <c r="H615" s="135"/>
      <c r="I615" s="136"/>
      <c r="J615" s="137"/>
      <c r="K615" s="136"/>
      <c r="L615" s="137"/>
      <c r="M615" s="136"/>
      <c r="N615" s="136"/>
      <c r="O615" s="136"/>
      <c r="P615" s="136"/>
      <c r="Q615" s="137"/>
      <c r="S615" s="137"/>
      <c r="T615" s="136"/>
      <c r="U615" s="137"/>
      <c r="W615" s="137"/>
      <c r="X615" s="136"/>
      <c r="Z615" s="137"/>
      <c r="AA615" s="136"/>
      <c r="AC615" s="137"/>
      <c r="AD615" s="136"/>
      <c r="AE615" s="137"/>
      <c r="AF615" s="136"/>
      <c r="AG615" s="138"/>
      <c r="AH615" s="166">
        <f>SUM(AH451:AH613)/2</f>
        <v>4590.92</v>
      </c>
      <c r="AI615" s="140"/>
      <c r="AJ615" s="140"/>
      <c r="AL615" s="136"/>
      <c r="AO615" s="141"/>
      <c r="AP615" s="141"/>
      <c r="AQ615" s="141"/>
      <c r="AR615" s="141"/>
      <c r="AS615" s="142"/>
      <c r="AT615" s="142"/>
      <c r="AU615" s="142"/>
      <c r="AV615" s="142"/>
      <c r="AW615" s="143"/>
      <c r="AX615" s="143"/>
      <c r="AY615" s="143"/>
      <c r="AZ615" s="143"/>
    </row>
    <row r="616" spans="1:52" x14ac:dyDescent="0.4">
      <c r="B616" s="162"/>
    </row>
    <row r="617" spans="1:52" ht="28.5" x14ac:dyDescent="0.55000000000000004">
      <c r="B617" s="160">
        <v>2019</v>
      </c>
    </row>
    <row r="618" spans="1:52" s="121" customFormat="1" x14ac:dyDescent="0.4">
      <c r="A618" s="121" t="s">
        <v>877</v>
      </c>
      <c r="F618" s="122"/>
      <c r="H618" s="122"/>
      <c r="J618" s="122"/>
      <c r="L618" s="122"/>
      <c r="N618" s="123"/>
      <c r="O618" s="123"/>
      <c r="Q618" s="122"/>
      <c r="S618" s="122"/>
      <c r="U618" s="122"/>
      <c r="W618" s="122"/>
      <c r="X618" s="123"/>
      <c r="Z618" s="122"/>
      <c r="AC618" s="122"/>
      <c r="AE618" s="122"/>
      <c r="AG618" s="122"/>
      <c r="AH618" s="109"/>
    </row>
    <row r="619" spans="1:52" x14ac:dyDescent="0.4">
      <c r="B619" s="209" t="s">
        <v>857</v>
      </c>
      <c r="D619" s="102" t="s">
        <v>791</v>
      </c>
      <c r="M619" s="109">
        <v>24.4</v>
      </c>
      <c r="Y619" s="209">
        <f>3+3+3</f>
        <v>9</v>
      </c>
      <c r="AF619" s="109">
        <f>58+45</f>
        <v>103</v>
      </c>
      <c r="AG619" s="125" t="s">
        <v>1075</v>
      </c>
      <c r="AH619" s="109">
        <f t="shared" ref="AH619:AH649" si="19">SUM(E619,G619,I619,K619,M619,R619,T619,V619,Y619,X619,AA619,AB619,AD619,AF619)</f>
        <v>136.4</v>
      </c>
    </row>
    <row r="620" spans="1:52" x14ac:dyDescent="0.4">
      <c r="B620" s="209" t="s">
        <v>858</v>
      </c>
      <c r="D620" s="102" t="s">
        <v>153</v>
      </c>
      <c r="I620" s="109">
        <v>94</v>
      </c>
      <c r="Y620" s="209">
        <f>3+4+4+17.46</f>
        <v>28.46</v>
      </c>
      <c r="AG620" s="125" t="s">
        <v>1076</v>
      </c>
      <c r="AH620" s="109">
        <f t="shared" si="19"/>
        <v>122.46000000000001</v>
      </c>
    </row>
    <row r="621" spans="1:52" x14ac:dyDescent="0.4">
      <c r="B621" s="209" t="s">
        <v>848</v>
      </c>
      <c r="D621" s="102" t="s">
        <v>154</v>
      </c>
      <c r="K621" s="109">
        <v>19</v>
      </c>
      <c r="AH621" s="109">
        <f t="shared" si="19"/>
        <v>19</v>
      </c>
    </row>
    <row r="622" spans="1:52" x14ac:dyDescent="0.4">
      <c r="B622" s="209" t="s">
        <v>849</v>
      </c>
      <c r="D622" s="102" t="s">
        <v>155</v>
      </c>
      <c r="T622" s="109">
        <v>33.799999999999997</v>
      </c>
      <c r="U622" s="115" t="s">
        <v>992</v>
      </c>
      <c r="AH622" s="109">
        <f t="shared" si="19"/>
        <v>33.799999999999997</v>
      </c>
    </row>
    <row r="623" spans="1:52" x14ac:dyDescent="0.4">
      <c r="B623" s="209" t="s">
        <v>850</v>
      </c>
      <c r="D623" s="102" t="s">
        <v>156</v>
      </c>
      <c r="AH623" s="109">
        <f t="shared" si="19"/>
        <v>0</v>
      </c>
    </row>
    <row r="624" spans="1:52" x14ac:dyDescent="0.4">
      <c r="B624" s="209" t="s">
        <v>851</v>
      </c>
      <c r="D624" s="102" t="s">
        <v>157</v>
      </c>
      <c r="I624" s="109">
        <v>47</v>
      </c>
      <c r="Q624" s="115" t="s">
        <v>948</v>
      </c>
      <c r="Y624" s="209">
        <f>75+14+17</f>
        <v>106</v>
      </c>
      <c r="AH624" s="109">
        <f t="shared" si="19"/>
        <v>153</v>
      </c>
    </row>
    <row r="625" spans="2:50" x14ac:dyDescent="0.4">
      <c r="B625" s="209" t="s">
        <v>845</v>
      </c>
      <c r="C625" s="209">
        <v>50</v>
      </c>
      <c r="D625" s="102" t="s">
        <v>158</v>
      </c>
      <c r="E625" s="109">
        <v>7.5</v>
      </c>
      <c r="G625" s="109">
        <v>12.5</v>
      </c>
      <c r="I625" s="109">
        <v>13</v>
      </c>
      <c r="X625" s="106">
        <v>3</v>
      </c>
      <c r="AF625" s="109">
        <f>99+25</f>
        <v>124</v>
      </c>
      <c r="AG625" s="125" t="s">
        <v>1077</v>
      </c>
      <c r="AH625" s="109">
        <f t="shared" si="19"/>
        <v>160</v>
      </c>
      <c r="AL625" s="109">
        <v>1025.57</v>
      </c>
      <c r="AM625" s="209">
        <v>500</v>
      </c>
    </row>
    <row r="626" spans="2:50" x14ac:dyDescent="0.4">
      <c r="B626" s="209" t="s">
        <v>846</v>
      </c>
      <c r="C626" s="209">
        <v>50</v>
      </c>
      <c r="D626" s="102" t="s">
        <v>159</v>
      </c>
      <c r="E626" s="109">
        <v>3.5</v>
      </c>
      <c r="I626" s="109">
        <v>24</v>
      </c>
      <c r="AH626" s="109">
        <f t="shared" si="19"/>
        <v>27.5</v>
      </c>
    </row>
    <row r="627" spans="2:50" x14ac:dyDescent="0.4">
      <c r="B627" s="209" t="s">
        <v>847</v>
      </c>
      <c r="D627" s="102" t="s">
        <v>160</v>
      </c>
      <c r="E627" s="109">
        <v>8.5</v>
      </c>
      <c r="G627" s="109">
        <v>7</v>
      </c>
      <c r="I627" s="109">
        <v>11</v>
      </c>
      <c r="K627" s="109">
        <v>22</v>
      </c>
      <c r="R627" s="209">
        <f>6.49+2.48</f>
        <v>8.9700000000000006</v>
      </c>
      <c r="AA627" s="109">
        <v>10</v>
      </c>
      <c r="AF627" s="109">
        <v>39.799999999999997</v>
      </c>
      <c r="AG627" s="125" t="s">
        <v>1078</v>
      </c>
      <c r="AH627" s="109">
        <f t="shared" si="19"/>
        <v>107.27</v>
      </c>
      <c r="AO627" s="126">
        <v>2320.5500000000002</v>
      </c>
      <c r="AW627" s="128">
        <v>14.25</v>
      </c>
    </row>
    <row r="628" spans="2:50" x14ac:dyDescent="0.4">
      <c r="B628" s="209" t="s">
        <v>848</v>
      </c>
      <c r="C628" s="209">
        <v>50</v>
      </c>
      <c r="D628" s="102" t="s">
        <v>161</v>
      </c>
      <c r="E628" s="109">
        <v>7</v>
      </c>
      <c r="G628" s="109">
        <f>10+4</f>
        <v>14</v>
      </c>
      <c r="I628" s="109">
        <v>10</v>
      </c>
      <c r="T628" s="109">
        <v>14</v>
      </c>
      <c r="X628" s="106">
        <v>4</v>
      </c>
      <c r="AH628" s="109">
        <f t="shared" si="19"/>
        <v>49</v>
      </c>
    </row>
    <row r="629" spans="2:50" x14ac:dyDescent="0.4">
      <c r="B629" s="209" t="s">
        <v>849</v>
      </c>
      <c r="C629" s="209">
        <v>50</v>
      </c>
      <c r="D629" s="102" t="s">
        <v>162</v>
      </c>
      <c r="G629" s="109">
        <v>16.5</v>
      </c>
      <c r="I629" s="109">
        <v>10</v>
      </c>
      <c r="AH629" s="109">
        <f t="shared" si="19"/>
        <v>26.5</v>
      </c>
    </row>
    <row r="630" spans="2:50" x14ac:dyDescent="0.4">
      <c r="B630" s="209" t="s">
        <v>850</v>
      </c>
      <c r="D630" s="102" t="s">
        <v>163</v>
      </c>
      <c r="G630" s="109">
        <v>9.5</v>
      </c>
      <c r="I630" s="109">
        <v>14.5</v>
      </c>
      <c r="T630" s="109">
        <v>24.1</v>
      </c>
      <c r="AH630" s="109">
        <f t="shared" si="19"/>
        <v>48.1</v>
      </c>
    </row>
    <row r="631" spans="2:50" x14ac:dyDescent="0.4">
      <c r="B631" s="209" t="s">
        <v>851</v>
      </c>
      <c r="D631" s="102" t="s">
        <v>164</v>
      </c>
      <c r="G631" s="109">
        <v>9</v>
      </c>
      <c r="AA631" s="109">
        <v>9.98</v>
      </c>
      <c r="AH631" s="109">
        <f t="shared" si="19"/>
        <v>18.98</v>
      </c>
    </row>
    <row r="632" spans="2:50" x14ac:dyDescent="0.4">
      <c r="B632" s="209" t="s">
        <v>845</v>
      </c>
      <c r="D632" s="102" t="s">
        <v>165</v>
      </c>
      <c r="G632" s="109">
        <v>9</v>
      </c>
      <c r="R632" s="209">
        <f>3.98+3</f>
        <v>6.98</v>
      </c>
      <c r="X632" s="106">
        <v>4</v>
      </c>
      <c r="AH632" s="109">
        <f t="shared" si="19"/>
        <v>19.98</v>
      </c>
    </row>
    <row r="633" spans="2:50" x14ac:dyDescent="0.4">
      <c r="B633" s="209" t="s">
        <v>846</v>
      </c>
      <c r="C633" s="209">
        <v>50</v>
      </c>
      <c r="D633" s="102" t="s">
        <v>166</v>
      </c>
      <c r="G633" s="109">
        <v>10.5</v>
      </c>
      <c r="K633" s="109">
        <f>22+27</f>
        <v>49</v>
      </c>
      <c r="AF633" s="109">
        <v>40</v>
      </c>
      <c r="AG633" s="125" t="s">
        <v>1079</v>
      </c>
      <c r="AH633" s="109">
        <f t="shared" si="19"/>
        <v>99.5</v>
      </c>
    </row>
    <row r="634" spans="2:50" x14ac:dyDescent="0.4">
      <c r="B634" s="209" t="s">
        <v>847</v>
      </c>
      <c r="D634" s="102" t="s">
        <v>167</v>
      </c>
      <c r="G634" s="109">
        <f>8.5+6</f>
        <v>14.5</v>
      </c>
      <c r="I634" s="109">
        <v>9</v>
      </c>
      <c r="AH634" s="109">
        <f t="shared" si="19"/>
        <v>23.5</v>
      </c>
    </row>
    <row r="635" spans="2:50" x14ac:dyDescent="0.4">
      <c r="B635" s="209" t="s">
        <v>848</v>
      </c>
      <c r="D635" s="102" t="s">
        <v>168</v>
      </c>
      <c r="G635" s="109">
        <f>11+3.5</f>
        <v>14.5</v>
      </c>
      <c r="I635" s="109">
        <v>9.5</v>
      </c>
      <c r="T635" s="109">
        <v>12</v>
      </c>
      <c r="AA635" s="109">
        <v>10</v>
      </c>
      <c r="AF635" s="109">
        <v>10</v>
      </c>
      <c r="AG635" s="125" t="s">
        <v>1080</v>
      </c>
      <c r="AH635" s="109">
        <f t="shared" si="19"/>
        <v>56</v>
      </c>
    </row>
    <row r="636" spans="2:50" x14ac:dyDescent="0.4">
      <c r="B636" s="209" t="s">
        <v>849</v>
      </c>
      <c r="C636" s="209">
        <v>50</v>
      </c>
      <c r="D636" s="102" t="s">
        <v>169</v>
      </c>
      <c r="G636" s="109">
        <f>11+1.5</f>
        <v>12.5</v>
      </c>
      <c r="M636" s="109">
        <v>35</v>
      </c>
      <c r="X636" s="106">
        <v>4</v>
      </c>
      <c r="AF636" s="109">
        <v>39.799999999999997</v>
      </c>
      <c r="AG636" s="125" t="s">
        <v>1081</v>
      </c>
      <c r="AH636" s="109">
        <f t="shared" si="19"/>
        <v>91.3</v>
      </c>
      <c r="AL636" s="109">
        <v>5129</v>
      </c>
      <c r="AM636" s="209">
        <v>5500</v>
      </c>
      <c r="AN636" s="126" t="s">
        <v>890</v>
      </c>
      <c r="AO636" s="209"/>
      <c r="AP636" s="126">
        <v>5129</v>
      </c>
      <c r="AX636" s="128">
        <f>75+2.5+31.5</f>
        <v>109</v>
      </c>
    </row>
    <row r="637" spans="2:50" x14ac:dyDescent="0.4">
      <c r="B637" s="209" t="s">
        <v>850</v>
      </c>
      <c r="D637" s="102" t="s">
        <v>170</v>
      </c>
      <c r="G637" s="109">
        <f>12+4</f>
        <v>16</v>
      </c>
      <c r="I637" s="109">
        <v>77.5</v>
      </c>
      <c r="R637" s="209">
        <v>16.5</v>
      </c>
      <c r="AG637" s="125" t="s">
        <v>948</v>
      </c>
      <c r="AH637" s="109">
        <f t="shared" si="19"/>
        <v>110</v>
      </c>
    </row>
    <row r="638" spans="2:50" x14ac:dyDescent="0.4">
      <c r="B638" s="209" t="s">
        <v>851</v>
      </c>
      <c r="D638" s="102" t="s">
        <v>171</v>
      </c>
      <c r="G638" s="109">
        <v>16</v>
      </c>
      <c r="I638" s="109">
        <v>8.5</v>
      </c>
      <c r="R638" s="209">
        <v>31.2</v>
      </c>
      <c r="AG638" s="125" t="s">
        <v>1082</v>
      </c>
      <c r="AH638" s="109">
        <f t="shared" si="19"/>
        <v>55.7</v>
      </c>
    </row>
    <row r="639" spans="2:50" x14ac:dyDescent="0.4">
      <c r="B639" s="209" t="s">
        <v>845</v>
      </c>
      <c r="D639" s="102" t="s">
        <v>172</v>
      </c>
      <c r="G639" s="109">
        <v>7</v>
      </c>
      <c r="I639" s="109">
        <v>88</v>
      </c>
      <c r="R639" s="209">
        <f>3+2.5+2+2.5+2.48</f>
        <v>12.48</v>
      </c>
      <c r="Y639" s="209">
        <v>11.9</v>
      </c>
      <c r="AA639" s="109">
        <f>9.98+9.98</f>
        <v>19.96</v>
      </c>
      <c r="AG639" s="125" t="s">
        <v>1083</v>
      </c>
      <c r="AH639" s="109">
        <f t="shared" si="19"/>
        <v>139.34</v>
      </c>
    </row>
    <row r="640" spans="2:50" x14ac:dyDescent="0.4">
      <c r="B640" s="209" t="s">
        <v>846</v>
      </c>
      <c r="C640" s="209">
        <v>50</v>
      </c>
      <c r="D640" s="102" t="s">
        <v>173</v>
      </c>
      <c r="G640" s="109">
        <f>8.5+3</f>
        <v>11.5</v>
      </c>
      <c r="T640" s="109">
        <f>14.8+4</f>
        <v>18.8</v>
      </c>
      <c r="X640" s="106">
        <v>4</v>
      </c>
      <c r="AF640" s="109">
        <v>17.100000000000001</v>
      </c>
      <c r="AG640" s="125" t="s">
        <v>1084</v>
      </c>
      <c r="AH640" s="109">
        <f t="shared" si="19"/>
        <v>51.4</v>
      </c>
    </row>
    <row r="641" spans="1:34" x14ac:dyDescent="0.4">
      <c r="B641" s="209" t="s">
        <v>847</v>
      </c>
      <c r="D641" s="102" t="s">
        <v>174</v>
      </c>
      <c r="G641" s="109">
        <f>10+4</f>
        <v>14</v>
      </c>
      <c r="I641" s="109">
        <v>9</v>
      </c>
      <c r="K641" s="109">
        <v>30</v>
      </c>
      <c r="AH641" s="109">
        <f t="shared" si="19"/>
        <v>53</v>
      </c>
    </row>
    <row r="642" spans="1:34" x14ac:dyDescent="0.4">
      <c r="B642" s="209" t="s">
        <v>848</v>
      </c>
      <c r="D642" s="102" t="s">
        <v>175</v>
      </c>
      <c r="G642" s="109">
        <f>11+5</f>
        <v>16</v>
      </c>
      <c r="I642" s="109">
        <v>26</v>
      </c>
      <c r="K642" s="109">
        <v>24</v>
      </c>
      <c r="R642" s="209">
        <f>2.48+5</f>
        <v>7.48</v>
      </c>
      <c r="AF642" s="109">
        <f>48+5</f>
        <v>53</v>
      </c>
      <c r="AG642" s="125" t="s">
        <v>1085</v>
      </c>
      <c r="AH642" s="109">
        <f t="shared" si="19"/>
        <v>126.48</v>
      </c>
    </row>
    <row r="643" spans="1:34" x14ac:dyDescent="0.4">
      <c r="B643" s="209" t="s">
        <v>849</v>
      </c>
      <c r="D643" s="102" t="s">
        <v>176</v>
      </c>
      <c r="AF643" s="109">
        <v>120</v>
      </c>
      <c r="AG643" s="125" t="s">
        <v>1086</v>
      </c>
      <c r="AH643" s="109">
        <f t="shared" si="19"/>
        <v>120</v>
      </c>
    </row>
    <row r="644" spans="1:34" x14ac:dyDescent="0.4">
      <c r="B644" s="209" t="s">
        <v>850</v>
      </c>
      <c r="D644" s="102" t="s">
        <v>177</v>
      </c>
      <c r="AH644" s="109">
        <f t="shared" si="19"/>
        <v>0</v>
      </c>
    </row>
    <row r="645" spans="1:34" x14ac:dyDescent="0.4">
      <c r="B645" s="209" t="s">
        <v>851</v>
      </c>
      <c r="D645" s="102" t="s">
        <v>178</v>
      </c>
      <c r="AH645" s="109">
        <f t="shared" si="19"/>
        <v>0</v>
      </c>
    </row>
    <row r="646" spans="1:34" x14ac:dyDescent="0.4">
      <c r="B646" s="209" t="s">
        <v>845</v>
      </c>
      <c r="D646" s="102" t="s">
        <v>179</v>
      </c>
      <c r="AH646" s="109">
        <f t="shared" si="19"/>
        <v>0</v>
      </c>
    </row>
    <row r="647" spans="1:34" x14ac:dyDescent="0.4">
      <c r="B647" s="209" t="s">
        <v>846</v>
      </c>
      <c r="D647" s="102" t="s">
        <v>180</v>
      </c>
      <c r="AH647" s="109">
        <f t="shared" si="19"/>
        <v>0</v>
      </c>
    </row>
    <row r="648" spans="1:34" x14ac:dyDescent="0.4">
      <c r="B648" s="209" t="s">
        <v>847</v>
      </c>
      <c r="D648" s="102" t="s">
        <v>256</v>
      </c>
      <c r="AH648" s="109">
        <f t="shared" si="19"/>
        <v>0</v>
      </c>
    </row>
    <row r="649" spans="1:34" x14ac:dyDescent="0.4">
      <c r="B649" s="209" t="s">
        <v>848</v>
      </c>
      <c r="D649" s="102" t="s">
        <v>257</v>
      </c>
      <c r="AH649" s="109">
        <f t="shared" si="19"/>
        <v>0</v>
      </c>
    </row>
    <row r="650" spans="1:34" s="129" customFormat="1" x14ac:dyDescent="0.4">
      <c r="A650" s="129" t="s">
        <v>878</v>
      </c>
      <c r="F650" s="130"/>
      <c r="H650" s="130"/>
      <c r="J650" s="130"/>
      <c r="L650" s="130"/>
      <c r="N650" s="123"/>
      <c r="O650" s="123"/>
      <c r="Q650" s="130"/>
      <c r="S650" s="130"/>
      <c r="U650" s="130"/>
      <c r="W650" s="130"/>
      <c r="X650" s="123"/>
      <c r="Z650" s="130"/>
      <c r="AC650" s="130"/>
      <c r="AE650" s="130"/>
      <c r="AG650" s="130"/>
      <c r="AH650" s="131">
        <f>SUM(AH619:AH649)</f>
        <v>1848.2100000000003</v>
      </c>
    </row>
    <row r="652" spans="1:34" s="121" customFormat="1" x14ac:dyDescent="0.4">
      <c r="A652" s="121" t="s">
        <v>843</v>
      </c>
      <c r="F652" s="122"/>
      <c r="H652" s="122"/>
      <c r="J652" s="122"/>
      <c r="L652" s="122"/>
      <c r="N652" s="123"/>
      <c r="O652" s="123"/>
      <c r="Q652" s="122"/>
      <c r="S652" s="122"/>
      <c r="U652" s="122"/>
      <c r="W652" s="122"/>
      <c r="X652" s="123"/>
      <c r="Z652" s="122"/>
      <c r="AC652" s="122"/>
      <c r="AE652" s="122"/>
      <c r="AG652" s="122"/>
      <c r="AH652" s="109"/>
    </row>
    <row r="653" spans="1:34" x14ac:dyDescent="0.4">
      <c r="B653" s="209" t="s">
        <v>849</v>
      </c>
      <c r="D653" s="124" t="s">
        <v>792</v>
      </c>
      <c r="F653" s="124"/>
      <c r="H653" s="124"/>
      <c r="AH653" s="109">
        <f t="shared" ref="AH653:AH682" si="20">SUM(E653,G653,I653,K653,M653,R653,T653,V653,Y653,X653,AA653,AB653,AD653,AF653)</f>
        <v>0</v>
      </c>
    </row>
    <row r="654" spans="1:34" x14ac:dyDescent="0.4">
      <c r="B654" s="209" t="s">
        <v>850</v>
      </c>
      <c r="D654" s="102" t="s">
        <v>802</v>
      </c>
      <c r="AH654" s="109">
        <f t="shared" si="20"/>
        <v>0</v>
      </c>
    </row>
    <row r="655" spans="1:34" x14ac:dyDescent="0.4">
      <c r="B655" s="209" t="s">
        <v>851</v>
      </c>
      <c r="D655" s="124" t="s">
        <v>793</v>
      </c>
      <c r="F655" s="124"/>
      <c r="H655" s="124"/>
      <c r="AH655" s="109">
        <f t="shared" si="20"/>
        <v>0</v>
      </c>
    </row>
    <row r="656" spans="1:34" x14ac:dyDescent="0.4">
      <c r="B656" s="209" t="s">
        <v>845</v>
      </c>
      <c r="D656" s="102" t="s">
        <v>794</v>
      </c>
      <c r="AH656" s="109">
        <f t="shared" si="20"/>
        <v>0</v>
      </c>
    </row>
    <row r="657" spans="2:50" x14ac:dyDescent="0.4">
      <c r="B657" s="209" t="s">
        <v>846</v>
      </c>
      <c r="D657" s="124" t="s">
        <v>795</v>
      </c>
      <c r="F657" s="124"/>
      <c r="H657" s="124"/>
      <c r="AH657" s="109">
        <f t="shared" si="20"/>
        <v>0</v>
      </c>
    </row>
    <row r="658" spans="2:50" x14ac:dyDescent="0.4">
      <c r="B658" s="209" t="s">
        <v>847</v>
      </c>
      <c r="D658" s="102" t="s">
        <v>796</v>
      </c>
      <c r="AH658" s="109">
        <f t="shared" si="20"/>
        <v>0</v>
      </c>
    </row>
    <row r="659" spans="2:50" x14ac:dyDescent="0.4">
      <c r="B659" s="209" t="s">
        <v>848</v>
      </c>
      <c r="D659" s="124" t="s">
        <v>797</v>
      </c>
      <c r="F659" s="124"/>
      <c r="H659" s="124"/>
      <c r="AH659" s="109">
        <f t="shared" si="20"/>
        <v>0</v>
      </c>
    </row>
    <row r="660" spans="2:50" x14ac:dyDescent="0.4">
      <c r="B660" s="209" t="s">
        <v>849</v>
      </c>
      <c r="D660" s="102" t="s">
        <v>798</v>
      </c>
      <c r="AH660" s="109">
        <f t="shared" si="20"/>
        <v>0</v>
      </c>
    </row>
    <row r="661" spans="2:50" x14ac:dyDescent="0.4">
      <c r="B661" s="209" t="s">
        <v>850</v>
      </c>
      <c r="D661" s="124" t="s">
        <v>799</v>
      </c>
      <c r="F661" s="124"/>
      <c r="H661" s="124"/>
      <c r="AH661" s="109">
        <f t="shared" si="20"/>
        <v>0</v>
      </c>
    </row>
    <row r="662" spans="2:50" x14ac:dyDescent="0.4">
      <c r="B662" s="209" t="s">
        <v>851</v>
      </c>
      <c r="D662" s="102" t="s">
        <v>800</v>
      </c>
      <c r="AH662" s="109">
        <f t="shared" si="20"/>
        <v>0</v>
      </c>
      <c r="AO662" s="126">
        <v>2651.72</v>
      </c>
      <c r="AW662" s="128">
        <v>20.079999999999998</v>
      </c>
    </row>
    <row r="663" spans="2:50" x14ac:dyDescent="0.4">
      <c r="B663" s="209" t="s">
        <v>845</v>
      </c>
      <c r="D663" s="124" t="s">
        <v>801</v>
      </c>
      <c r="F663" s="124"/>
      <c r="H663" s="124"/>
      <c r="AH663" s="109">
        <f t="shared" si="20"/>
        <v>0</v>
      </c>
    </row>
    <row r="664" spans="2:50" x14ac:dyDescent="0.4">
      <c r="B664" s="209" t="s">
        <v>846</v>
      </c>
      <c r="D664" s="102" t="s">
        <v>260</v>
      </c>
      <c r="AH664" s="109">
        <f t="shared" si="20"/>
        <v>0</v>
      </c>
    </row>
    <row r="665" spans="2:50" x14ac:dyDescent="0.4">
      <c r="B665" s="209" t="s">
        <v>847</v>
      </c>
      <c r="D665" s="124" t="s">
        <v>261</v>
      </c>
      <c r="F665" s="124"/>
      <c r="H665" s="124"/>
      <c r="AH665" s="109">
        <f t="shared" si="20"/>
        <v>0</v>
      </c>
    </row>
    <row r="666" spans="2:50" x14ac:dyDescent="0.4">
      <c r="B666" s="209" t="s">
        <v>848</v>
      </c>
      <c r="D666" s="102" t="s">
        <v>262</v>
      </c>
      <c r="AH666" s="109">
        <f t="shared" si="20"/>
        <v>0</v>
      </c>
    </row>
    <row r="667" spans="2:50" x14ac:dyDescent="0.4">
      <c r="B667" s="209" t="s">
        <v>849</v>
      </c>
      <c r="D667" s="124" t="s">
        <v>263</v>
      </c>
      <c r="F667" s="124"/>
      <c r="H667" s="124"/>
      <c r="AH667" s="109">
        <f t="shared" si="20"/>
        <v>0</v>
      </c>
    </row>
    <row r="668" spans="2:50" x14ac:dyDescent="0.4">
      <c r="B668" s="209" t="s">
        <v>850</v>
      </c>
      <c r="D668" s="102" t="s">
        <v>264</v>
      </c>
      <c r="AH668" s="109">
        <f t="shared" si="20"/>
        <v>0</v>
      </c>
    </row>
    <row r="669" spans="2:50" x14ac:dyDescent="0.4">
      <c r="B669" s="209" t="s">
        <v>851</v>
      </c>
      <c r="D669" s="124" t="s">
        <v>265</v>
      </c>
      <c r="F669" s="124"/>
      <c r="H669" s="124"/>
      <c r="AH669" s="109">
        <f t="shared" si="20"/>
        <v>0</v>
      </c>
    </row>
    <row r="670" spans="2:50" x14ac:dyDescent="0.4">
      <c r="B670" s="209" t="s">
        <v>845</v>
      </c>
      <c r="D670" s="102" t="s">
        <v>266</v>
      </c>
      <c r="AH670" s="109">
        <f t="shared" si="20"/>
        <v>0</v>
      </c>
      <c r="AP670" s="126">
        <f>31.5+1500+37.6</f>
        <v>1569.1</v>
      </c>
      <c r="AX670" s="128">
        <f>31.5+24.25+8.9+10.5+3.4+7+1.7+23.25+14.35</f>
        <v>124.85000000000001</v>
      </c>
    </row>
    <row r="671" spans="2:50" x14ac:dyDescent="0.4">
      <c r="B671" s="209" t="s">
        <v>846</v>
      </c>
      <c r="D671" s="124" t="s">
        <v>267</v>
      </c>
      <c r="F671" s="124"/>
      <c r="H671" s="124"/>
      <c r="AH671" s="109">
        <f t="shared" si="20"/>
        <v>0</v>
      </c>
    </row>
    <row r="672" spans="2:50" x14ac:dyDescent="0.4">
      <c r="B672" s="209" t="s">
        <v>847</v>
      </c>
      <c r="D672" s="102" t="s">
        <v>268</v>
      </c>
      <c r="AH672" s="109">
        <f t="shared" si="20"/>
        <v>0</v>
      </c>
    </row>
    <row r="673" spans="1:34" x14ac:dyDescent="0.4">
      <c r="B673" s="209" t="s">
        <v>848</v>
      </c>
      <c r="D673" s="124" t="s">
        <v>4</v>
      </c>
      <c r="F673" s="124"/>
      <c r="H673" s="124"/>
      <c r="AH673" s="109">
        <f t="shared" si="20"/>
        <v>0</v>
      </c>
    </row>
    <row r="674" spans="1:34" x14ac:dyDescent="0.4">
      <c r="B674" s="209" t="s">
        <v>849</v>
      </c>
      <c r="D674" s="102" t="s">
        <v>5</v>
      </c>
      <c r="AH674" s="109">
        <f t="shared" si="20"/>
        <v>0</v>
      </c>
    </row>
    <row r="675" spans="1:34" x14ac:dyDescent="0.4">
      <c r="B675" s="209" t="s">
        <v>850</v>
      </c>
      <c r="D675" s="124" t="s">
        <v>6</v>
      </c>
      <c r="F675" s="124"/>
      <c r="H675" s="124"/>
      <c r="AH675" s="109">
        <f t="shared" si="20"/>
        <v>0</v>
      </c>
    </row>
    <row r="676" spans="1:34" x14ac:dyDescent="0.4">
      <c r="B676" s="209" t="s">
        <v>851</v>
      </c>
      <c r="D676" s="102" t="s">
        <v>7</v>
      </c>
      <c r="AH676" s="109">
        <f t="shared" si="20"/>
        <v>0</v>
      </c>
    </row>
    <row r="677" spans="1:34" x14ac:dyDescent="0.4">
      <c r="B677" s="209" t="s">
        <v>845</v>
      </c>
      <c r="D677" s="124" t="s">
        <v>8</v>
      </c>
      <c r="F677" s="124"/>
      <c r="H677" s="124"/>
      <c r="AH677" s="109">
        <f t="shared" si="20"/>
        <v>0</v>
      </c>
    </row>
    <row r="678" spans="1:34" x14ac:dyDescent="0.4">
      <c r="B678" s="209" t="s">
        <v>846</v>
      </c>
      <c r="D678" s="102" t="s">
        <v>9</v>
      </c>
      <c r="AH678" s="109">
        <f t="shared" si="20"/>
        <v>0</v>
      </c>
    </row>
    <row r="679" spans="1:34" x14ac:dyDescent="0.4">
      <c r="B679" s="209" t="s">
        <v>847</v>
      </c>
      <c r="D679" s="124" t="s">
        <v>10</v>
      </c>
      <c r="F679" s="124"/>
      <c r="H679" s="124"/>
      <c r="AH679" s="109">
        <f t="shared" si="20"/>
        <v>0</v>
      </c>
    </row>
    <row r="680" spans="1:34" x14ac:dyDescent="0.4">
      <c r="B680" s="209" t="s">
        <v>848</v>
      </c>
      <c r="D680" s="102" t="s">
        <v>11</v>
      </c>
      <c r="AH680" s="109">
        <f t="shared" si="20"/>
        <v>0</v>
      </c>
    </row>
    <row r="681" spans="1:34" x14ac:dyDescent="0.4">
      <c r="B681" s="209" t="s">
        <v>849</v>
      </c>
      <c r="D681" s="124" t="s">
        <v>12</v>
      </c>
      <c r="F681" s="124"/>
      <c r="H681" s="124"/>
      <c r="AH681" s="109">
        <f t="shared" si="20"/>
        <v>0</v>
      </c>
    </row>
    <row r="682" spans="1:34" x14ac:dyDescent="0.4">
      <c r="B682" s="209" t="s">
        <v>850</v>
      </c>
      <c r="D682" s="102" t="s">
        <v>13</v>
      </c>
      <c r="AH682" s="109">
        <f t="shared" si="20"/>
        <v>0</v>
      </c>
    </row>
    <row r="683" spans="1:34" s="129" customFormat="1" x14ac:dyDescent="0.4">
      <c r="A683" s="129" t="s">
        <v>852</v>
      </c>
      <c r="F683" s="130"/>
      <c r="H683" s="130"/>
      <c r="J683" s="130"/>
      <c r="L683" s="130"/>
      <c r="N683" s="123"/>
      <c r="O683" s="123"/>
      <c r="Q683" s="130"/>
      <c r="S683" s="130"/>
      <c r="U683" s="130"/>
      <c r="W683" s="130"/>
      <c r="X683" s="123"/>
      <c r="Z683" s="130"/>
      <c r="AC683" s="130"/>
      <c r="AE683" s="130"/>
      <c r="AG683" s="130"/>
      <c r="AH683" s="131">
        <f>SUM(AH653:AH682)</f>
        <v>0</v>
      </c>
    </row>
    <row r="685" spans="1:34" s="121" customFormat="1" x14ac:dyDescent="0.4">
      <c r="A685" s="121" t="s">
        <v>853</v>
      </c>
      <c r="F685" s="122"/>
      <c r="H685" s="122"/>
      <c r="J685" s="122"/>
      <c r="L685" s="122"/>
      <c r="N685" s="123"/>
      <c r="O685" s="123"/>
      <c r="Q685" s="122"/>
      <c r="S685" s="122"/>
      <c r="U685" s="122"/>
      <c r="W685" s="122"/>
      <c r="X685" s="123"/>
      <c r="Z685" s="122"/>
      <c r="AC685" s="122"/>
      <c r="AE685" s="122"/>
      <c r="AG685" s="122"/>
      <c r="AH685" s="109"/>
    </row>
    <row r="686" spans="1:34" x14ac:dyDescent="0.4">
      <c r="B686" s="209" t="s">
        <v>851</v>
      </c>
      <c r="D686" s="124" t="s">
        <v>803</v>
      </c>
      <c r="F686" s="124"/>
      <c r="H686" s="124"/>
      <c r="AH686" s="109">
        <f t="shared" ref="AH686:AH716" si="21">SUM(E686,G686,I686,K686,M686,R686,T686,V686,Y686,X686,AA686,AB686,AD686,AF686)</f>
        <v>0</v>
      </c>
    </row>
    <row r="687" spans="1:34" x14ac:dyDescent="0.4">
      <c r="B687" s="209" t="s">
        <v>845</v>
      </c>
      <c r="D687" s="124" t="s">
        <v>804</v>
      </c>
      <c r="F687" s="124"/>
      <c r="H687" s="124"/>
      <c r="AH687" s="109">
        <f t="shared" si="21"/>
        <v>0</v>
      </c>
    </row>
    <row r="688" spans="1:34" x14ac:dyDescent="0.4">
      <c r="B688" s="209" t="s">
        <v>846</v>
      </c>
      <c r="D688" s="124" t="s">
        <v>271</v>
      </c>
      <c r="F688" s="124"/>
      <c r="H688" s="124"/>
      <c r="AH688" s="109">
        <f t="shared" si="21"/>
        <v>0</v>
      </c>
    </row>
    <row r="689" spans="2:50" x14ac:dyDescent="0.4">
      <c r="B689" s="209" t="s">
        <v>847</v>
      </c>
      <c r="D689" s="124" t="s">
        <v>272</v>
      </c>
      <c r="F689" s="124"/>
      <c r="H689" s="124"/>
      <c r="AH689" s="109">
        <f t="shared" si="21"/>
        <v>0</v>
      </c>
    </row>
    <row r="690" spans="2:50" x14ac:dyDescent="0.4">
      <c r="B690" s="209" t="s">
        <v>848</v>
      </c>
      <c r="D690" s="124" t="s">
        <v>273</v>
      </c>
      <c r="F690" s="124"/>
      <c r="H690" s="124"/>
      <c r="AH690" s="109">
        <f t="shared" si="21"/>
        <v>0</v>
      </c>
    </row>
    <row r="691" spans="2:50" x14ac:dyDescent="0.4">
      <c r="B691" s="209" t="s">
        <v>849</v>
      </c>
      <c r="D691" s="124" t="s">
        <v>274</v>
      </c>
      <c r="F691" s="124"/>
      <c r="H691" s="124"/>
      <c r="AH691" s="109">
        <f t="shared" si="21"/>
        <v>0</v>
      </c>
    </row>
    <row r="692" spans="2:50" x14ac:dyDescent="0.4">
      <c r="B692" s="209" t="s">
        <v>850</v>
      </c>
      <c r="D692" s="124" t="s">
        <v>275</v>
      </c>
      <c r="F692" s="124"/>
      <c r="H692" s="124"/>
      <c r="AH692" s="109">
        <f t="shared" si="21"/>
        <v>0</v>
      </c>
    </row>
    <row r="693" spans="2:50" x14ac:dyDescent="0.4">
      <c r="B693" s="209" t="s">
        <v>851</v>
      </c>
      <c r="D693" s="124" t="s">
        <v>276</v>
      </c>
      <c r="F693" s="124"/>
      <c r="H693" s="124"/>
      <c r="AH693" s="109">
        <f t="shared" si="21"/>
        <v>0</v>
      </c>
    </row>
    <row r="694" spans="2:50" x14ac:dyDescent="0.4">
      <c r="B694" s="209" t="s">
        <v>845</v>
      </c>
      <c r="D694" s="124" t="s">
        <v>277</v>
      </c>
      <c r="F694" s="124"/>
      <c r="H694" s="124"/>
      <c r="AH694" s="109">
        <f t="shared" si="21"/>
        <v>0</v>
      </c>
    </row>
    <row r="695" spans="2:50" x14ac:dyDescent="0.4">
      <c r="B695" s="209" t="s">
        <v>846</v>
      </c>
      <c r="D695" s="124" t="s">
        <v>278</v>
      </c>
      <c r="F695" s="124"/>
      <c r="H695" s="124"/>
      <c r="AH695" s="109">
        <f t="shared" si="21"/>
        <v>0</v>
      </c>
      <c r="AO695" s="126">
        <v>2958.93</v>
      </c>
      <c r="AW695" s="128">
        <v>22.91</v>
      </c>
    </row>
    <row r="696" spans="2:50" x14ac:dyDescent="0.4">
      <c r="B696" s="209" t="s">
        <v>847</v>
      </c>
      <c r="D696" s="124" t="s">
        <v>279</v>
      </c>
      <c r="F696" s="124"/>
      <c r="H696" s="124"/>
      <c r="AH696" s="109">
        <f t="shared" si="21"/>
        <v>0</v>
      </c>
    </row>
    <row r="697" spans="2:50" x14ac:dyDescent="0.4">
      <c r="B697" s="209" t="s">
        <v>848</v>
      </c>
      <c r="D697" s="124" t="s">
        <v>280</v>
      </c>
      <c r="F697" s="124"/>
      <c r="H697" s="124"/>
      <c r="AH697" s="109">
        <f t="shared" si="21"/>
        <v>0</v>
      </c>
    </row>
    <row r="698" spans="2:50" x14ac:dyDescent="0.4">
      <c r="B698" s="209" t="s">
        <v>849</v>
      </c>
      <c r="D698" s="124" t="s">
        <v>281</v>
      </c>
      <c r="F698" s="124"/>
      <c r="H698" s="124"/>
      <c r="AH698" s="109">
        <f t="shared" si="21"/>
        <v>0</v>
      </c>
    </row>
    <row r="699" spans="2:50" x14ac:dyDescent="0.4">
      <c r="B699" s="209" t="s">
        <v>850</v>
      </c>
      <c r="D699" s="124" t="s">
        <v>18</v>
      </c>
      <c r="F699" s="124"/>
      <c r="H699" s="124"/>
      <c r="AH699" s="109">
        <f t="shared" si="21"/>
        <v>0</v>
      </c>
    </row>
    <row r="700" spans="2:50" x14ac:dyDescent="0.4">
      <c r="B700" s="209" t="s">
        <v>851</v>
      </c>
      <c r="D700" s="124" t="s">
        <v>19</v>
      </c>
      <c r="F700" s="124"/>
      <c r="H700" s="124"/>
      <c r="AH700" s="109">
        <f t="shared" si="21"/>
        <v>0</v>
      </c>
    </row>
    <row r="701" spans="2:50" x14ac:dyDescent="0.4">
      <c r="B701" s="209" t="s">
        <v>845</v>
      </c>
      <c r="D701" s="124" t="s">
        <v>20</v>
      </c>
      <c r="F701" s="124"/>
      <c r="H701" s="124"/>
      <c r="AH701" s="109">
        <f t="shared" si="21"/>
        <v>0</v>
      </c>
    </row>
    <row r="702" spans="2:50" x14ac:dyDescent="0.4">
      <c r="B702" s="209" t="s">
        <v>846</v>
      </c>
      <c r="D702" s="124" t="s">
        <v>21</v>
      </c>
      <c r="F702" s="124"/>
      <c r="H702" s="124"/>
      <c r="AH702" s="109">
        <f t="shared" si="21"/>
        <v>0</v>
      </c>
    </row>
    <row r="703" spans="2:50" x14ac:dyDescent="0.4">
      <c r="B703" s="209" t="s">
        <v>847</v>
      </c>
      <c r="D703" s="124" t="s">
        <v>22</v>
      </c>
      <c r="F703" s="124"/>
      <c r="H703" s="124"/>
      <c r="AH703" s="109">
        <f t="shared" si="21"/>
        <v>0</v>
      </c>
      <c r="AP703" s="126">
        <v>96.5</v>
      </c>
      <c r="AX703" s="128">
        <f>22.5+7.5+3+7.5+3+11+19.5+22.5</f>
        <v>96.5</v>
      </c>
    </row>
    <row r="704" spans="2:50" x14ac:dyDescent="0.4">
      <c r="B704" s="209" t="s">
        <v>848</v>
      </c>
      <c r="D704" s="124" t="s">
        <v>23</v>
      </c>
      <c r="F704" s="124"/>
      <c r="H704" s="124"/>
      <c r="AH704" s="109">
        <f t="shared" si="21"/>
        <v>0</v>
      </c>
    </row>
    <row r="705" spans="1:34" x14ac:dyDescent="0.4">
      <c r="B705" s="209" t="s">
        <v>849</v>
      </c>
      <c r="D705" s="124" t="s">
        <v>24</v>
      </c>
      <c r="F705" s="124"/>
      <c r="H705" s="124"/>
      <c r="AH705" s="109">
        <f t="shared" si="21"/>
        <v>0</v>
      </c>
    </row>
    <row r="706" spans="1:34" x14ac:dyDescent="0.4">
      <c r="B706" s="209" t="s">
        <v>850</v>
      </c>
      <c r="D706" s="124" t="s">
        <v>25</v>
      </c>
      <c r="F706" s="124"/>
      <c r="H706" s="124"/>
      <c r="AH706" s="109">
        <f t="shared" si="21"/>
        <v>0</v>
      </c>
    </row>
    <row r="707" spans="1:34" x14ac:dyDescent="0.4">
      <c r="B707" s="209" t="s">
        <v>851</v>
      </c>
      <c r="D707" s="124" t="s">
        <v>26</v>
      </c>
      <c r="F707" s="124"/>
      <c r="H707" s="124"/>
      <c r="AH707" s="109">
        <f t="shared" si="21"/>
        <v>0</v>
      </c>
    </row>
    <row r="708" spans="1:34" x14ac:dyDescent="0.4">
      <c r="B708" s="209" t="s">
        <v>845</v>
      </c>
      <c r="D708" s="124" t="s">
        <v>27</v>
      </c>
      <c r="F708" s="124"/>
      <c r="H708" s="124"/>
      <c r="AH708" s="109">
        <f t="shared" si="21"/>
        <v>0</v>
      </c>
    </row>
    <row r="709" spans="1:34" x14ac:dyDescent="0.4">
      <c r="B709" s="209" t="s">
        <v>846</v>
      </c>
      <c r="D709" s="124" t="s">
        <v>28</v>
      </c>
      <c r="F709" s="124"/>
      <c r="H709" s="124"/>
      <c r="AH709" s="109">
        <f t="shared" si="21"/>
        <v>0</v>
      </c>
    </row>
    <row r="710" spans="1:34" x14ac:dyDescent="0.4">
      <c r="B710" s="209" t="s">
        <v>847</v>
      </c>
      <c r="D710" s="124" t="s">
        <v>29</v>
      </c>
      <c r="F710" s="124"/>
      <c r="H710" s="124"/>
      <c r="AH710" s="109">
        <f t="shared" si="21"/>
        <v>0</v>
      </c>
    </row>
    <row r="711" spans="1:34" x14ac:dyDescent="0.4">
      <c r="B711" s="209" t="s">
        <v>848</v>
      </c>
      <c r="D711" s="124" t="s">
        <v>30</v>
      </c>
      <c r="F711" s="124"/>
      <c r="H711" s="124"/>
      <c r="AH711" s="109">
        <f t="shared" si="21"/>
        <v>0</v>
      </c>
    </row>
    <row r="712" spans="1:34" x14ac:dyDescent="0.4">
      <c r="B712" s="209" t="s">
        <v>849</v>
      </c>
      <c r="D712" s="124" t="s">
        <v>31</v>
      </c>
      <c r="F712" s="124"/>
      <c r="H712" s="124"/>
      <c r="AH712" s="109">
        <f t="shared" si="21"/>
        <v>0</v>
      </c>
    </row>
    <row r="713" spans="1:34" x14ac:dyDescent="0.4">
      <c r="B713" s="209" t="s">
        <v>850</v>
      </c>
      <c r="D713" s="124" t="s">
        <v>32</v>
      </c>
      <c r="F713" s="124"/>
      <c r="H713" s="124"/>
      <c r="AH713" s="109">
        <f t="shared" si="21"/>
        <v>0</v>
      </c>
    </row>
    <row r="714" spans="1:34" x14ac:dyDescent="0.4">
      <c r="B714" s="209" t="s">
        <v>851</v>
      </c>
      <c r="D714" s="124" t="s">
        <v>33</v>
      </c>
      <c r="F714" s="124"/>
      <c r="H714" s="124"/>
      <c r="AH714" s="109">
        <f t="shared" si="21"/>
        <v>0</v>
      </c>
    </row>
    <row r="715" spans="1:34" x14ac:dyDescent="0.4">
      <c r="B715" s="209" t="s">
        <v>845</v>
      </c>
      <c r="D715" s="124" t="s">
        <v>34</v>
      </c>
      <c r="F715" s="124"/>
      <c r="G715" s="109">
        <v>60</v>
      </c>
      <c r="H715" s="124" t="s">
        <v>897</v>
      </c>
      <c r="I715" s="109">
        <f>23.8+24</f>
        <v>47.8</v>
      </c>
      <c r="AH715" s="109">
        <f t="shared" si="21"/>
        <v>107.8</v>
      </c>
    </row>
    <row r="716" spans="1:34" x14ac:dyDescent="0.4">
      <c r="B716" s="209" t="s">
        <v>846</v>
      </c>
      <c r="D716" s="124" t="s">
        <v>35</v>
      </c>
      <c r="F716" s="124"/>
      <c r="H716" s="124"/>
      <c r="K716" s="109">
        <v>19.5</v>
      </c>
      <c r="L716" s="115" t="s">
        <v>924</v>
      </c>
      <c r="AH716" s="109">
        <f t="shared" si="21"/>
        <v>19.5</v>
      </c>
    </row>
    <row r="717" spans="1:34" s="129" customFormat="1" x14ac:dyDescent="0.4">
      <c r="A717" s="129" t="s">
        <v>861</v>
      </c>
      <c r="F717" s="130"/>
      <c r="H717" s="130"/>
      <c r="J717" s="130"/>
      <c r="L717" s="130"/>
      <c r="N717" s="123"/>
      <c r="O717" s="123"/>
      <c r="Q717" s="130"/>
      <c r="S717" s="130"/>
      <c r="U717" s="130"/>
      <c r="W717" s="130"/>
      <c r="X717" s="123"/>
      <c r="Z717" s="130"/>
      <c r="AC717" s="130"/>
      <c r="AE717" s="130"/>
      <c r="AG717" s="130"/>
      <c r="AH717" s="131">
        <f>SUM(AH686:AH716)</f>
        <v>127.3</v>
      </c>
    </row>
    <row r="718" spans="1:34" x14ac:dyDescent="0.4">
      <c r="D718" s="124"/>
      <c r="F718" s="124"/>
      <c r="H718" s="124"/>
    </row>
    <row r="719" spans="1:34" s="121" customFormat="1" x14ac:dyDescent="0.4">
      <c r="A719" s="121" t="s">
        <v>862</v>
      </c>
      <c r="F719" s="122"/>
      <c r="H719" s="122"/>
      <c r="J719" s="122"/>
      <c r="L719" s="122"/>
      <c r="N719" s="123"/>
      <c r="O719" s="123"/>
      <c r="Q719" s="122"/>
      <c r="S719" s="122"/>
      <c r="U719" s="122"/>
      <c r="W719" s="122"/>
      <c r="X719" s="123"/>
      <c r="Z719" s="122"/>
      <c r="AC719" s="122"/>
      <c r="AE719" s="122"/>
      <c r="AG719" s="122"/>
      <c r="AH719" s="109"/>
    </row>
    <row r="720" spans="1:34" x14ac:dyDescent="0.4">
      <c r="B720" s="209" t="s">
        <v>847</v>
      </c>
      <c r="D720" s="124" t="s">
        <v>805</v>
      </c>
      <c r="F720" s="124"/>
      <c r="H720" s="124"/>
      <c r="AH720" s="109">
        <f t="shared" ref="AH720:AH750" si="22">SUM(E720,G720,I720,K720,M720,R720,T720,V720,Y720,X720,AA720,AB720,AD720,AF720)</f>
        <v>0</v>
      </c>
    </row>
    <row r="721" spans="2:45" x14ac:dyDescent="0.4">
      <c r="B721" s="209" t="s">
        <v>848</v>
      </c>
      <c r="D721" s="124" t="s">
        <v>284</v>
      </c>
      <c r="F721" s="124"/>
      <c r="H721" s="124"/>
      <c r="I721" s="109">
        <v>39.799999999999997</v>
      </c>
      <c r="J721" s="115" t="s">
        <v>897</v>
      </c>
      <c r="AH721" s="109">
        <f t="shared" si="22"/>
        <v>39.799999999999997</v>
      </c>
    </row>
    <row r="722" spans="2:45" x14ac:dyDescent="0.4">
      <c r="B722" s="209" t="s">
        <v>849</v>
      </c>
      <c r="D722" s="124" t="s">
        <v>285</v>
      </c>
      <c r="F722" s="124"/>
      <c r="H722" s="124"/>
      <c r="AH722" s="109">
        <f t="shared" si="22"/>
        <v>0</v>
      </c>
    </row>
    <row r="723" spans="2:45" x14ac:dyDescent="0.4">
      <c r="B723" s="209" t="s">
        <v>850</v>
      </c>
      <c r="D723" s="124" t="s">
        <v>39</v>
      </c>
      <c r="F723" s="124"/>
      <c r="H723" s="124"/>
      <c r="I723" s="109">
        <v>49</v>
      </c>
      <c r="J723" s="115" t="s">
        <v>897</v>
      </c>
      <c r="AH723" s="109">
        <f t="shared" si="22"/>
        <v>49</v>
      </c>
    </row>
    <row r="724" spans="2:45" x14ac:dyDescent="0.4">
      <c r="B724" s="209" t="s">
        <v>851</v>
      </c>
      <c r="D724" s="124" t="s">
        <v>40</v>
      </c>
      <c r="F724" s="124"/>
      <c r="H724" s="124"/>
      <c r="AA724" s="109">
        <v>10</v>
      </c>
      <c r="AH724" s="109">
        <f t="shared" si="22"/>
        <v>10</v>
      </c>
    </row>
    <row r="725" spans="2:45" x14ac:dyDescent="0.4">
      <c r="B725" s="209" t="s">
        <v>845</v>
      </c>
      <c r="D725" s="124" t="s">
        <v>41</v>
      </c>
      <c r="F725" s="124"/>
      <c r="H725" s="124"/>
      <c r="AH725" s="109">
        <f t="shared" si="22"/>
        <v>0</v>
      </c>
    </row>
    <row r="726" spans="2:45" x14ac:dyDescent="0.4">
      <c r="B726" s="209" t="s">
        <v>846</v>
      </c>
      <c r="D726" s="124" t="s">
        <v>42</v>
      </c>
      <c r="F726" s="124"/>
      <c r="H726" s="124"/>
      <c r="AA726" s="109">
        <v>10</v>
      </c>
      <c r="AH726" s="109">
        <f t="shared" si="22"/>
        <v>10</v>
      </c>
    </row>
    <row r="727" spans="2:45" x14ac:dyDescent="0.4">
      <c r="B727" s="209" t="s">
        <v>847</v>
      </c>
      <c r="D727" s="124" t="s">
        <v>43</v>
      </c>
      <c r="F727" s="124"/>
      <c r="H727" s="124"/>
      <c r="Y727" s="209">
        <v>8</v>
      </c>
      <c r="Z727" s="115" t="s">
        <v>1001</v>
      </c>
      <c r="AA727" s="109">
        <v>10</v>
      </c>
      <c r="AH727" s="109">
        <f t="shared" si="22"/>
        <v>18</v>
      </c>
    </row>
    <row r="728" spans="2:45" x14ac:dyDescent="0.4">
      <c r="B728" s="209" t="s">
        <v>848</v>
      </c>
      <c r="D728" s="124" t="s">
        <v>44</v>
      </c>
      <c r="F728" s="124"/>
      <c r="G728" s="109">
        <v>28.5</v>
      </c>
      <c r="H728" s="124" t="s">
        <v>897</v>
      </c>
      <c r="R728" s="209">
        <v>8.5</v>
      </c>
      <c r="AB728" s="209">
        <v>31</v>
      </c>
      <c r="AC728" s="115" t="s">
        <v>923</v>
      </c>
      <c r="AH728" s="109">
        <f t="shared" si="22"/>
        <v>68</v>
      </c>
      <c r="AI728" s="110">
        <v>300</v>
      </c>
      <c r="AJ728" s="110" t="s">
        <v>911</v>
      </c>
    </row>
    <row r="729" spans="2:45" x14ac:dyDescent="0.4">
      <c r="B729" s="209" t="s">
        <v>849</v>
      </c>
      <c r="D729" s="124" t="s">
        <v>45</v>
      </c>
      <c r="F729" s="124"/>
      <c r="H729" s="124"/>
      <c r="Y729" s="209">
        <v>120</v>
      </c>
      <c r="Z729" s="115" t="s">
        <v>922</v>
      </c>
      <c r="AA729" s="109">
        <v>10</v>
      </c>
      <c r="AH729" s="109">
        <f t="shared" si="22"/>
        <v>130</v>
      </c>
      <c r="AI729" s="110">
        <v>500</v>
      </c>
      <c r="AJ729" s="110" t="s">
        <v>921</v>
      </c>
      <c r="AO729" s="126">
        <v>1348.31</v>
      </c>
    </row>
    <row r="730" spans="2:45" x14ac:dyDescent="0.4">
      <c r="B730" s="209" t="s">
        <v>850</v>
      </c>
      <c r="D730" s="124" t="s">
        <v>46</v>
      </c>
      <c r="F730" s="124"/>
      <c r="H730" s="124"/>
      <c r="AH730" s="109">
        <f t="shared" si="22"/>
        <v>0</v>
      </c>
    </row>
    <row r="731" spans="2:45" x14ac:dyDescent="0.4">
      <c r="B731" s="209" t="s">
        <v>851</v>
      </c>
      <c r="D731" s="124" t="s">
        <v>47</v>
      </c>
      <c r="F731" s="124"/>
      <c r="H731" s="124"/>
      <c r="R731" s="209">
        <v>24</v>
      </c>
      <c r="AH731" s="109">
        <f t="shared" si="22"/>
        <v>24</v>
      </c>
    </row>
    <row r="732" spans="2:45" x14ac:dyDescent="0.4">
      <c r="B732" s="209" t="s">
        <v>845</v>
      </c>
      <c r="D732" s="124" t="s">
        <v>48</v>
      </c>
      <c r="F732" s="124"/>
      <c r="H732" s="124"/>
      <c r="AB732" s="209">
        <v>19.399999999999999</v>
      </c>
      <c r="AC732" s="115" t="s">
        <v>920</v>
      </c>
      <c r="AH732" s="109">
        <f t="shared" si="22"/>
        <v>19.399999999999999</v>
      </c>
    </row>
    <row r="733" spans="2:45" x14ac:dyDescent="0.4">
      <c r="B733" s="209" t="s">
        <v>846</v>
      </c>
      <c r="D733" s="124" t="s">
        <v>49</v>
      </c>
      <c r="F733" s="124"/>
      <c r="H733" s="124"/>
      <c r="AB733" s="209">
        <v>76</v>
      </c>
      <c r="AC733" s="115" t="s">
        <v>919</v>
      </c>
      <c r="AH733" s="109">
        <f t="shared" si="22"/>
        <v>76</v>
      </c>
    </row>
    <row r="734" spans="2:45" x14ac:dyDescent="0.4">
      <c r="B734" s="209" t="s">
        <v>847</v>
      </c>
      <c r="D734" s="124" t="s">
        <v>50</v>
      </c>
      <c r="F734" s="124"/>
      <c r="H734" s="124"/>
      <c r="AH734" s="109">
        <f t="shared" si="22"/>
        <v>0</v>
      </c>
    </row>
    <row r="735" spans="2:45" x14ac:dyDescent="0.4">
      <c r="B735" s="209" t="s">
        <v>848</v>
      </c>
      <c r="D735" s="124" t="s">
        <v>51</v>
      </c>
      <c r="F735" s="124"/>
      <c r="H735" s="124"/>
      <c r="T735" s="109">
        <v>31</v>
      </c>
      <c r="AH735" s="109">
        <f t="shared" si="22"/>
        <v>31</v>
      </c>
    </row>
    <row r="736" spans="2:45" x14ac:dyDescent="0.4">
      <c r="B736" s="209" t="s">
        <v>849</v>
      </c>
      <c r="D736" s="124" t="s">
        <v>52</v>
      </c>
      <c r="E736" s="131"/>
      <c r="F736" s="124"/>
      <c r="H736" s="124"/>
      <c r="AA736" s="109">
        <v>10</v>
      </c>
      <c r="AD736" s="109">
        <v>39</v>
      </c>
      <c r="AE736" s="115" t="s">
        <v>918</v>
      </c>
      <c r="AH736" s="109">
        <f t="shared" si="22"/>
        <v>49</v>
      </c>
      <c r="AS736" s="127">
        <v>39</v>
      </c>
    </row>
    <row r="737" spans="1:50" x14ac:dyDescent="0.4">
      <c r="B737" s="209" t="s">
        <v>850</v>
      </c>
      <c r="D737" s="124" t="s">
        <v>53</v>
      </c>
      <c r="F737" s="124"/>
      <c r="H737" s="124"/>
      <c r="AH737" s="109">
        <f t="shared" si="22"/>
        <v>0</v>
      </c>
      <c r="AP737" s="126">
        <v>1321</v>
      </c>
      <c r="AX737" s="128">
        <f>23.25+7.75+3.1+7.75+3.1+7.75+15.5+23.25+49.61</f>
        <v>141.06</v>
      </c>
    </row>
    <row r="738" spans="1:50" x14ac:dyDescent="0.4">
      <c r="B738" s="209" t="s">
        <v>851</v>
      </c>
      <c r="D738" s="124" t="s">
        <v>54</v>
      </c>
      <c r="F738" s="124"/>
      <c r="H738" s="124"/>
      <c r="AH738" s="109">
        <f t="shared" si="22"/>
        <v>0</v>
      </c>
    </row>
    <row r="739" spans="1:50" x14ac:dyDescent="0.4">
      <c r="B739" s="209" t="s">
        <v>845</v>
      </c>
      <c r="D739" s="124" t="s">
        <v>55</v>
      </c>
      <c r="F739" s="124"/>
      <c r="H739" s="124"/>
      <c r="T739" s="109">
        <v>58</v>
      </c>
      <c r="AA739" s="109">
        <v>10</v>
      </c>
      <c r="AH739" s="109">
        <f t="shared" si="22"/>
        <v>68</v>
      </c>
    </row>
    <row r="740" spans="1:50" x14ac:dyDescent="0.4">
      <c r="B740" s="209" t="s">
        <v>846</v>
      </c>
      <c r="D740" s="124" t="s">
        <v>56</v>
      </c>
      <c r="F740" s="124"/>
      <c r="H740" s="124"/>
      <c r="AF740" s="109">
        <v>10</v>
      </c>
      <c r="AG740" s="125" t="s">
        <v>916</v>
      </c>
      <c r="AH740" s="109">
        <f t="shared" si="22"/>
        <v>10</v>
      </c>
    </row>
    <row r="741" spans="1:50" x14ac:dyDescent="0.4">
      <c r="B741" s="209" t="s">
        <v>847</v>
      </c>
      <c r="D741" s="124" t="s">
        <v>57</v>
      </c>
      <c r="F741" s="124"/>
      <c r="H741" s="124"/>
      <c r="AH741" s="109">
        <f t="shared" si="22"/>
        <v>0</v>
      </c>
    </row>
    <row r="742" spans="1:50" x14ac:dyDescent="0.4">
      <c r="B742" s="209" t="s">
        <v>848</v>
      </c>
      <c r="D742" s="124" t="s">
        <v>58</v>
      </c>
      <c r="F742" s="124"/>
      <c r="H742" s="124"/>
      <c r="AH742" s="109">
        <f t="shared" si="22"/>
        <v>0</v>
      </c>
    </row>
    <row r="743" spans="1:50" x14ac:dyDescent="0.4">
      <c r="B743" s="209" t="s">
        <v>849</v>
      </c>
      <c r="D743" s="124" t="s">
        <v>59</v>
      </c>
      <c r="F743" s="124"/>
      <c r="H743" s="124"/>
      <c r="AF743" s="109">
        <v>39</v>
      </c>
      <c r="AG743" s="125" t="s">
        <v>915</v>
      </c>
      <c r="AH743" s="109">
        <f t="shared" si="22"/>
        <v>39</v>
      </c>
    </row>
    <row r="744" spans="1:50" x14ac:dyDescent="0.4">
      <c r="B744" s="209" t="s">
        <v>850</v>
      </c>
      <c r="D744" s="124" t="s">
        <v>60</v>
      </c>
      <c r="F744" s="124"/>
      <c r="H744" s="124"/>
      <c r="AA744" s="109">
        <v>10</v>
      </c>
      <c r="AH744" s="109">
        <f t="shared" si="22"/>
        <v>10</v>
      </c>
    </row>
    <row r="745" spans="1:50" x14ac:dyDescent="0.4">
      <c r="B745" s="209" t="s">
        <v>851</v>
      </c>
      <c r="D745" s="124" t="s">
        <v>61</v>
      </c>
      <c r="F745" s="124"/>
      <c r="H745" s="124"/>
      <c r="AH745" s="109">
        <f t="shared" si="22"/>
        <v>0</v>
      </c>
    </row>
    <row r="746" spans="1:50" x14ac:dyDescent="0.4">
      <c r="B746" s="209" t="s">
        <v>845</v>
      </c>
      <c r="D746" s="124" t="s">
        <v>62</v>
      </c>
      <c r="F746" s="124"/>
      <c r="H746" s="124"/>
      <c r="AA746" s="109">
        <v>10</v>
      </c>
      <c r="AF746" s="109">
        <v>10000</v>
      </c>
      <c r="AG746" s="125" t="s">
        <v>913</v>
      </c>
      <c r="AH746" s="109">
        <f t="shared" si="22"/>
        <v>10010</v>
      </c>
      <c r="AI746" s="110">
        <v>10000</v>
      </c>
      <c r="AJ746" s="110" t="s">
        <v>914</v>
      </c>
    </row>
    <row r="747" spans="1:50" x14ac:dyDescent="0.4">
      <c r="B747" s="209" t="s">
        <v>846</v>
      </c>
      <c r="D747" s="124" t="s">
        <v>63</v>
      </c>
      <c r="F747" s="124"/>
      <c r="H747" s="124"/>
      <c r="AF747" s="109">
        <v>86</v>
      </c>
      <c r="AG747" s="125" t="s">
        <v>912</v>
      </c>
      <c r="AH747" s="109">
        <f t="shared" si="22"/>
        <v>86</v>
      </c>
    </row>
    <row r="748" spans="1:50" x14ac:dyDescent="0.4">
      <c r="B748" s="209" t="s">
        <v>847</v>
      </c>
      <c r="D748" s="124" t="s">
        <v>64</v>
      </c>
      <c r="F748" s="124"/>
      <c r="H748" s="124"/>
      <c r="Y748" s="209">
        <v>65.5</v>
      </c>
      <c r="Z748" s="115" t="s">
        <v>909</v>
      </c>
      <c r="AA748" s="109">
        <v>10</v>
      </c>
      <c r="AF748" s="109">
        <v>1500</v>
      </c>
      <c r="AG748" s="125" t="s">
        <v>910</v>
      </c>
      <c r="AH748" s="109">
        <f t="shared" si="22"/>
        <v>1575.5</v>
      </c>
      <c r="AI748" s="110">
        <v>1500</v>
      </c>
      <c r="AJ748" s="110" t="s">
        <v>911</v>
      </c>
    </row>
    <row r="749" spans="1:50" x14ac:dyDescent="0.4">
      <c r="B749" s="209" t="s">
        <v>848</v>
      </c>
      <c r="D749" s="124" t="s">
        <v>65</v>
      </c>
      <c r="F749" s="124"/>
      <c r="G749" s="109">
        <v>61.5</v>
      </c>
      <c r="H749" s="124" t="s">
        <v>906</v>
      </c>
      <c r="I749" s="109">
        <v>30</v>
      </c>
      <c r="J749" s="115" t="s">
        <v>897</v>
      </c>
      <c r="Y749" s="209">
        <f>1.5+3</f>
        <v>4.5</v>
      </c>
      <c r="Z749" s="115" t="s">
        <v>907</v>
      </c>
      <c r="AH749" s="109">
        <f t="shared" si="22"/>
        <v>96</v>
      </c>
      <c r="AI749" s="110">
        <v>200</v>
      </c>
      <c r="AJ749" s="110" t="s">
        <v>908</v>
      </c>
    </row>
    <row r="750" spans="1:50" x14ac:dyDescent="0.4">
      <c r="B750" s="209" t="s">
        <v>849</v>
      </c>
      <c r="D750" s="124" t="s">
        <v>66</v>
      </c>
      <c r="F750" s="124"/>
      <c r="G750" s="109">
        <v>41</v>
      </c>
      <c r="H750" s="124" t="s">
        <v>904</v>
      </c>
      <c r="Y750" s="209">
        <f>2+3+6</f>
        <v>11</v>
      </c>
      <c r="Z750" s="115" t="s">
        <v>905</v>
      </c>
      <c r="AF750" s="109">
        <v>20</v>
      </c>
      <c r="AG750" s="125" t="s">
        <v>903</v>
      </c>
      <c r="AH750" s="109">
        <f t="shared" si="22"/>
        <v>72</v>
      </c>
    </row>
    <row r="751" spans="1:50" s="129" customFormat="1" x14ac:dyDescent="0.4">
      <c r="A751" s="129" t="s">
        <v>869</v>
      </c>
      <c r="F751" s="130"/>
      <c r="H751" s="130"/>
      <c r="J751" s="130"/>
      <c r="L751" s="130"/>
      <c r="N751" s="123"/>
      <c r="O751" s="123"/>
      <c r="Q751" s="130"/>
      <c r="S751" s="130"/>
      <c r="U751" s="130"/>
      <c r="W751" s="130"/>
      <c r="X751" s="123"/>
      <c r="Z751" s="130"/>
      <c r="AC751" s="130"/>
      <c r="AE751" s="130"/>
      <c r="AG751" s="130"/>
      <c r="AH751" s="131">
        <f>SUM(AH720:AH750)-10000-1500-86</f>
        <v>904.70000000000073</v>
      </c>
      <c r="AI751" s="129">
        <f>SUM(AI720:AI749)-10000-1500-86</f>
        <v>914</v>
      </c>
    </row>
    <row r="752" spans="1:50" x14ac:dyDescent="0.4">
      <c r="D752" s="124"/>
      <c r="F752" s="124"/>
      <c r="H752" s="124"/>
    </row>
    <row r="753" spans="1:52" s="121" customFormat="1" x14ac:dyDescent="0.4">
      <c r="A753" s="121" t="s">
        <v>870</v>
      </c>
      <c r="F753" s="122"/>
      <c r="H753" s="122"/>
      <c r="J753" s="122"/>
      <c r="L753" s="122"/>
      <c r="N753" s="123"/>
      <c r="O753" s="123"/>
      <c r="Q753" s="122"/>
      <c r="S753" s="122"/>
      <c r="U753" s="122"/>
      <c r="W753" s="122"/>
      <c r="X753" s="123"/>
      <c r="Z753" s="122"/>
      <c r="AC753" s="122"/>
      <c r="AE753" s="122"/>
      <c r="AG753" s="122"/>
      <c r="AH753" s="109"/>
    </row>
    <row r="754" spans="1:52" x14ac:dyDescent="0.4">
      <c r="B754" s="209" t="s">
        <v>850</v>
      </c>
      <c r="D754" s="124" t="s">
        <v>806</v>
      </c>
      <c r="E754" s="109">
        <v>0</v>
      </c>
      <c r="F754" s="124" t="s">
        <v>917</v>
      </c>
      <c r="G754" s="109">
        <v>0</v>
      </c>
      <c r="H754" s="124" t="s">
        <v>917</v>
      </c>
      <c r="I754" s="109">
        <v>0</v>
      </c>
      <c r="J754" s="115" t="s">
        <v>917</v>
      </c>
      <c r="K754" s="109">
        <v>70</v>
      </c>
      <c r="L754" s="115" t="s">
        <v>939</v>
      </c>
      <c r="M754" s="109">
        <v>0</v>
      </c>
      <c r="N754" s="106">
        <v>0</v>
      </c>
      <c r="O754" s="106">
        <v>0</v>
      </c>
      <c r="P754" s="109">
        <v>0</v>
      </c>
      <c r="Q754" s="115" t="s">
        <v>917</v>
      </c>
      <c r="R754" s="209">
        <v>0</v>
      </c>
      <c r="S754" s="115" t="s">
        <v>917</v>
      </c>
      <c r="T754" s="109">
        <v>0</v>
      </c>
      <c r="U754" s="115" t="s">
        <v>917</v>
      </c>
      <c r="V754" s="209">
        <v>0</v>
      </c>
      <c r="W754" s="115" t="s">
        <v>917</v>
      </c>
      <c r="X754" s="106">
        <v>0</v>
      </c>
      <c r="Y754" s="209">
        <v>0</v>
      </c>
      <c r="Z754" s="115" t="s">
        <v>917</v>
      </c>
      <c r="AA754" s="109">
        <v>10</v>
      </c>
      <c r="AB754" s="209">
        <v>0</v>
      </c>
      <c r="AC754" s="115" t="s">
        <v>917</v>
      </c>
      <c r="AD754" s="109">
        <v>0</v>
      </c>
      <c r="AE754" s="115" t="s">
        <v>917</v>
      </c>
      <c r="AF754" s="109">
        <v>0</v>
      </c>
      <c r="AG754" s="125" t="s">
        <v>917</v>
      </c>
      <c r="AH754" s="109">
        <f t="shared" ref="AH754:AH783" si="23">SUM(E754,G754,I754,K754,M754,R754,T754,V754,Y754,X754,AA754,AB754,AD754,AF754)</f>
        <v>80</v>
      </c>
      <c r="AR754" s="126">
        <f t="shared" ref="AR754:AR816" si="24">SUM(AO754:AQ754)</f>
        <v>0</v>
      </c>
      <c r="AV754" s="127">
        <f t="shared" ref="AV754:AV816" si="25">SUM(AS754:AU754)</f>
        <v>0</v>
      </c>
      <c r="AZ754" s="128">
        <f>SUM(AW754:AY754)</f>
        <v>0</v>
      </c>
    </row>
    <row r="755" spans="1:52" x14ac:dyDescent="0.4">
      <c r="B755" s="209" t="s">
        <v>851</v>
      </c>
      <c r="D755" s="124" t="s">
        <v>69</v>
      </c>
      <c r="E755" s="109">
        <v>9.5</v>
      </c>
      <c r="F755" s="124" t="s">
        <v>917</v>
      </c>
      <c r="G755" s="109">
        <v>0</v>
      </c>
      <c r="H755" s="124" t="s">
        <v>917</v>
      </c>
      <c r="I755" s="109">
        <v>0</v>
      </c>
      <c r="J755" s="115" t="s">
        <v>917</v>
      </c>
      <c r="K755" s="109">
        <v>0</v>
      </c>
      <c r="L755" s="115" t="s">
        <v>917</v>
      </c>
      <c r="M755" s="109">
        <v>0</v>
      </c>
      <c r="N755" s="106">
        <v>0</v>
      </c>
      <c r="O755" s="106">
        <v>0</v>
      </c>
      <c r="P755" s="109">
        <v>0</v>
      </c>
      <c r="Q755" s="115" t="s">
        <v>917</v>
      </c>
      <c r="R755" s="209">
        <v>0</v>
      </c>
      <c r="S755" s="115" t="s">
        <v>917</v>
      </c>
      <c r="T755" s="109">
        <v>0</v>
      </c>
      <c r="U755" s="115" t="s">
        <v>917</v>
      </c>
      <c r="V755" s="209">
        <v>0</v>
      </c>
      <c r="W755" s="115" t="s">
        <v>917</v>
      </c>
      <c r="X755" s="106">
        <v>0</v>
      </c>
      <c r="Y755" s="209">
        <f>101.5+106.5</f>
        <v>208</v>
      </c>
      <c r="Z755" s="115" t="s">
        <v>1002</v>
      </c>
      <c r="AA755" s="109">
        <v>0</v>
      </c>
      <c r="AB755" s="209">
        <v>0</v>
      </c>
      <c r="AC755" s="115" t="s">
        <v>917</v>
      </c>
      <c r="AD755" s="109">
        <v>0</v>
      </c>
      <c r="AE755" s="115" t="s">
        <v>917</v>
      </c>
      <c r="AF755" s="109">
        <v>0</v>
      </c>
      <c r="AG755" s="125" t="s">
        <v>917</v>
      </c>
      <c r="AH755" s="109">
        <f t="shared" si="23"/>
        <v>217.5</v>
      </c>
      <c r="AR755" s="126">
        <f t="shared" si="24"/>
        <v>0</v>
      </c>
      <c r="AV755" s="127">
        <f t="shared" si="25"/>
        <v>0</v>
      </c>
      <c r="AZ755" s="128">
        <f t="shared" ref="AZ755:AZ782" si="26">SUM(AW755:AY755)</f>
        <v>0</v>
      </c>
    </row>
    <row r="756" spans="1:52" x14ac:dyDescent="0.4">
      <c r="B756" s="209" t="s">
        <v>845</v>
      </c>
      <c r="D756" s="124" t="s">
        <v>70</v>
      </c>
      <c r="E756" s="109">
        <v>0</v>
      </c>
      <c r="F756" s="124" t="s">
        <v>917</v>
      </c>
      <c r="G756" s="109">
        <v>0</v>
      </c>
      <c r="H756" s="124" t="s">
        <v>917</v>
      </c>
      <c r="I756" s="109">
        <v>0</v>
      </c>
      <c r="J756" s="115" t="s">
        <v>917</v>
      </c>
      <c r="K756" s="109">
        <v>0</v>
      </c>
      <c r="L756" s="115" t="s">
        <v>917</v>
      </c>
      <c r="M756" s="109">
        <v>0</v>
      </c>
      <c r="N756" s="106">
        <v>0</v>
      </c>
      <c r="O756" s="106">
        <v>0</v>
      </c>
      <c r="P756" s="109">
        <v>0</v>
      </c>
      <c r="Q756" s="115" t="s">
        <v>917</v>
      </c>
      <c r="R756" s="209">
        <v>0</v>
      </c>
      <c r="S756" s="115" t="s">
        <v>917</v>
      </c>
      <c r="T756" s="109">
        <v>32.5</v>
      </c>
      <c r="U756" s="115" t="s">
        <v>917</v>
      </c>
      <c r="V756" s="209">
        <v>0</v>
      </c>
      <c r="W756" s="115" t="s">
        <v>917</v>
      </c>
      <c r="X756" s="106">
        <v>0</v>
      </c>
      <c r="Y756" s="209">
        <v>0</v>
      </c>
      <c r="Z756" s="115" t="s">
        <v>917</v>
      </c>
      <c r="AA756" s="109">
        <v>0</v>
      </c>
      <c r="AB756" s="209">
        <v>0</v>
      </c>
      <c r="AC756" s="115" t="s">
        <v>917</v>
      </c>
      <c r="AD756" s="109">
        <v>273.8</v>
      </c>
      <c r="AE756" s="115" t="s">
        <v>902</v>
      </c>
      <c r="AF756" s="109">
        <v>0</v>
      </c>
      <c r="AG756" s="125" t="s">
        <v>917</v>
      </c>
      <c r="AH756" s="109">
        <f t="shared" si="23"/>
        <v>306.3</v>
      </c>
      <c r="AR756" s="126">
        <f t="shared" si="24"/>
        <v>0</v>
      </c>
      <c r="AS756" s="127">
        <v>273.8</v>
      </c>
      <c r="AV756" s="127">
        <f t="shared" si="25"/>
        <v>273.8</v>
      </c>
      <c r="AZ756" s="128">
        <f t="shared" si="26"/>
        <v>0</v>
      </c>
    </row>
    <row r="757" spans="1:52" x14ac:dyDescent="0.4">
      <c r="B757" s="209" t="s">
        <v>846</v>
      </c>
      <c r="D757" s="124" t="s">
        <v>71</v>
      </c>
      <c r="E757" s="109">
        <v>0</v>
      </c>
      <c r="F757" s="124" t="s">
        <v>917</v>
      </c>
      <c r="G757" s="109">
        <v>0</v>
      </c>
      <c r="H757" s="124" t="s">
        <v>917</v>
      </c>
      <c r="I757" s="109">
        <v>32.5</v>
      </c>
      <c r="J757" s="115" t="s">
        <v>897</v>
      </c>
      <c r="K757" s="109">
        <v>0</v>
      </c>
      <c r="L757" s="115" t="s">
        <v>917</v>
      </c>
      <c r="M757" s="109">
        <v>0</v>
      </c>
      <c r="N757" s="106">
        <v>0</v>
      </c>
      <c r="O757" s="106">
        <v>0</v>
      </c>
      <c r="P757" s="109">
        <v>0</v>
      </c>
      <c r="Q757" s="115" t="s">
        <v>917</v>
      </c>
      <c r="R757" s="209">
        <v>0</v>
      </c>
      <c r="S757" s="115" t="s">
        <v>917</v>
      </c>
      <c r="T757" s="109">
        <v>0</v>
      </c>
      <c r="U757" s="115" t="s">
        <v>917</v>
      </c>
      <c r="V757" s="209">
        <v>0</v>
      </c>
      <c r="W757" s="115" t="s">
        <v>917</v>
      </c>
      <c r="X757" s="106">
        <v>0</v>
      </c>
      <c r="Y757" s="209">
        <f>2+34.69</f>
        <v>36.69</v>
      </c>
      <c r="Z757" s="115" t="s">
        <v>900</v>
      </c>
      <c r="AA757" s="109">
        <v>10</v>
      </c>
      <c r="AB757" s="209">
        <v>0</v>
      </c>
      <c r="AC757" s="115" t="s">
        <v>917</v>
      </c>
      <c r="AD757" s="109">
        <v>0</v>
      </c>
      <c r="AE757" s="115" t="s">
        <v>917</v>
      </c>
      <c r="AF757" s="109">
        <f>89+15</f>
        <v>104</v>
      </c>
      <c r="AG757" s="125" t="s">
        <v>901</v>
      </c>
      <c r="AH757" s="109">
        <f t="shared" si="23"/>
        <v>183.19</v>
      </c>
      <c r="AR757" s="126">
        <f t="shared" si="24"/>
        <v>0</v>
      </c>
      <c r="AV757" s="127">
        <f t="shared" si="25"/>
        <v>0</v>
      </c>
      <c r="AZ757" s="128">
        <f t="shared" si="26"/>
        <v>0</v>
      </c>
    </row>
    <row r="758" spans="1:52" x14ac:dyDescent="0.4">
      <c r="B758" s="209" t="s">
        <v>847</v>
      </c>
      <c r="D758" s="124" t="s">
        <v>72</v>
      </c>
      <c r="E758" s="109">
        <v>0</v>
      </c>
      <c r="F758" s="124" t="s">
        <v>917</v>
      </c>
      <c r="G758" s="109">
        <v>0</v>
      </c>
      <c r="H758" s="124" t="s">
        <v>917</v>
      </c>
      <c r="I758" s="109">
        <v>0</v>
      </c>
      <c r="J758" s="115" t="s">
        <v>917</v>
      </c>
      <c r="K758" s="109">
        <v>43</v>
      </c>
      <c r="L758" s="115" t="s">
        <v>940</v>
      </c>
      <c r="M758" s="109">
        <v>0</v>
      </c>
      <c r="N758" s="106">
        <v>0</v>
      </c>
      <c r="O758" s="106">
        <v>0</v>
      </c>
      <c r="P758" s="109">
        <v>0</v>
      </c>
      <c r="Q758" s="115" t="s">
        <v>917</v>
      </c>
      <c r="R758" s="209">
        <v>0</v>
      </c>
      <c r="S758" s="115" t="s">
        <v>917</v>
      </c>
      <c r="T758" s="109">
        <v>0</v>
      </c>
      <c r="U758" s="115" t="s">
        <v>917</v>
      </c>
      <c r="V758" s="209">
        <v>0</v>
      </c>
      <c r="W758" s="115" t="s">
        <v>917</v>
      </c>
      <c r="X758" s="106">
        <v>0</v>
      </c>
      <c r="Y758" s="209">
        <f>2+16.72</f>
        <v>18.72</v>
      </c>
      <c r="Z758" s="115" t="s">
        <v>900</v>
      </c>
      <c r="AA758" s="109">
        <v>0</v>
      </c>
      <c r="AB758" s="209">
        <v>0</v>
      </c>
      <c r="AC758" s="115" t="s">
        <v>917</v>
      </c>
      <c r="AD758" s="109">
        <v>0</v>
      </c>
      <c r="AE758" s="115" t="s">
        <v>917</v>
      </c>
      <c r="AF758" s="109">
        <v>0</v>
      </c>
      <c r="AG758" s="125" t="s">
        <v>917</v>
      </c>
      <c r="AH758" s="109">
        <f t="shared" si="23"/>
        <v>61.72</v>
      </c>
      <c r="AR758" s="126">
        <f t="shared" si="24"/>
        <v>0</v>
      </c>
      <c r="AV758" s="127">
        <f t="shared" si="25"/>
        <v>0</v>
      </c>
      <c r="AZ758" s="128">
        <f t="shared" si="26"/>
        <v>0</v>
      </c>
    </row>
    <row r="759" spans="1:52" x14ac:dyDescent="0.4">
      <c r="B759" s="209" t="s">
        <v>848</v>
      </c>
      <c r="D759" s="124" t="s">
        <v>73</v>
      </c>
      <c r="E759" s="109">
        <v>0</v>
      </c>
      <c r="F759" s="124" t="s">
        <v>917</v>
      </c>
      <c r="G759" s="109">
        <v>0</v>
      </c>
      <c r="H759" s="124" t="s">
        <v>917</v>
      </c>
      <c r="I759" s="109">
        <v>0</v>
      </c>
      <c r="J759" s="115" t="s">
        <v>917</v>
      </c>
      <c r="K759" s="109">
        <v>0</v>
      </c>
      <c r="L759" s="115" t="s">
        <v>917</v>
      </c>
      <c r="M759" s="109">
        <v>0</v>
      </c>
      <c r="N759" s="106">
        <v>0</v>
      </c>
      <c r="O759" s="106">
        <v>0</v>
      </c>
      <c r="P759" s="109">
        <v>0</v>
      </c>
      <c r="Q759" s="115" t="s">
        <v>917</v>
      </c>
      <c r="R759" s="209">
        <v>0</v>
      </c>
      <c r="S759" s="115" t="s">
        <v>917</v>
      </c>
      <c r="T759" s="109">
        <v>0</v>
      </c>
      <c r="U759" s="115" t="s">
        <v>917</v>
      </c>
      <c r="V759" s="209">
        <v>0</v>
      </c>
      <c r="W759" s="115" t="s">
        <v>917</v>
      </c>
      <c r="X759" s="106">
        <v>0</v>
      </c>
      <c r="Y759" s="209">
        <v>0</v>
      </c>
      <c r="Z759" s="115" t="s">
        <v>917</v>
      </c>
      <c r="AA759" s="109">
        <v>0</v>
      </c>
      <c r="AB759" s="209">
        <v>0</v>
      </c>
      <c r="AC759" s="115" t="s">
        <v>917</v>
      </c>
      <c r="AD759" s="109">
        <v>0</v>
      </c>
      <c r="AE759" s="115" t="s">
        <v>917</v>
      </c>
      <c r="AF759" s="109">
        <v>600</v>
      </c>
      <c r="AG759" s="125" t="s">
        <v>899</v>
      </c>
      <c r="AH759" s="109">
        <f t="shared" si="23"/>
        <v>600</v>
      </c>
      <c r="AR759" s="126">
        <f t="shared" si="24"/>
        <v>0</v>
      </c>
      <c r="AV759" s="127">
        <f t="shared" si="25"/>
        <v>0</v>
      </c>
      <c r="AZ759" s="128">
        <f t="shared" si="26"/>
        <v>0</v>
      </c>
    </row>
    <row r="760" spans="1:52" x14ac:dyDescent="0.4">
      <c r="B760" s="209" t="s">
        <v>849</v>
      </c>
      <c r="D760" s="124" t="s">
        <v>74</v>
      </c>
      <c r="E760" s="109">
        <v>0</v>
      </c>
      <c r="F760" s="124" t="s">
        <v>917</v>
      </c>
      <c r="G760" s="109">
        <v>0</v>
      </c>
      <c r="H760" s="124" t="s">
        <v>917</v>
      </c>
      <c r="I760" s="109">
        <v>37.5</v>
      </c>
      <c r="J760" s="115" t="s">
        <v>897</v>
      </c>
      <c r="K760" s="109">
        <v>0</v>
      </c>
      <c r="L760" s="115" t="s">
        <v>917</v>
      </c>
      <c r="M760" s="109">
        <v>0</v>
      </c>
      <c r="N760" s="106">
        <v>0</v>
      </c>
      <c r="O760" s="106">
        <v>0</v>
      </c>
      <c r="P760" s="109">
        <v>0</v>
      </c>
      <c r="Q760" s="115" t="s">
        <v>917</v>
      </c>
      <c r="R760" s="209">
        <v>0</v>
      </c>
      <c r="S760" s="115" t="s">
        <v>917</v>
      </c>
      <c r="T760" s="109">
        <v>0</v>
      </c>
      <c r="U760" s="115" t="s">
        <v>917</v>
      </c>
      <c r="V760" s="209">
        <v>0</v>
      </c>
      <c r="W760" s="115" t="s">
        <v>917</v>
      </c>
      <c r="X760" s="106">
        <v>0</v>
      </c>
      <c r="Y760" s="209">
        <v>0</v>
      </c>
      <c r="Z760" s="115" t="s">
        <v>917</v>
      </c>
      <c r="AA760" s="109">
        <v>20</v>
      </c>
      <c r="AB760" s="209">
        <v>0</v>
      </c>
      <c r="AC760" s="115" t="s">
        <v>917</v>
      </c>
      <c r="AD760" s="109">
        <v>0</v>
      </c>
      <c r="AE760" s="115" t="s">
        <v>917</v>
      </c>
      <c r="AF760" s="109">
        <v>15</v>
      </c>
      <c r="AG760" s="125" t="s">
        <v>898</v>
      </c>
      <c r="AH760" s="109">
        <f t="shared" si="23"/>
        <v>72.5</v>
      </c>
      <c r="AR760" s="126">
        <f t="shared" si="24"/>
        <v>0</v>
      </c>
      <c r="AV760" s="127">
        <f t="shared" si="25"/>
        <v>0</v>
      </c>
      <c r="AZ760" s="128">
        <f t="shared" si="26"/>
        <v>0</v>
      </c>
    </row>
    <row r="761" spans="1:52" x14ac:dyDescent="0.4">
      <c r="B761" s="209" t="s">
        <v>850</v>
      </c>
      <c r="C761" s="209">
        <v>100</v>
      </c>
      <c r="D761" s="147" t="s">
        <v>75</v>
      </c>
      <c r="E761" s="109">
        <v>0</v>
      </c>
      <c r="F761" s="124" t="s">
        <v>917</v>
      </c>
      <c r="G761" s="109">
        <v>0</v>
      </c>
      <c r="H761" s="124" t="s">
        <v>917</v>
      </c>
      <c r="I761" s="109">
        <f>15+10</f>
        <v>25</v>
      </c>
      <c r="J761" s="115" t="s">
        <v>1096</v>
      </c>
      <c r="K761" s="109">
        <v>11</v>
      </c>
      <c r="L761" s="115" t="s">
        <v>895</v>
      </c>
      <c r="M761" s="109">
        <v>0</v>
      </c>
      <c r="N761" s="106">
        <v>0</v>
      </c>
      <c r="O761" s="106">
        <v>0</v>
      </c>
      <c r="P761" s="109">
        <v>0</v>
      </c>
      <c r="Q761" s="115" t="s">
        <v>917</v>
      </c>
      <c r="R761" s="209">
        <v>0</v>
      </c>
      <c r="S761" s="115" t="s">
        <v>917</v>
      </c>
      <c r="T761" s="109">
        <v>8.4</v>
      </c>
      <c r="U761" s="115" t="s">
        <v>1109</v>
      </c>
      <c r="V761" s="209">
        <v>0</v>
      </c>
      <c r="W761" s="115" t="s">
        <v>917</v>
      </c>
      <c r="X761" s="106">
        <v>0</v>
      </c>
      <c r="Y761" s="209">
        <v>2</v>
      </c>
      <c r="Z761" s="115" t="s">
        <v>896</v>
      </c>
      <c r="AA761" s="109">
        <v>20</v>
      </c>
      <c r="AB761" s="209">
        <v>0</v>
      </c>
      <c r="AC761" s="115" t="s">
        <v>917</v>
      </c>
      <c r="AD761" s="109">
        <v>0</v>
      </c>
      <c r="AE761" s="115" t="s">
        <v>917</v>
      </c>
      <c r="AF761" s="109">
        <v>0</v>
      </c>
      <c r="AG761" s="125" t="s">
        <v>917</v>
      </c>
      <c r="AH761" s="109">
        <f t="shared" si="23"/>
        <v>66.400000000000006</v>
      </c>
      <c r="AR761" s="126">
        <f t="shared" si="24"/>
        <v>0</v>
      </c>
      <c r="AV761" s="127">
        <f t="shared" si="25"/>
        <v>0</v>
      </c>
      <c r="AZ761" s="128">
        <f t="shared" si="26"/>
        <v>0</v>
      </c>
    </row>
    <row r="762" spans="1:52" x14ac:dyDescent="0.4">
      <c r="B762" s="209" t="s">
        <v>851</v>
      </c>
      <c r="D762" s="124" t="s">
        <v>76</v>
      </c>
      <c r="E762" s="109">
        <v>1</v>
      </c>
      <c r="F762" s="124" t="s">
        <v>1110</v>
      </c>
      <c r="G762" s="109">
        <v>12</v>
      </c>
      <c r="H762" s="124" t="s">
        <v>1096</v>
      </c>
      <c r="I762" s="109">
        <v>0</v>
      </c>
      <c r="J762" s="115" t="s">
        <v>917</v>
      </c>
      <c r="K762" s="109">
        <v>9.9</v>
      </c>
      <c r="L762" s="115" t="s">
        <v>892</v>
      </c>
      <c r="M762" s="109">
        <v>0</v>
      </c>
      <c r="N762" s="106">
        <v>0</v>
      </c>
      <c r="O762" s="106">
        <v>0</v>
      </c>
      <c r="P762" s="109">
        <v>0</v>
      </c>
      <c r="Q762" s="115" t="s">
        <v>917</v>
      </c>
      <c r="R762" s="209">
        <f>2.5+2.98</f>
        <v>5.48</v>
      </c>
      <c r="S762" s="115" t="s">
        <v>980</v>
      </c>
      <c r="T762" s="109">
        <v>17</v>
      </c>
      <c r="U762" s="115" t="s">
        <v>1109</v>
      </c>
      <c r="V762" s="209">
        <v>0</v>
      </c>
      <c r="W762" s="115" t="s">
        <v>917</v>
      </c>
      <c r="X762" s="106">
        <v>0</v>
      </c>
      <c r="Y762" s="209">
        <v>0</v>
      </c>
      <c r="Z762" s="115" t="s">
        <v>917</v>
      </c>
      <c r="AA762" s="109">
        <v>0</v>
      </c>
      <c r="AB762" s="209">
        <v>0</v>
      </c>
      <c r="AC762" s="115" t="s">
        <v>917</v>
      </c>
      <c r="AD762" s="109">
        <v>0</v>
      </c>
      <c r="AE762" s="115" t="s">
        <v>917</v>
      </c>
      <c r="AF762" s="109">
        <v>43</v>
      </c>
      <c r="AG762" s="125" t="s">
        <v>894</v>
      </c>
      <c r="AH762" s="109">
        <f t="shared" si="23"/>
        <v>88.38</v>
      </c>
      <c r="AO762" s="126">
        <v>966.56</v>
      </c>
      <c r="AR762" s="126">
        <f t="shared" si="24"/>
        <v>966.56</v>
      </c>
      <c r="AV762" s="127">
        <f t="shared" si="25"/>
        <v>0</v>
      </c>
      <c r="AZ762" s="128">
        <f t="shared" si="26"/>
        <v>0</v>
      </c>
    </row>
    <row r="763" spans="1:52" x14ac:dyDescent="0.4">
      <c r="B763" s="209" t="s">
        <v>845</v>
      </c>
      <c r="D763" s="124" t="s">
        <v>77</v>
      </c>
      <c r="E763" s="109">
        <v>1</v>
      </c>
      <c r="F763" s="124" t="s">
        <v>1110</v>
      </c>
      <c r="G763" s="109">
        <v>0</v>
      </c>
      <c r="H763" s="124" t="s">
        <v>917</v>
      </c>
      <c r="I763" s="109">
        <v>11</v>
      </c>
      <c r="J763" s="115" t="s">
        <v>1111</v>
      </c>
      <c r="K763" s="109">
        <v>0</v>
      </c>
      <c r="M763" s="109">
        <v>0</v>
      </c>
      <c r="N763" s="106">
        <v>0</v>
      </c>
      <c r="O763" s="106">
        <v>0</v>
      </c>
      <c r="P763" s="109">
        <v>0</v>
      </c>
      <c r="Q763" s="115" t="s">
        <v>917</v>
      </c>
      <c r="R763" s="209">
        <v>0</v>
      </c>
      <c r="S763" s="115" t="s">
        <v>917</v>
      </c>
      <c r="T763" s="109">
        <f>5.5+7.5</f>
        <v>13</v>
      </c>
      <c r="U763" s="115" t="s">
        <v>1109</v>
      </c>
      <c r="V763" s="209">
        <v>0</v>
      </c>
      <c r="W763" s="115" t="s">
        <v>917</v>
      </c>
      <c r="X763" s="106">
        <v>0</v>
      </c>
      <c r="Y763" s="209">
        <v>0</v>
      </c>
      <c r="Z763" s="115" t="s">
        <v>917</v>
      </c>
      <c r="AA763" s="109">
        <v>0</v>
      </c>
      <c r="AB763" s="209">
        <v>52</v>
      </c>
      <c r="AC763" s="115" t="s">
        <v>1007</v>
      </c>
      <c r="AD763" s="109">
        <v>0</v>
      </c>
      <c r="AE763" s="115" t="s">
        <v>917</v>
      </c>
      <c r="AF763" s="109">
        <v>45</v>
      </c>
      <c r="AG763" s="125" t="s">
        <v>917</v>
      </c>
      <c r="AH763" s="109">
        <f t="shared" si="23"/>
        <v>122</v>
      </c>
      <c r="AR763" s="126">
        <f t="shared" si="24"/>
        <v>0</v>
      </c>
      <c r="AV763" s="127">
        <f t="shared" si="25"/>
        <v>0</v>
      </c>
      <c r="AZ763" s="128">
        <f t="shared" si="26"/>
        <v>0</v>
      </c>
    </row>
    <row r="764" spans="1:52" x14ac:dyDescent="0.4">
      <c r="B764" s="209" t="s">
        <v>846</v>
      </c>
      <c r="C764" s="209">
        <v>50</v>
      </c>
      <c r="D764" s="147" t="s">
        <v>78</v>
      </c>
      <c r="E764" s="109">
        <f>0.5+0.5+3</f>
        <v>4</v>
      </c>
      <c r="F764" s="124" t="s">
        <v>1110</v>
      </c>
      <c r="G764" s="109">
        <v>10</v>
      </c>
      <c r="H764" s="124" t="s">
        <v>1096</v>
      </c>
      <c r="I764" s="109">
        <v>13</v>
      </c>
      <c r="J764" s="115" t="s">
        <v>1096</v>
      </c>
      <c r="K764" s="109">
        <v>0</v>
      </c>
      <c r="L764" s="115" t="s">
        <v>917</v>
      </c>
      <c r="M764" s="109">
        <v>0</v>
      </c>
      <c r="N764" s="106">
        <v>0</v>
      </c>
      <c r="O764" s="106">
        <v>0</v>
      </c>
      <c r="P764" s="209">
        <v>50</v>
      </c>
      <c r="Q764" s="115" t="s">
        <v>917</v>
      </c>
      <c r="R764" s="209">
        <v>0</v>
      </c>
      <c r="S764" s="115" t="s">
        <v>917</v>
      </c>
      <c r="T764" s="109">
        <v>5</v>
      </c>
      <c r="U764" s="115" t="s">
        <v>1109</v>
      </c>
      <c r="V764" s="209">
        <v>0</v>
      </c>
      <c r="W764" s="115" t="s">
        <v>917</v>
      </c>
      <c r="X764" s="106">
        <v>0</v>
      </c>
      <c r="Y764" s="209">
        <v>0</v>
      </c>
      <c r="Z764" s="115" t="s">
        <v>917</v>
      </c>
      <c r="AA764" s="109">
        <v>0</v>
      </c>
      <c r="AB764" s="209">
        <v>0</v>
      </c>
      <c r="AC764" s="115" t="s">
        <v>917</v>
      </c>
      <c r="AD764" s="109">
        <v>0</v>
      </c>
      <c r="AE764" s="115" t="s">
        <v>917</v>
      </c>
      <c r="AF764" s="109">
        <f>15+4</f>
        <v>19</v>
      </c>
      <c r="AG764" s="125" t="s">
        <v>1046</v>
      </c>
      <c r="AH764" s="109">
        <f t="shared" si="23"/>
        <v>51</v>
      </c>
      <c r="AR764" s="126">
        <f t="shared" si="24"/>
        <v>0</v>
      </c>
      <c r="AV764" s="127">
        <f t="shared" si="25"/>
        <v>0</v>
      </c>
      <c r="AZ764" s="128">
        <f t="shared" si="26"/>
        <v>0</v>
      </c>
    </row>
    <row r="765" spans="1:52" x14ac:dyDescent="0.4">
      <c r="B765" s="209" t="s">
        <v>847</v>
      </c>
      <c r="D765" s="124" t="s">
        <v>79</v>
      </c>
      <c r="E765" s="109">
        <v>1</v>
      </c>
      <c r="F765" s="124" t="s">
        <v>1110</v>
      </c>
      <c r="G765" s="109">
        <v>16</v>
      </c>
      <c r="H765" s="124" t="s">
        <v>1099</v>
      </c>
      <c r="I765" s="109">
        <v>8.1999999999999993</v>
      </c>
      <c r="J765" s="115" t="s">
        <v>1099</v>
      </c>
      <c r="K765" s="109">
        <v>14.9</v>
      </c>
      <c r="L765" s="115" t="s">
        <v>1093</v>
      </c>
      <c r="M765" s="109">
        <v>0</v>
      </c>
      <c r="N765" s="106">
        <v>0</v>
      </c>
      <c r="O765" s="106">
        <v>0</v>
      </c>
      <c r="P765" s="109">
        <v>0</v>
      </c>
      <c r="Q765" s="115" t="s">
        <v>917</v>
      </c>
      <c r="R765" s="209">
        <v>0</v>
      </c>
      <c r="S765" s="115" t="s">
        <v>917</v>
      </c>
      <c r="T765" s="109">
        <v>0</v>
      </c>
      <c r="U765" s="115" t="s">
        <v>917</v>
      </c>
      <c r="V765" s="209">
        <v>0</v>
      </c>
      <c r="W765" s="115" t="s">
        <v>917</v>
      </c>
      <c r="X765" s="106">
        <v>0</v>
      </c>
      <c r="Y765" s="209">
        <v>0</v>
      </c>
      <c r="Z765" s="115" t="s">
        <v>917</v>
      </c>
      <c r="AA765" s="109">
        <v>0</v>
      </c>
      <c r="AB765" s="209">
        <v>0</v>
      </c>
      <c r="AC765" s="115" t="s">
        <v>917</v>
      </c>
      <c r="AD765" s="109">
        <v>0</v>
      </c>
      <c r="AE765" s="115" t="s">
        <v>917</v>
      </c>
      <c r="AF765" s="109">
        <v>0</v>
      </c>
      <c r="AG765" s="125" t="s">
        <v>917</v>
      </c>
      <c r="AH765" s="109">
        <f t="shared" si="23"/>
        <v>40.1</v>
      </c>
      <c r="AR765" s="126">
        <f t="shared" si="24"/>
        <v>0</v>
      </c>
      <c r="AV765" s="127">
        <f t="shared" si="25"/>
        <v>0</v>
      </c>
      <c r="AZ765" s="128">
        <f t="shared" si="26"/>
        <v>0</v>
      </c>
    </row>
    <row r="766" spans="1:52" x14ac:dyDescent="0.4">
      <c r="B766" s="209" t="s">
        <v>848</v>
      </c>
      <c r="D766" s="124" t="s">
        <v>80</v>
      </c>
      <c r="E766" s="109">
        <v>0</v>
      </c>
      <c r="F766" s="124" t="s">
        <v>917</v>
      </c>
      <c r="G766" s="109">
        <v>0</v>
      </c>
      <c r="H766" s="124" t="s">
        <v>917</v>
      </c>
      <c r="I766" s="109">
        <v>0</v>
      </c>
      <c r="J766" s="115" t="s">
        <v>917</v>
      </c>
      <c r="K766" s="109">
        <v>0</v>
      </c>
      <c r="L766" s="115" t="s">
        <v>917</v>
      </c>
      <c r="M766" s="109">
        <v>0</v>
      </c>
      <c r="N766" s="106">
        <v>0</v>
      </c>
      <c r="O766" s="106">
        <v>0</v>
      </c>
      <c r="P766" s="109">
        <v>0</v>
      </c>
      <c r="Q766" s="115" t="s">
        <v>917</v>
      </c>
      <c r="R766" s="209">
        <v>0</v>
      </c>
      <c r="S766" s="115" t="s">
        <v>917</v>
      </c>
      <c r="T766" s="109">
        <v>3.5</v>
      </c>
      <c r="U766" s="115" t="s">
        <v>993</v>
      </c>
      <c r="V766" s="209">
        <v>0</v>
      </c>
      <c r="W766" s="115" t="s">
        <v>917</v>
      </c>
      <c r="X766" s="106">
        <v>0</v>
      </c>
      <c r="Y766" s="209">
        <v>2</v>
      </c>
      <c r="Z766" s="115" t="s">
        <v>917</v>
      </c>
      <c r="AA766" s="109">
        <v>0</v>
      </c>
      <c r="AB766" s="209">
        <v>0</v>
      </c>
      <c r="AC766" s="115" t="s">
        <v>917</v>
      </c>
      <c r="AD766" s="109">
        <v>0</v>
      </c>
      <c r="AE766" s="115" t="s">
        <v>917</v>
      </c>
      <c r="AF766" s="109">
        <f>6+3+5-0.43+5+16-3.9</f>
        <v>30.67</v>
      </c>
      <c r="AG766" s="125" t="s">
        <v>1087</v>
      </c>
      <c r="AH766" s="109">
        <f t="shared" si="23"/>
        <v>36.17</v>
      </c>
      <c r="AI766" s="110">
        <f>1.67+1.09+0.17+2.46+1.56</f>
        <v>6.9499999999999993</v>
      </c>
      <c r="AR766" s="126">
        <f t="shared" si="24"/>
        <v>0</v>
      </c>
      <c r="AV766" s="127">
        <f t="shared" si="25"/>
        <v>0</v>
      </c>
      <c r="AZ766" s="128">
        <f t="shared" si="26"/>
        <v>0</v>
      </c>
    </row>
    <row r="767" spans="1:52" x14ac:dyDescent="0.4">
      <c r="B767" s="209" t="s">
        <v>849</v>
      </c>
      <c r="C767" s="209">
        <v>40</v>
      </c>
      <c r="D767" s="147" t="s">
        <v>81</v>
      </c>
      <c r="E767" s="109">
        <v>0</v>
      </c>
      <c r="F767" s="124" t="s">
        <v>917</v>
      </c>
      <c r="G767" s="109">
        <v>0</v>
      </c>
      <c r="H767" s="124" t="s">
        <v>917</v>
      </c>
      <c r="I767" s="109">
        <v>10</v>
      </c>
      <c r="J767" s="115" t="s">
        <v>1112</v>
      </c>
      <c r="K767" s="109">
        <v>0</v>
      </c>
      <c r="L767" s="115" t="s">
        <v>917</v>
      </c>
      <c r="M767" s="109">
        <v>0</v>
      </c>
      <c r="N767" s="106">
        <v>0</v>
      </c>
      <c r="O767" s="106">
        <v>0</v>
      </c>
      <c r="P767" s="109">
        <f>40+50</f>
        <v>90</v>
      </c>
      <c r="Q767" s="115" t="s">
        <v>917</v>
      </c>
      <c r="R767" s="209">
        <f>2.48+12+7.3</f>
        <v>21.78</v>
      </c>
      <c r="S767" s="115" t="s">
        <v>981</v>
      </c>
      <c r="T767" s="109">
        <v>0</v>
      </c>
      <c r="U767" s="115" t="s">
        <v>917</v>
      </c>
      <c r="V767" s="209">
        <v>0</v>
      </c>
      <c r="W767" s="115" t="s">
        <v>917</v>
      </c>
      <c r="X767" s="106">
        <v>0</v>
      </c>
      <c r="Y767" s="209">
        <v>2</v>
      </c>
      <c r="Z767" s="115" t="s">
        <v>917</v>
      </c>
      <c r="AA767" s="109">
        <v>20</v>
      </c>
      <c r="AB767" s="209">
        <v>0</v>
      </c>
      <c r="AC767" s="115" t="s">
        <v>917</v>
      </c>
      <c r="AD767" s="109">
        <v>19.899999999999999</v>
      </c>
      <c r="AE767" s="115" t="s">
        <v>1010</v>
      </c>
      <c r="AF767" s="109">
        <f>0.54+0.08+50</f>
        <v>50.62</v>
      </c>
      <c r="AG767" s="125" t="s">
        <v>1088</v>
      </c>
      <c r="AH767" s="109">
        <f t="shared" si="23"/>
        <v>124.30000000000001</v>
      </c>
      <c r="AI767" s="110">
        <v>2.2799999999999998</v>
      </c>
      <c r="AR767" s="126">
        <f t="shared" si="24"/>
        <v>0</v>
      </c>
      <c r="AS767" s="127">
        <v>19.899999999999999</v>
      </c>
      <c r="AV767" s="127">
        <f t="shared" si="25"/>
        <v>19.899999999999999</v>
      </c>
      <c r="AZ767" s="128">
        <f t="shared" si="26"/>
        <v>0</v>
      </c>
    </row>
    <row r="768" spans="1:52" x14ac:dyDescent="0.4">
      <c r="B768" s="209" t="s">
        <v>850</v>
      </c>
      <c r="D768" s="124" t="s">
        <v>82</v>
      </c>
      <c r="E768" s="109">
        <v>0</v>
      </c>
      <c r="F768" s="124" t="s">
        <v>917</v>
      </c>
      <c r="G768" s="109">
        <v>24</v>
      </c>
      <c r="H768" s="124" t="s">
        <v>1096</v>
      </c>
      <c r="I768" s="109">
        <v>0</v>
      </c>
      <c r="J768" s="115" t="s">
        <v>934</v>
      </c>
      <c r="K768" s="109">
        <v>0</v>
      </c>
      <c r="L768" s="115" t="s">
        <v>917</v>
      </c>
      <c r="M768" s="109">
        <v>0</v>
      </c>
      <c r="N768" s="106">
        <v>0</v>
      </c>
      <c r="O768" s="106">
        <v>0</v>
      </c>
      <c r="P768" s="109">
        <v>0</v>
      </c>
      <c r="Q768" s="115" t="s">
        <v>917</v>
      </c>
      <c r="R768" s="209">
        <v>3.98</v>
      </c>
      <c r="S768" s="115" t="s">
        <v>982</v>
      </c>
      <c r="T768" s="109">
        <v>0</v>
      </c>
      <c r="U768" s="115" t="s">
        <v>917</v>
      </c>
      <c r="V768" s="209">
        <v>0</v>
      </c>
      <c r="W768" s="115" t="s">
        <v>917</v>
      </c>
      <c r="X768" s="106">
        <v>0</v>
      </c>
      <c r="Y768" s="209">
        <f>2+2</f>
        <v>4</v>
      </c>
      <c r="Z768" s="115" t="s">
        <v>917</v>
      </c>
      <c r="AA768" s="109">
        <v>0</v>
      </c>
      <c r="AB768" s="209">
        <v>0</v>
      </c>
      <c r="AC768" s="115" t="s">
        <v>917</v>
      </c>
      <c r="AD768" s="109">
        <v>0</v>
      </c>
      <c r="AE768" s="115" t="s">
        <v>917</v>
      </c>
      <c r="AF768" s="109">
        <v>0</v>
      </c>
      <c r="AG768" s="125" t="s">
        <v>917</v>
      </c>
      <c r="AH768" s="109">
        <f t="shared" si="23"/>
        <v>31.98</v>
      </c>
      <c r="AI768" s="110">
        <v>45</v>
      </c>
      <c r="AR768" s="126">
        <f t="shared" si="24"/>
        <v>0</v>
      </c>
      <c r="AT768" s="127">
        <v>200</v>
      </c>
      <c r="AV768" s="127">
        <f t="shared" si="25"/>
        <v>200</v>
      </c>
      <c r="AZ768" s="128">
        <f t="shared" si="26"/>
        <v>0</v>
      </c>
    </row>
    <row r="769" spans="1:52" x14ac:dyDescent="0.4">
      <c r="B769" s="209" t="s">
        <v>851</v>
      </c>
      <c r="D769" s="124" t="s">
        <v>83</v>
      </c>
      <c r="E769" s="109">
        <v>5</v>
      </c>
      <c r="F769" s="124" t="s">
        <v>1096</v>
      </c>
      <c r="G769" s="109">
        <v>7.2</v>
      </c>
      <c r="H769" s="124" t="s">
        <v>917</v>
      </c>
      <c r="I769" s="109">
        <v>11</v>
      </c>
      <c r="J769" s="115" t="s">
        <v>917</v>
      </c>
      <c r="K769" s="109">
        <v>0</v>
      </c>
      <c r="L769" s="115" t="s">
        <v>917</v>
      </c>
      <c r="M769" s="109">
        <v>0</v>
      </c>
      <c r="N769" s="106">
        <v>0</v>
      </c>
      <c r="O769" s="106">
        <v>0</v>
      </c>
      <c r="P769" s="109">
        <v>0</v>
      </c>
      <c r="Q769" s="115" t="s">
        <v>917</v>
      </c>
      <c r="R769" s="209">
        <f>2.98+6+5.5+2.5</f>
        <v>16.98</v>
      </c>
      <c r="S769" s="115" t="s">
        <v>983</v>
      </c>
      <c r="T769" s="109">
        <v>0</v>
      </c>
      <c r="U769" s="115" t="s">
        <v>917</v>
      </c>
      <c r="V769" s="209">
        <v>0</v>
      </c>
      <c r="W769" s="115" t="s">
        <v>917</v>
      </c>
      <c r="X769" s="106">
        <v>0</v>
      </c>
      <c r="Y769" s="209">
        <v>0</v>
      </c>
      <c r="Z769" s="115" t="s">
        <v>917</v>
      </c>
      <c r="AA769" s="109">
        <v>0</v>
      </c>
      <c r="AB769" s="209">
        <v>0</v>
      </c>
      <c r="AC769" s="115" t="s">
        <v>917</v>
      </c>
      <c r="AD769" s="109">
        <v>0</v>
      </c>
      <c r="AE769" s="115" t="s">
        <v>917</v>
      </c>
      <c r="AF769" s="109">
        <v>0</v>
      </c>
      <c r="AG769" s="125" t="s">
        <v>917</v>
      </c>
      <c r="AH769" s="109">
        <f t="shared" si="23"/>
        <v>40.18</v>
      </c>
      <c r="AR769" s="126">
        <f t="shared" si="24"/>
        <v>0</v>
      </c>
      <c r="AV769" s="127">
        <f t="shared" si="25"/>
        <v>0</v>
      </c>
      <c r="AZ769" s="128">
        <f t="shared" si="26"/>
        <v>0</v>
      </c>
    </row>
    <row r="770" spans="1:52" x14ac:dyDescent="0.4">
      <c r="B770" s="209" t="s">
        <v>845</v>
      </c>
      <c r="D770" s="124" t="s">
        <v>84</v>
      </c>
      <c r="E770" s="109">
        <v>0</v>
      </c>
      <c r="F770" s="124" t="s">
        <v>917</v>
      </c>
      <c r="G770" s="109">
        <v>19</v>
      </c>
      <c r="H770" s="124" t="s">
        <v>917</v>
      </c>
      <c r="I770" s="109">
        <v>13</v>
      </c>
      <c r="J770" s="115" t="s">
        <v>917</v>
      </c>
      <c r="K770" s="109">
        <v>0</v>
      </c>
      <c r="L770" s="115" t="s">
        <v>917</v>
      </c>
      <c r="M770" s="109">
        <v>0</v>
      </c>
      <c r="N770" s="106">
        <v>0</v>
      </c>
      <c r="O770" s="106">
        <v>0</v>
      </c>
      <c r="P770" s="109">
        <v>0</v>
      </c>
      <c r="Q770" s="115" t="s">
        <v>917</v>
      </c>
      <c r="R770" s="209">
        <v>3.98</v>
      </c>
      <c r="S770" s="115" t="s">
        <v>984</v>
      </c>
      <c r="T770" s="109">
        <v>0</v>
      </c>
      <c r="U770" s="115" t="s">
        <v>917</v>
      </c>
      <c r="V770" s="209">
        <v>0</v>
      </c>
      <c r="W770" s="115" t="s">
        <v>917</v>
      </c>
      <c r="X770" s="106">
        <v>0</v>
      </c>
      <c r="Y770" s="209">
        <v>0</v>
      </c>
      <c r="Z770" s="115" t="s">
        <v>917</v>
      </c>
      <c r="AA770" s="109">
        <v>0</v>
      </c>
      <c r="AB770" s="209">
        <v>0</v>
      </c>
      <c r="AC770" s="115" t="s">
        <v>917</v>
      </c>
      <c r="AD770" s="109">
        <v>79</v>
      </c>
      <c r="AE770" s="115" t="s">
        <v>1011</v>
      </c>
      <c r="AF770" s="109">
        <f>0.6+0.02</f>
        <v>0.62</v>
      </c>
      <c r="AG770" s="125" t="s">
        <v>1057</v>
      </c>
      <c r="AH770" s="109">
        <f t="shared" si="23"/>
        <v>115.6</v>
      </c>
      <c r="AR770" s="126">
        <f t="shared" si="24"/>
        <v>0</v>
      </c>
      <c r="AS770" s="127">
        <v>79</v>
      </c>
      <c r="AV770" s="127">
        <f t="shared" si="25"/>
        <v>79</v>
      </c>
      <c r="AZ770" s="128">
        <f t="shared" si="26"/>
        <v>0</v>
      </c>
    </row>
    <row r="771" spans="1:52" x14ac:dyDescent="0.4">
      <c r="B771" s="209" t="s">
        <v>846</v>
      </c>
      <c r="D771" s="124" t="s">
        <v>85</v>
      </c>
      <c r="E771" s="109">
        <v>5</v>
      </c>
      <c r="F771" s="124" t="s">
        <v>926</v>
      </c>
      <c r="G771" s="109">
        <v>11</v>
      </c>
      <c r="H771" s="124" t="s">
        <v>929</v>
      </c>
      <c r="I771" s="109">
        <v>0</v>
      </c>
      <c r="J771" s="115" t="s">
        <v>917</v>
      </c>
      <c r="K771" s="109">
        <v>22</v>
      </c>
      <c r="L771" s="115" t="s">
        <v>941</v>
      </c>
      <c r="M771" s="109">
        <v>0</v>
      </c>
      <c r="N771" s="106">
        <v>0</v>
      </c>
      <c r="O771" s="106">
        <v>0</v>
      </c>
      <c r="P771" s="109">
        <v>0</v>
      </c>
      <c r="Q771" s="115" t="s">
        <v>917</v>
      </c>
      <c r="R771" s="209">
        <f>2.48+5</f>
        <v>7.48</v>
      </c>
      <c r="S771" s="115" t="s">
        <v>985</v>
      </c>
      <c r="T771" s="109">
        <v>0</v>
      </c>
      <c r="U771" s="115" t="s">
        <v>917</v>
      </c>
      <c r="V771" s="209">
        <v>0</v>
      </c>
      <c r="W771" s="115" t="s">
        <v>917</v>
      </c>
      <c r="X771" s="106">
        <v>0</v>
      </c>
      <c r="Y771" s="209">
        <v>0</v>
      </c>
      <c r="Z771" s="115" t="s">
        <v>917</v>
      </c>
      <c r="AA771" s="109">
        <v>0</v>
      </c>
      <c r="AB771" s="209">
        <v>0</v>
      </c>
      <c r="AC771" s="115" t="s">
        <v>917</v>
      </c>
      <c r="AD771" s="109">
        <v>0</v>
      </c>
      <c r="AE771" s="115" t="s">
        <v>917</v>
      </c>
      <c r="AF771" s="109">
        <v>25</v>
      </c>
      <c r="AG771" s="125" t="s">
        <v>1058</v>
      </c>
      <c r="AH771" s="109">
        <f t="shared" si="23"/>
        <v>70.48</v>
      </c>
      <c r="AP771" s="126">
        <v>2640.9</v>
      </c>
      <c r="AR771" s="126">
        <f t="shared" si="24"/>
        <v>2640.9</v>
      </c>
      <c r="AT771" s="127">
        <v>2700</v>
      </c>
      <c r="AV771" s="127">
        <f t="shared" si="25"/>
        <v>2700</v>
      </c>
      <c r="AX771" s="128">
        <f>23.25+7.75+3.1+7.75+15.5+23.25+49.61</f>
        <v>130.20999999999998</v>
      </c>
      <c r="AZ771" s="128">
        <f t="shared" si="26"/>
        <v>130.20999999999998</v>
      </c>
    </row>
    <row r="772" spans="1:52" x14ac:dyDescent="0.4">
      <c r="B772" s="209" t="s">
        <v>847</v>
      </c>
      <c r="D772" s="124" t="s">
        <v>86</v>
      </c>
      <c r="E772" s="109">
        <v>6.5</v>
      </c>
      <c r="F772" s="124" t="s">
        <v>926</v>
      </c>
      <c r="G772" s="109">
        <v>7</v>
      </c>
      <c r="H772" s="124" t="s">
        <v>929</v>
      </c>
      <c r="I772" s="109">
        <v>16</v>
      </c>
      <c r="J772" s="115" t="s">
        <v>929</v>
      </c>
      <c r="K772" s="109">
        <v>0</v>
      </c>
      <c r="L772" s="115" t="s">
        <v>917</v>
      </c>
      <c r="M772" s="109">
        <v>0</v>
      </c>
      <c r="N772" s="106">
        <v>0</v>
      </c>
      <c r="O772" s="106">
        <v>0</v>
      </c>
      <c r="P772" s="109">
        <v>0</v>
      </c>
      <c r="Q772" s="115" t="s">
        <v>917</v>
      </c>
      <c r="R772" s="209">
        <v>0</v>
      </c>
      <c r="S772" s="115" t="s">
        <v>917</v>
      </c>
      <c r="T772" s="109">
        <v>12</v>
      </c>
      <c r="U772" s="115" t="s">
        <v>994</v>
      </c>
      <c r="V772" s="209">
        <v>0</v>
      </c>
      <c r="W772" s="115" t="s">
        <v>917</v>
      </c>
      <c r="X772" s="106">
        <v>0</v>
      </c>
      <c r="Y772" s="209">
        <v>0</v>
      </c>
      <c r="Z772" s="115" t="s">
        <v>917</v>
      </c>
      <c r="AA772" s="109">
        <v>0</v>
      </c>
      <c r="AB772" s="209">
        <v>0</v>
      </c>
      <c r="AC772" s="115" t="s">
        <v>917</v>
      </c>
      <c r="AD772" s="109">
        <f>16.9+39.8</f>
        <v>56.699999999999996</v>
      </c>
      <c r="AE772" s="115" t="s">
        <v>1012</v>
      </c>
      <c r="AF772" s="109">
        <v>0</v>
      </c>
      <c r="AG772" s="125" t="s">
        <v>917</v>
      </c>
      <c r="AH772" s="109">
        <f t="shared" si="23"/>
        <v>98.199999999999989</v>
      </c>
      <c r="AI772" s="110">
        <v>150</v>
      </c>
      <c r="AR772" s="126">
        <f t="shared" si="24"/>
        <v>0</v>
      </c>
      <c r="AS772" s="127">
        <f>56.7</f>
        <v>56.7</v>
      </c>
      <c r="AV772" s="127">
        <f t="shared" si="25"/>
        <v>56.7</v>
      </c>
      <c r="AZ772" s="128">
        <f t="shared" si="26"/>
        <v>0</v>
      </c>
    </row>
    <row r="773" spans="1:52" x14ac:dyDescent="0.4">
      <c r="B773" s="209" t="s">
        <v>848</v>
      </c>
      <c r="C773" s="209">
        <v>50</v>
      </c>
      <c r="D773" s="147" t="s">
        <v>87</v>
      </c>
      <c r="E773" s="109">
        <f>9.5+2+10+2</f>
        <v>23.5</v>
      </c>
      <c r="F773" s="124" t="s">
        <v>1096</v>
      </c>
      <c r="G773" s="109">
        <v>7</v>
      </c>
      <c r="H773" s="124" t="s">
        <v>1099</v>
      </c>
      <c r="I773" s="109">
        <f>11+5+10</f>
        <v>26</v>
      </c>
      <c r="J773" s="115" t="s">
        <v>1099</v>
      </c>
      <c r="K773" s="109">
        <v>11</v>
      </c>
      <c r="L773" s="115" t="s">
        <v>895</v>
      </c>
      <c r="M773" s="109">
        <v>0</v>
      </c>
      <c r="N773" s="106">
        <v>0</v>
      </c>
      <c r="O773" s="106">
        <v>0</v>
      </c>
      <c r="P773" s="109">
        <v>50</v>
      </c>
      <c r="Q773" s="115" t="s">
        <v>917</v>
      </c>
      <c r="R773" s="209">
        <v>2.48</v>
      </c>
      <c r="S773" s="115" t="s">
        <v>893</v>
      </c>
      <c r="T773" s="109">
        <v>0</v>
      </c>
      <c r="U773" s="115" t="s">
        <v>917</v>
      </c>
      <c r="V773" s="209">
        <v>35</v>
      </c>
      <c r="W773" s="115" t="s">
        <v>998</v>
      </c>
      <c r="X773" s="106">
        <v>0</v>
      </c>
      <c r="Y773" s="209">
        <v>0</v>
      </c>
      <c r="Z773" s="115" t="s">
        <v>917</v>
      </c>
      <c r="AA773" s="109">
        <v>10</v>
      </c>
      <c r="AB773" s="209">
        <v>0</v>
      </c>
      <c r="AC773" s="115" t="s">
        <v>917</v>
      </c>
      <c r="AD773" s="109">
        <v>0</v>
      </c>
      <c r="AE773" s="115" t="s">
        <v>917</v>
      </c>
      <c r="AF773" s="109">
        <v>0</v>
      </c>
      <c r="AG773" s="125" t="s">
        <v>917</v>
      </c>
      <c r="AH773" s="109">
        <f t="shared" si="23"/>
        <v>114.98</v>
      </c>
      <c r="AR773" s="126">
        <f t="shared" si="24"/>
        <v>0</v>
      </c>
      <c r="AV773" s="127">
        <f t="shared" si="25"/>
        <v>0</v>
      </c>
      <c r="AZ773" s="128">
        <f t="shared" si="26"/>
        <v>0</v>
      </c>
    </row>
    <row r="774" spans="1:52" x14ac:dyDescent="0.4">
      <c r="B774" s="209" t="s">
        <v>849</v>
      </c>
      <c r="D774" s="124" t="s">
        <v>88</v>
      </c>
      <c r="E774" s="109">
        <v>10.5</v>
      </c>
      <c r="F774" s="124" t="s">
        <v>927</v>
      </c>
      <c r="G774" s="109">
        <v>0</v>
      </c>
      <c r="H774" s="124" t="s">
        <v>917</v>
      </c>
      <c r="I774" s="109">
        <v>0</v>
      </c>
      <c r="J774" s="115" t="s">
        <v>917</v>
      </c>
      <c r="K774" s="109">
        <v>0</v>
      </c>
      <c r="L774" s="115" t="s">
        <v>917</v>
      </c>
      <c r="M774" s="109">
        <v>0</v>
      </c>
      <c r="N774" s="106">
        <v>0</v>
      </c>
      <c r="O774" s="106">
        <v>0</v>
      </c>
      <c r="P774" s="109">
        <v>0</v>
      </c>
      <c r="Q774" s="115" t="s">
        <v>917</v>
      </c>
      <c r="R774" s="209">
        <v>0</v>
      </c>
      <c r="S774" s="115" t="s">
        <v>917</v>
      </c>
      <c r="T774" s="109">
        <v>6.4</v>
      </c>
      <c r="U774" s="115" t="s">
        <v>995</v>
      </c>
      <c r="V774" s="209">
        <v>0</v>
      </c>
      <c r="W774" s="115" t="s">
        <v>917</v>
      </c>
      <c r="X774" s="106">
        <v>0</v>
      </c>
      <c r="Y774" s="209">
        <f>2+126</f>
        <v>128</v>
      </c>
      <c r="Z774" s="115" t="s">
        <v>1003</v>
      </c>
      <c r="AA774" s="109">
        <v>0</v>
      </c>
      <c r="AB774" s="209">
        <v>0</v>
      </c>
      <c r="AC774" s="115" t="s">
        <v>917</v>
      </c>
      <c r="AD774" s="109">
        <v>0</v>
      </c>
      <c r="AE774" s="115" t="s">
        <v>917</v>
      </c>
      <c r="AF774" s="109">
        <v>0</v>
      </c>
      <c r="AG774" s="125" t="s">
        <v>917</v>
      </c>
      <c r="AH774" s="109">
        <f t="shared" si="23"/>
        <v>144.9</v>
      </c>
      <c r="AR774" s="126">
        <f t="shared" si="24"/>
        <v>0</v>
      </c>
      <c r="AV774" s="127">
        <f t="shared" si="25"/>
        <v>0</v>
      </c>
      <c r="AZ774" s="128">
        <f t="shared" si="26"/>
        <v>0</v>
      </c>
    </row>
    <row r="775" spans="1:52" x14ac:dyDescent="0.4">
      <c r="B775" s="209" t="s">
        <v>850</v>
      </c>
      <c r="D775" s="124" t="s">
        <v>89</v>
      </c>
      <c r="E775" s="109">
        <v>0</v>
      </c>
      <c r="F775" s="124" t="s">
        <v>917</v>
      </c>
      <c r="G775" s="109">
        <v>0</v>
      </c>
      <c r="H775" s="124" t="s">
        <v>917</v>
      </c>
      <c r="I775" s="109">
        <f>12+12+9+12</f>
        <v>45</v>
      </c>
      <c r="J775" s="115" t="s">
        <v>926</v>
      </c>
      <c r="K775" s="109">
        <v>0</v>
      </c>
      <c r="L775" s="115" t="s">
        <v>917</v>
      </c>
      <c r="M775" s="109">
        <v>0</v>
      </c>
      <c r="N775" s="106">
        <v>0</v>
      </c>
      <c r="O775" s="106">
        <v>0</v>
      </c>
      <c r="P775" s="109">
        <v>0</v>
      </c>
      <c r="Q775" s="115" t="s">
        <v>917</v>
      </c>
      <c r="R775" s="209">
        <v>0</v>
      </c>
      <c r="S775" s="115" t="s">
        <v>917</v>
      </c>
      <c r="T775" s="109">
        <f>25.3+10</f>
        <v>35.299999999999997</v>
      </c>
      <c r="U775" s="115" t="s">
        <v>996</v>
      </c>
      <c r="V775" s="209">
        <v>0</v>
      </c>
      <c r="W775" s="115" t="s">
        <v>917</v>
      </c>
      <c r="X775" s="106">
        <v>0</v>
      </c>
      <c r="Y775" s="209">
        <v>126</v>
      </c>
      <c r="Z775" s="115" t="s">
        <v>1004</v>
      </c>
      <c r="AA775" s="109">
        <v>0</v>
      </c>
      <c r="AB775" s="209">
        <v>0</v>
      </c>
      <c r="AC775" s="115" t="s">
        <v>917</v>
      </c>
      <c r="AD775" s="109">
        <v>0</v>
      </c>
      <c r="AE775" s="115" t="s">
        <v>917</v>
      </c>
      <c r="AF775" s="109">
        <v>21</v>
      </c>
      <c r="AG775" s="125" t="s">
        <v>917</v>
      </c>
      <c r="AH775" s="109">
        <f t="shared" si="23"/>
        <v>227.3</v>
      </c>
      <c r="AR775" s="126">
        <f t="shared" si="24"/>
        <v>0</v>
      </c>
      <c r="AV775" s="127">
        <f t="shared" si="25"/>
        <v>0</v>
      </c>
      <c r="AZ775" s="128">
        <f t="shared" si="26"/>
        <v>0</v>
      </c>
    </row>
    <row r="776" spans="1:52" x14ac:dyDescent="0.4">
      <c r="B776" s="209" t="s">
        <v>851</v>
      </c>
      <c r="D776" s="124" t="s">
        <v>90</v>
      </c>
      <c r="E776" s="109">
        <v>5</v>
      </c>
      <c r="F776" s="124" t="s">
        <v>1096</v>
      </c>
      <c r="G776" s="109">
        <v>9.5</v>
      </c>
      <c r="H776" s="124" t="s">
        <v>929</v>
      </c>
      <c r="I776" s="109">
        <v>7.2</v>
      </c>
      <c r="J776" s="115" t="s">
        <v>935</v>
      </c>
      <c r="K776" s="109">
        <v>0</v>
      </c>
      <c r="L776" s="115" t="s">
        <v>917</v>
      </c>
      <c r="M776" s="109">
        <v>0</v>
      </c>
      <c r="N776" s="106">
        <v>0</v>
      </c>
      <c r="O776" s="106">
        <v>0</v>
      </c>
      <c r="P776" s="109">
        <v>0</v>
      </c>
      <c r="Q776" s="115" t="s">
        <v>917</v>
      </c>
      <c r="R776" s="209">
        <v>0</v>
      </c>
      <c r="S776" s="115" t="s">
        <v>917</v>
      </c>
      <c r="T776" s="109">
        <v>0</v>
      </c>
      <c r="U776" s="115" t="s">
        <v>917</v>
      </c>
      <c r="V776" s="209">
        <v>45</v>
      </c>
      <c r="W776" s="115" t="s">
        <v>999</v>
      </c>
      <c r="X776" s="106">
        <v>0</v>
      </c>
      <c r="Y776" s="209">
        <v>0</v>
      </c>
      <c r="Z776" s="115" t="s">
        <v>917</v>
      </c>
      <c r="AA776" s="109">
        <v>10</v>
      </c>
      <c r="AB776" s="209">
        <v>0</v>
      </c>
      <c r="AC776" s="115" t="s">
        <v>917</v>
      </c>
      <c r="AD776" s="109">
        <v>21.8</v>
      </c>
      <c r="AE776" s="115" t="s">
        <v>1013</v>
      </c>
      <c r="AF776" s="109">
        <f>0.37+0.38</f>
        <v>0.75</v>
      </c>
      <c r="AG776" s="125" t="s">
        <v>1057</v>
      </c>
      <c r="AH776" s="109">
        <f t="shared" si="23"/>
        <v>99.25</v>
      </c>
      <c r="AR776" s="126">
        <f t="shared" si="24"/>
        <v>0</v>
      </c>
      <c r="AS776" s="127">
        <f>45+21.8</f>
        <v>66.8</v>
      </c>
      <c r="AV776" s="127">
        <f t="shared" si="25"/>
        <v>66.8</v>
      </c>
      <c r="AZ776" s="128">
        <f t="shared" si="26"/>
        <v>0</v>
      </c>
    </row>
    <row r="777" spans="1:52" x14ac:dyDescent="0.4">
      <c r="B777" s="209" t="s">
        <v>845</v>
      </c>
      <c r="D777" s="124" t="s">
        <v>91</v>
      </c>
      <c r="E777" s="109">
        <v>10</v>
      </c>
      <c r="F777" s="124" t="s">
        <v>928</v>
      </c>
      <c r="G777" s="109">
        <v>12</v>
      </c>
      <c r="H777" s="124" t="s">
        <v>931</v>
      </c>
      <c r="I777" s="109">
        <v>0</v>
      </c>
      <c r="J777" s="115" t="s">
        <v>917</v>
      </c>
      <c r="K777" s="109">
        <v>0</v>
      </c>
      <c r="L777" s="115" t="s">
        <v>917</v>
      </c>
      <c r="M777" s="109">
        <v>0</v>
      </c>
      <c r="N777" s="106">
        <v>0</v>
      </c>
      <c r="O777" s="106">
        <v>0</v>
      </c>
      <c r="P777" s="109">
        <v>0</v>
      </c>
      <c r="Q777" s="115" t="s">
        <v>917</v>
      </c>
      <c r="R777" s="209">
        <v>2.4900000000000002</v>
      </c>
      <c r="S777" s="115" t="s">
        <v>986</v>
      </c>
      <c r="T777" s="109">
        <v>0</v>
      </c>
      <c r="U777" s="115" t="s">
        <v>917</v>
      </c>
      <c r="V777" s="209">
        <v>0</v>
      </c>
      <c r="W777" s="115" t="s">
        <v>917</v>
      </c>
      <c r="X777" s="106">
        <v>0</v>
      </c>
      <c r="Y777" s="209">
        <v>0</v>
      </c>
      <c r="Z777" s="115" t="s">
        <v>917</v>
      </c>
      <c r="AA777" s="109">
        <v>0</v>
      </c>
      <c r="AB777" s="209">
        <v>0</v>
      </c>
      <c r="AC777" s="115" t="s">
        <v>917</v>
      </c>
      <c r="AD777" s="109">
        <v>0</v>
      </c>
      <c r="AE777" s="115" t="s">
        <v>917</v>
      </c>
      <c r="AF777" s="109">
        <v>0</v>
      </c>
      <c r="AG777" s="125" t="s">
        <v>917</v>
      </c>
      <c r="AH777" s="109">
        <f t="shared" si="23"/>
        <v>24.490000000000002</v>
      </c>
      <c r="AR777" s="126">
        <f t="shared" si="24"/>
        <v>0</v>
      </c>
      <c r="AV777" s="127">
        <f t="shared" si="25"/>
        <v>0</v>
      </c>
      <c r="AZ777" s="128">
        <f t="shared" si="26"/>
        <v>0</v>
      </c>
    </row>
    <row r="778" spans="1:52" x14ac:dyDescent="0.4">
      <c r="B778" s="209" t="s">
        <v>846</v>
      </c>
      <c r="D778" s="124" t="s">
        <v>92</v>
      </c>
      <c r="E778" s="109">
        <v>0</v>
      </c>
      <c r="F778" s="124" t="s">
        <v>917</v>
      </c>
      <c r="G778" s="109">
        <f>9+5</f>
        <v>14</v>
      </c>
      <c r="H778" s="124" t="s">
        <v>926</v>
      </c>
      <c r="I778" s="109">
        <v>8</v>
      </c>
      <c r="J778" s="115" t="s">
        <v>929</v>
      </c>
      <c r="K778" s="109">
        <v>0</v>
      </c>
      <c r="L778" s="115" t="s">
        <v>917</v>
      </c>
      <c r="M778" s="109">
        <v>0</v>
      </c>
      <c r="N778" s="106">
        <v>0</v>
      </c>
      <c r="O778" s="106">
        <v>0</v>
      </c>
      <c r="P778" s="109">
        <v>0</v>
      </c>
      <c r="Q778" s="115" t="s">
        <v>917</v>
      </c>
      <c r="R778" s="209">
        <v>2.99</v>
      </c>
      <c r="S778" s="115" t="s">
        <v>987</v>
      </c>
      <c r="T778" s="109">
        <v>0</v>
      </c>
      <c r="U778" s="115" t="s">
        <v>917</v>
      </c>
      <c r="V778" s="209">
        <v>0</v>
      </c>
      <c r="W778" s="115" t="s">
        <v>917</v>
      </c>
      <c r="X778" s="106">
        <v>0</v>
      </c>
      <c r="Y778" s="209">
        <v>0</v>
      </c>
      <c r="Z778" s="115" t="s">
        <v>917</v>
      </c>
      <c r="AA778" s="109">
        <v>0</v>
      </c>
      <c r="AB778" s="209">
        <v>0</v>
      </c>
      <c r="AC778" s="115" t="s">
        <v>917</v>
      </c>
      <c r="AD778" s="109">
        <v>0</v>
      </c>
      <c r="AE778" s="115" t="s">
        <v>917</v>
      </c>
      <c r="AF778" s="109">
        <f>998+0.45+0.37</f>
        <v>998.82</v>
      </c>
      <c r="AG778" s="125" t="s">
        <v>1089</v>
      </c>
      <c r="AH778" s="109">
        <f t="shared" si="23"/>
        <v>1023.8100000000001</v>
      </c>
      <c r="AR778" s="126">
        <f t="shared" si="24"/>
        <v>0</v>
      </c>
      <c r="AT778" s="127">
        <v>1000</v>
      </c>
      <c r="AV778" s="127">
        <f t="shared" si="25"/>
        <v>1000</v>
      </c>
      <c r="AZ778" s="128">
        <f t="shared" si="26"/>
        <v>0</v>
      </c>
    </row>
    <row r="779" spans="1:52" x14ac:dyDescent="0.4">
      <c r="B779" s="209" t="s">
        <v>847</v>
      </c>
      <c r="D779" s="124" t="s">
        <v>93</v>
      </c>
      <c r="E779" s="109">
        <v>5</v>
      </c>
      <c r="F779" s="124" t="s">
        <v>926</v>
      </c>
      <c r="G779" s="109">
        <v>11</v>
      </c>
      <c r="H779" s="124" t="s">
        <v>929</v>
      </c>
      <c r="I779" s="109">
        <f>12+17</f>
        <v>29</v>
      </c>
      <c r="J779" s="115" t="s">
        <v>936</v>
      </c>
      <c r="K779" s="109">
        <v>0</v>
      </c>
      <c r="L779" s="115" t="s">
        <v>917</v>
      </c>
      <c r="M779" s="109">
        <v>0</v>
      </c>
      <c r="N779" s="106">
        <v>0</v>
      </c>
      <c r="O779" s="106">
        <v>0</v>
      </c>
      <c r="P779" s="109">
        <v>0</v>
      </c>
      <c r="Q779" s="115" t="s">
        <v>917</v>
      </c>
      <c r="R779" s="209">
        <v>0</v>
      </c>
      <c r="S779" s="115" t="s">
        <v>917</v>
      </c>
      <c r="T779" s="109">
        <v>0</v>
      </c>
      <c r="U779" s="115" t="s">
        <v>917</v>
      </c>
      <c r="V779" s="209">
        <v>0</v>
      </c>
      <c r="W779" s="115" t="s">
        <v>917</v>
      </c>
      <c r="X779" s="106">
        <v>0</v>
      </c>
      <c r="Y779" s="209">
        <v>0</v>
      </c>
      <c r="Z779" s="115" t="s">
        <v>917</v>
      </c>
      <c r="AA779" s="109">
        <v>0</v>
      </c>
      <c r="AB779" s="209">
        <v>0</v>
      </c>
      <c r="AC779" s="115" t="s">
        <v>917</v>
      </c>
      <c r="AD779" s="109">
        <v>0</v>
      </c>
      <c r="AE779" s="115" t="s">
        <v>917</v>
      </c>
      <c r="AF779" s="109">
        <v>0</v>
      </c>
      <c r="AG779" s="125" t="s">
        <v>917</v>
      </c>
      <c r="AH779" s="109">
        <f t="shared" si="23"/>
        <v>45</v>
      </c>
      <c r="AI779" s="110">
        <v>150</v>
      </c>
      <c r="AR779" s="126">
        <f t="shared" si="24"/>
        <v>0</v>
      </c>
      <c r="AV779" s="127">
        <f t="shared" si="25"/>
        <v>0</v>
      </c>
      <c r="AZ779" s="128">
        <f t="shared" si="26"/>
        <v>0</v>
      </c>
    </row>
    <row r="780" spans="1:52" x14ac:dyDescent="0.4">
      <c r="B780" s="209" t="s">
        <v>848</v>
      </c>
      <c r="D780" s="124" t="s">
        <v>94</v>
      </c>
      <c r="E780" s="109">
        <f>7.5+3</f>
        <v>10.5</v>
      </c>
      <c r="F780" s="124" t="s">
        <v>929</v>
      </c>
      <c r="G780" s="109">
        <v>6</v>
      </c>
      <c r="H780" s="124" t="s">
        <v>926</v>
      </c>
      <c r="I780" s="109">
        <v>70</v>
      </c>
      <c r="J780" s="115" t="s">
        <v>937</v>
      </c>
      <c r="K780" s="109">
        <v>0</v>
      </c>
      <c r="L780" s="115" t="s">
        <v>917</v>
      </c>
      <c r="M780" s="109">
        <v>0</v>
      </c>
      <c r="N780" s="106">
        <v>0</v>
      </c>
      <c r="O780" s="106">
        <v>0</v>
      </c>
      <c r="P780" s="109">
        <v>0</v>
      </c>
      <c r="Q780" s="115" t="s">
        <v>917</v>
      </c>
      <c r="R780" s="209">
        <v>4.99</v>
      </c>
      <c r="S780" s="115" t="s">
        <v>988</v>
      </c>
      <c r="T780" s="109">
        <v>0</v>
      </c>
      <c r="U780" s="115" t="s">
        <v>917</v>
      </c>
      <c r="V780" s="209">
        <v>0</v>
      </c>
      <c r="W780" s="115" t="s">
        <v>917</v>
      </c>
      <c r="X780" s="106">
        <v>0</v>
      </c>
      <c r="Y780" s="209">
        <v>0</v>
      </c>
      <c r="Z780" s="115" t="s">
        <v>917</v>
      </c>
      <c r="AA780" s="109">
        <v>10</v>
      </c>
      <c r="AB780" s="209">
        <v>0</v>
      </c>
      <c r="AC780" s="115" t="s">
        <v>917</v>
      </c>
      <c r="AD780" s="109">
        <v>0</v>
      </c>
      <c r="AE780" s="115" t="s">
        <v>917</v>
      </c>
      <c r="AF780" s="109">
        <f>0.44+0.47</f>
        <v>0.90999999999999992</v>
      </c>
      <c r="AG780" s="125" t="s">
        <v>1057</v>
      </c>
      <c r="AH780" s="109">
        <f t="shared" si="23"/>
        <v>102.39999999999999</v>
      </c>
      <c r="AR780" s="126">
        <f t="shared" si="24"/>
        <v>0</v>
      </c>
      <c r="AV780" s="127">
        <f t="shared" si="25"/>
        <v>0</v>
      </c>
      <c r="AZ780" s="128">
        <f t="shared" si="26"/>
        <v>0</v>
      </c>
    </row>
    <row r="781" spans="1:52" x14ac:dyDescent="0.4">
      <c r="B781" s="209" t="s">
        <v>849</v>
      </c>
      <c r="D781" s="124" t="s">
        <v>95</v>
      </c>
      <c r="E781" s="109">
        <v>10</v>
      </c>
      <c r="F781" s="124" t="s">
        <v>929</v>
      </c>
      <c r="G781" s="109">
        <v>0</v>
      </c>
      <c r="H781" s="124" t="s">
        <v>917</v>
      </c>
      <c r="I781" s="109">
        <v>0</v>
      </c>
      <c r="J781" s="115" t="s">
        <v>917</v>
      </c>
      <c r="K781" s="109">
        <v>0</v>
      </c>
      <c r="L781" s="115" t="s">
        <v>917</v>
      </c>
      <c r="M781" s="109">
        <v>0</v>
      </c>
      <c r="N781" s="106">
        <v>0</v>
      </c>
      <c r="O781" s="106">
        <v>0</v>
      </c>
      <c r="P781" s="109">
        <v>0</v>
      </c>
      <c r="Q781" s="115" t="s">
        <v>917</v>
      </c>
      <c r="R781" s="209">
        <v>2.4900000000000002</v>
      </c>
      <c r="S781" s="115" t="s">
        <v>893</v>
      </c>
      <c r="T781" s="109">
        <v>0</v>
      </c>
      <c r="U781" s="115" t="s">
        <v>917</v>
      </c>
      <c r="V781" s="209">
        <v>0</v>
      </c>
      <c r="W781" s="115" t="s">
        <v>917</v>
      </c>
      <c r="X781" s="106">
        <v>0</v>
      </c>
      <c r="Y781" s="209">
        <v>0</v>
      </c>
      <c r="Z781" s="115" t="s">
        <v>917</v>
      </c>
      <c r="AA781" s="109">
        <v>0</v>
      </c>
      <c r="AB781" s="209">
        <v>0</v>
      </c>
      <c r="AC781" s="115" t="s">
        <v>917</v>
      </c>
      <c r="AD781" s="109">
        <v>0</v>
      </c>
      <c r="AE781" s="115" t="s">
        <v>917</v>
      </c>
      <c r="AF781" s="109">
        <v>0</v>
      </c>
      <c r="AG781" s="125" t="s">
        <v>917</v>
      </c>
      <c r="AH781" s="109">
        <f t="shared" si="23"/>
        <v>12.49</v>
      </c>
      <c r="AI781" s="110">
        <v>510</v>
      </c>
      <c r="AR781" s="126">
        <f t="shared" si="24"/>
        <v>0</v>
      </c>
      <c r="AV781" s="127">
        <f t="shared" si="25"/>
        <v>0</v>
      </c>
      <c r="AZ781" s="128">
        <f t="shared" si="26"/>
        <v>0</v>
      </c>
    </row>
    <row r="782" spans="1:52" x14ac:dyDescent="0.4">
      <c r="B782" s="209" t="s">
        <v>850</v>
      </c>
      <c r="D782" s="124" t="s">
        <v>97</v>
      </c>
      <c r="E782" s="109">
        <v>5</v>
      </c>
      <c r="F782" s="124" t="s">
        <v>926</v>
      </c>
      <c r="G782" s="109">
        <v>9</v>
      </c>
      <c r="H782" s="124" t="s">
        <v>926</v>
      </c>
      <c r="I782" s="109">
        <v>11</v>
      </c>
      <c r="J782" s="115" t="s">
        <v>929</v>
      </c>
      <c r="K782" s="109">
        <v>0</v>
      </c>
      <c r="L782" s="115" t="s">
        <v>917</v>
      </c>
      <c r="M782" s="109">
        <v>0</v>
      </c>
      <c r="N782" s="106">
        <v>0</v>
      </c>
      <c r="O782" s="106">
        <v>0</v>
      </c>
      <c r="P782" s="109">
        <v>0</v>
      </c>
      <c r="Q782" s="115" t="s">
        <v>917</v>
      </c>
      <c r="R782" s="209">
        <f>2.49+5+2.5</f>
        <v>9.99</v>
      </c>
      <c r="S782" s="115" t="s">
        <v>989</v>
      </c>
      <c r="T782" s="109">
        <v>0</v>
      </c>
      <c r="U782" s="115" t="s">
        <v>917</v>
      </c>
      <c r="V782" s="209">
        <v>0</v>
      </c>
      <c r="W782" s="115" t="s">
        <v>917</v>
      </c>
      <c r="X782" s="106">
        <v>0</v>
      </c>
      <c r="Y782" s="209">
        <v>0</v>
      </c>
      <c r="Z782" s="115" t="s">
        <v>917</v>
      </c>
      <c r="AA782" s="109">
        <v>0</v>
      </c>
      <c r="AB782" s="209">
        <v>0</v>
      </c>
      <c r="AC782" s="115" t="s">
        <v>917</v>
      </c>
      <c r="AD782" s="109">
        <v>85</v>
      </c>
      <c r="AE782" s="115" t="s">
        <v>1014</v>
      </c>
      <c r="AF782" s="109">
        <f>38+360</f>
        <v>398</v>
      </c>
      <c r="AG782" s="125" t="s">
        <v>1090</v>
      </c>
      <c r="AH782" s="109">
        <f t="shared" si="23"/>
        <v>517.99</v>
      </c>
      <c r="AR782" s="126">
        <f t="shared" si="24"/>
        <v>0</v>
      </c>
      <c r="AS782" s="127">
        <v>85</v>
      </c>
      <c r="AT782" s="127">
        <v>500</v>
      </c>
      <c r="AV782" s="127">
        <f t="shared" si="25"/>
        <v>585</v>
      </c>
      <c r="AZ782" s="128">
        <f t="shared" si="26"/>
        <v>0</v>
      </c>
    </row>
    <row r="783" spans="1:52" x14ac:dyDescent="0.4">
      <c r="B783" s="209" t="s">
        <v>851</v>
      </c>
      <c r="D783" s="124" t="s">
        <v>98</v>
      </c>
      <c r="E783" s="109">
        <v>0</v>
      </c>
      <c r="F783" s="124" t="s">
        <v>917</v>
      </c>
      <c r="G783" s="109">
        <v>10</v>
      </c>
      <c r="H783" s="124" t="s">
        <v>928</v>
      </c>
      <c r="I783" s="109">
        <v>0</v>
      </c>
      <c r="J783" s="115" t="s">
        <v>917</v>
      </c>
      <c r="K783" s="109">
        <v>15</v>
      </c>
      <c r="L783" s="115" t="s">
        <v>942</v>
      </c>
      <c r="M783" s="109">
        <v>0</v>
      </c>
      <c r="N783" s="106">
        <v>0</v>
      </c>
      <c r="O783" s="106">
        <v>0</v>
      </c>
      <c r="P783" s="109">
        <v>0</v>
      </c>
      <c r="Q783" s="115" t="s">
        <v>917</v>
      </c>
      <c r="R783" s="209">
        <v>2.99</v>
      </c>
      <c r="S783" s="115" t="s">
        <v>990</v>
      </c>
      <c r="T783" s="109">
        <v>0</v>
      </c>
      <c r="U783" s="115" t="s">
        <v>917</v>
      </c>
      <c r="V783" s="209">
        <v>0</v>
      </c>
      <c r="W783" s="115" t="s">
        <v>917</v>
      </c>
      <c r="X783" s="106">
        <v>0</v>
      </c>
      <c r="Y783" s="209">
        <v>0</v>
      </c>
      <c r="Z783" s="115" t="s">
        <v>917</v>
      </c>
      <c r="AA783" s="109">
        <v>10</v>
      </c>
      <c r="AB783" s="209">
        <v>0</v>
      </c>
      <c r="AC783" s="115" t="s">
        <v>917</v>
      </c>
      <c r="AD783" s="109">
        <v>0</v>
      </c>
      <c r="AE783" s="115" t="s">
        <v>917</v>
      </c>
      <c r="AF783" s="109">
        <f>6.69+12.6</f>
        <v>19.29</v>
      </c>
      <c r="AG783" s="125" t="s">
        <v>1091</v>
      </c>
      <c r="AH783" s="109">
        <f t="shared" si="23"/>
        <v>57.28</v>
      </c>
      <c r="AR783" s="126">
        <f t="shared" si="24"/>
        <v>0</v>
      </c>
      <c r="AV783" s="127">
        <f t="shared" si="25"/>
        <v>0</v>
      </c>
      <c r="AZ783" s="128">
        <f>SUM(AW783:AY783)</f>
        <v>0</v>
      </c>
    </row>
    <row r="784" spans="1:52" s="129" customFormat="1" x14ac:dyDescent="0.4">
      <c r="A784" s="129" t="s">
        <v>871</v>
      </c>
      <c r="E784" s="129">
        <f>SUM(E754:E782)</f>
        <v>112.5</v>
      </c>
      <c r="F784" s="130"/>
      <c r="G784" s="129">
        <f t="shared" ref="G784:AF784" si="27">SUM(G754:G782)</f>
        <v>174.7</v>
      </c>
      <c r="H784" s="130"/>
      <c r="I784" s="129">
        <f t="shared" si="27"/>
        <v>373.4</v>
      </c>
      <c r="J784" s="130"/>
      <c r="K784" s="129">
        <f t="shared" si="27"/>
        <v>181.8</v>
      </c>
      <c r="L784" s="130"/>
      <c r="M784" s="129">
        <f t="shared" si="27"/>
        <v>0</v>
      </c>
      <c r="N784" s="129">
        <f t="shared" si="27"/>
        <v>0</v>
      </c>
      <c r="O784" s="129">
        <f t="shared" si="27"/>
        <v>0</v>
      </c>
      <c r="P784" s="129">
        <f t="shared" si="27"/>
        <v>190</v>
      </c>
      <c r="Q784" s="130"/>
      <c r="R784" s="129">
        <f t="shared" si="27"/>
        <v>85.109999999999971</v>
      </c>
      <c r="S784" s="130"/>
      <c r="T784" s="129">
        <f t="shared" si="27"/>
        <v>133.10000000000002</v>
      </c>
      <c r="U784" s="130"/>
      <c r="V784" s="129">
        <f t="shared" si="27"/>
        <v>80</v>
      </c>
      <c r="W784" s="130"/>
      <c r="X784" s="129">
        <f t="shared" si="27"/>
        <v>0</v>
      </c>
      <c r="Y784" s="129">
        <f t="shared" si="27"/>
        <v>527.41</v>
      </c>
      <c r="Z784" s="130"/>
      <c r="AA784" s="129">
        <f t="shared" si="27"/>
        <v>110</v>
      </c>
      <c r="AB784" s="129">
        <f t="shared" si="27"/>
        <v>52</v>
      </c>
      <c r="AC784" s="130"/>
      <c r="AD784" s="129">
        <f t="shared" si="27"/>
        <v>536.20000000000005</v>
      </c>
      <c r="AE784" s="130"/>
      <c r="AF784" s="129">
        <f t="shared" si="27"/>
        <v>2352.3900000000003</v>
      </c>
      <c r="AG784" s="130"/>
      <c r="AH784" s="163">
        <f>SUM(AH754:AH783)</f>
        <v>4775.8899999999994</v>
      </c>
      <c r="AI784" s="164">
        <f>SUM(AI754:AI783)</f>
        <v>864.23</v>
      </c>
      <c r="AJ784" s="164"/>
      <c r="AK784" s="164"/>
      <c r="AL784" s="164"/>
      <c r="AM784" s="164"/>
      <c r="AN784" s="164"/>
      <c r="AO784" s="164"/>
      <c r="AP784" s="164"/>
      <c r="AQ784" s="164"/>
      <c r="AR784" s="164">
        <f>SUM(AR753:AR783)</f>
        <v>3607.46</v>
      </c>
      <c r="AS784" s="164"/>
      <c r="AT784" s="164"/>
      <c r="AU784" s="164"/>
      <c r="AV784" s="164">
        <f>SUM(AV753:AV783)</f>
        <v>4981.2</v>
      </c>
      <c r="AW784" s="164"/>
      <c r="AX784" s="164"/>
      <c r="AY784" s="164"/>
      <c r="AZ784" s="164">
        <f>SUM(AZ754:AZ783)</f>
        <v>130.20999999999998</v>
      </c>
    </row>
    <row r="785" spans="1:54" x14ac:dyDescent="0.4">
      <c r="A785" s="165"/>
      <c r="D785" s="124"/>
      <c r="F785" s="109"/>
      <c r="H785" s="109"/>
      <c r="J785" s="109"/>
      <c r="L785" s="109"/>
      <c r="N785" s="109"/>
      <c r="O785" s="109"/>
      <c r="Q785" s="109"/>
      <c r="R785" s="109"/>
      <c r="S785" s="109"/>
      <c r="U785" s="109"/>
      <c r="V785" s="109"/>
      <c r="W785" s="109"/>
      <c r="X785" s="109"/>
      <c r="Y785" s="109"/>
      <c r="Z785" s="109"/>
      <c r="AB785" s="109"/>
      <c r="AC785" s="109"/>
      <c r="AE785" s="109"/>
      <c r="AG785" s="109"/>
      <c r="AI785" s="156"/>
      <c r="AJ785" s="156"/>
      <c r="AK785" s="151"/>
      <c r="AL785" s="153"/>
      <c r="AM785" s="151"/>
      <c r="AN785" s="151"/>
      <c r="AO785" s="157"/>
      <c r="AP785" s="157"/>
      <c r="AQ785" s="157"/>
      <c r="AR785" s="157"/>
      <c r="AS785" s="158"/>
      <c r="AT785" s="158"/>
      <c r="AU785" s="158"/>
      <c r="AV785" s="158"/>
    </row>
    <row r="786" spans="1:54" s="121" customFormat="1" x14ac:dyDescent="0.4">
      <c r="A786" s="121" t="s">
        <v>872</v>
      </c>
      <c r="F786" s="122"/>
      <c r="H786" s="122"/>
      <c r="J786" s="122"/>
      <c r="L786" s="122"/>
      <c r="N786" s="123"/>
      <c r="O786" s="123"/>
      <c r="Q786" s="122"/>
      <c r="S786" s="122"/>
      <c r="U786" s="122"/>
      <c r="W786" s="122"/>
      <c r="X786" s="123"/>
      <c r="Z786" s="122"/>
      <c r="AC786" s="122"/>
      <c r="AE786" s="122"/>
      <c r="AG786" s="122"/>
      <c r="AH786" s="109"/>
    </row>
    <row r="787" spans="1:54" x14ac:dyDescent="0.4">
      <c r="B787" s="209" t="s">
        <v>845</v>
      </c>
      <c r="D787" s="124" t="s">
        <v>807</v>
      </c>
      <c r="E787" s="109">
        <v>0</v>
      </c>
      <c r="F787" s="124"/>
      <c r="G787" s="109">
        <v>10</v>
      </c>
      <c r="H787" s="124" t="s">
        <v>929</v>
      </c>
      <c r="I787" s="109">
        <v>10</v>
      </c>
      <c r="J787" s="115" t="s">
        <v>928</v>
      </c>
      <c r="T787" s="109">
        <f>29.4+26.2</f>
        <v>55.599999999999994</v>
      </c>
      <c r="U787" s="115" t="s">
        <v>994</v>
      </c>
      <c r="AA787" s="109">
        <v>20</v>
      </c>
      <c r="AF787" s="209">
        <v>6.66</v>
      </c>
      <c r="AG787" s="102" t="s">
        <v>1087</v>
      </c>
      <c r="AH787" s="169">
        <f t="shared" ref="AH787:AH816" si="28">SUM(E787,G787,I787,K787,M787,R787,T787,V787,Y787,X787,AA787,AB787,AD787,AF787)</f>
        <v>102.25999999999999</v>
      </c>
      <c r="AI787" s="110">
        <f>3.64+3.09+1.86+0.87+500</f>
        <v>509.46</v>
      </c>
      <c r="AJ787" s="110" t="s">
        <v>891</v>
      </c>
      <c r="AR787" s="126">
        <f t="shared" si="24"/>
        <v>0</v>
      </c>
      <c r="AV787" s="127">
        <f t="shared" si="25"/>
        <v>0</v>
      </c>
    </row>
    <row r="788" spans="1:54" x14ac:dyDescent="0.4">
      <c r="B788" s="209" t="s">
        <v>846</v>
      </c>
      <c r="D788" s="124" t="s">
        <v>100</v>
      </c>
      <c r="F788" s="124"/>
      <c r="G788" s="109">
        <v>32.5</v>
      </c>
      <c r="H788" s="124" t="s">
        <v>932</v>
      </c>
      <c r="AF788" s="109">
        <f>45+65+79+0.55+0.56</f>
        <v>190.11</v>
      </c>
      <c r="AG788" s="125" t="s">
        <v>1092</v>
      </c>
      <c r="AH788" s="169">
        <f t="shared" si="28"/>
        <v>222.61</v>
      </c>
      <c r="AR788" s="126">
        <f t="shared" si="24"/>
        <v>0</v>
      </c>
      <c r="AV788" s="127">
        <f t="shared" si="25"/>
        <v>0</v>
      </c>
    </row>
    <row r="789" spans="1:54" x14ac:dyDescent="0.4">
      <c r="B789" s="209" t="s">
        <v>847</v>
      </c>
      <c r="D789" s="124" t="s">
        <v>101</v>
      </c>
      <c r="E789" s="109">
        <v>5</v>
      </c>
      <c r="F789" s="124" t="s">
        <v>1096</v>
      </c>
      <c r="G789" s="109">
        <v>7.2</v>
      </c>
      <c r="H789" s="124" t="s">
        <v>1106</v>
      </c>
      <c r="I789" s="109">
        <f>10.5+10</f>
        <v>20.5</v>
      </c>
      <c r="J789" s="115" t="s">
        <v>1105</v>
      </c>
      <c r="R789" s="209">
        <v>4.99</v>
      </c>
      <c r="S789" s="115" t="s">
        <v>1104</v>
      </c>
      <c r="Y789" s="209">
        <f>39.5+3</f>
        <v>42.5</v>
      </c>
      <c r="Z789" s="115" t="s">
        <v>1005</v>
      </c>
      <c r="AB789" s="209">
        <v>98</v>
      </c>
      <c r="AC789" s="115" t="s">
        <v>1008</v>
      </c>
      <c r="AH789" s="169">
        <f t="shared" si="28"/>
        <v>178.19</v>
      </c>
      <c r="AR789" s="126">
        <f t="shared" si="24"/>
        <v>0</v>
      </c>
      <c r="AV789" s="127">
        <f t="shared" si="25"/>
        <v>0</v>
      </c>
      <c r="BB789" s="209">
        <f>6257.9+11641+4080.2</f>
        <v>21979.100000000002</v>
      </c>
    </row>
    <row r="790" spans="1:54" x14ac:dyDescent="0.4">
      <c r="B790" s="209" t="s">
        <v>848</v>
      </c>
      <c r="D790" s="124" t="s">
        <v>102</v>
      </c>
      <c r="F790" s="124"/>
      <c r="G790" s="109">
        <v>29</v>
      </c>
      <c r="H790" s="124" t="s">
        <v>1094</v>
      </c>
      <c r="I790" s="109">
        <v>9</v>
      </c>
      <c r="J790" s="115" t="s">
        <v>1096</v>
      </c>
      <c r="R790" s="209">
        <v>3.99</v>
      </c>
      <c r="S790" s="115" t="s">
        <v>1103</v>
      </c>
      <c r="AH790" s="169">
        <f t="shared" si="28"/>
        <v>41.99</v>
      </c>
      <c r="AI790" s="110">
        <v>100</v>
      </c>
      <c r="AR790" s="126">
        <f t="shared" si="24"/>
        <v>0</v>
      </c>
      <c r="AV790" s="127">
        <f t="shared" si="25"/>
        <v>0</v>
      </c>
    </row>
    <row r="791" spans="1:54" x14ac:dyDescent="0.4">
      <c r="B791" s="209" t="s">
        <v>849</v>
      </c>
      <c r="D791" s="124" t="s">
        <v>103</v>
      </c>
      <c r="E791" s="109">
        <v>10</v>
      </c>
      <c r="F791" s="124"/>
      <c r="G791" s="109">
        <v>40</v>
      </c>
      <c r="H791" s="124" t="s">
        <v>1095</v>
      </c>
      <c r="I791" s="109">
        <f>5.5+4.5</f>
        <v>10</v>
      </c>
      <c r="J791" s="115" t="s">
        <v>1101</v>
      </c>
      <c r="R791" s="209">
        <f>2+2</f>
        <v>4</v>
      </c>
      <c r="S791" s="115" t="s">
        <v>1102</v>
      </c>
      <c r="Y791" s="209">
        <f>39.5+3+4+15.62</f>
        <v>62.12</v>
      </c>
      <c r="Z791" s="115" t="s">
        <v>1107</v>
      </c>
      <c r="AA791" s="109">
        <v>20</v>
      </c>
      <c r="AF791" s="109">
        <f>0.5+0.52+24.9</f>
        <v>25.919999999999998</v>
      </c>
      <c r="AG791" s="125" t="s">
        <v>1108</v>
      </c>
      <c r="AH791" s="169">
        <f t="shared" si="28"/>
        <v>172.04</v>
      </c>
      <c r="AR791" s="126">
        <f t="shared" si="24"/>
        <v>0</v>
      </c>
      <c r="AS791" s="127">
        <v>24.9</v>
      </c>
      <c r="AV791" s="127">
        <f t="shared" si="25"/>
        <v>24.9</v>
      </c>
    </row>
    <row r="792" spans="1:54" x14ac:dyDescent="0.4">
      <c r="B792" s="209" t="s">
        <v>850</v>
      </c>
      <c r="D792" s="124" t="s">
        <v>104</v>
      </c>
      <c r="F792" s="124"/>
      <c r="G792" s="109">
        <v>6.5</v>
      </c>
      <c r="H792" s="124" t="s">
        <v>1096</v>
      </c>
      <c r="I792" s="109">
        <v>11</v>
      </c>
      <c r="J792" s="115" t="s">
        <v>1099</v>
      </c>
      <c r="K792" s="109">
        <v>11</v>
      </c>
      <c r="L792" s="115" t="s">
        <v>1098</v>
      </c>
      <c r="R792" s="209">
        <v>2.4900000000000002</v>
      </c>
      <c r="S792" s="115" t="s">
        <v>1097</v>
      </c>
      <c r="AD792" s="109">
        <v>72.900000000000006</v>
      </c>
      <c r="AE792" s="115" t="s">
        <v>1100</v>
      </c>
      <c r="AH792" s="169">
        <f t="shared" si="28"/>
        <v>103.89000000000001</v>
      </c>
      <c r="AR792" s="126">
        <f t="shared" si="24"/>
        <v>0</v>
      </c>
      <c r="AS792" s="127">
        <v>72.900000000000006</v>
      </c>
      <c r="AV792" s="127">
        <f t="shared" si="25"/>
        <v>72.900000000000006</v>
      </c>
    </row>
    <row r="793" spans="1:54" x14ac:dyDescent="0.4">
      <c r="B793" s="209" t="s">
        <v>851</v>
      </c>
      <c r="C793" s="209">
        <v>100</v>
      </c>
      <c r="D793" s="147" t="s">
        <v>105</v>
      </c>
      <c r="E793" s="109">
        <v>5</v>
      </c>
      <c r="F793" s="124" t="s">
        <v>1096</v>
      </c>
      <c r="H793" s="124"/>
      <c r="I793" s="109">
        <v>10.5</v>
      </c>
      <c r="J793" s="115" t="s">
        <v>1099</v>
      </c>
      <c r="R793" s="209">
        <v>1.99</v>
      </c>
      <c r="S793" s="115" t="s">
        <v>1102</v>
      </c>
      <c r="AF793" s="109">
        <f>140+40</f>
        <v>180</v>
      </c>
      <c r="AG793" s="125" t="s">
        <v>1119</v>
      </c>
      <c r="AH793" s="169">
        <f t="shared" si="28"/>
        <v>197.49</v>
      </c>
      <c r="AR793" s="126">
        <f t="shared" si="24"/>
        <v>0</v>
      </c>
      <c r="AV793" s="127">
        <f t="shared" si="25"/>
        <v>0</v>
      </c>
    </row>
    <row r="794" spans="1:54" x14ac:dyDescent="0.4">
      <c r="B794" s="209" t="s">
        <v>845</v>
      </c>
      <c r="D794" s="124" t="s">
        <v>106</v>
      </c>
      <c r="E794" s="109">
        <v>2</v>
      </c>
      <c r="F794" s="124" t="s">
        <v>1110</v>
      </c>
      <c r="G794" s="109">
        <v>8.5</v>
      </c>
      <c r="H794" s="124" t="s">
        <v>1120</v>
      </c>
      <c r="I794" s="109">
        <v>9</v>
      </c>
      <c r="J794" s="115" t="s">
        <v>1117</v>
      </c>
      <c r="K794" s="109">
        <v>12.9</v>
      </c>
      <c r="L794" s="115" t="s">
        <v>1118</v>
      </c>
      <c r="R794" s="209">
        <v>2.4900000000000002</v>
      </c>
      <c r="S794" s="115" t="s">
        <v>1114</v>
      </c>
      <c r="Y794" s="209">
        <f>18.03+15.35</f>
        <v>33.380000000000003</v>
      </c>
      <c r="Z794" s="115" t="s">
        <v>1115</v>
      </c>
      <c r="AA794" s="109">
        <v>20</v>
      </c>
      <c r="AF794" s="109">
        <f>6.9+39.9</f>
        <v>46.8</v>
      </c>
      <c r="AG794" s="125" t="s">
        <v>1116</v>
      </c>
      <c r="AH794" s="169">
        <f t="shared" si="28"/>
        <v>135.07</v>
      </c>
      <c r="AR794" s="126">
        <f t="shared" si="24"/>
        <v>0</v>
      </c>
      <c r="AV794" s="127">
        <f t="shared" si="25"/>
        <v>0</v>
      </c>
    </row>
    <row r="795" spans="1:54" x14ac:dyDescent="0.4">
      <c r="B795" s="209" t="s">
        <v>846</v>
      </c>
      <c r="D795" s="124" t="s">
        <v>107</v>
      </c>
      <c r="E795" s="109">
        <v>8</v>
      </c>
      <c r="F795" s="124" t="s">
        <v>1096</v>
      </c>
      <c r="G795" s="109">
        <v>13.5</v>
      </c>
      <c r="H795" s="124" t="s">
        <v>1099</v>
      </c>
      <c r="R795" s="209">
        <v>3</v>
      </c>
      <c r="S795" s="115" t="s">
        <v>1121</v>
      </c>
      <c r="Y795" s="209">
        <f>3+3</f>
        <v>6</v>
      </c>
      <c r="Z795" s="115" t="s">
        <v>1122</v>
      </c>
      <c r="AF795" s="109">
        <v>15</v>
      </c>
      <c r="AG795" s="125" t="s">
        <v>1113</v>
      </c>
      <c r="AH795" s="169">
        <f>SUM(E795,G795,I795,K795,M795,T795,V795,Y795,X795,AA795,AB795,AD795,AF795)</f>
        <v>42.5</v>
      </c>
      <c r="AR795" s="126">
        <f t="shared" si="24"/>
        <v>0</v>
      </c>
      <c r="AV795" s="127">
        <f t="shared" si="25"/>
        <v>0</v>
      </c>
    </row>
    <row r="796" spans="1:54" x14ac:dyDescent="0.4">
      <c r="B796" s="209" t="s">
        <v>847</v>
      </c>
      <c r="D796" s="124" t="s">
        <v>108</v>
      </c>
      <c r="E796" s="109">
        <v>6.5</v>
      </c>
      <c r="F796" s="124" t="s">
        <v>1096</v>
      </c>
      <c r="G796" s="109">
        <v>8</v>
      </c>
      <c r="H796" s="124" t="s">
        <v>1099</v>
      </c>
      <c r="I796" s="109">
        <v>11</v>
      </c>
      <c r="J796" s="115" t="s">
        <v>1099</v>
      </c>
      <c r="R796" s="209">
        <v>2.4900000000000002</v>
      </c>
      <c r="S796" s="115" t="s">
        <v>1124</v>
      </c>
      <c r="AF796" s="109">
        <f>0.48+0.51+357+23.9+167+8.9</f>
        <v>557.79</v>
      </c>
      <c r="AG796" s="125" t="s">
        <v>1125</v>
      </c>
      <c r="AH796" s="169">
        <f>SUM(E796,G796,I796,K796,M796,R795,T796,V796,Y796,X796,AA796,AB796,AD796,AF796)</f>
        <v>586.29</v>
      </c>
      <c r="AI796" s="110">
        <v>150</v>
      </c>
      <c r="AJ796" s="110" t="s">
        <v>1123</v>
      </c>
      <c r="AO796" s="126">
        <v>2035.58</v>
      </c>
      <c r="AR796" s="126">
        <f t="shared" si="24"/>
        <v>2035.58</v>
      </c>
      <c r="AS796" s="127">
        <f>357+23.9+167</f>
        <v>547.9</v>
      </c>
      <c r="AT796" s="127">
        <v>2100</v>
      </c>
      <c r="AV796" s="127">
        <f t="shared" si="25"/>
        <v>2647.9</v>
      </c>
    </row>
    <row r="797" spans="1:54" x14ac:dyDescent="0.4">
      <c r="B797" s="209" t="s">
        <v>848</v>
      </c>
      <c r="D797" s="124" t="s">
        <v>109</v>
      </c>
      <c r="E797" s="109">
        <f>6.5+1.5</f>
        <v>8</v>
      </c>
      <c r="F797" s="124" t="s">
        <v>1096</v>
      </c>
      <c r="G797" s="109">
        <v>7</v>
      </c>
      <c r="H797" s="124" t="s">
        <v>1099</v>
      </c>
      <c r="I797" s="109">
        <v>56</v>
      </c>
      <c r="J797" s="115" t="s">
        <v>1129</v>
      </c>
      <c r="T797" s="109">
        <v>22.6</v>
      </c>
      <c r="U797" s="115" t="s">
        <v>1126</v>
      </c>
      <c r="AF797" s="109">
        <f>103+114+12.5</f>
        <v>229.5</v>
      </c>
      <c r="AG797" s="125" t="s">
        <v>1130</v>
      </c>
      <c r="AH797" s="169">
        <f t="shared" si="28"/>
        <v>323.10000000000002</v>
      </c>
      <c r="AR797" s="126">
        <f t="shared" si="24"/>
        <v>0</v>
      </c>
      <c r="AS797" s="127">
        <f>103+114</f>
        <v>217</v>
      </c>
      <c r="AV797" s="127">
        <f t="shared" si="25"/>
        <v>217</v>
      </c>
    </row>
    <row r="798" spans="1:54" x14ac:dyDescent="0.4">
      <c r="B798" s="209" t="s">
        <v>849</v>
      </c>
      <c r="D798" s="124" t="s">
        <v>110</v>
      </c>
      <c r="E798" s="109">
        <v>8</v>
      </c>
      <c r="F798" s="124" t="s">
        <v>1096</v>
      </c>
      <c r="G798" s="109">
        <v>7.2</v>
      </c>
      <c r="H798" s="124" t="s">
        <v>1099</v>
      </c>
      <c r="I798" s="109">
        <f>13+5</f>
        <v>18</v>
      </c>
      <c r="J798" s="115" t="s">
        <v>1096</v>
      </c>
      <c r="T798" s="109">
        <f>2.99+4.5</f>
        <v>7.49</v>
      </c>
      <c r="U798" s="115" t="s">
        <v>1131</v>
      </c>
      <c r="AF798" s="109">
        <v>98</v>
      </c>
      <c r="AG798" s="125" t="s">
        <v>1127</v>
      </c>
      <c r="AH798" s="169">
        <f t="shared" si="28"/>
        <v>138.69</v>
      </c>
      <c r="AR798" s="126">
        <f t="shared" si="24"/>
        <v>0</v>
      </c>
      <c r="AS798" s="127">
        <v>98</v>
      </c>
      <c r="AV798" s="127">
        <f t="shared" si="25"/>
        <v>98</v>
      </c>
    </row>
    <row r="799" spans="1:54" x14ac:dyDescent="0.4">
      <c r="B799" s="209" t="s">
        <v>850</v>
      </c>
      <c r="C799" s="209">
        <v>100</v>
      </c>
      <c r="D799" s="147" t="s">
        <v>111</v>
      </c>
      <c r="E799" s="109">
        <v>6.5</v>
      </c>
      <c r="F799" s="124" t="s">
        <v>1096</v>
      </c>
      <c r="G799" s="109">
        <f>13+9</f>
        <v>22</v>
      </c>
      <c r="H799" s="124" t="s">
        <v>1099</v>
      </c>
      <c r="I799" s="109">
        <v>68</v>
      </c>
      <c r="J799" s="115" t="s">
        <v>1138</v>
      </c>
      <c r="Y799" s="209">
        <f>1.5+2</f>
        <v>3.5</v>
      </c>
      <c r="Z799" s="115" t="s">
        <v>1122</v>
      </c>
      <c r="AF799" s="109">
        <f>0.65+0.5+7.5</f>
        <v>8.65</v>
      </c>
      <c r="AG799" s="125" t="s">
        <v>1128</v>
      </c>
      <c r="AH799" s="169">
        <f t="shared" si="28"/>
        <v>108.65</v>
      </c>
      <c r="AR799" s="126">
        <f t="shared" si="24"/>
        <v>0</v>
      </c>
      <c r="AV799" s="127">
        <f t="shared" si="25"/>
        <v>0</v>
      </c>
    </row>
    <row r="800" spans="1:54" x14ac:dyDescent="0.4">
      <c r="B800" s="209" t="s">
        <v>851</v>
      </c>
      <c r="D800" s="124" t="s">
        <v>112</v>
      </c>
      <c r="E800" s="109">
        <f>3+0.8</f>
        <v>3.8</v>
      </c>
      <c r="F800" s="124" t="s">
        <v>1110</v>
      </c>
      <c r="G800" s="109">
        <v>11.2</v>
      </c>
      <c r="H800" s="124" t="s">
        <v>1099</v>
      </c>
      <c r="I800" s="109">
        <v>11</v>
      </c>
      <c r="J800" s="115" t="s">
        <v>1099</v>
      </c>
      <c r="AH800" s="169">
        <f t="shared" si="28"/>
        <v>26</v>
      </c>
      <c r="AI800" s="110">
        <v>50</v>
      </c>
      <c r="AJ800" s="110" t="s">
        <v>1132</v>
      </c>
      <c r="AR800" s="126">
        <f t="shared" si="24"/>
        <v>0</v>
      </c>
      <c r="AV800" s="127">
        <f t="shared" si="25"/>
        <v>0</v>
      </c>
    </row>
    <row r="801" spans="2:48" x14ac:dyDescent="0.4">
      <c r="B801" s="209" t="s">
        <v>845</v>
      </c>
      <c r="D801" s="124" t="s">
        <v>113</v>
      </c>
      <c r="E801" s="109">
        <v>6.5</v>
      </c>
      <c r="F801" s="124" t="s">
        <v>1112</v>
      </c>
      <c r="G801" s="109">
        <v>11</v>
      </c>
      <c r="H801" s="124" t="s">
        <v>1110</v>
      </c>
      <c r="I801" s="109">
        <v>11</v>
      </c>
      <c r="J801" s="115" t="s">
        <v>1099</v>
      </c>
      <c r="R801" s="209">
        <v>4.99</v>
      </c>
      <c r="S801" s="115" t="s">
        <v>1104</v>
      </c>
      <c r="AF801" s="109">
        <v>15.8</v>
      </c>
      <c r="AG801" s="125" t="s">
        <v>1133</v>
      </c>
      <c r="AH801" s="169">
        <f t="shared" si="28"/>
        <v>49.290000000000006</v>
      </c>
      <c r="AR801" s="126">
        <f t="shared" si="24"/>
        <v>0</v>
      </c>
      <c r="AV801" s="127">
        <f t="shared" si="25"/>
        <v>0</v>
      </c>
    </row>
    <row r="802" spans="2:48" x14ac:dyDescent="0.4">
      <c r="B802" s="209" t="s">
        <v>846</v>
      </c>
      <c r="D802" s="124" t="s">
        <v>114</v>
      </c>
      <c r="E802" s="109">
        <v>8</v>
      </c>
      <c r="F802" s="124" t="s">
        <v>1096</v>
      </c>
      <c r="G802" s="109">
        <v>9.6999999999999993</v>
      </c>
      <c r="H802" s="124" t="s">
        <v>1106</v>
      </c>
      <c r="I802" s="109">
        <v>10.199999999999999</v>
      </c>
      <c r="J802" s="115" t="s">
        <v>1106</v>
      </c>
      <c r="AF802" s="109">
        <f>55</f>
        <v>55</v>
      </c>
      <c r="AG802" s="125" t="s">
        <v>1134</v>
      </c>
      <c r="AH802" s="169">
        <f t="shared" si="28"/>
        <v>82.9</v>
      </c>
      <c r="AR802" s="126">
        <f t="shared" si="24"/>
        <v>0</v>
      </c>
      <c r="AS802" s="127">
        <f>103+55</f>
        <v>158</v>
      </c>
      <c r="AV802" s="127">
        <f t="shared" si="25"/>
        <v>158</v>
      </c>
    </row>
    <row r="803" spans="2:48" x14ac:dyDescent="0.4">
      <c r="B803" s="209" t="s">
        <v>847</v>
      </c>
      <c r="D803" s="124" t="s">
        <v>115</v>
      </c>
      <c r="F803" s="124"/>
      <c r="H803" s="124"/>
      <c r="R803" s="209">
        <v>2.4900000000000002</v>
      </c>
      <c r="S803" s="115" t="s">
        <v>1114</v>
      </c>
      <c r="AD803" s="109">
        <v>133</v>
      </c>
      <c r="AE803" s="115" t="s">
        <v>1135</v>
      </c>
      <c r="AF803" s="109">
        <f>0.42+0.37+25</f>
        <v>25.79</v>
      </c>
      <c r="AG803" s="125" t="s">
        <v>1141</v>
      </c>
      <c r="AH803" s="169">
        <f t="shared" si="28"/>
        <v>161.28</v>
      </c>
      <c r="AR803" s="126">
        <f t="shared" si="24"/>
        <v>0</v>
      </c>
      <c r="AV803" s="127">
        <f t="shared" si="25"/>
        <v>0</v>
      </c>
    </row>
    <row r="804" spans="2:48" x14ac:dyDescent="0.4">
      <c r="B804" s="209" t="s">
        <v>848</v>
      </c>
      <c r="D804" s="124" t="s">
        <v>116</v>
      </c>
      <c r="E804" s="109">
        <v>5.6</v>
      </c>
      <c r="F804" s="124" t="s">
        <v>1110</v>
      </c>
      <c r="H804" s="124"/>
      <c r="AH804" s="169">
        <f t="shared" si="28"/>
        <v>5.6</v>
      </c>
      <c r="AP804" s="126">
        <v>2170.1</v>
      </c>
      <c r="AR804" s="126">
        <f t="shared" si="24"/>
        <v>2170.1</v>
      </c>
      <c r="AV804" s="127">
        <f t="shared" si="25"/>
        <v>0</v>
      </c>
    </row>
    <row r="805" spans="2:48" x14ac:dyDescent="0.4">
      <c r="B805" s="209" t="s">
        <v>849</v>
      </c>
      <c r="D805" s="124" t="s">
        <v>117</v>
      </c>
      <c r="E805" s="109">
        <v>6.5</v>
      </c>
      <c r="F805" s="124" t="s">
        <v>1096</v>
      </c>
      <c r="G805" s="109">
        <v>0</v>
      </c>
      <c r="H805" s="124"/>
      <c r="I805" s="109">
        <v>65</v>
      </c>
      <c r="J805" s="115" t="s">
        <v>1139</v>
      </c>
      <c r="K805" s="109">
        <v>13.5</v>
      </c>
      <c r="L805" s="115" t="s">
        <v>1140</v>
      </c>
      <c r="R805" s="209">
        <v>20</v>
      </c>
      <c r="S805" s="115" t="s">
        <v>1136</v>
      </c>
      <c r="AA805" s="109">
        <v>10</v>
      </c>
      <c r="AH805" s="169">
        <f>SUM(E805,G805,K805,M805,R805,T805,V805,Y805,X805,AA805,AB805,AD805,AF805)</f>
        <v>50</v>
      </c>
      <c r="AR805" s="126">
        <f t="shared" si="24"/>
        <v>0</v>
      </c>
      <c r="AV805" s="127">
        <f t="shared" si="25"/>
        <v>0</v>
      </c>
    </row>
    <row r="806" spans="2:48" x14ac:dyDescent="0.4">
      <c r="B806" s="209" t="s">
        <v>850</v>
      </c>
      <c r="C806" s="209">
        <v>100</v>
      </c>
      <c r="D806" s="147" t="s">
        <v>118</v>
      </c>
      <c r="E806" s="109">
        <v>5</v>
      </c>
      <c r="F806" s="124" t="s">
        <v>1096</v>
      </c>
      <c r="G806" s="109">
        <v>8.1999999999999993</v>
      </c>
      <c r="H806" s="124" t="s">
        <v>1106</v>
      </c>
      <c r="I806" s="109">
        <v>11</v>
      </c>
      <c r="J806" s="115" t="s">
        <v>1096</v>
      </c>
      <c r="R806" s="209">
        <v>2.4900000000000002</v>
      </c>
      <c r="S806" s="115" t="s">
        <v>1137</v>
      </c>
      <c r="AH806" s="169">
        <f>SUM(E806,G806,I805,K806,M806,R806,T806,V806,Y806,X806,AA806,AB806,AD806,AF806)</f>
        <v>80.69</v>
      </c>
      <c r="AR806" s="126">
        <f t="shared" si="24"/>
        <v>0</v>
      </c>
      <c r="AV806" s="127">
        <f t="shared" si="25"/>
        <v>0</v>
      </c>
    </row>
    <row r="807" spans="2:48" x14ac:dyDescent="0.4">
      <c r="B807" s="209" t="s">
        <v>851</v>
      </c>
      <c r="D807" s="124" t="s">
        <v>119</v>
      </c>
      <c r="E807" s="109">
        <v>8</v>
      </c>
      <c r="F807" s="124" t="s">
        <v>1096</v>
      </c>
      <c r="G807" s="109">
        <v>6.7</v>
      </c>
      <c r="H807" s="124" t="s">
        <v>1148</v>
      </c>
      <c r="I807" s="109">
        <v>11.2</v>
      </c>
      <c r="J807" s="115" t="s">
        <v>1148</v>
      </c>
      <c r="R807" s="209">
        <v>4.99</v>
      </c>
      <c r="S807" s="115" t="s">
        <v>1142</v>
      </c>
      <c r="AD807" s="109">
        <v>19.899999999999999</v>
      </c>
      <c r="AE807" s="115" t="s">
        <v>1143</v>
      </c>
      <c r="AH807" s="169">
        <f t="shared" si="28"/>
        <v>50.79</v>
      </c>
      <c r="AR807" s="126">
        <f t="shared" si="24"/>
        <v>0</v>
      </c>
      <c r="AV807" s="127">
        <f t="shared" si="25"/>
        <v>0</v>
      </c>
    </row>
    <row r="808" spans="2:48" x14ac:dyDescent="0.4">
      <c r="B808" s="209" t="s">
        <v>845</v>
      </c>
      <c r="D808" s="124" t="s">
        <v>120</v>
      </c>
      <c r="E808" s="109">
        <v>6</v>
      </c>
      <c r="F808" s="124" t="s">
        <v>1110</v>
      </c>
      <c r="G808" s="109">
        <v>13</v>
      </c>
      <c r="H808" s="124" t="s">
        <v>1120</v>
      </c>
      <c r="I808" s="109">
        <v>12</v>
      </c>
      <c r="J808" s="115" t="s">
        <v>1148</v>
      </c>
      <c r="R808" s="209">
        <v>3.99</v>
      </c>
      <c r="AD808" s="109">
        <v>280</v>
      </c>
      <c r="AE808" s="115" t="s">
        <v>1147</v>
      </c>
      <c r="AF808" s="109">
        <f>0.43+0.43</f>
        <v>0.86</v>
      </c>
      <c r="AG808" s="125" t="s">
        <v>1144</v>
      </c>
      <c r="AH808" s="169">
        <f t="shared" si="28"/>
        <v>315.85000000000002</v>
      </c>
      <c r="AR808" s="126">
        <f t="shared" si="24"/>
        <v>0</v>
      </c>
      <c r="AS808" s="127">
        <v>280</v>
      </c>
      <c r="AV808" s="127">
        <f t="shared" si="25"/>
        <v>280</v>
      </c>
    </row>
    <row r="809" spans="2:48" x14ac:dyDescent="0.4">
      <c r="B809" s="209" t="s">
        <v>846</v>
      </c>
      <c r="D809" s="124" t="s">
        <v>121</v>
      </c>
      <c r="E809" s="109">
        <v>8</v>
      </c>
      <c r="F809" s="124" t="s">
        <v>1096</v>
      </c>
      <c r="G809" s="109">
        <v>10.7</v>
      </c>
      <c r="H809" s="124" t="s">
        <v>1106</v>
      </c>
      <c r="I809" s="109">
        <v>10.5</v>
      </c>
      <c r="J809" s="115" t="s">
        <v>1148</v>
      </c>
      <c r="K809" s="109">
        <v>13</v>
      </c>
      <c r="L809" s="115" t="s">
        <v>1146</v>
      </c>
      <c r="R809" s="209">
        <f>5.5+4.99</f>
        <v>10.49</v>
      </c>
      <c r="S809" s="115" t="s">
        <v>1166</v>
      </c>
      <c r="AA809" s="109">
        <v>19.96</v>
      </c>
      <c r="AH809" s="169">
        <f t="shared" si="28"/>
        <v>72.650000000000006</v>
      </c>
      <c r="AR809" s="126">
        <f t="shared" si="24"/>
        <v>0</v>
      </c>
      <c r="AV809" s="127">
        <f t="shared" si="25"/>
        <v>0</v>
      </c>
    </row>
    <row r="810" spans="2:48" x14ac:dyDescent="0.4">
      <c r="B810" s="209" t="s">
        <v>847</v>
      </c>
      <c r="D810" s="124" t="s">
        <v>122</v>
      </c>
      <c r="E810" s="109">
        <v>8</v>
      </c>
      <c r="F810" s="124" t="s">
        <v>1096</v>
      </c>
      <c r="G810" s="109">
        <v>9.1999999999999993</v>
      </c>
      <c r="H810" s="124" t="s">
        <v>1106</v>
      </c>
      <c r="I810" s="109">
        <v>8</v>
      </c>
      <c r="J810" s="115" t="s">
        <v>1110</v>
      </c>
      <c r="R810" s="209">
        <v>2.4900000000000002</v>
      </c>
      <c r="S810" s="115" t="s">
        <v>1124</v>
      </c>
      <c r="AD810" s="109">
        <v>19.899999999999999</v>
      </c>
      <c r="AE810" s="115" t="s">
        <v>1116</v>
      </c>
      <c r="AF810" s="109">
        <v>1800</v>
      </c>
      <c r="AG810" s="125" t="s">
        <v>1145</v>
      </c>
      <c r="AH810" s="169">
        <f t="shared" si="28"/>
        <v>1847.59</v>
      </c>
      <c r="AI810" s="110">
        <v>150</v>
      </c>
      <c r="AJ810" s="110" t="s">
        <v>1123</v>
      </c>
      <c r="AR810" s="126">
        <f t="shared" si="24"/>
        <v>0</v>
      </c>
      <c r="AV810" s="127">
        <f t="shared" si="25"/>
        <v>0</v>
      </c>
    </row>
    <row r="811" spans="2:48" x14ac:dyDescent="0.4">
      <c r="B811" s="209" t="s">
        <v>848</v>
      </c>
      <c r="D811" s="124" t="s">
        <v>123</v>
      </c>
      <c r="E811" s="109">
        <v>8</v>
      </c>
      <c r="F811" s="124" t="s">
        <v>1096</v>
      </c>
      <c r="G811" s="109">
        <v>9.6999999999999993</v>
      </c>
      <c r="H811" s="124" t="s">
        <v>1106</v>
      </c>
      <c r="I811" s="109">
        <v>20</v>
      </c>
      <c r="J811" s="115" t="s">
        <v>1168</v>
      </c>
      <c r="T811" s="109">
        <v>14.5</v>
      </c>
      <c r="U811" s="115" t="s">
        <v>1159</v>
      </c>
      <c r="AH811" s="169">
        <f t="shared" si="28"/>
        <v>52.2</v>
      </c>
      <c r="AP811" s="126">
        <v>501.75</v>
      </c>
      <c r="AR811" s="126">
        <f t="shared" si="24"/>
        <v>501.75</v>
      </c>
      <c r="AV811" s="127">
        <f t="shared" si="25"/>
        <v>0</v>
      </c>
    </row>
    <row r="812" spans="2:48" x14ac:dyDescent="0.4">
      <c r="B812" s="209" t="s">
        <v>849</v>
      </c>
      <c r="D812" s="124" t="s">
        <v>124</v>
      </c>
      <c r="E812" s="109">
        <v>8</v>
      </c>
      <c r="F812" s="124" t="s">
        <v>1096</v>
      </c>
      <c r="G812" s="109">
        <v>8.1999999999999993</v>
      </c>
      <c r="H812" s="124" t="s">
        <v>1106</v>
      </c>
      <c r="T812" s="109">
        <v>39.700000000000003</v>
      </c>
      <c r="U812" s="115" t="s">
        <v>1159</v>
      </c>
      <c r="Y812" s="209">
        <f>18.33+13.74</f>
        <v>32.07</v>
      </c>
      <c r="Z812" s="115" t="s">
        <v>1115</v>
      </c>
      <c r="AD812" s="109">
        <v>29.9</v>
      </c>
      <c r="AE812" s="115" t="s">
        <v>1161</v>
      </c>
      <c r="AH812" s="169">
        <f t="shared" si="28"/>
        <v>117.87</v>
      </c>
      <c r="AR812" s="126">
        <f t="shared" si="24"/>
        <v>0</v>
      </c>
      <c r="AV812" s="127">
        <f t="shared" si="25"/>
        <v>0</v>
      </c>
    </row>
    <row r="813" spans="2:48" x14ac:dyDescent="0.4">
      <c r="B813" s="209" t="s">
        <v>850</v>
      </c>
      <c r="D813" s="124" t="s">
        <v>125</v>
      </c>
      <c r="F813" s="124"/>
      <c r="G813" s="109">
        <v>10</v>
      </c>
      <c r="H813" s="124" t="s">
        <v>1120</v>
      </c>
      <c r="I813" s="109">
        <v>12</v>
      </c>
      <c r="J813" s="115" t="s">
        <v>1099</v>
      </c>
      <c r="AF813" s="109">
        <f>0.48+0.57</f>
        <v>1.0499999999999998</v>
      </c>
      <c r="AG813" s="125" t="s">
        <v>1144</v>
      </c>
      <c r="AH813" s="169">
        <f t="shared" si="28"/>
        <v>23.05</v>
      </c>
      <c r="AR813" s="126">
        <f t="shared" si="24"/>
        <v>0</v>
      </c>
      <c r="AV813" s="127">
        <f t="shared" si="25"/>
        <v>0</v>
      </c>
    </row>
    <row r="814" spans="2:48" x14ac:dyDescent="0.4">
      <c r="B814" s="209" t="s">
        <v>851</v>
      </c>
      <c r="D814" s="124" t="s">
        <v>126</v>
      </c>
      <c r="E814" s="109">
        <v>8</v>
      </c>
      <c r="F814" s="124" t="s">
        <v>1096</v>
      </c>
      <c r="G814" s="109">
        <v>9.1999999999999993</v>
      </c>
      <c r="H814" s="124" t="s">
        <v>1106</v>
      </c>
      <c r="I814" s="109">
        <v>8.6999999999999993</v>
      </c>
      <c r="J814" s="115" t="s">
        <v>1106</v>
      </c>
      <c r="AH814" s="169">
        <f t="shared" si="28"/>
        <v>25.9</v>
      </c>
      <c r="AR814" s="126">
        <f t="shared" si="24"/>
        <v>0</v>
      </c>
      <c r="AV814" s="127">
        <f t="shared" si="25"/>
        <v>0</v>
      </c>
    </row>
    <row r="815" spans="2:48" x14ac:dyDescent="0.4">
      <c r="B815" s="209" t="s">
        <v>845</v>
      </c>
      <c r="D815" s="124" t="s">
        <v>127</v>
      </c>
      <c r="G815" s="124" t="s">
        <v>1160</v>
      </c>
      <c r="H815" s="109" t="s">
        <v>1120</v>
      </c>
      <c r="I815" s="109">
        <v>24</v>
      </c>
      <c r="J815" s="115" t="s">
        <v>1165</v>
      </c>
      <c r="R815" s="209">
        <f>5.5+2.49</f>
        <v>7.99</v>
      </c>
      <c r="S815" s="115" t="s">
        <v>1167</v>
      </c>
      <c r="T815" s="109">
        <v>20.5</v>
      </c>
      <c r="U815" s="115" t="s">
        <v>1159</v>
      </c>
      <c r="AH815" s="169">
        <f>SUM(E815,H815,I815,K815,M815,R815,T815,V815,Y815,X815,AA815,AB815,AD815,AF815)</f>
        <v>52.49</v>
      </c>
      <c r="AI815" s="110">
        <v>100</v>
      </c>
      <c r="AJ815" s="110" t="s">
        <v>1164</v>
      </c>
      <c r="AR815" s="126">
        <f t="shared" si="24"/>
        <v>0</v>
      </c>
      <c r="AV815" s="127">
        <f t="shared" si="25"/>
        <v>0</v>
      </c>
    </row>
    <row r="816" spans="2:48" x14ac:dyDescent="0.4">
      <c r="B816" s="209" t="s">
        <v>846</v>
      </c>
      <c r="D816" s="124" t="s">
        <v>128</v>
      </c>
      <c r="E816" s="109">
        <v>8</v>
      </c>
      <c r="F816" s="124" t="s">
        <v>1096</v>
      </c>
      <c r="H816" s="124"/>
      <c r="I816" s="109">
        <v>11</v>
      </c>
      <c r="J816" s="115" t="s">
        <v>1099</v>
      </c>
      <c r="AF816" s="109">
        <v>12.6</v>
      </c>
      <c r="AG816" s="125" t="s">
        <v>1163</v>
      </c>
      <c r="AH816" s="169">
        <f t="shared" si="28"/>
        <v>31.6</v>
      </c>
      <c r="AR816" s="126">
        <f t="shared" si="24"/>
        <v>0</v>
      </c>
      <c r="AV816" s="127">
        <f t="shared" si="25"/>
        <v>0</v>
      </c>
    </row>
    <row r="817" spans="1:45" x14ac:dyDescent="0.4">
      <c r="B817" s="209" t="s">
        <v>847</v>
      </c>
      <c r="D817" s="124" t="s">
        <v>129</v>
      </c>
      <c r="E817" s="109">
        <v>8</v>
      </c>
      <c r="F817" s="124" t="s">
        <v>1096</v>
      </c>
      <c r="G817" s="109">
        <v>7.7</v>
      </c>
      <c r="H817" s="124" t="s">
        <v>1106</v>
      </c>
      <c r="I817" s="109">
        <v>7</v>
      </c>
      <c r="J817" s="115" t="s">
        <v>1110</v>
      </c>
      <c r="R817" s="209">
        <v>3.99</v>
      </c>
      <c r="S817" s="115" t="s">
        <v>1103</v>
      </c>
      <c r="AF817" s="109">
        <v>30</v>
      </c>
      <c r="AG817" s="125" t="s">
        <v>1144</v>
      </c>
      <c r="AH817" s="169">
        <f>SUM(E817,H817,I817,K817,M817,R817,T817,V817,Y817,X817,AA817,AB817,AD817,AF817)</f>
        <v>48.99</v>
      </c>
      <c r="AI817" s="110">
        <f>100+150</f>
        <v>250</v>
      </c>
      <c r="AJ817" s="110" t="s">
        <v>1162</v>
      </c>
    </row>
    <row r="818" spans="1:45" s="129" customFormat="1" x14ac:dyDescent="0.4">
      <c r="F818" s="130"/>
      <c r="H818" s="130"/>
      <c r="J818" s="130"/>
      <c r="L818" s="130"/>
      <c r="N818" s="123"/>
      <c r="O818" s="123"/>
      <c r="Q818" s="130"/>
      <c r="S818" s="130"/>
      <c r="U818" s="130"/>
      <c r="W818" s="130"/>
      <c r="X818" s="123"/>
      <c r="Z818" s="130"/>
      <c r="AC818" s="130"/>
      <c r="AE818" s="130"/>
      <c r="AG818" s="130"/>
      <c r="AH818" s="170">
        <f>SUM(AH787:AH816)</f>
        <v>5398.5199999999995</v>
      </c>
    </row>
    <row r="819" spans="1:45" x14ac:dyDescent="0.4">
      <c r="AH819" s="169">
        <f>SUM(AH619:AH818)/2</f>
        <v>18872.115000000002</v>
      </c>
    </row>
    <row r="820" spans="1:45" s="121" customFormat="1" x14ac:dyDescent="0.4">
      <c r="A820" s="121" t="s">
        <v>879</v>
      </c>
      <c r="F820" s="122"/>
      <c r="H820" s="122"/>
      <c r="J820" s="122"/>
      <c r="L820" s="122"/>
      <c r="N820" s="123"/>
      <c r="O820" s="123"/>
      <c r="Q820" s="122"/>
      <c r="S820" s="122"/>
      <c r="U820" s="122"/>
      <c r="W820" s="122"/>
      <c r="X820" s="123"/>
      <c r="Z820" s="122"/>
      <c r="AC820" s="122"/>
      <c r="AE820" s="122"/>
      <c r="AG820" s="122"/>
      <c r="AH820" s="109"/>
    </row>
    <row r="821" spans="1:45" x14ac:dyDescent="0.4">
      <c r="B821" s="209" t="s">
        <v>859</v>
      </c>
      <c r="D821" s="124" t="s">
        <v>1149</v>
      </c>
      <c r="R821" s="209">
        <v>2.4900000000000002</v>
      </c>
      <c r="S821" s="115" t="s">
        <v>1124</v>
      </c>
      <c r="AA821" s="109">
        <v>20</v>
      </c>
      <c r="AD821" s="109">
        <v>79.900000000000006</v>
      </c>
      <c r="AE821" s="115" t="s">
        <v>1116</v>
      </c>
      <c r="AH821" s="109">
        <f>E821+G821+I821+K821+M821+P821+R821+T821+V821+Y821+AA821+AB821+AD821+AF821</f>
        <v>102.39000000000001</v>
      </c>
      <c r="AS821" s="127">
        <v>79.900000000000006</v>
      </c>
    </row>
    <row r="822" spans="1:45" x14ac:dyDescent="0.4">
      <c r="B822" s="209" t="s">
        <v>849</v>
      </c>
      <c r="D822" s="124" t="s">
        <v>1150</v>
      </c>
      <c r="G822" s="109">
        <v>12.5</v>
      </c>
      <c r="H822" s="102" t="s">
        <v>1110</v>
      </c>
      <c r="I822" s="109">
        <v>26</v>
      </c>
      <c r="J822" s="115" t="s">
        <v>1158</v>
      </c>
      <c r="T822" s="109">
        <v>36.299999999999997</v>
      </c>
      <c r="U822" s="115" t="s">
        <v>1159</v>
      </c>
      <c r="AF822" s="109">
        <v>15</v>
      </c>
      <c r="AG822" s="125" t="s">
        <v>1113</v>
      </c>
      <c r="AH822" s="109">
        <f t="shared" ref="AH822:AH827" si="29">E822+G822+I822+K822+M822+P822+R822+T822+V822+Y822+AA822+AB822+AD822+AF822</f>
        <v>89.8</v>
      </c>
    </row>
    <row r="823" spans="1:45" x14ac:dyDescent="0.4">
      <c r="B823" s="209" t="s">
        <v>850</v>
      </c>
      <c r="D823" s="124" t="s">
        <v>1151</v>
      </c>
      <c r="G823" s="109">
        <v>11</v>
      </c>
      <c r="H823" s="102" t="s">
        <v>1099</v>
      </c>
      <c r="I823" s="109">
        <v>8</v>
      </c>
      <c r="J823" s="115" t="s">
        <v>1099</v>
      </c>
      <c r="AA823" s="109">
        <v>10</v>
      </c>
      <c r="AF823" s="109">
        <v>34</v>
      </c>
      <c r="AG823" s="125" t="s">
        <v>1169</v>
      </c>
      <c r="AH823" s="109">
        <f t="shared" si="29"/>
        <v>63</v>
      </c>
    </row>
    <row r="824" spans="1:45" x14ac:dyDescent="0.4">
      <c r="B824" s="209" t="s">
        <v>851</v>
      </c>
      <c r="D824" s="124" t="s">
        <v>1152</v>
      </c>
      <c r="E824" s="109">
        <v>8</v>
      </c>
      <c r="F824" s="102" t="s">
        <v>1096</v>
      </c>
      <c r="G824" s="109">
        <v>9</v>
      </c>
      <c r="H824" s="102" t="s">
        <v>1096</v>
      </c>
      <c r="I824" s="109">
        <v>11</v>
      </c>
      <c r="J824" s="115" t="s">
        <v>1099</v>
      </c>
      <c r="AD824" s="109">
        <f>35.9+38</f>
        <v>73.900000000000006</v>
      </c>
      <c r="AE824" s="115" t="s">
        <v>1171</v>
      </c>
      <c r="AF824" s="109">
        <f>12+68.48</f>
        <v>80.48</v>
      </c>
      <c r="AG824" s="125" t="s">
        <v>1170</v>
      </c>
      <c r="AH824" s="109">
        <f t="shared" si="29"/>
        <v>182.38</v>
      </c>
    </row>
    <row r="825" spans="1:45" x14ac:dyDescent="0.4">
      <c r="B825" s="209" t="s">
        <v>845</v>
      </c>
      <c r="D825" s="124" t="s">
        <v>1153</v>
      </c>
      <c r="G825" s="109">
        <v>8</v>
      </c>
      <c r="H825" s="102" t="s">
        <v>1099</v>
      </c>
      <c r="I825" s="109">
        <v>11</v>
      </c>
      <c r="J825" s="115" t="s">
        <v>1099</v>
      </c>
      <c r="AH825" s="109">
        <f>E825+G825+I825+K825+M825+P825+R825+T825+V825+Y825+AA825+AB825+AD825+AF825</f>
        <v>19</v>
      </c>
    </row>
    <row r="826" spans="1:45" x14ac:dyDescent="0.4">
      <c r="B826" s="209" t="s">
        <v>846</v>
      </c>
      <c r="D826" s="124" t="s">
        <v>1154</v>
      </c>
      <c r="G826" s="109">
        <v>10</v>
      </c>
      <c r="H826" s="102" t="s">
        <v>1099</v>
      </c>
      <c r="I826" s="109">
        <v>10</v>
      </c>
      <c r="J826" s="115" t="s">
        <v>1110</v>
      </c>
      <c r="AA826" s="109">
        <v>10</v>
      </c>
      <c r="AF826" s="109">
        <v>274.89999999999998</v>
      </c>
      <c r="AG826" s="125" t="s">
        <v>1174</v>
      </c>
      <c r="AH826" s="109">
        <f t="shared" si="29"/>
        <v>304.89999999999998</v>
      </c>
    </row>
    <row r="827" spans="1:45" x14ac:dyDescent="0.4">
      <c r="B827" s="209" t="s">
        <v>847</v>
      </c>
      <c r="D827" s="124" t="s">
        <v>1155</v>
      </c>
      <c r="E827" s="109">
        <v>6.5</v>
      </c>
      <c r="F827" s="102" t="s">
        <v>1096</v>
      </c>
      <c r="G827" s="109">
        <f>12+7</f>
        <v>19</v>
      </c>
      <c r="H827" s="102" t="s">
        <v>1096</v>
      </c>
      <c r="I827" s="109">
        <v>15</v>
      </c>
      <c r="J827" s="115" t="s">
        <v>1099</v>
      </c>
      <c r="AD827" s="109">
        <v>25.8</v>
      </c>
      <c r="AE827" s="115" t="s">
        <v>1173</v>
      </c>
      <c r="AH827" s="109">
        <f t="shared" si="29"/>
        <v>66.3</v>
      </c>
      <c r="AI827" s="110">
        <v>150</v>
      </c>
      <c r="AJ827" s="110" t="s">
        <v>1123</v>
      </c>
    </row>
    <row r="828" spans="1:45" x14ac:dyDescent="0.4">
      <c r="B828" s="209" t="s">
        <v>848</v>
      </c>
      <c r="D828" s="124" t="s">
        <v>1156</v>
      </c>
      <c r="E828" s="109">
        <v>6.5</v>
      </c>
      <c r="F828" s="102" t="s">
        <v>1096</v>
      </c>
      <c r="V828" s="209">
        <v>29.9</v>
      </c>
      <c r="W828" s="115" t="s">
        <v>1172</v>
      </c>
    </row>
    <row r="829" spans="1:45" x14ac:dyDescent="0.4">
      <c r="B829" s="209" t="s">
        <v>849</v>
      </c>
      <c r="D829" s="124" t="s">
        <v>1157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2" t="s">
        <v>191</v>
      </c>
      <c r="L16" s="202"/>
      <c r="M16" s="202"/>
      <c r="N16" s="202" t="s">
        <v>194</v>
      </c>
      <c r="O16" s="202"/>
      <c r="P16" s="202"/>
    </row>
    <row r="17" spans="10:17" x14ac:dyDescent="0.15">
      <c r="J17" s="202" t="s">
        <v>190</v>
      </c>
      <c r="K17" s="202" t="s">
        <v>187</v>
      </c>
      <c r="L17" s="202" t="s">
        <v>188</v>
      </c>
      <c r="M17" s="202" t="s">
        <v>189</v>
      </c>
      <c r="N17" s="202" t="s">
        <v>192</v>
      </c>
      <c r="O17" s="202" t="s">
        <v>193</v>
      </c>
      <c r="P17" s="202" t="s">
        <v>195</v>
      </c>
    </row>
    <row r="18" spans="10:17" x14ac:dyDescent="0.15">
      <c r="J18" s="202"/>
      <c r="K18" s="202"/>
      <c r="L18" s="202"/>
      <c r="M18" s="202"/>
      <c r="N18" s="202"/>
      <c r="O18" s="202"/>
      <c r="P18" s="202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2" t="s">
        <v>196</v>
      </c>
      <c r="K25" s="202" t="s">
        <v>197</v>
      </c>
      <c r="L25" s="203" t="s">
        <v>198</v>
      </c>
      <c r="M25" s="203"/>
      <c r="N25" s="203"/>
      <c r="O25" s="202" t="s">
        <v>199</v>
      </c>
      <c r="P25" s="202"/>
      <c r="Q25" s="202"/>
    </row>
    <row r="26" spans="10:17" x14ac:dyDescent="0.15">
      <c r="J26" s="202"/>
      <c r="K26" s="202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2" t="s">
        <v>200</v>
      </c>
      <c r="J39" s="193"/>
      <c r="K39" s="193"/>
      <c r="L39" s="193"/>
      <c r="M39" s="193"/>
      <c r="N39" s="193"/>
      <c r="O39" s="193"/>
      <c r="P39" s="193"/>
      <c r="Q39" s="193"/>
      <c r="R39" s="193"/>
      <c r="S39" s="8"/>
    </row>
    <row r="40" spans="9:19" ht="15" thickBot="1" x14ac:dyDescent="0.25">
      <c r="I40" s="194" t="s">
        <v>203</v>
      </c>
      <c r="J40" s="196" t="s">
        <v>201</v>
      </c>
      <c r="K40" s="197"/>
      <c r="L40" s="198"/>
      <c r="M40" s="199" t="s">
        <v>202</v>
      </c>
      <c r="N40" s="197"/>
      <c r="O40" s="198"/>
      <c r="P40" s="200" t="s">
        <v>207</v>
      </c>
      <c r="Q40" s="197"/>
      <c r="R40" s="201"/>
      <c r="S40" s="8"/>
    </row>
    <row r="41" spans="9:19" ht="15" thickBot="1" x14ac:dyDescent="0.25">
      <c r="I41" s="195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7" t="s">
        <v>217</v>
      </c>
      <c r="J55" s="178"/>
      <c r="K55" s="178"/>
      <c r="M55" s="177" t="s">
        <v>228</v>
      </c>
      <c r="N55" s="178"/>
      <c r="O55" s="178"/>
    </row>
    <row r="56" spans="9:19" ht="14.25" thickBot="1" x14ac:dyDescent="0.2">
      <c r="I56" s="179" t="s">
        <v>218</v>
      </c>
      <c r="J56" s="191" t="s">
        <v>203</v>
      </c>
      <c r="K56" s="183"/>
      <c r="M56" s="179" t="s">
        <v>218</v>
      </c>
      <c r="N56" s="181" t="s">
        <v>203</v>
      </c>
      <c r="O56" s="183"/>
    </row>
    <row r="57" spans="9:19" ht="14.25" thickBot="1" x14ac:dyDescent="0.2">
      <c r="I57" s="180"/>
      <c r="J57" s="43" t="s">
        <v>208</v>
      </c>
      <c r="K57" s="44" t="s">
        <v>209</v>
      </c>
      <c r="M57" s="180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7" t="s">
        <v>200</v>
      </c>
      <c r="J72" s="178"/>
      <c r="K72" s="178"/>
      <c r="L72" s="178"/>
      <c r="M72" s="178"/>
      <c r="N72" s="178"/>
      <c r="O72" s="178"/>
      <c r="P72" s="178"/>
      <c r="Q72" s="178"/>
      <c r="R72" s="178"/>
      <c r="S72" s="42"/>
    </row>
    <row r="73" spans="9:19" ht="15" thickBot="1" x14ac:dyDescent="0.25">
      <c r="I73" s="184" t="s">
        <v>203</v>
      </c>
      <c r="J73" s="185" t="s">
        <v>201</v>
      </c>
      <c r="K73" s="186"/>
      <c r="L73" s="187"/>
      <c r="M73" s="188" t="s">
        <v>202</v>
      </c>
      <c r="N73" s="186"/>
      <c r="O73" s="187"/>
      <c r="P73" s="189" t="s">
        <v>207</v>
      </c>
      <c r="Q73" s="186"/>
      <c r="R73" s="190"/>
      <c r="S73" s="42"/>
    </row>
    <row r="74" spans="9:19" ht="15" thickBot="1" x14ac:dyDescent="0.25">
      <c r="I74" s="180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7" t="s">
        <v>217</v>
      </c>
      <c r="J98" s="178"/>
      <c r="K98" s="178"/>
      <c r="L98" s="178"/>
      <c r="M98" s="42"/>
    </row>
    <row r="99" spans="9:13" ht="14.25" thickBot="1" x14ac:dyDescent="0.2">
      <c r="I99" s="179" t="s">
        <v>218</v>
      </c>
      <c r="J99" s="181" t="s">
        <v>203</v>
      </c>
      <c r="K99" s="182"/>
      <c r="L99" s="183"/>
      <c r="M99" s="54"/>
    </row>
    <row r="100" spans="9:13" ht="14.25" thickBot="1" x14ac:dyDescent="0.2">
      <c r="I100" s="180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7" t="s">
        <v>228</v>
      </c>
      <c r="J122" s="178"/>
      <c r="K122" s="178"/>
      <c r="L122" s="178"/>
      <c r="M122" s="42"/>
    </row>
    <row r="123" spans="9:13" ht="14.25" thickBot="1" x14ac:dyDescent="0.2">
      <c r="I123" s="179" t="s">
        <v>218</v>
      </c>
      <c r="J123" s="181" t="s">
        <v>203</v>
      </c>
      <c r="K123" s="182"/>
      <c r="L123" s="183"/>
      <c r="M123" s="54"/>
    </row>
    <row r="124" spans="9:13" ht="14.25" thickBot="1" x14ac:dyDescent="0.2">
      <c r="I124" s="180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7" t="s">
        <v>200</v>
      </c>
      <c r="O162" s="178"/>
      <c r="P162" s="178"/>
      <c r="Q162" s="178"/>
      <c r="R162" s="178"/>
      <c r="S162" s="178"/>
      <c r="T162" s="178"/>
      <c r="U162" s="178"/>
      <c r="V162" s="178"/>
      <c r="W162" s="178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4" t="s">
        <v>203</v>
      </c>
      <c r="O163" s="205" t="s">
        <v>201</v>
      </c>
      <c r="P163" s="186"/>
      <c r="Q163" s="187"/>
      <c r="R163" s="206" t="s">
        <v>202</v>
      </c>
      <c r="S163" s="186"/>
      <c r="T163" s="187"/>
      <c r="U163" s="207" t="s">
        <v>207</v>
      </c>
      <c r="V163" s="186"/>
      <c r="W163" s="190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0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7" t="s">
        <v>217</v>
      </c>
      <c r="O184" s="178"/>
      <c r="P184" s="178"/>
      <c r="Q184" s="178"/>
      <c r="R184" s="42"/>
      <c r="S184" s="177" t="s">
        <v>228</v>
      </c>
      <c r="T184" s="178"/>
      <c r="U184" s="178"/>
      <c r="V184" s="178"/>
      <c r="W184" s="42"/>
    </row>
    <row r="185" spans="14:24" ht="15" thickBot="1" x14ac:dyDescent="0.25">
      <c r="N185" s="179" t="s">
        <v>218</v>
      </c>
      <c r="O185" s="208" t="s">
        <v>203</v>
      </c>
      <c r="P185" s="182"/>
      <c r="Q185" s="183"/>
      <c r="R185" s="42"/>
      <c r="S185" s="179" t="s">
        <v>218</v>
      </c>
      <c r="T185" s="208" t="s">
        <v>203</v>
      </c>
      <c r="U185" s="182"/>
      <c r="V185" s="183"/>
      <c r="W185" s="42"/>
    </row>
    <row r="186" spans="14:24" ht="15" thickBot="1" x14ac:dyDescent="0.25">
      <c r="N186" s="180"/>
      <c r="O186" s="68" t="s">
        <v>208</v>
      </c>
      <c r="P186" s="69" t="s">
        <v>209</v>
      </c>
      <c r="Q186" s="70" t="s">
        <v>210</v>
      </c>
      <c r="R186" s="42"/>
      <c r="S186" s="180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7">
        <v>4082</v>
      </c>
      <c r="J2" s="167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7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2019-11-08T02:29:18Z</dcterms:modified>
</cp:coreProperties>
</file>