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97A8F7A-263C-4461-B1D2-138CCF97A08A}" xr6:coauthVersionLast="34" xr6:coauthVersionMax="34" xr10:uidLastSave="{00000000-0000-0000-0000-000000000000}"/>
  <bookViews>
    <workbookView xWindow="32760" yWindow="3450" windowWidth="11970" windowHeight="3495" activeTab="1"/>
  </bookViews>
  <sheets>
    <sheet name="DEFINE" sheetId="16" r:id="rId1"/>
    <sheet name="SITE INFO" sheetId="12" r:id="rId2"/>
    <sheet name="TSP" sheetId="1" r:id="rId3"/>
    <sheet name="Pb" sheetId="2" r:id="rId4"/>
    <sheet name="CO" sheetId="3" r:id="rId5"/>
    <sheet name="SO2" sheetId="4" r:id="rId6"/>
    <sheet name="NO2" sheetId="5" r:id="rId7"/>
    <sheet name="O3 1hr" sheetId="11" r:id="rId8"/>
    <sheet name="O3 8hr" sheetId="6" r:id="rId9"/>
    <sheet name="PM10" sheetId="7" r:id="rId10"/>
    <sheet name="PM2.5" sheetId="8" r:id="rId11"/>
    <sheet name="Rain" sheetId="9" r:id="rId12"/>
    <sheet name="SUM-1" sheetId="13" r:id="rId13"/>
    <sheet name="SUM-2" sheetId="15" r:id="rId14"/>
    <sheet name="SUM-3" sheetId="14" r:id="rId15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H10" i="3"/>
  <c r="I10" i="3"/>
  <c r="B11" i="3"/>
  <c r="E11" i="3"/>
  <c r="D16" i="3"/>
  <c r="B25" i="3"/>
  <c r="C25" i="3"/>
  <c r="E25" i="3"/>
  <c r="F25" i="3"/>
  <c r="B26" i="3"/>
  <c r="C26" i="3"/>
  <c r="E26" i="3"/>
  <c r="F26" i="3"/>
  <c r="B27" i="3"/>
  <c r="C27" i="3"/>
  <c r="E27" i="3"/>
  <c r="F27" i="3"/>
  <c r="F6" i="5"/>
  <c r="F7" i="5"/>
  <c r="F8" i="5"/>
  <c r="F9" i="5"/>
  <c r="F10" i="5"/>
  <c r="F11" i="5"/>
  <c r="F12" i="5"/>
  <c r="F13" i="5"/>
  <c r="F14" i="5"/>
  <c r="B16" i="5"/>
  <c r="E16" i="5"/>
  <c r="F16" i="5"/>
  <c r="C17" i="5"/>
  <c r="B24" i="5"/>
  <c r="B33" i="5"/>
  <c r="B34" i="5"/>
  <c r="B35" i="5"/>
  <c r="B36" i="5"/>
  <c r="B37" i="5"/>
  <c r="B38" i="5"/>
  <c r="B39" i="5"/>
  <c r="B40" i="5"/>
  <c r="H6" i="11"/>
  <c r="H7" i="11"/>
  <c r="H8" i="11"/>
  <c r="H30" i="11" s="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F30" i="11"/>
  <c r="G30" i="11"/>
  <c r="B31" i="11"/>
  <c r="B36" i="1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F30" i="6"/>
  <c r="G30" i="6"/>
  <c r="H30" i="6"/>
  <c r="B31" i="6"/>
  <c r="B38" i="6"/>
  <c r="J6" i="2"/>
  <c r="K6" i="2" s="1"/>
  <c r="J7" i="2"/>
  <c r="K7" i="2"/>
  <c r="J8" i="2"/>
  <c r="K8" i="2"/>
  <c r="J9" i="2"/>
  <c r="K9" i="2" s="1"/>
  <c r="J10" i="2"/>
  <c r="K10" i="2" s="1"/>
  <c r="J11" i="2"/>
  <c r="K35" i="2" s="1"/>
  <c r="J12" i="2"/>
  <c r="J35" i="2" s="1"/>
  <c r="K12" i="2"/>
  <c r="J13" i="2"/>
  <c r="K13" i="2"/>
  <c r="J14" i="2"/>
  <c r="K14" i="2"/>
  <c r="J15" i="2"/>
  <c r="K15" i="2" s="1"/>
  <c r="J16" i="2"/>
  <c r="K16" i="2"/>
  <c r="J17" i="2"/>
  <c r="K17" i="2"/>
  <c r="J18" i="2"/>
  <c r="K18" i="2"/>
  <c r="J19" i="2"/>
  <c r="K19" i="2"/>
  <c r="J20" i="2"/>
  <c r="K20" i="2" s="1"/>
  <c r="J21" i="2"/>
  <c r="K21" i="2" s="1"/>
  <c r="J22" i="2"/>
  <c r="K22" i="2" s="1"/>
  <c r="J23" i="2"/>
  <c r="K23" i="2"/>
  <c r="J24" i="2"/>
  <c r="K24" i="2"/>
  <c r="J25" i="2"/>
  <c r="K25" i="2" s="1"/>
  <c r="J26" i="2"/>
  <c r="K26" i="2" s="1"/>
  <c r="J27" i="2"/>
  <c r="K27" i="2" s="1"/>
  <c r="J28" i="2"/>
  <c r="K28" i="2"/>
  <c r="J29" i="2"/>
  <c r="K29" i="2"/>
  <c r="J30" i="2"/>
  <c r="K30" i="2" s="1"/>
  <c r="J31" i="2"/>
  <c r="K31" i="2"/>
  <c r="J32" i="2"/>
  <c r="K32" i="2"/>
  <c r="J33" i="2"/>
  <c r="K33" i="2" s="1"/>
  <c r="B35" i="2"/>
  <c r="C35" i="2"/>
  <c r="D35" i="2"/>
  <c r="E35" i="2"/>
  <c r="F35" i="2"/>
  <c r="G35" i="2"/>
  <c r="H35" i="2"/>
  <c r="I35" i="2"/>
  <c r="B42" i="2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B27" i="7"/>
  <c r="G27" i="7"/>
  <c r="H27" i="7"/>
  <c r="I27" i="7"/>
  <c r="J27" i="7"/>
  <c r="C28" i="7"/>
  <c r="C36" i="7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B30" i="8"/>
  <c r="G30" i="8"/>
  <c r="H30" i="8"/>
  <c r="I30" i="8"/>
  <c r="J30" i="8"/>
  <c r="C31" i="8"/>
  <c r="B41" i="8"/>
  <c r="L5" i="9"/>
  <c r="L6" i="9"/>
  <c r="L7" i="9"/>
  <c r="L8" i="9"/>
  <c r="L9" i="9"/>
  <c r="L10" i="9"/>
  <c r="L11" i="9"/>
  <c r="L12" i="9"/>
  <c r="L13" i="9"/>
  <c r="L14" i="9"/>
  <c r="B16" i="9"/>
  <c r="C16" i="9"/>
  <c r="D16" i="9"/>
  <c r="E16" i="9"/>
  <c r="F16" i="9"/>
  <c r="G16" i="9"/>
  <c r="H16" i="9"/>
  <c r="I16" i="9"/>
  <c r="J16" i="9"/>
  <c r="K16" i="9"/>
  <c r="L16" i="9"/>
  <c r="B24" i="9"/>
  <c r="L6" i="4"/>
  <c r="L7" i="4"/>
  <c r="L8" i="4"/>
  <c r="L9" i="4"/>
  <c r="L10" i="4"/>
  <c r="L11" i="4"/>
  <c r="L12" i="4"/>
  <c r="L13" i="4"/>
  <c r="L14" i="4"/>
  <c r="L15" i="4"/>
  <c r="L16" i="4"/>
  <c r="B18" i="4"/>
  <c r="K18" i="4"/>
  <c r="L18" i="4"/>
  <c r="C19" i="4"/>
  <c r="F19" i="4"/>
  <c r="I19" i="4"/>
  <c r="B27" i="4"/>
  <c r="B36" i="4"/>
  <c r="C36" i="4"/>
  <c r="D36" i="4"/>
  <c r="F36" i="4"/>
  <c r="G36" i="4"/>
  <c r="B37" i="4"/>
  <c r="C37" i="4"/>
  <c r="D37" i="4"/>
  <c r="F37" i="4"/>
  <c r="G37" i="4"/>
  <c r="B38" i="4"/>
  <c r="C38" i="4"/>
  <c r="D38" i="4"/>
  <c r="F38" i="4"/>
  <c r="G38" i="4"/>
  <c r="B39" i="4"/>
  <c r="C39" i="4"/>
  <c r="D39" i="4"/>
  <c r="F39" i="4"/>
  <c r="G39" i="4"/>
  <c r="B40" i="4"/>
  <c r="C40" i="4"/>
  <c r="D40" i="4"/>
  <c r="F40" i="4"/>
  <c r="G40" i="4"/>
  <c r="B41" i="4"/>
  <c r="C41" i="4"/>
  <c r="D41" i="4"/>
  <c r="F41" i="4"/>
  <c r="G41" i="4"/>
  <c r="B42" i="4"/>
  <c r="C42" i="4"/>
  <c r="D42" i="4"/>
  <c r="F42" i="4"/>
  <c r="G42" i="4"/>
  <c r="B43" i="4"/>
  <c r="C43" i="4"/>
  <c r="D43" i="4"/>
  <c r="F43" i="4"/>
  <c r="G43" i="4"/>
  <c r="B44" i="4"/>
  <c r="C44" i="4"/>
  <c r="D44" i="4"/>
  <c r="F44" i="4"/>
  <c r="G44" i="4"/>
  <c r="B45" i="4"/>
  <c r="C45" i="4"/>
  <c r="D45" i="4"/>
  <c r="F45" i="4"/>
  <c r="G45" i="4"/>
  <c r="B46" i="4"/>
  <c r="C46" i="4"/>
  <c r="D46" i="4"/>
  <c r="F46" i="4"/>
  <c r="G46" i="4"/>
  <c r="C33" i="14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B35" i="1"/>
  <c r="G35" i="1"/>
  <c r="H35" i="1"/>
  <c r="C36" i="1"/>
  <c r="B43" i="1"/>
  <c r="K11" i="2" l="1"/>
</calcChain>
</file>

<file path=xl/sharedStrings.xml><?xml version="1.0" encoding="utf-8"?>
<sst xmlns="http://schemas.openxmlformats.org/spreadsheetml/2006/main" count="2415" uniqueCount="539">
  <si>
    <t>SITE ID</t>
  </si>
  <si>
    <t>CITY</t>
  </si>
  <si>
    <t>COUNTY</t>
  </si>
  <si>
    <t>1ST</t>
  </si>
  <si>
    <t>2ND</t>
  </si>
  <si>
    <t>MEAN</t>
  </si>
  <si>
    <t>45-003-1001</t>
  </si>
  <si>
    <t>AIKEN</t>
  </si>
  <si>
    <t>BEECH ISLAND FIRE STATION</t>
  </si>
  <si>
    <t>BEAUFORT</t>
  </si>
  <si>
    <t>45-013-0007</t>
  </si>
  <si>
    <t>BEAUFORT KING STREET</t>
  </si>
  <si>
    <t>45-019-0003</t>
  </si>
  <si>
    <t>CHARLESTON</t>
  </si>
  <si>
    <t>JENKINS AV. FIRE STATION</t>
  </si>
  <si>
    <t>45-019-0046</t>
  </si>
  <si>
    <t>CAPE ROMAIN WILDLIFE REFUGE</t>
  </si>
  <si>
    <t>45-019-0047</t>
  </si>
  <si>
    <t>45-033-0001</t>
  </si>
  <si>
    <t>DILLON</t>
  </si>
  <si>
    <t>45-041-0001</t>
  </si>
  <si>
    <t>FLORENCE</t>
  </si>
  <si>
    <t>FLORENCE COUNTY HEALTH DEPT</t>
  </si>
  <si>
    <t>45-043-0002</t>
  </si>
  <si>
    <t>GEORGETOWN</t>
  </si>
  <si>
    <t>HOWARD HIGH SCHOOL</t>
  </si>
  <si>
    <t>45-043-0006</t>
  </si>
  <si>
    <t>GEORGETOWN CMS</t>
  </si>
  <si>
    <t>45-043-0007</t>
  </si>
  <si>
    <t>MARYVILLE POWER SUB STATION</t>
  </si>
  <si>
    <t>45-043-0009</t>
  </si>
  <si>
    <t>WINYAH</t>
  </si>
  <si>
    <t>45-045-0008</t>
  </si>
  <si>
    <t>GREENVILLE</t>
  </si>
  <si>
    <t>GREENVILLE HEALTH DEPT</t>
  </si>
  <si>
    <t>45-045-2002</t>
  </si>
  <si>
    <t>GREER</t>
  </si>
  <si>
    <t>45-047-0001</t>
  </si>
  <si>
    <t>GREENWOOD</t>
  </si>
  <si>
    <t>GREENWOOD COUNTY DSS</t>
  </si>
  <si>
    <t>45-047-0002</t>
  </si>
  <si>
    <t>45-049-0001</t>
  </si>
  <si>
    <t>HAMPTON</t>
  </si>
  <si>
    <t>HAMPTON I</t>
  </si>
  <si>
    <t>45-051-0002</t>
  </si>
  <si>
    <t>MYRTLE BEACH</t>
  </si>
  <si>
    <t>HORRY</t>
  </si>
  <si>
    <t>MYRTLE BEACH EQC OFFICE</t>
  </si>
  <si>
    <t>45-063-0005</t>
  </si>
  <si>
    <t>LEXINGTON</t>
  </si>
  <si>
    <t>45-063-1002</t>
  </si>
  <si>
    <t>CAYCE</t>
  </si>
  <si>
    <t>CAYCE FIRE STATION</t>
  </si>
  <si>
    <t>45-079-0006</t>
  </si>
  <si>
    <t>COLUMBIA</t>
  </si>
  <si>
    <t>RICHLAND</t>
  </si>
  <si>
    <t>45-079-0007</t>
  </si>
  <si>
    <t>45-079-1006</t>
  </si>
  <si>
    <t>45-083-0001</t>
  </si>
  <si>
    <t>SPARTANBURG</t>
  </si>
  <si>
    <t>SPARTANBURG CITY HALL</t>
  </si>
  <si>
    <t>45-091-0005</t>
  </si>
  <si>
    <t>ROCK HILL</t>
  </si>
  <si>
    <t>YORK</t>
  </si>
  <si>
    <t>MAXIMUM 24-HR VALUES</t>
  </si>
  <si>
    <t>SITE NAME</t>
  </si>
  <si>
    <t>UTM-N</t>
  </si>
  <si>
    <t>UTM-E</t>
  </si>
  <si>
    <t>ROCK HILL WATER FILTER PLANT</t>
  </si>
  <si>
    <t>CONGAREE SWAMP NATIONAL MONUMENT</t>
  </si>
  <si>
    <t>1ST BAPTIST CHURCH ANNEX</t>
  </si>
  <si>
    <t xml:space="preserve">U S NAVAL BASE </t>
  </si>
  <si>
    <t>45-019-0005</t>
  </si>
  <si>
    <t>ASHE STREET</t>
  </si>
  <si>
    <t>45-079-0020</t>
  </si>
  <si>
    <t>45-003-0003</t>
  </si>
  <si>
    <t>45-011-0001</t>
  </si>
  <si>
    <t>BARNWELL</t>
  </si>
  <si>
    <t>45-063-0008</t>
  </si>
  <si>
    <t>IRMO</t>
  </si>
  <si>
    <t>45-073-0001</t>
  </si>
  <si>
    <t>OCONEE</t>
  </si>
  <si>
    <t>45-079-1003</t>
  </si>
  <si>
    <t>JACKSON MIDDLE SCHOOL</t>
  </si>
  <si>
    <t>45-001-0001</t>
  </si>
  <si>
    <t>ABBEVILLE</t>
  </si>
  <si>
    <t>DUE WEST</t>
  </si>
  <si>
    <t>45-007-0003</t>
  </si>
  <si>
    <t>ANDERSON</t>
  </si>
  <si>
    <t>POWDERSVILLE</t>
  </si>
  <si>
    <t>45-015-0002</t>
  </si>
  <si>
    <t>BERKELEY</t>
  </si>
  <si>
    <t>BUSHY PARK PUMP</t>
  </si>
  <si>
    <t>45-019-0042</t>
  </si>
  <si>
    <t>U S ARMY RESERVE</t>
  </si>
  <si>
    <t>45-021-0002</t>
  </si>
  <si>
    <t>CHEROKEE</t>
  </si>
  <si>
    <t>45-023-0002</t>
  </si>
  <si>
    <t>CHESTER</t>
  </si>
  <si>
    <t>CHESTER AIRPORT</t>
  </si>
  <si>
    <t>45-029-0002</t>
  </si>
  <si>
    <t>COLLETON</t>
  </si>
  <si>
    <t>ASHTON</t>
  </si>
  <si>
    <t>45-031-0003</t>
  </si>
  <si>
    <t>DARLINGTON</t>
  </si>
  <si>
    <t>45-037-0001</t>
  </si>
  <si>
    <t>EDGEFIELD</t>
  </si>
  <si>
    <t>TRENTON</t>
  </si>
  <si>
    <t>45-077-0002</t>
  </si>
  <si>
    <t>CLEMSON</t>
  </si>
  <si>
    <t>PICKENS</t>
  </si>
  <si>
    <t>45-079-1002</t>
  </si>
  <si>
    <t>45-083-0009</t>
  </si>
  <si>
    <t>45-087-0001</t>
  </si>
  <si>
    <t>UNION</t>
  </si>
  <si>
    <t>DELTA</t>
  </si>
  <si>
    <t>45-089-0001</t>
  </si>
  <si>
    <t>INDIANTOWN</t>
  </si>
  <si>
    <t>45-091-0006</t>
  </si>
  <si>
    <t>WTD</t>
  </si>
  <si>
    <t>ARITH</t>
  </si>
  <si>
    <t>FAIRFIELD</t>
  </si>
  <si>
    <t>RIDGEWAY #1</t>
  </si>
  <si>
    <t>RIDGEWAY #2</t>
  </si>
  <si>
    <t>CAYCE CMS</t>
  </si>
  <si>
    <t>OLYMPIA</t>
  </si>
  <si>
    <t>45-079-0019</t>
  </si>
  <si>
    <t>BATES HOUSE (USC)</t>
  </si>
  <si>
    <t>SCDHEC PARKING LOT</t>
  </si>
  <si>
    <t>45-019-0048</t>
  </si>
  <si>
    <t>45-019-0049</t>
  </si>
  <si>
    <t>45-041-0002</t>
  </si>
  <si>
    <t>45-045-0009</t>
  </si>
  <si>
    <t>TAYLORS</t>
  </si>
  <si>
    <t>45-047-0003</t>
  </si>
  <si>
    <t>MERRYWOOD SCHOOL</t>
  </si>
  <si>
    <t>45-083-0010</t>
  </si>
  <si>
    <t>OBSV.</t>
  </si>
  <si>
    <t>1ST QUARTER</t>
  </si>
  <si>
    <t>2ND QUARTER</t>
  </si>
  <si>
    <t>3RD QUARTER</t>
  </si>
  <si>
    <t>4TH QUARTER</t>
  </si>
  <si>
    <t>OBS&gt; 35</t>
  </si>
  <si>
    <t>OBS&gt; 9</t>
  </si>
  <si>
    <t>MAX 1-HR</t>
  </si>
  <si>
    <t>MAX 8-HR</t>
  </si>
  <si>
    <t>NORTH CHARLESTON</t>
  </si>
  <si>
    <t xml:space="preserve">BARNWELL CMS </t>
  </si>
  <si>
    <t>SEVEN OAKS RECREATIONAL CTR.</t>
  </si>
  <si>
    <t>MAX 1HR</t>
  </si>
  <si>
    <t xml:space="preserve">MEAN </t>
  </si>
  <si>
    <t>MAX 3HR</t>
  </si>
  <si>
    <t>OBS&gt; 0.50</t>
  </si>
  <si>
    <t>OBS&gt; 0.14</t>
  </si>
  <si>
    <t>MAX 24HR</t>
  </si>
  <si>
    <t>OBSV</t>
  </si>
  <si>
    <t>COWPENS NATIONAL BATTLE GROUND</t>
  </si>
  <si>
    <t>PEE DEE EXP. STATION</t>
  </si>
  <si>
    <t>ROUND MT. FIRE TOWER (LONG CREEK)</t>
  </si>
  <si>
    <t xml:space="preserve">CLEMSON CMS  </t>
  </si>
  <si>
    <t>SANDHILL</t>
  </si>
  <si>
    <t>NORTH SPARTANBURG FIRE STATION</t>
  </si>
  <si>
    <t>YORK CMS</t>
  </si>
  <si>
    <t>WILLIAMSBURG</t>
  </si>
  <si>
    <t>OBS&gt; 150</t>
  </si>
  <si>
    <t>* CONTINUOUS MONITOR</t>
  </si>
  <si>
    <t xml:space="preserve">PARKER FIRE STATION </t>
  </si>
  <si>
    <t>CHARLESTON FAA BEACON</t>
  </si>
  <si>
    <t>CHARLESTON PUBLIC WORKS</t>
  </si>
  <si>
    <t>H L SNEED MIDDLE SCHOOL</t>
  </si>
  <si>
    <t>WEST VIEW ELEMETARY SCHOOL</t>
  </si>
  <si>
    <t>OBS&gt; 65</t>
  </si>
  <si>
    <t>ANNUAL</t>
  </si>
  <si>
    <t xml:space="preserve">  1ST  </t>
  </si>
  <si>
    <t xml:space="preserve">  2ND  </t>
  </si>
  <si>
    <t xml:space="preserve">  3RD  </t>
  </si>
  <si>
    <t xml:space="preserve">  4TH  </t>
  </si>
  <si>
    <t xml:space="preserve">GEOM. </t>
  </si>
  <si>
    <t xml:space="preserve"> OBSV </t>
  </si>
  <si>
    <t>PARKLANE</t>
  </si>
  <si>
    <t>ENRIGHT (REX) ATHLETIC CENTER</t>
  </si>
  <si>
    <t xml:space="preserve">SALTECH </t>
  </si>
  <si>
    <t>PREMIER ROAD</t>
  </si>
  <si>
    <t>SC DEPT. PROBATION, PAROLE</t>
  </si>
  <si>
    <t>DILLON CITY-COUNTY OFFICE BLDG.</t>
  </si>
  <si>
    <t xml:space="preserve">TAYLORS </t>
  </si>
  <si>
    <t xml:space="preserve">MEAN. </t>
  </si>
  <si>
    <t>Complete</t>
  </si>
  <si>
    <t>Acid Rain</t>
  </si>
  <si>
    <t xml:space="preserve"> OBSV. </t>
  </si>
  <si>
    <t>OBS&gt; .084</t>
  </si>
  <si>
    <t>OBS&gt; .124</t>
  </si>
  <si>
    <t xml:space="preserve"> 1992 </t>
  </si>
  <si>
    <t xml:space="preserve"> 1993 </t>
  </si>
  <si>
    <t xml:space="preserve"> 1994 </t>
  </si>
  <si>
    <t xml:space="preserve"> 1995 </t>
  </si>
  <si>
    <t xml:space="preserve"> 1996 </t>
  </si>
  <si>
    <t xml:space="preserve"> 1997 </t>
  </si>
  <si>
    <t xml:space="preserve"> 1998 </t>
  </si>
  <si>
    <t xml:space="preserve"> 1999 </t>
  </si>
  <si>
    <t>PERIOD</t>
  </si>
  <si>
    <t>AVERAGE</t>
  </si>
  <si>
    <t xml:space="preserve">STATE HOSPITAL </t>
  </si>
  <si>
    <t>45-079-0021</t>
  </si>
  <si>
    <t>CONGAREE BLUFF</t>
  </si>
  <si>
    <t>* Relocated from CONGAREE SWAMP to CONGAREE BLUFF February, 2000</t>
  </si>
  <si>
    <t>45-025-0001</t>
  </si>
  <si>
    <t>CHESTERFIELD</t>
  </si>
  <si>
    <t>45-003-0004</t>
  </si>
  <si>
    <t>WAGENER DOT</t>
  </si>
  <si>
    <t>LAURENS COUNTY OFFICE COMPLEX</t>
  </si>
  <si>
    <t>LAURENS</t>
  </si>
  <si>
    <t>*: The monitor was terminated in March.</t>
  </si>
  <si>
    <t>All data void</t>
  </si>
  <si>
    <t xml:space="preserve"> </t>
  </si>
  <si>
    <t>** Delta terminated on 04/03/01; Cape Romain taken over by outside contractor</t>
  </si>
  <si>
    <t xml:space="preserve">Land Use </t>
  </si>
  <si>
    <t>Location Setting</t>
  </si>
  <si>
    <t>Date Site Established</t>
  </si>
  <si>
    <t>Metropolitan Statistical Area Name</t>
  </si>
  <si>
    <t>Urban Area Name</t>
  </si>
  <si>
    <t>AGRICULTURAL</t>
  </si>
  <si>
    <t>RURAL</t>
  </si>
  <si>
    <t>NOT IN AN MSA</t>
  </si>
  <si>
    <t>NOT IN AN URBAN AREA</t>
  </si>
  <si>
    <t>RESIDENTIAL</t>
  </si>
  <si>
    <t>SUBURBAN</t>
  </si>
  <si>
    <t>AUGUSTA-AIKEN, GA-SC</t>
  </si>
  <si>
    <t>GREENVILLE-SPARTANBURG-ANDERSON, SC</t>
  </si>
  <si>
    <t>FOREST</t>
  </si>
  <si>
    <t>COMMERCIAL</t>
  </si>
  <si>
    <t>URBAN AND CENTER CITY</t>
  </si>
  <si>
    <t>INDUSTRIAL</t>
  </si>
  <si>
    <t>CHARLESTON-NORTH CHARLESTON, SC</t>
  </si>
  <si>
    <t>45-039-8001</t>
  </si>
  <si>
    <t>45-039-8002</t>
  </si>
  <si>
    <t>FLORENCE, SC</t>
  </si>
  <si>
    <t>45-045-1002</t>
  </si>
  <si>
    <t>MYRTLE BEACH, SC</t>
  </si>
  <si>
    <t>45-059-0001</t>
  </si>
  <si>
    <t>COLUMBIA, SC</t>
  </si>
  <si>
    <t>45-063-0009</t>
  </si>
  <si>
    <t>45-079-0014</t>
  </si>
  <si>
    <t>45-079-0018</t>
  </si>
  <si>
    <t>CHARLOTTE-GASTONIA-ROCK HILL, NC-SC</t>
  </si>
  <si>
    <t>State Wide Average =&gt;</t>
  </si>
  <si>
    <t>State Wide Maximums =&gt;</t>
  </si>
  <si>
    <t>SLAMS</t>
  </si>
  <si>
    <t>01</t>
  </si>
  <si>
    <t>AREA</t>
  </si>
  <si>
    <t>OTHER</t>
  </si>
  <si>
    <t>MOBILE</t>
  </si>
  <si>
    <t>COMPLETE</t>
  </si>
  <si>
    <t>MAXIMUM 1HR</t>
  </si>
  <si>
    <t>MAXIMUM 8HR</t>
  </si>
  <si>
    <t>3RD</t>
  </si>
  <si>
    <t>4TH</t>
  </si>
  <si>
    <t>PERCENTILE</t>
  </si>
  <si>
    <t>99TH</t>
  </si>
  <si>
    <t>MAXIMUM DAILY</t>
  </si>
  <si>
    <t>98TH</t>
  </si>
  <si>
    <t>Method Code</t>
  </si>
  <si>
    <t>Sample Collection Method</t>
  </si>
  <si>
    <t>Sample Analysis</t>
  </si>
  <si>
    <t>Recording Mode</t>
  </si>
  <si>
    <t>054</t>
  </si>
  <si>
    <t>INSTRUMENTAL</t>
  </si>
  <si>
    <t>NONDISPERSIVE INFRARED</t>
  </si>
  <si>
    <t>CONTINUOUS</t>
  </si>
  <si>
    <t>KERSHAW COUNTY HEALTH DEPT.</t>
  </si>
  <si>
    <t>FLORENCE COUNTY HEALTH DEPT.</t>
  </si>
  <si>
    <t>GREENVILLE HEALTH DEPT.</t>
  </si>
  <si>
    <t>GREENWOOD COUNTY DEPT.</t>
  </si>
  <si>
    <t>SALTECH</t>
  </si>
  <si>
    <t xml:space="preserve">PARKLANE </t>
  </si>
  <si>
    <t xml:space="preserve">ROUND MT. FIRE TOWER (LONG CREEK) </t>
  </si>
  <si>
    <t>PARKLANE - STATE PARK HEALTH CTR.</t>
  </si>
  <si>
    <t>CONGAREE SWAMP NATIONAL MONUMENT*</t>
  </si>
  <si>
    <t>PARKLANE - STATE PARK HEALTH CTR</t>
  </si>
  <si>
    <t>U S NAVAL BASE</t>
  </si>
  <si>
    <t>MYRTLE BEACH EQC</t>
  </si>
  <si>
    <t>SEVEN OAKS RECREATIONAL CTR</t>
  </si>
  <si>
    <t>CAPE ROMAIN WILDLIFE REFUGE**</t>
  </si>
  <si>
    <t>CONGAREE BLUFF*</t>
  </si>
  <si>
    <t>DELTA**</t>
  </si>
  <si>
    <t>POWDERSVILLE*</t>
  </si>
  <si>
    <t>ASHTON*</t>
  </si>
  <si>
    <t>OLYMPIA*</t>
  </si>
  <si>
    <t>*: CONTINUOUS MONITOR &lt;&gt; **: The monitor was terminated.</t>
  </si>
  <si>
    <t>JENKINS AV. FIRE STATION*</t>
  </si>
  <si>
    <t>RIDGEWAY #1**</t>
  </si>
  <si>
    <t>RIDGEWAY #2**</t>
  </si>
  <si>
    <t>GEORGETOWN CMS*</t>
  </si>
  <si>
    <t>PARKER FIRE STATION*</t>
  </si>
  <si>
    <t>CAYCE CMS*</t>
  </si>
  <si>
    <t>3 year</t>
  </si>
  <si>
    <t>Average</t>
  </si>
  <si>
    <t>TAYLORS**</t>
  </si>
  <si>
    <t>* The monitor was terminated in March &lt;&gt; ** The monitor was terminated in August</t>
  </si>
  <si>
    <t>LAURENS COUNTY OFFICE COMPLEX**</t>
  </si>
  <si>
    <t>ENRIGHT (REX) ATHLETIC CENTER*</t>
  </si>
  <si>
    <t>BATES HOUSE (USC)*</t>
  </si>
  <si>
    <t>* Relocated from Enright to Bates House &lt;&gt; ** The monitor was terminated</t>
  </si>
  <si>
    <t>**: The monitor was terminated &lt;&gt; *: Relocated from Enright to Bates House</t>
  </si>
  <si>
    <t>ND</t>
  </si>
  <si>
    <t>ND: Not enough data to calculate average.</t>
  </si>
  <si>
    <t>Monitor</t>
  </si>
  <si>
    <t>Type</t>
  </si>
  <si>
    <t>Measurement</t>
  </si>
  <si>
    <t>Scale</t>
  </si>
  <si>
    <t>Dominant</t>
  </si>
  <si>
    <t>Source</t>
  </si>
  <si>
    <t>Project</t>
  </si>
  <si>
    <t>Code</t>
  </si>
  <si>
    <t>HIGHEST CONCENTRATION</t>
  </si>
  <si>
    <t xml:space="preserve">Monitor </t>
  </si>
  <si>
    <t xml:space="preserve">Objective </t>
  </si>
  <si>
    <t>Elevation</t>
  </si>
  <si>
    <t>(meters)</t>
  </si>
  <si>
    <t>075</t>
  </si>
  <si>
    <t>ANDERSON DUSTFALL BUCKET</t>
  </si>
  <si>
    <t>GLASS ELECTRODE</t>
  </si>
  <si>
    <t>INTERMITTENT</t>
  </si>
  <si>
    <t>091</t>
  </si>
  <si>
    <t>HI-VOL</t>
  </si>
  <si>
    <t>GRAVIMETRIC</t>
  </si>
  <si>
    <t>092</t>
  </si>
  <si>
    <t>ATOMIC ABSORPTION</t>
  </si>
  <si>
    <t>020</t>
  </si>
  <si>
    <t>PULSED FLUORESCENT</t>
  </si>
  <si>
    <t>060</t>
  </si>
  <si>
    <t>074</t>
  </si>
  <si>
    <t>CHEMILUMINESCENCE</t>
  </si>
  <si>
    <t>047</t>
  </si>
  <si>
    <t>ULTRA VIOLET</t>
  </si>
  <si>
    <t>063</t>
  </si>
  <si>
    <t>HI-VOL SA/GMW-1200</t>
  </si>
  <si>
    <t>079</t>
  </si>
  <si>
    <t>INSTRUMENTAL-R&amp;P SA246B-INLET</t>
  </si>
  <si>
    <t>TEOM-GRAVIMETRIC</t>
  </si>
  <si>
    <t>118</t>
  </si>
  <si>
    <t>R &amp; P MODEL 2025 PM2.5 SEQUNTL</t>
  </si>
  <si>
    <t>702</t>
  </si>
  <si>
    <t>PM2.5 SCC w/Correction Factor</t>
  </si>
  <si>
    <t>TEOM Gravimetric 50 deg C</t>
  </si>
  <si>
    <t>750</t>
  </si>
  <si>
    <t>Andersen BAM w/PM2.5 SCC</t>
  </si>
  <si>
    <t>Beta Attenuation</t>
  </si>
  <si>
    <t>791</t>
  </si>
  <si>
    <t>OTHR AUTOMATD 2.5 MASS CONCENT</t>
  </si>
  <si>
    <t>SURROGATE MEASURE</t>
  </si>
  <si>
    <t>MIDDLE SCALE</t>
  </si>
  <si>
    <t>NEIGHBORHOOD</t>
  </si>
  <si>
    <t>02</t>
  </si>
  <si>
    <t>REGIONAL SCALE</t>
  </si>
  <si>
    <t>POINT</t>
  </si>
  <si>
    <t>04</t>
  </si>
  <si>
    <t>URBAN SCALE</t>
  </si>
  <si>
    <t>03</t>
  </si>
  <si>
    <t>NAMS</t>
  </si>
  <si>
    <t>05</t>
  </si>
  <si>
    <t>MICROSCALE</t>
  </si>
  <si>
    <t>POLLUTANT</t>
  </si>
  <si>
    <t>MONITORS</t>
  </si>
  <si>
    <t>TOTAL # OF</t>
  </si>
  <si>
    <t>EXCEEDANCES</t>
  </si>
  <si>
    <t>CATEGORY</t>
  </si>
  <si>
    <t>MAXIMUM VALUE</t>
  </si>
  <si>
    <t>NAME</t>
  </si>
  <si>
    <t>Population</t>
  </si>
  <si>
    <t>001</t>
  </si>
  <si>
    <t>003</t>
  </si>
  <si>
    <t>ALLENDALE</t>
  </si>
  <si>
    <t>005</t>
  </si>
  <si>
    <t>007</t>
  </si>
  <si>
    <t>BAMBERG</t>
  </si>
  <si>
    <t>009</t>
  </si>
  <si>
    <t>011</t>
  </si>
  <si>
    <t>013</t>
  </si>
  <si>
    <t>015</t>
  </si>
  <si>
    <t>CALHOUN</t>
  </si>
  <si>
    <t>017</t>
  </si>
  <si>
    <t>019</t>
  </si>
  <si>
    <t>021</t>
  </si>
  <si>
    <t>023</t>
  </si>
  <si>
    <t>025</t>
  </si>
  <si>
    <t>CLARENDON</t>
  </si>
  <si>
    <t>027</t>
  </si>
  <si>
    <t>029</t>
  </si>
  <si>
    <t>031</t>
  </si>
  <si>
    <t>033</t>
  </si>
  <si>
    <t>DORCHESTER</t>
  </si>
  <si>
    <t>035</t>
  </si>
  <si>
    <t>037</t>
  </si>
  <si>
    <t>039</t>
  </si>
  <si>
    <t>041</t>
  </si>
  <si>
    <t>043</t>
  </si>
  <si>
    <t>045</t>
  </si>
  <si>
    <t>049</t>
  </si>
  <si>
    <t>051</t>
  </si>
  <si>
    <t>JASPER</t>
  </si>
  <si>
    <t>053</t>
  </si>
  <si>
    <t>KERSHAW</t>
  </si>
  <si>
    <t>055</t>
  </si>
  <si>
    <t>LANCASTER</t>
  </si>
  <si>
    <t>057</t>
  </si>
  <si>
    <t>059</t>
  </si>
  <si>
    <t>LEE</t>
  </si>
  <si>
    <t>061</t>
  </si>
  <si>
    <t>MC CORMICK</t>
  </si>
  <si>
    <t>065</t>
  </si>
  <si>
    <t>MARION</t>
  </si>
  <si>
    <t>067</t>
  </si>
  <si>
    <t>MARLBORO</t>
  </si>
  <si>
    <t>069</t>
  </si>
  <si>
    <t>NEWBERRY</t>
  </si>
  <si>
    <t>071</t>
  </si>
  <si>
    <t>073</t>
  </si>
  <si>
    <t>ORANGEBURG</t>
  </si>
  <si>
    <t>077</t>
  </si>
  <si>
    <t>SALUDA</t>
  </si>
  <si>
    <t>081</t>
  </si>
  <si>
    <t>083</t>
  </si>
  <si>
    <t>SUMTER</t>
  </si>
  <si>
    <t>085</t>
  </si>
  <si>
    <t>087</t>
  </si>
  <si>
    <t>089</t>
  </si>
  <si>
    <t>CO</t>
  </si>
  <si>
    <t>PM25</t>
  </si>
  <si>
    <t>ID</t>
  </si>
  <si>
    <t>45-055-0001</t>
  </si>
  <si>
    <t>CAMDEN</t>
  </si>
  <si>
    <t>Ozone (1hr)(8hr)</t>
  </si>
  <si>
    <t>(0)(1)</t>
  </si>
  <si>
    <t>(0.106)(0.091)</t>
  </si>
  <si>
    <t>Unhealthy for sensitive groups</t>
  </si>
  <si>
    <t>AQI HEALTH EFFECT</t>
  </si>
  <si>
    <t>N/A</t>
  </si>
  <si>
    <t>(0)(2)</t>
  </si>
  <si>
    <t>(0)(8)</t>
  </si>
  <si>
    <t>(0)(0)</t>
  </si>
  <si>
    <t>(0)(7)</t>
  </si>
  <si>
    <t>(0)(11)</t>
  </si>
  <si>
    <t>(0)(9)</t>
  </si>
  <si>
    <t>STATE TOTAL</t>
  </si>
  <si>
    <t>(0.113)(0.094)</t>
  </si>
  <si>
    <t>(0.117)(0.097)</t>
  </si>
  <si>
    <t>(0.094)(0.084)</t>
  </si>
  <si>
    <t>(0.083)(0.071)</t>
  </si>
  <si>
    <t>(0.100)(0.083)</t>
  </si>
  <si>
    <t>(0.105)(0.097)</t>
  </si>
  <si>
    <t>(0.092)(0.095)</t>
  </si>
  <si>
    <t>(0.086)(0.078)</t>
  </si>
  <si>
    <t>(0.095)(0.085)</t>
  </si>
  <si>
    <t>(0.089)(0.083)</t>
  </si>
  <si>
    <t>(0.099)(0.091)</t>
  </si>
  <si>
    <t>(0.111)(0.096)</t>
  </si>
  <si>
    <t>(0.088)(0.073)</t>
  </si>
  <si>
    <t>(0.086)(0.074)</t>
  </si>
  <si>
    <t>(0.106)(0.098)</t>
  </si>
  <si>
    <t>(0.120)(0.098)</t>
  </si>
  <si>
    <t>(0.113)(0.104)</t>
  </si>
  <si>
    <t>#</t>
  </si>
  <si>
    <r>
      <t xml:space="preserve">#: </t>
    </r>
    <r>
      <rPr>
        <sz val="10"/>
        <rFont val="Arial"/>
        <family val="2"/>
      </rPr>
      <t>Not used to determine health effects as related to the Air Quality Index</t>
    </r>
  </si>
  <si>
    <t>Unhealthy</t>
  </si>
  <si>
    <t>(0)(47)</t>
  </si>
  <si>
    <t>(0.120)(0.104)</t>
  </si>
  <si>
    <t>Good</t>
  </si>
  <si>
    <t>Moderate</t>
  </si>
  <si>
    <t>Number of monitors active during the year</t>
  </si>
  <si>
    <t>TSP</t>
  </si>
  <si>
    <t>South Carolina Active Monitoring Sites</t>
  </si>
  <si>
    <t>Undetermined for low levels</t>
  </si>
  <si>
    <t>[General site information]</t>
  </si>
  <si>
    <t>Definitions of Codes</t>
  </si>
  <si>
    <t>SITE ID:</t>
  </si>
  <si>
    <t xml:space="preserve">45-ccc-ssss </t>
  </si>
  <si>
    <t>where 45 is the EPA state idenfication code, ccc is the county identification code and ssss is the site identification code within the county.</t>
  </si>
  <si>
    <t>MONITOR TYPE:</t>
  </si>
  <si>
    <t>National Air Monitoring Site</t>
  </si>
  <si>
    <t>State and Local Air Monitoring Site</t>
  </si>
  <si>
    <t>Air monitoring site for monitoring an industry</t>
  </si>
  <si>
    <t>A general codes that covers local complaints, special study monitoring, unclassified monitoring and the like</t>
  </si>
  <si>
    <t>PROJECT CODE:</t>
  </si>
  <si>
    <t>Population-oriented surveillance</t>
  </si>
  <si>
    <t>Source-oriented ambient surveillance</t>
  </si>
  <si>
    <t>Background surveillance</t>
  </si>
  <si>
    <t>Complaint investigation</t>
  </si>
  <si>
    <t>Special studies</t>
  </si>
  <si>
    <t>09</t>
  </si>
  <si>
    <t>Duplicate sampling</t>
  </si>
  <si>
    <t>MEASUREMENT SCALE:</t>
  </si>
  <si>
    <t>Several meters to 100 meters</t>
  </si>
  <si>
    <t>100 meters to 0.5 Kilometers</t>
  </si>
  <si>
    <t>0.5 Kilometers to 4.0 Kilometers</t>
  </si>
  <si>
    <t>UNBAN SCALE</t>
  </si>
  <si>
    <t>4.0 Kilometers to 50 Kilometers</t>
  </si>
  <si>
    <t>50 Kilometers to 100's of Kilometers</t>
  </si>
  <si>
    <t>WELFARE RELATED IMPACTS</t>
  </si>
  <si>
    <t>REGIONAL TRANSPORT</t>
  </si>
  <si>
    <t>GENERAL/BACKGROUND</t>
  </si>
  <si>
    <t>POPULATION EXPOSURE</t>
  </si>
  <si>
    <t>SOURCE ORIENTED</t>
  </si>
  <si>
    <t>MAX OZONE CONCENTRATION</t>
  </si>
  <si>
    <t>UPWIND BACKGROUND</t>
  </si>
  <si>
    <t>EXTREME DOWNWIND</t>
  </si>
  <si>
    <r>
      <t xml:space="preserve">Total Suspended Particulate (TSP)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</si>
  <si>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75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Geom. Mean]</t>
    </r>
  </si>
  <si>
    <r>
      <t xml:space="preserve">Lead (Pb)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</si>
  <si>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1.5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Quartly Mean]</t>
    </r>
  </si>
  <si>
    <t>Carbon Monoxide (CO)  -  ppm</t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</si>
  <si>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</si>
  <si>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0.03 ppm Annual, 0.139 ppm 24hr, 0.494 ppm 3hr]</t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</si>
  <si>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>) - ppm</t>
    </r>
  </si>
  <si>
    <t>[Air quality standard = 0.053 ppm Annual Mean]</t>
  </si>
  <si>
    <r>
      <t>Ozone (O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>) - ppm</t>
    </r>
  </si>
  <si>
    <t>[Air quality standard = 0.125 ppm 1hr Daily Max]</t>
  </si>
  <si>
    <t>[Air quality standard = 0.085 ppm 8hr Daily Average Max, 0.08 ppm 3 year 4th Maximum Average]</t>
  </si>
  <si>
    <r>
      <t>Particulate Matter (PM</t>
    </r>
    <r>
      <rPr>
        <b/>
        <i/>
        <vertAlign val="subscript"/>
        <sz val="12"/>
        <rFont val="Arial"/>
        <family val="2"/>
      </rPr>
      <t>10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</si>
  <si>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150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</si>
  <si>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r>
      <t>Particulate Matter (PM</t>
    </r>
    <r>
      <rPr>
        <b/>
        <i/>
        <vertAlign val="subscript"/>
        <sz val="12"/>
        <rFont val="Arial"/>
        <family val="2"/>
      </rPr>
      <t>2.5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</si>
  <si>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Mean, 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24hr]</t>
    </r>
  </si>
  <si>
    <r>
      <t>NO</t>
    </r>
    <r>
      <rPr>
        <vertAlign val="subscript"/>
        <sz val="10"/>
        <rFont val="Arial"/>
        <family val="2"/>
      </rPr>
      <t>2</t>
    </r>
  </si>
  <si>
    <r>
      <t>PM</t>
    </r>
    <r>
      <rPr>
        <vertAlign val="subscript"/>
        <sz val="10"/>
        <rFont val="Arial"/>
        <family val="2"/>
      </rPr>
      <t>10</t>
    </r>
  </si>
  <si>
    <r>
      <t>SO</t>
    </r>
    <r>
      <rPr>
        <vertAlign val="subscript"/>
        <sz val="10"/>
        <rFont val="Arial"/>
        <family val="2"/>
      </rPr>
      <t>2</t>
    </r>
  </si>
  <si>
    <r>
      <t>PM</t>
    </r>
    <r>
      <rPr>
        <vertAlign val="subscript"/>
        <sz val="10"/>
        <rFont val="Arial"/>
        <family val="2"/>
      </rPr>
      <t>2.5</t>
    </r>
  </si>
  <si>
    <t>STATE/COUNTY POLLUTANT YEARLY SUMMARIES</t>
  </si>
  <si>
    <t>[Air quality standard = 35 ppm 1hr Max, 9 ppm 8hr Max]</t>
  </si>
  <si>
    <r>
      <t xml:space="preserve">Carbon Monoxide (CO)  - 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</si>
  <si>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40,000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1hr Max, 10,000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8hr Max]</t>
    </r>
  </si>
  <si>
    <r>
      <t>Sulfur Dioxide (SO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</si>
  <si>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80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Annual, 365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24hr, 1300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3hr]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</si>
  <si>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CO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1.150 * ppm * 1000, to obtain backgound concentrations</t>
    </r>
  </si>
  <si>
    <t xml:space="preserve"> used in air dispersion modeling analyses.</t>
  </si>
  <si>
    <t>Background Concentrations for Modeling Purposes*:</t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</si>
  <si>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SO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2632 * ppm, to obtain backgound concentrations</t>
    </r>
  </si>
  <si>
    <r>
      <t xml:space="preserve">*The ppm concentrations were converted to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concentrations, using the NO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conversion factor </t>
    </r>
    <r>
      <rPr>
        <sz val="10"/>
        <rFont val="Symbol"/>
        <family val="1"/>
        <charset val="2"/>
      </rPr>
      <t>m</t>
    </r>
    <r>
      <rPr>
        <sz val="10"/>
        <rFont val="Arial"/>
      </rPr>
      <t>g/m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= 1887 * ppm, to obtain backgound concentrations</t>
    </r>
  </si>
  <si>
    <r>
      <t>Nitrogen Dioxide (NO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) - </t>
    </r>
    <r>
      <rPr>
        <b/>
        <i/>
        <sz val="12"/>
        <rFont val="Symbol"/>
        <family val="1"/>
        <charset val="2"/>
      </rPr>
      <t>m</t>
    </r>
    <r>
      <rPr>
        <b/>
        <i/>
        <sz val="12"/>
        <rFont val="Arial"/>
        <family val="2"/>
      </rPr>
      <t>g/m</t>
    </r>
    <r>
      <rPr>
        <b/>
        <i/>
        <vertAlign val="superscript"/>
        <sz val="12"/>
        <rFont val="Arial"/>
        <family val="2"/>
      </rPr>
      <t>3</t>
    </r>
  </si>
  <si>
    <r>
      <t xml:space="preserve">[Air quality standard = 100 </t>
    </r>
    <r>
      <rPr>
        <b/>
        <i/>
        <sz val="10"/>
        <rFont val="Symbol"/>
        <family val="1"/>
        <charset val="2"/>
      </rPr>
      <t>m</t>
    </r>
    <r>
      <rPr>
        <b/>
        <i/>
        <sz val="10"/>
        <rFont val="Arial"/>
        <family val="2"/>
      </rPr>
      <t>g/m</t>
    </r>
    <r>
      <rPr>
        <b/>
        <i/>
        <vertAlign val="super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Annual Mean]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</si>
</sst>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8" formatCode="mmmm\ d\,\ yyyy"/>
  </numFmts>
  <fonts count="21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12"/>
      <name val="Times New Roman"/>
    </font>
    <font>
      <sz val="10"/>
      <name val="MS Sans Serif"/>
      <family val="2"/>
    </font>
    <font>
      <b/>
      <i/>
      <sz val="12"/>
      <name val="Symbol"/>
      <family val="1"/>
      <charset val="2"/>
    </font>
    <font>
      <b/>
      <i/>
      <vertAlign val="superscript"/>
      <sz val="12"/>
      <name val="Arial"/>
      <family val="2"/>
    </font>
    <font>
      <b/>
      <i/>
      <sz val="10"/>
      <name val="Symbol"/>
      <family val="1"/>
      <charset val="2"/>
    </font>
    <font>
      <b/>
      <i/>
      <vertAlign val="superscript"/>
      <sz val="10"/>
      <name val="Arial"/>
      <family val="2"/>
    </font>
    <font>
      <b/>
      <i/>
      <vertAlign val="subscript"/>
      <sz val="12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Protection="1">
      <protection locked="0" hidden="1"/>
    </xf>
    <xf numFmtId="166" fontId="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right"/>
    </xf>
    <xf numFmtId="168" fontId="5" fillId="0" borderId="0" xfId="0" applyNumberFormat="1" applyFont="1" applyAlignment="1">
      <alignment horizontal="right"/>
    </xf>
    <xf numFmtId="3" fontId="0" fillId="0" borderId="0" xfId="0" applyNumberFormat="1"/>
    <xf numFmtId="0" fontId="5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Border="1"/>
    <xf numFmtId="0" fontId="7" fillId="0" borderId="0" xfId="0" applyNumberFormat="1" applyFont="1" applyFill="1" applyBorder="1" applyAlignment="1" applyProtection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/>
    <xf numFmtId="164" fontId="8" fillId="0" borderId="0" xfId="0" applyNumberFormat="1" applyFont="1" applyFill="1" applyBorder="1" applyAlignment="1" applyProtection="1">
      <alignment horizontal="center"/>
    </xf>
    <xf numFmtId="3" fontId="8" fillId="0" borderId="0" xfId="0" applyNumberFormat="1" applyFont="1" applyBorder="1" applyAlignment="1">
      <alignment horizontal="center"/>
    </xf>
    <xf numFmtId="168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/>
    </xf>
    <xf numFmtId="0" fontId="5" fillId="0" borderId="0" xfId="0" applyFont="1" applyBorder="1" applyProtection="1">
      <protection locked="0" hidden="1"/>
    </xf>
    <xf numFmtId="1" fontId="5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3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/>
    <xf numFmtId="3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/>
    <xf numFmtId="0" fontId="5" fillId="0" borderId="0" xfId="1" applyFont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49" fontId="5" fillId="0" borderId="0" xfId="1" applyNumberFormat="1" applyFont="1" applyAlignment="1">
      <alignment horizontal="left"/>
    </xf>
    <xf numFmtId="0" fontId="1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ill="1" applyBorder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left" wrapText="1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8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/>
    <xf numFmtId="165" fontId="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49" fontId="8" fillId="0" borderId="0" xfId="0" applyNumberFormat="1" applyFont="1" applyBorder="1" applyAlignment="1">
      <alignment horizontal="center"/>
    </xf>
  </cellXfs>
  <cellStyles count="3">
    <cellStyle name="Normal" xfId="0" builtinId="0"/>
    <cellStyle name="Normal_Book1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F7" sqref="F7"/>
    </sheetView>
  </sheetViews>
  <sheetFormatPr defaultColWidth="10.28515625" defaultRowHeight="12.75" x14ac:dyDescent="0.2"/>
  <cols>
    <col min="1" max="1" width="10.28515625" style="80" customWidth="1"/>
    <col min="2" max="2" width="12.85546875" style="80" customWidth="1"/>
    <col min="3" max="3" width="17.28515625" style="80" bestFit="1" customWidth="1"/>
    <col min="4" max="16384" width="10.28515625" style="80"/>
  </cols>
  <sheetData>
    <row r="1" spans="1:10" ht="15" x14ac:dyDescent="0.2">
      <c r="A1" s="91" t="s">
        <v>474</v>
      </c>
      <c r="B1" s="91"/>
      <c r="C1" s="91"/>
      <c r="D1" s="91"/>
      <c r="E1" s="91"/>
      <c r="F1" s="91"/>
      <c r="G1" s="91"/>
      <c r="H1" s="91"/>
      <c r="I1" s="91"/>
      <c r="J1" s="91"/>
    </row>
    <row r="3" spans="1:10" x14ac:dyDescent="0.2">
      <c r="A3" s="89" t="s">
        <v>475</v>
      </c>
      <c r="B3" s="89"/>
      <c r="C3" s="81" t="s">
        <v>476</v>
      </c>
      <c r="D3" s="92" t="s">
        <v>477</v>
      </c>
      <c r="E3" s="92"/>
      <c r="F3" s="92"/>
      <c r="G3" s="92"/>
      <c r="H3" s="92"/>
      <c r="I3" s="92"/>
      <c r="J3" s="92"/>
    </row>
    <row r="4" spans="1:10" x14ac:dyDescent="0.2">
      <c r="C4" s="82"/>
      <c r="D4" s="92"/>
      <c r="E4" s="92"/>
      <c r="F4" s="92"/>
      <c r="G4" s="92"/>
      <c r="H4" s="92"/>
      <c r="I4" s="92"/>
      <c r="J4" s="92"/>
    </row>
    <row r="6" spans="1:10" x14ac:dyDescent="0.2">
      <c r="A6" s="89" t="s">
        <v>478</v>
      </c>
      <c r="B6" s="89"/>
      <c r="C6" s="80" t="s">
        <v>359</v>
      </c>
      <c r="D6" s="80" t="s">
        <v>479</v>
      </c>
    </row>
    <row r="7" spans="1:10" x14ac:dyDescent="0.2">
      <c r="A7" s="81"/>
      <c r="B7" s="81"/>
      <c r="C7" s="80" t="s">
        <v>247</v>
      </c>
      <c r="D7" s="80" t="s">
        <v>480</v>
      </c>
    </row>
    <row r="8" spans="1:10" x14ac:dyDescent="0.2">
      <c r="C8" s="80" t="s">
        <v>232</v>
      </c>
      <c r="D8" s="80" t="s">
        <v>481</v>
      </c>
    </row>
    <row r="9" spans="1:10" x14ac:dyDescent="0.2">
      <c r="C9" s="80" t="s">
        <v>250</v>
      </c>
      <c r="D9" s="92" t="s">
        <v>482</v>
      </c>
      <c r="E9" s="92"/>
      <c r="F9" s="92"/>
      <c r="G9" s="92"/>
      <c r="H9" s="92"/>
      <c r="I9" s="92"/>
      <c r="J9" s="92"/>
    </row>
    <row r="10" spans="1:10" x14ac:dyDescent="0.2">
      <c r="D10" s="92"/>
      <c r="E10" s="92"/>
      <c r="F10" s="92"/>
      <c r="G10" s="92"/>
      <c r="H10" s="92"/>
      <c r="I10" s="92"/>
      <c r="J10" s="92"/>
    </row>
    <row r="12" spans="1:10" x14ac:dyDescent="0.2">
      <c r="A12" s="89" t="s">
        <v>483</v>
      </c>
      <c r="B12" s="89"/>
      <c r="C12" s="83" t="s">
        <v>248</v>
      </c>
      <c r="D12" s="80" t="s">
        <v>484</v>
      </c>
    </row>
    <row r="13" spans="1:10" x14ac:dyDescent="0.2">
      <c r="C13" s="83" t="s">
        <v>353</v>
      </c>
      <c r="D13" s="80" t="s">
        <v>485</v>
      </c>
    </row>
    <row r="14" spans="1:10" x14ac:dyDescent="0.2">
      <c r="C14" s="83" t="s">
        <v>358</v>
      </c>
      <c r="D14" s="80" t="s">
        <v>486</v>
      </c>
    </row>
    <row r="15" spans="1:10" x14ac:dyDescent="0.2">
      <c r="C15" s="83" t="s">
        <v>356</v>
      </c>
      <c r="D15" s="80" t="s">
        <v>487</v>
      </c>
    </row>
    <row r="16" spans="1:10" x14ac:dyDescent="0.2">
      <c r="C16" s="83" t="s">
        <v>360</v>
      </c>
      <c r="D16" s="80" t="s">
        <v>488</v>
      </c>
    </row>
    <row r="17" spans="1:4" x14ac:dyDescent="0.2">
      <c r="C17" s="83" t="s">
        <v>489</v>
      </c>
      <c r="D17" s="80" t="s">
        <v>490</v>
      </c>
    </row>
    <row r="19" spans="1:4" x14ac:dyDescent="0.2">
      <c r="A19" s="90" t="s">
        <v>491</v>
      </c>
      <c r="B19" s="90"/>
      <c r="C19" s="83" t="s">
        <v>361</v>
      </c>
      <c r="D19" s="80" t="s">
        <v>492</v>
      </c>
    </row>
    <row r="20" spans="1:4" x14ac:dyDescent="0.2">
      <c r="C20" s="83" t="s">
        <v>351</v>
      </c>
      <c r="D20" s="80" t="s">
        <v>493</v>
      </c>
    </row>
    <row r="21" spans="1:4" x14ac:dyDescent="0.2">
      <c r="C21" s="83" t="s">
        <v>352</v>
      </c>
      <c r="D21" s="80" t="s">
        <v>494</v>
      </c>
    </row>
    <row r="22" spans="1:4" x14ac:dyDescent="0.2">
      <c r="C22" s="83" t="s">
        <v>495</v>
      </c>
      <c r="D22" s="80" t="s">
        <v>496</v>
      </c>
    </row>
    <row r="23" spans="1:4" x14ac:dyDescent="0.2">
      <c r="C23" s="83" t="s">
        <v>354</v>
      </c>
      <c r="D23" s="80" t="s">
        <v>497</v>
      </c>
    </row>
  </sheetData>
  <mergeCells count="7">
    <mergeCell ref="A12:B12"/>
    <mergeCell ref="A19:B19"/>
    <mergeCell ref="A1:J1"/>
    <mergeCell ref="D9:J10"/>
    <mergeCell ref="D3:J4"/>
    <mergeCell ref="A3:B3"/>
    <mergeCell ref="A6:B6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Normal="100" workbookViewId="0">
      <selection activeCell="A3" sqref="A3"/>
    </sheetView>
  </sheetViews>
  <sheetFormatPr defaultRowHeight="12.75" x14ac:dyDescent="0.2"/>
  <cols>
    <col min="1" max="1" width="32" bestFit="1" customWidth="1"/>
    <col min="2" max="2" width="6.42578125" bestFit="1" customWidth="1"/>
    <col min="3" max="3" width="5.7109375" customWidth="1"/>
    <col min="4" max="4" width="6.7109375" customWidth="1"/>
    <col min="5" max="5" width="5.85546875" customWidth="1"/>
    <col min="6" max="6" width="10.5703125" customWidth="1"/>
    <col min="7" max="7" width="12.42578125" bestFit="1" customWidth="1"/>
    <col min="8" max="8" width="9.7109375" bestFit="1" customWidth="1"/>
    <col min="9" max="9" width="6.28515625" bestFit="1" customWidth="1"/>
    <col min="10" max="10" width="9.7109375" bestFit="1" customWidth="1"/>
    <col min="11" max="11" width="7.85546875" bestFit="1" customWidth="1"/>
    <col min="12" max="12" width="7.42578125" bestFit="1" customWidth="1"/>
    <col min="13" max="13" width="9.7109375" bestFit="1" customWidth="1"/>
    <col min="14" max="14" width="17.42578125" bestFit="1" customWidth="1"/>
    <col min="15" max="15" width="27.28515625" bestFit="1" customWidth="1"/>
  </cols>
  <sheetData>
    <row r="1" spans="1:15" ht="19.5" x14ac:dyDescent="0.3">
      <c r="A1" s="99" t="s">
        <v>518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14.25" x14ac:dyDescent="0.2">
      <c r="A2" s="94" t="s">
        <v>519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4" spans="1:15" x14ac:dyDescent="0.2">
      <c r="A4" s="15"/>
      <c r="B4" s="53" t="s">
        <v>119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">
      <c r="A5" s="15"/>
      <c r="B5" s="53" t="s">
        <v>120</v>
      </c>
      <c r="C5" s="100" t="s">
        <v>259</v>
      </c>
      <c r="D5" s="100"/>
      <c r="E5" s="100"/>
      <c r="F5" s="100"/>
      <c r="G5" s="53" t="s">
        <v>258</v>
      </c>
      <c r="H5" s="100" t="s">
        <v>172</v>
      </c>
      <c r="I5" s="100"/>
      <c r="J5" s="100"/>
      <c r="K5" s="43" t="s">
        <v>306</v>
      </c>
      <c r="L5" s="43" t="s">
        <v>312</v>
      </c>
      <c r="M5" s="43" t="s">
        <v>310</v>
      </c>
      <c r="N5" s="43" t="s">
        <v>308</v>
      </c>
      <c r="O5" s="43" t="s">
        <v>315</v>
      </c>
    </row>
    <row r="6" spans="1:15" x14ac:dyDescent="0.2">
      <c r="A6" s="6" t="s">
        <v>65</v>
      </c>
      <c r="B6" s="53" t="s">
        <v>5</v>
      </c>
      <c r="C6" s="53" t="s">
        <v>3</v>
      </c>
      <c r="D6" s="53" t="s">
        <v>4</v>
      </c>
      <c r="E6" s="53" t="s">
        <v>255</v>
      </c>
      <c r="F6" s="53" t="s">
        <v>256</v>
      </c>
      <c r="G6" s="41" t="s">
        <v>257</v>
      </c>
      <c r="H6" s="53" t="s">
        <v>164</v>
      </c>
      <c r="I6" s="53" t="s">
        <v>155</v>
      </c>
      <c r="J6" s="56" t="s">
        <v>187</v>
      </c>
      <c r="K6" s="43" t="s">
        <v>307</v>
      </c>
      <c r="L6" s="43" t="s">
        <v>313</v>
      </c>
      <c r="M6" s="43" t="s">
        <v>311</v>
      </c>
      <c r="N6" s="43" t="s">
        <v>309</v>
      </c>
      <c r="O6" s="43" t="s">
        <v>316</v>
      </c>
    </row>
    <row r="7" spans="1:15" x14ac:dyDescent="0.2">
      <c r="A7" s="17" t="s">
        <v>83</v>
      </c>
      <c r="B7" s="16">
        <v>17</v>
      </c>
      <c r="C7" s="16">
        <v>36</v>
      </c>
      <c r="D7" s="16">
        <v>31</v>
      </c>
      <c r="E7" s="16">
        <v>30</v>
      </c>
      <c r="F7" s="16">
        <v>30</v>
      </c>
      <c r="G7" s="16">
        <v>36</v>
      </c>
      <c r="H7" s="16">
        <v>0</v>
      </c>
      <c r="I7" s="16">
        <v>48</v>
      </c>
      <c r="J7" s="20">
        <f>I7/61</f>
        <v>0.78688524590163933</v>
      </c>
      <c r="K7" s="33" t="s">
        <v>247</v>
      </c>
      <c r="L7" s="37" t="s">
        <v>353</v>
      </c>
      <c r="M7" s="37" t="s">
        <v>249</v>
      </c>
      <c r="N7" s="33" t="s">
        <v>352</v>
      </c>
      <c r="O7" s="84" t="s">
        <v>502</v>
      </c>
    </row>
    <row r="8" spans="1:15" x14ac:dyDescent="0.2">
      <c r="A8" s="17" t="s">
        <v>147</v>
      </c>
      <c r="B8" s="16">
        <v>18</v>
      </c>
      <c r="C8" s="16">
        <v>65</v>
      </c>
      <c r="D8" s="16">
        <v>49</v>
      </c>
      <c r="E8" s="16">
        <v>45</v>
      </c>
      <c r="F8" s="16">
        <v>32</v>
      </c>
      <c r="G8" s="16">
        <v>65</v>
      </c>
      <c r="H8" s="16">
        <v>0</v>
      </c>
      <c r="I8" s="16">
        <v>59</v>
      </c>
      <c r="J8" s="20">
        <f>I8/61</f>
        <v>0.96721311475409832</v>
      </c>
      <c r="K8" s="33" t="s">
        <v>247</v>
      </c>
      <c r="L8" s="37" t="s">
        <v>353</v>
      </c>
      <c r="M8" s="37" t="s">
        <v>249</v>
      </c>
      <c r="N8" s="33" t="s">
        <v>352</v>
      </c>
      <c r="O8" s="84" t="s">
        <v>502</v>
      </c>
    </row>
    <row r="9" spans="1:15" x14ac:dyDescent="0.2">
      <c r="A9" s="17" t="s">
        <v>289</v>
      </c>
      <c r="B9" s="16">
        <v>21</v>
      </c>
      <c r="C9" s="16">
        <v>67</v>
      </c>
      <c r="D9" s="16">
        <v>63</v>
      </c>
      <c r="E9" s="16">
        <v>47</v>
      </c>
      <c r="F9" s="16">
        <v>42</v>
      </c>
      <c r="G9" s="16">
        <v>42</v>
      </c>
      <c r="H9" s="16">
        <v>0</v>
      </c>
      <c r="I9" s="16">
        <v>337</v>
      </c>
      <c r="J9" s="20">
        <f>I9/365</f>
        <v>0.92328767123287669</v>
      </c>
      <c r="K9" s="33" t="s">
        <v>359</v>
      </c>
      <c r="L9" s="37" t="s">
        <v>353</v>
      </c>
      <c r="M9" s="37" t="s">
        <v>249</v>
      </c>
      <c r="N9" s="33" t="s">
        <v>352</v>
      </c>
      <c r="O9" s="84" t="s">
        <v>314</v>
      </c>
    </row>
    <row r="10" spans="1:15" x14ac:dyDescent="0.2">
      <c r="A10" s="17" t="s">
        <v>16</v>
      </c>
      <c r="B10" s="16">
        <v>16</v>
      </c>
      <c r="C10" s="16">
        <v>45</v>
      </c>
      <c r="D10" s="16">
        <v>44</v>
      </c>
      <c r="E10" s="16">
        <v>29</v>
      </c>
      <c r="F10" s="16">
        <v>29</v>
      </c>
      <c r="G10" s="16">
        <v>45</v>
      </c>
      <c r="H10" s="16">
        <v>0</v>
      </c>
      <c r="I10" s="16">
        <v>58</v>
      </c>
      <c r="J10" s="20">
        <f>I10/61</f>
        <v>0.95081967213114749</v>
      </c>
      <c r="K10" s="33" t="s">
        <v>247</v>
      </c>
      <c r="L10" s="37" t="s">
        <v>353</v>
      </c>
      <c r="M10" s="37" t="s">
        <v>249</v>
      </c>
      <c r="N10" s="33" t="s">
        <v>354</v>
      </c>
      <c r="O10" s="84" t="s">
        <v>500</v>
      </c>
    </row>
    <row r="11" spans="1:15" x14ac:dyDescent="0.2">
      <c r="A11" s="17" t="s">
        <v>279</v>
      </c>
      <c r="B11" s="16">
        <v>20</v>
      </c>
      <c r="C11" s="16">
        <v>64</v>
      </c>
      <c r="D11" s="16">
        <v>52</v>
      </c>
      <c r="E11" s="16">
        <v>34</v>
      </c>
      <c r="F11" s="16">
        <v>34</v>
      </c>
      <c r="G11" s="16">
        <v>64</v>
      </c>
      <c r="H11" s="16">
        <v>0</v>
      </c>
      <c r="I11" s="16">
        <v>56</v>
      </c>
      <c r="J11" s="20">
        <f>I11/61</f>
        <v>0.91803278688524592</v>
      </c>
      <c r="K11" s="33" t="s">
        <v>247</v>
      </c>
      <c r="L11" s="37" t="s">
        <v>353</v>
      </c>
      <c r="M11" s="37" t="s">
        <v>355</v>
      </c>
      <c r="N11" s="33" t="s">
        <v>352</v>
      </c>
      <c r="O11" s="84" t="s">
        <v>314</v>
      </c>
    </row>
    <row r="12" spans="1:15" x14ac:dyDescent="0.2">
      <c r="A12" s="17" t="s">
        <v>290</v>
      </c>
      <c r="B12" s="16">
        <v>12</v>
      </c>
      <c r="C12" s="16">
        <v>12</v>
      </c>
      <c r="D12" s="16"/>
      <c r="E12" s="16"/>
      <c r="F12" s="16"/>
      <c r="G12" s="16">
        <v>12</v>
      </c>
      <c r="H12" s="16">
        <v>0</v>
      </c>
      <c r="I12" s="16">
        <v>1</v>
      </c>
      <c r="J12" s="20">
        <f>I12/1</f>
        <v>1</v>
      </c>
      <c r="K12" s="33" t="s">
        <v>250</v>
      </c>
      <c r="L12" s="37" t="s">
        <v>356</v>
      </c>
      <c r="M12" s="37" t="s">
        <v>355</v>
      </c>
      <c r="N12" s="33" t="s">
        <v>352</v>
      </c>
      <c r="O12" s="84" t="s">
        <v>502</v>
      </c>
    </row>
    <row r="13" spans="1:15" x14ac:dyDescent="0.2">
      <c r="A13" s="17" t="s">
        <v>291</v>
      </c>
      <c r="B13" s="16">
        <v>14</v>
      </c>
      <c r="C13" s="16">
        <v>14</v>
      </c>
      <c r="D13" s="16"/>
      <c r="E13" s="16"/>
      <c r="F13" s="16"/>
      <c r="G13" s="16">
        <v>14</v>
      </c>
      <c r="H13" s="16">
        <v>0</v>
      </c>
      <c r="I13" s="16">
        <v>1</v>
      </c>
      <c r="J13" s="20">
        <f>I13/1</f>
        <v>1</v>
      </c>
      <c r="K13" s="33" t="s">
        <v>250</v>
      </c>
      <c r="L13" s="37" t="s">
        <v>356</v>
      </c>
      <c r="M13" s="37" t="s">
        <v>355</v>
      </c>
      <c r="N13" s="33" t="s">
        <v>352</v>
      </c>
      <c r="O13" s="84" t="s">
        <v>502</v>
      </c>
    </row>
    <row r="14" spans="1:15" x14ac:dyDescent="0.2">
      <c r="A14" s="17" t="s">
        <v>25</v>
      </c>
      <c r="B14" s="16">
        <v>26</v>
      </c>
      <c r="C14" s="16">
        <v>65</v>
      </c>
      <c r="D14" s="16">
        <v>59</v>
      </c>
      <c r="E14" s="16">
        <v>55</v>
      </c>
      <c r="F14" s="16">
        <v>45</v>
      </c>
      <c r="G14" s="16">
        <v>65</v>
      </c>
      <c r="H14" s="16">
        <v>0</v>
      </c>
      <c r="I14" s="16">
        <v>58</v>
      </c>
      <c r="J14" s="20">
        <f>I14/61</f>
        <v>0.95081967213114749</v>
      </c>
      <c r="K14" s="33" t="s">
        <v>247</v>
      </c>
      <c r="L14" s="37" t="s">
        <v>353</v>
      </c>
      <c r="M14" s="37" t="s">
        <v>355</v>
      </c>
      <c r="N14" s="33" t="s">
        <v>351</v>
      </c>
      <c r="O14" s="84" t="s">
        <v>314</v>
      </c>
    </row>
    <row r="15" spans="1:15" x14ac:dyDescent="0.2">
      <c r="A15" s="17" t="s">
        <v>292</v>
      </c>
      <c r="B15" s="16">
        <v>30</v>
      </c>
      <c r="C15" s="16">
        <v>103</v>
      </c>
      <c r="D15" s="16">
        <v>81</v>
      </c>
      <c r="E15" s="16">
        <v>78</v>
      </c>
      <c r="F15" s="16">
        <v>73</v>
      </c>
      <c r="G15" s="16">
        <v>73</v>
      </c>
      <c r="H15" s="16">
        <v>0</v>
      </c>
      <c r="I15" s="16">
        <v>329</v>
      </c>
      <c r="J15" s="20">
        <f>I15/365</f>
        <v>0.90136986301369859</v>
      </c>
      <c r="K15" s="33" t="s">
        <v>247</v>
      </c>
      <c r="L15" s="37" t="s">
        <v>353</v>
      </c>
      <c r="M15" s="37" t="s">
        <v>355</v>
      </c>
      <c r="N15" s="33" t="s">
        <v>351</v>
      </c>
      <c r="O15" s="84" t="s">
        <v>314</v>
      </c>
    </row>
    <row r="16" spans="1:15" x14ac:dyDescent="0.2">
      <c r="A16" s="17" t="s">
        <v>31</v>
      </c>
      <c r="B16" s="16">
        <v>24</v>
      </c>
      <c r="C16" s="16">
        <v>68</v>
      </c>
      <c r="D16" s="16">
        <v>58</v>
      </c>
      <c r="E16" s="16">
        <v>49</v>
      </c>
      <c r="F16" s="16">
        <v>44</v>
      </c>
      <c r="G16" s="16">
        <v>68</v>
      </c>
      <c r="H16" s="16">
        <v>0</v>
      </c>
      <c r="I16" s="16">
        <v>56</v>
      </c>
      <c r="J16" s="20">
        <f>I16/61</f>
        <v>0.91803278688524592</v>
      </c>
      <c r="K16" s="33" t="s">
        <v>250</v>
      </c>
      <c r="L16" s="37" t="s">
        <v>248</v>
      </c>
      <c r="M16" s="37" t="s">
        <v>355</v>
      </c>
      <c r="N16" s="33" t="s">
        <v>352</v>
      </c>
      <c r="O16" s="84" t="s">
        <v>314</v>
      </c>
    </row>
    <row r="17" spans="1:15" x14ac:dyDescent="0.2">
      <c r="A17" s="17" t="s">
        <v>293</v>
      </c>
      <c r="B17" s="16">
        <v>24</v>
      </c>
      <c r="C17" s="16">
        <v>55</v>
      </c>
      <c r="D17" s="16">
        <v>52</v>
      </c>
      <c r="E17" s="16">
        <v>52</v>
      </c>
      <c r="F17" s="16">
        <v>51</v>
      </c>
      <c r="G17" s="16">
        <v>51</v>
      </c>
      <c r="H17" s="16">
        <v>0</v>
      </c>
      <c r="I17" s="16">
        <v>338</v>
      </c>
      <c r="J17" s="20">
        <f>I17/365</f>
        <v>0.92602739726027394</v>
      </c>
      <c r="K17" s="33" t="s">
        <v>359</v>
      </c>
      <c r="L17" s="37" t="s">
        <v>248</v>
      </c>
      <c r="M17" s="37" t="s">
        <v>249</v>
      </c>
      <c r="N17" s="33" t="s">
        <v>352</v>
      </c>
      <c r="O17" s="84" t="s">
        <v>314</v>
      </c>
    </row>
    <row r="18" spans="1:15" x14ac:dyDescent="0.2">
      <c r="A18" s="17" t="s">
        <v>273</v>
      </c>
      <c r="B18" s="16">
        <v>19</v>
      </c>
      <c r="C18" s="16">
        <v>64</v>
      </c>
      <c r="D18" s="16">
        <v>32</v>
      </c>
      <c r="E18" s="16">
        <v>31</v>
      </c>
      <c r="F18" s="16">
        <v>30</v>
      </c>
      <c r="G18" s="16">
        <v>64</v>
      </c>
      <c r="H18" s="16">
        <v>0</v>
      </c>
      <c r="I18" s="16">
        <v>57</v>
      </c>
      <c r="J18" s="20">
        <f>I18/61</f>
        <v>0.93442622950819676</v>
      </c>
      <c r="K18" s="33" t="s">
        <v>250</v>
      </c>
      <c r="L18" s="37" t="s">
        <v>358</v>
      </c>
      <c r="M18" s="37" t="s">
        <v>249</v>
      </c>
      <c r="N18" s="33" t="s">
        <v>357</v>
      </c>
      <c r="O18" s="84" t="s">
        <v>500</v>
      </c>
    </row>
    <row r="19" spans="1:15" x14ac:dyDescent="0.2">
      <c r="A19" s="17" t="s">
        <v>294</v>
      </c>
      <c r="B19" s="16">
        <v>42</v>
      </c>
      <c r="C19" s="16">
        <v>139</v>
      </c>
      <c r="D19" s="16">
        <v>131</v>
      </c>
      <c r="E19" s="16">
        <v>126</v>
      </c>
      <c r="F19" s="16">
        <v>117</v>
      </c>
      <c r="G19" s="16">
        <v>117</v>
      </c>
      <c r="H19" s="16">
        <v>0</v>
      </c>
      <c r="I19" s="16">
        <v>333</v>
      </c>
      <c r="J19" s="20">
        <f>I19/365</f>
        <v>0.9123287671232877</v>
      </c>
      <c r="K19" s="33" t="s">
        <v>250</v>
      </c>
      <c r="L19" s="37" t="s">
        <v>360</v>
      </c>
      <c r="M19" s="37" t="s">
        <v>355</v>
      </c>
      <c r="N19" s="33" t="s">
        <v>351</v>
      </c>
      <c r="O19" s="84" t="s">
        <v>502</v>
      </c>
    </row>
    <row r="20" spans="1:15" x14ac:dyDescent="0.2">
      <c r="A20" s="17" t="s">
        <v>179</v>
      </c>
      <c r="B20" s="16">
        <v>20</v>
      </c>
      <c r="C20" s="16">
        <v>59</v>
      </c>
      <c r="D20" s="16">
        <v>35</v>
      </c>
      <c r="E20" s="16">
        <v>35</v>
      </c>
      <c r="F20" s="16">
        <v>33</v>
      </c>
      <c r="G20" s="16">
        <v>59</v>
      </c>
      <c r="H20" s="16">
        <v>0</v>
      </c>
      <c r="I20" s="16">
        <v>54</v>
      </c>
      <c r="J20" s="20">
        <f>I20/61</f>
        <v>0.88524590163934425</v>
      </c>
      <c r="K20" s="33" t="s">
        <v>247</v>
      </c>
      <c r="L20" s="37" t="s">
        <v>248</v>
      </c>
      <c r="M20" s="37" t="s">
        <v>249</v>
      </c>
      <c r="N20" s="33" t="s">
        <v>352</v>
      </c>
      <c r="O20" s="84" t="s">
        <v>501</v>
      </c>
    </row>
    <row r="21" spans="1:15" x14ac:dyDescent="0.2">
      <c r="A21" s="17" t="s">
        <v>287</v>
      </c>
      <c r="B21" s="16">
        <v>38</v>
      </c>
      <c r="C21" s="16">
        <v>145</v>
      </c>
      <c r="D21" s="16">
        <v>118</v>
      </c>
      <c r="E21" s="16">
        <v>107</v>
      </c>
      <c r="F21" s="16">
        <v>99</v>
      </c>
      <c r="G21" s="16">
        <v>99</v>
      </c>
      <c r="H21" s="16">
        <v>0</v>
      </c>
      <c r="I21" s="16">
        <v>333</v>
      </c>
      <c r="J21" s="20">
        <f>I21/365</f>
        <v>0.9123287671232877</v>
      </c>
      <c r="K21" s="33" t="s">
        <v>250</v>
      </c>
      <c r="L21" s="37" t="s">
        <v>360</v>
      </c>
      <c r="M21" s="37" t="s">
        <v>355</v>
      </c>
      <c r="N21" s="33" t="s">
        <v>351</v>
      </c>
      <c r="O21" s="84" t="s">
        <v>502</v>
      </c>
    </row>
    <row r="22" spans="1:15" x14ac:dyDescent="0.2">
      <c r="A22" s="17" t="s">
        <v>127</v>
      </c>
      <c r="B22" s="16">
        <v>23</v>
      </c>
      <c r="C22" s="16">
        <v>68</v>
      </c>
      <c r="D22" s="16">
        <v>42</v>
      </c>
      <c r="E22" s="16">
        <v>40</v>
      </c>
      <c r="F22" s="16">
        <v>37</v>
      </c>
      <c r="G22" s="16">
        <v>68</v>
      </c>
      <c r="H22" s="16">
        <v>0</v>
      </c>
      <c r="I22" s="16">
        <v>57</v>
      </c>
      <c r="J22" s="20">
        <f>I22/61</f>
        <v>0.93442622950819676</v>
      </c>
      <c r="K22" s="33" t="s">
        <v>247</v>
      </c>
      <c r="L22" s="37" t="s">
        <v>353</v>
      </c>
      <c r="M22" s="37" t="s">
        <v>249</v>
      </c>
      <c r="N22" s="33" t="s">
        <v>352</v>
      </c>
      <c r="O22" s="84" t="s">
        <v>501</v>
      </c>
    </row>
    <row r="23" spans="1:15" x14ac:dyDescent="0.2">
      <c r="A23" s="17" t="s">
        <v>128</v>
      </c>
      <c r="B23" s="16">
        <v>21</v>
      </c>
      <c r="C23" s="16">
        <v>58</v>
      </c>
      <c r="D23" s="16">
        <v>39</v>
      </c>
      <c r="E23" s="16">
        <v>38</v>
      </c>
      <c r="F23" s="16">
        <v>35</v>
      </c>
      <c r="G23" s="16">
        <v>58</v>
      </c>
      <c r="H23" s="16">
        <v>0</v>
      </c>
      <c r="I23" s="16">
        <v>58</v>
      </c>
      <c r="J23" s="20">
        <f>I23/61</f>
        <v>0.95081967213114749</v>
      </c>
      <c r="K23" s="33" t="s">
        <v>247</v>
      </c>
      <c r="L23" s="37" t="s">
        <v>248</v>
      </c>
      <c r="M23" s="37" t="s">
        <v>249</v>
      </c>
      <c r="N23" s="33" t="s">
        <v>351</v>
      </c>
      <c r="O23" s="84" t="s">
        <v>501</v>
      </c>
    </row>
    <row r="24" spans="1:15" x14ac:dyDescent="0.2">
      <c r="A24" s="17" t="s">
        <v>60</v>
      </c>
      <c r="B24" s="16">
        <v>22</v>
      </c>
      <c r="C24" s="16">
        <v>51</v>
      </c>
      <c r="D24" s="16">
        <v>38</v>
      </c>
      <c r="E24" s="16">
        <v>35</v>
      </c>
      <c r="F24" s="16">
        <v>34</v>
      </c>
      <c r="G24" s="16">
        <v>51</v>
      </c>
      <c r="H24" s="16">
        <v>0</v>
      </c>
      <c r="I24" s="16">
        <v>44</v>
      </c>
      <c r="J24" s="20">
        <f>I24/61</f>
        <v>0.72131147540983609</v>
      </c>
      <c r="K24" s="33" t="s">
        <v>247</v>
      </c>
      <c r="L24" s="37" t="s">
        <v>248</v>
      </c>
      <c r="M24" s="37" t="s">
        <v>249</v>
      </c>
      <c r="N24" s="33" t="s">
        <v>352</v>
      </c>
      <c r="O24" s="84" t="s">
        <v>501</v>
      </c>
    </row>
    <row r="25" spans="1:15" x14ac:dyDescent="0.2">
      <c r="A25" s="17" t="s">
        <v>68</v>
      </c>
      <c r="B25" s="16">
        <v>24</v>
      </c>
      <c r="C25" s="16">
        <v>53</v>
      </c>
      <c r="D25" s="16">
        <v>49</v>
      </c>
      <c r="E25" s="16">
        <v>39</v>
      </c>
      <c r="F25" s="16">
        <v>38</v>
      </c>
      <c r="G25" s="16">
        <v>53</v>
      </c>
      <c r="H25" s="16">
        <v>0</v>
      </c>
      <c r="I25" s="16">
        <v>56</v>
      </c>
      <c r="J25" s="20">
        <f>I25/61</f>
        <v>0.91803278688524592</v>
      </c>
      <c r="K25" s="33" t="s">
        <v>247</v>
      </c>
      <c r="L25" s="37" t="s">
        <v>248</v>
      </c>
      <c r="M25" s="37" t="s">
        <v>249</v>
      </c>
      <c r="N25" s="33" t="s">
        <v>352</v>
      </c>
      <c r="O25" s="84" t="s">
        <v>501</v>
      </c>
    </row>
    <row r="26" spans="1:15" x14ac:dyDescent="0.2">
      <c r="A26" s="17"/>
      <c r="B26" s="16"/>
      <c r="C26" s="16"/>
      <c r="D26" s="16"/>
      <c r="E26" s="16"/>
      <c r="F26" s="16"/>
      <c r="G26" s="16"/>
      <c r="H26" s="16"/>
      <c r="I26" s="16"/>
      <c r="J26" s="20"/>
      <c r="K26" s="15"/>
      <c r="L26" s="15"/>
      <c r="M26" s="15"/>
      <c r="N26" s="15"/>
      <c r="O26" s="15"/>
    </row>
    <row r="27" spans="1:15" x14ac:dyDescent="0.2">
      <c r="A27" s="15" t="s">
        <v>245</v>
      </c>
      <c r="B27" s="23">
        <f>AVERAGE(B7:B25)</f>
        <v>22.684210526315791</v>
      </c>
      <c r="C27" s="15"/>
      <c r="D27" s="16"/>
      <c r="E27" s="16"/>
      <c r="F27" s="16"/>
      <c r="G27" s="23">
        <f>AVERAGE(G7:G25)</f>
        <v>58.10526315789474</v>
      </c>
      <c r="H27" s="23">
        <f>AVERAGE(H7:H25)</f>
        <v>0</v>
      </c>
      <c r="I27" s="23">
        <f>AVERAGE(I7:I25)</f>
        <v>122.78947368421052</v>
      </c>
      <c r="J27" s="21">
        <f>SUM(I7:I25)/2559</f>
        <v>0.91168425166080502</v>
      </c>
      <c r="K27" s="15"/>
      <c r="L27" s="15"/>
      <c r="M27" s="15"/>
      <c r="N27" s="15"/>
      <c r="O27" s="15"/>
    </row>
    <row r="28" spans="1:15" x14ac:dyDescent="0.2">
      <c r="A28" s="15" t="s">
        <v>246</v>
      </c>
      <c r="B28" s="23"/>
      <c r="C28" s="16">
        <f>MAX(C7:F25)</f>
        <v>145</v>
      </c>
      <c r="D28" s="16">
        <v>139</v>
      </c>
      <c r="E28" s="16">
        <v>131</v>
      </c>
      <c r="F28" s="16">
        <v>126</v>
      </c>
      <c r="G28" s="16"/>
      <c r="H28" s="23"/>
      <c r="I28" s="23"/>
      <c r="J28" s="21"/>
      <c r="K28" s="15"/>
      <c r="L28" s="15"/>
      <c r="M28" s="15"/>
      <c r="N28" s="15"/>
      <c r="O28" s="15"/>
    </row>
    <row r="29" spans="1:1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2">
      <c r="A30" s="15" t="s">
        <v>288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2">
      <c r="A32" s="43" t="s">
        <v>261</v>
      </c>
      <c r="B32" s="103" t="s">
        <v>262</v>
      </c>
      <c r="C32" s="103"/>
      <c r="D32" s="103"/>
      <c r="E32" s="103"/>
      <c r="F32" s="103"/>
      <c r="G32" s="103" t="s">
        <v>263</v>
      </c>
      <c r="H32" s="103"/>
      <c r="I32" s="103"/>
      <c r="J32" s="103"/>
      <c r="K32" s="103" t="s">
        <v>264</v>
      </c>
      <c r="L32" s="103"/>
      <c r="M32" s="15"/>
      <c r="N32" s="15"/>
      <c r="O32" s="15"/>
    </row>
    <row r="33" spans="1:15" x14ac:dyDescent="0.2">
      <c r="A33" s="37" t="s">
        <v>335</v>
      </c>
      <c r="B33" s="96" t="s">
        <v>336</v>
      </c>
      <c r="C33" s="96"/>
      <c r="D33" s="96"/>
      <c r="E33" s="96"/>
      <c r="F33" s="96"/>
      <c r="G33" s="96" t="s">
        <v>325</v>
      </c>
      <c r="H33" s="96"/>
      <c r="I33" s="96"/>
      <c r="J33" s="96"/>
      <c r="K33" s="96" t="s">
        <v>322</v>
      </c>
      <c r="L33" s="96"/>
      <c r="M33" s="15"/>
      <c r="N33" s="15"/>
      <c r="O33" s="15"/>
    </row>
    <row r="34" spans="1:15" x14ac:dyDescent="0.2">
      <c r="A34" s="37" t="s">
        <v>337</v>
      </c>
      <c r="B34" s="96" t="s">
        <v>338</v>
      </c>
      <c r="C34" s="96"/>
      <c r="D34" s="96"/>
      <c r="E34" s="96"/>
      <c r="F34" s="96"/>
      <c r="G34" s="96" t="s">
        <v>339</v>
      </c>
      <c r="H34" s="96"/>
      <c r="I34" s="96"/>
      <c r="J34" s="96"/>
      <c r="K34" s="96" t="s">
        <v>268</v>
      </c>
      <c r="L34" s="96"/>
      <c r="M34" s="15"/>
      <c r="N34" s="15"/>
      <c r="O34" s="15"/>
    </row>
    <row r="36" spans="1:15" x14ac:dyDescent="0.2">
      <c r="A36" s="1" t="s">
        <v>469</v>
      </c>
      <c r="C36" s="8">
        <f>COUNTA(A7:A25)</f>
        <v>19</v>
      </c>
      <c r="D36" s="16"/>
      <c r="E36" s="16"/>
      <c r="F36" s="16"/>
      <c r="G36" s="16"/>
      <c r="H36" s="23"/>
      <c r="I36" s="23"/>
      <c r="J36" s="21"/>
      <c r="K36" s="15"/>
      <c r="L36" s="15"/>
      <c r="M36" s="15"/>
      <c r="N36" s="15"/>
      <c r="O36" s="15"/>
    </row>
  </sheetData>
  <mergeCells count="13">
    <mergeCell ref="B33:F33"/>
    <mergeCell ref="G33:J33"/>
    <mergeCell ref="K33:L33"/>
    <mergeCell ref="A1:O1"/>
    <mergeCell ref="A2:O2"/>
    <mergeCell ref="B32:F32"/>
    <mergeCell ref="G32:J32"/>
    <mergeCell ref="K32:L32"/>
    <mergeCell ref="B34:F34"/>
    <mergeCell ref="G34:J34"/>
    <mergeCell ref="K34:L34"/>
    <mergeCell ref="C5:F5"/>
    <mergeCell ref="H5:J5"/>
  </mergeCells>
  <phoneticPr fontId="0" type="noConversion"/>
  <printOptions horizontalCentered="1"/>
  <pageMargins left="0.1" right="0.1" top="0.25" bottom="0.5" header="0" footer="0"/>
  <pageSetup scale="78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Normal="100" workbookViewId="0">
      <selection activeCell="A3" sqref="A3"/>
    </sheetView>
  </sheetViews>
  <sheetFormatPr defaultRowHeight="12.75" x14ac:dyDescent="0.2"/>
  <cols>
    <col min="1" max="1" width="38.28515625" bestFit="1" customWidth="1"/>
    <col min="2" max="2" width="7.140625" bestFit="1" customWidth="1"/>
    <col min="3" max="3" width="6.85546875" customWidth="1"/>
    <col min="4" max="4" width="8.140625" customWidth="1"/>
    <col min="5" max="5" width="7.42578125" customWidth="1"/>
    <col min="6" max="6" width="8" customWidth="1"/>
    <col min="7" max="7" width="12.42578125" bestFit="1" customWidth="1"/>
    <col min="8" max="8" width="8.85546875" bestFit="1" customWidth="1"/>
    <col min="9" max="9" width="6.42578125" bestFit="1" customWidth="1"/>
    <col min="10" max="10" width="9.7109375" bestFit="1" customWidth="1"/>
    <col min="11" max="11" width="7.85546875" bestFit="1" customWidth="1"/>
    <col min="12" max="12" width="7.42578125" bestFit="1" customWidth="1"/>
    <col min="13" max="13" width="9.7109375" bestFit="1" customWidth="1"/>
    <col min="14" max="14" width="17.42578125" bestFit="1" customWidth="1"/>
    <col min="15" max="15" width="27.28515625" bestFit="1" customWidth="1"/>
  </cols>
  <sheetData>
    <row r="1" spans="1:15" ht="19.5" x14ac:dyDescent="0.3">
      <c r="A1" s="99" t="s">
        <v>520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14.25" x14ac:dyDescent="0.2">
      <c r="A2" s="94" t="s">
        <v>521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5" x14ac:dyDescent="0.2">
      <c r="A4" s="25"/>
      <c r="B4" s="53" t="s">
        <v>119</v>
      </c>
      <c r="C4" s="25"/>
      <c r="D4" s="25"/>
      <c r="E4" s="25"/>
      <c r="F4" s="25"/>
      <c r="G4" s="25"/>
      <c r="H4" s="25"/>
      <c r="I4" s="25"/>
      <c r="J4" s="25"/>
      <c r="K4" s="15"/>
      <c r="L4" s="15"/>
      <c r="M4" s="15"/>
      <c r="N4" s="15"/>
      <c r="O4" s="15"/>
    </row>
    <row r="5" spans="1:15" x14ac:dyDescent="0.2">
      <c r="A5" s="49"/>
      <c r="B5" s="53" t="s">
        <v>120</v>
      </c>
      <c r="C5" s="100" t="s">
        <v>259</v>
      </c>
      <c r="D5" s="100"/>
      <c r="E5" s="100"/>
      <c r="F5" s="100"/>
      <c r="G5" s="53" t="s">
        <v>260</v>
      </c>
      <c r="H5" s="100" t="s">
        <v>172</v>
      </c>
      <c r="I5" s="100"/>
      <c r="J5" s="100"/>
      <c r="K5" s="43" t="s">
        <v>306</v>
      </c>
      <c r="L5" s="43" t="s">
        <v>312</v>
      </c>
      <c r="M5" s="43" t="s">
        <v>310</v>
      </c>
      <c r="N5" s="43" t="s">
        <v>308</v>
      </c>
      <c r="O5" s="43" t="s">
        <v>315</v>
      </c>
    </row>
    <row r="6" spans="1:15" x14ac:dyDescent="0.2">
      <c r="A6" s="54" t="s">
        <v>65</v>
      </c>
      <c r="B6" s="53" t="s">
        <v>5</v>
      </c>
      <c r="C6" s="53" t="s">
        <v>3</v>
      </c>
      <c r="D6" s="53" t="s">
        <v>4</v>
      </c>
      <c r="E6" s="53" t="s">
        <v>255</v>
      </c>
      <c r="F6" s="53" t="s">
        <v>256</v>
      </c>
      <c r="G6" s="41" t="s">
        <v>257</v>
      </c>
      <c r="H6" s="53" t="s">
        <v>171</v>
      </c>
      <c r="I6" s="53" t="s">
        <v>155</v>
      </c>
      <c r="J6" s="56" t="s">
        <v>187</v>
      </c>
      <c r="K6" s="43" t="s">
        <v>307</v>
      </c>
      <c r="L6" s="43" t="s">
        <v>313</v>
      </c>
      <c r="M6" s="43" t="s">
        <v>311</v>
      </c>
      <c r="N6" s="43" t="s">
        <v>309</v>
      </c>
      <c r="O6" s="43" t="s">
        <v>316</v>
      </c>
    </row>
    <row r="7" spans="1:15" x14ac:dyDescent="0.2">
      <c r="A7" s="17" t="s">
        <v>285</v>
      </c>
      <c r="B7" s="58">
        <v>16.399999999999999</v>
      </c>
      <c r="C7" s="58">
        <v>54</v>
      </c>
      <c r="D7" s="58">
        <v>41</v>
      </c>
      <c r="E7" s="58">
        <v>40</v>
      </c>
      <c r="F7" s="58">
        <v>35</v>
      </c>
      <c r="G7" s="23">
        <v>33</v>
      </c>
      <c r="H7" s="16">
        <v>0</v>
      </c>
      <c r="I7" s="16">
        <v>314</v>
      </c>
      <c r="J7" s="20">
        <f>I7/365</f>
        <v>0.86027397260273974</v>
      </c>
      <c r="K7" s="33" t="s">
        <v>250</v>
      </c>
      <c r="L7" s="37" t="s">
        <v>248</v>
      </c>
      <c r="M7" s="37" t="s">
        <v>249</v>
      </c>
      <c r="N7" s="33" t="s">
        <v>357</v>
      </c>
      <c r="O7" s="84" t="s">
        <v>314</v>
      </c>
    </row>
    <row r="8" spans="1:15" x14ac:dyDescent="0.2">
      <c r="A8" s="17" t="s">
        <v>11</v>
      </c>
      <c r="B8" s="58">
        <v>11.5</v>
      </c>
      <c r="C8" s="58">
        <v>29.6</v>
      </c>
      <c r="D8" s="58">
        <v>28.5</v>
      </c>
      <c r="E8" s="58">
        <v>25</v>
      </c>
      <c r="F8" s="58">
        <v>24.9</v>
      </c>
      <c r="G8" s="23">
        <v>25</v>
      </c>
      <c r="H8" s="16">
        <v>0</v>
      </c>
      <c r="I8" s="16">
        <v>113</v>
      </c>
      <c r="J8" s="20">
        <f>I8/121</f>
        <v>0.93388429752066116</v>
      </c>
      <c r="K8" s="33" t="s">
        <v>247</v>
      </c>
      <c r="L8" s="37" t="s">
        <v>248</v>
      </c>
      <c r="M8" s="37" t="s">
        <v>249</v>
      </c>
      <c r="N8" s="33" t="s">
        <v>352</v>
      </c>
      <c r="O8" s="84" t="s">
        <v>501</v>
      </c>
    </row>
    <row r="9" spans="1:15" x14ac:dyDescent="0.2">
      <c r="A9" s="17" t="s">
        <v>16</v>
      </c>
      <c r="B9" s="58">
        <v>11</v>
      </c>
      <c r="C9" s="58">
        <v>27.4</v>
      </c>
      <c r="D9" s="58">
        <v>25.5</v>
      </c>
      <c r="E9" s="58">
        <v>24.1</v>
      </c>
      <c r="F9" s="58">
        <v>21.3</v>
      </c>
      <c r="G9" s="23">
        <v>26</v>
      </c>
      <c r="H9" s="16">
        <v>0</v>
      </c>
      <c r="I9" s="16">
        <v>84</v>
      </c>
      <c r="J9" s="20">
        <f>I9/121</f>
        <v>0.69421487603305787</v>
      </c>
      <c r="K9" s="33" t="s">
        <v>247</v>
      </c>
      <c r="L9" s="37" t="s">
        <v>353</v>
      </c>
      <c r="M9" s="37" t="s">
        <v>249</v>
      </c>
      <c r="N9" s="33" t="s">
        <v>354</v>
      </c>
      <c r="O9" s="84" t="s">
        <v>500</v>
      </c>
    </row>
    <row r="10" spans="1:15" x14ac:dyDescent="0.2">
      <c r="A10" s="17" t="s">
        <v>167</v>
      </c>
      <c r="B10" s="58">
        <v>12</v>
      </c>
      <c r="C10" s="58">
        <v>29.6</v>
      </c>
      <c r="D10" s="58">
        <v>28.7</v>
      </c>
      <c r="E10" s="58">
        <v>27.8</v>
      </c>
      <c r="F10" s="58">
        <v>27.2</v>
      </c>
      <c r="G10" s="23">
        <v>26</v>
      </c>
      <c r="H10" s="16">
        <v>0</v>
      </c>
      <c r="I10" s="16">
        <v>353</v>
      </c>
      <c r="J10" s="20">
        <f>I10/365</f>
        <v>0.9671232876712329</v>
      </c>
      <c r="K10" s="33" t="s">
        <v>247</v>
      </c>
      <c r="L10" s="37" t="s">
        <v>248</v>
      </c>
      <c r="M10" s="37" t="s">
        <v>249</v>
      </c>
      <c r="N10" s="33" t="s">
        <v>352</v>
      </c>
      <c r="O10" s="84" t="s">
        <v>501</v>
      </c>
    </row>
    <row r="11" spans="1:15" x14ac:dyDescent="0.2">
      <c r="A11" s="17" t="s">
        <v>168</v>
      </c>
      <c r="B11" s="58">
        <v>11.5</v>
      </c>
      <c r="C11" s="58">
        <v>27.2</v>
      </c>
      <c r="D11" s="58">
        <v>26.8</v>
      </c>
      <c r="E11" s="58">
        <v>26.7</v>
      </c>
      <c r="F11" s="58">
        <v>26.7</v>
      </c>
      <c r="G11" s="23">
        <v>26</v>
      </c>
      <c r="H11" s="16">
        <v>0</v>
      </c>
      <c r="I11" s="16">
        <v>341</v>
      </c>
      <c r="J11" s="20">
        <f>I11/365</f>
        <v>0.9342465753424658</v>
      </c>
      <c r="K11" s="33" t="s">
        <v>247</v>
      </c>
      <c r="L11" s="37" t="s">
        <v>248</v>
      </c>
      <c r="M11" s="37" t="s">
        <v>249</v>
      </c>
      <c r="N11" s="33" t="s">
        <v>352</v>
      </c>
      <c r="O11" s="84" t="s">
        <v>501</v>
      </c>
    </row>
    <row r="12" spans="1:15" x14ac:dyDescent="0.2">
      <c r="A12" s="17" t="s">
        <v>207</v>
      </c>
      <c r="B12" s="16">
        <v>12.3</v>
      </c>
      <c r="C12" s="58">
        <v>28.1</v>
      </c>
      <c r="D12" s="58">
        <v>26.2</v>
      </c>
      <c r="E12" s="58">
        <v>24.2</v>
      </c>
      <c r="F12" s="58">
        <v>24</v>
      </c>
      <c r="G12" s="23">
        <v>24</v>
      </c>
      <c r="H12" s="16">
        <v>0</v>
      </c>
      <c r="I12" s="16">
        <v>113</v>
      </c>
      <c r="J12" s="20">
        <f>I12/121</f>
        <v>0.93388429752066116</v>
      </c>
      <c r="K12" s="33" t="s">
        <v>250</v>
      </c>
      <c r="L12" s="37" t="s">
        <v>358</v>
      </c>
      <c r="M12" s="37" t="s">
        <v>249</v>
      </c>
      <c r="N12" s="33" t="s">
        <v>354</v>
      </c>
      <c r="O12" s="84" t="s">
        <v>499</v>
      </c>
    </row>
    <row r="13" spans="1:15" x14ac:dyDescent="0.2">
      <c r="A13" s="17" t="s">
        <v>286</v>
      </c>
      <c r="B13" s="58">
        <v>12.7</v>
      </c>
      <c r="C13" s="58">
        <v>71</v>
      </c>
      <c r="D13" s="58">
        <v>32</v>
      </c>
      <c r="E13" s="58">
        <v>30</v>
      </c>
      <c r="F13" s="58">
        <v>28</v>
      </c>
      <c r="G13" s="23">
        <v>27</v>
      </c>
      <c r="H13" s="16">
        <v>1</v>
      </c>
      <c r="I13" s="16">
        <v>340</v>
      </c>
      <c r="J13" s="20">
        <f>I13/365</f>
        <v>0.93150684931506844</v>
      </c>
      <c r="K13" s="33" t="s">
        <v>250</v>
      </c>
      <c r="L13" s="37" t="s">
        <v>358</v>
      </c>
      <c r="M13" s="37" t="s">
        <v>249</v>
      </c>
      <c r="N13" s="33" t="s">
        <v>357</v>
      </c>
      <c r="O13" s="84" t="s">
        <v>500</v>
      </c>
    </row>
    <row r="14" spans="1:15" x14ac:dyDescent="0.2">
      <c r="A14" s="17" t="s">
        <v>107</v>
      </c>
      <c r="B14" s="58">
        <v>12.6</v>
      </c>
      <c r="C14" s="58">
        <v>31.6</v>
      </c>
      <c r="D14" s="58">
        <v>29.1</v>
      </c>
      <c r="E14" s="58">
        <v>24.6</v>
      </c>
      <c r="F14" s="58">
        <v>24.3</v>
      </c>
      <c r="G14" s="23">
        <v>25</v>
      </c>
      <c r="H14" s="16">
        <v>0</v>
      </c>
      <c r="I14" s="16">
        <v>112</v>
      </c>
      <c r="J14" s="20">
        <f>I14/121</f>
        <v>0.92561983471074383</v>
      </c>
      <c r="K14" s="33" t="s">
        <v>247</v>
      </c>
      <c r="L14" s="37" t="s">
        <v>358</v>
      </c>
      <c r="M14" s="37" t="s">
        <v>251</v>
      </c>
      <c r="N14" s="33" t="s">
        <v>357</v>
      </c>
      <c r="O14" s="84" t="s">
        <v>500</v>
      </c>
    </row>
    <row r="15" spans="1:15" x14ac:dyDescent="0.2">
      <c r="A15" s="17" t="s">
        <v>169</v>
      </c>
      <c r="B15" s="58">
        <v>13.1</v>
      </c>
      <c r="C15" s="58">
        <v>26.7</v>
      </c>
      <c r="D15" s="58">
        <v>26.3</v>
      </c>
      <c r="E15" s="58">
        <v>24.3</v>
      </c>
      <c r="F15" s="58">
        <v>24</v>
      </c>
      <c r="G15" s="23">
        <v>24</v>
      </c>
      <c r="H15" s="16">
        <v>0</v>
      </c>
      <c r="I15" s="16">
        <v>109</v>
      </c>
      <c r="J15" s="20">
        <f>I15/121</f>
        <v>0.90082644628099173</v>
      </c>
      <c r="K15" s="33" t="s">
        <v>247</v>
      </c>
      <c r="L15" s="37" t="s">
        <v>248</v>
      </c>
      <c r="M15" s="37" t="s">
        <v>249</v>
      </c>
      <c r="N15" s="33" t="s">
        <v>352</v>
      </c>
      <c r="O15" s="84" t="s">
        <v>501</v>
      </c>
    </row>
    <row r="16" spans="1:15" x14ac:dyDescent="0.2">
      <c r="A16" s="17" t="s">
        <v>31</v>
      </c>
      <c r="B16" s="58">
        <v>12.3</v>
      </c>
      <c r="C16" s="58">
        <v>27</v>
      </c>
      <c r="D16" s="58">
        <v>26.4</v>
      </c>
      <c r="E16" s="58">
        <v>25.4</v>
      </c>
      <c r="F16" s="58">
        <v>24.7</v>
      </c>
      <c r="G16" s="23">
        <v>25</v>
      </c>
      <c r="H16" s="16">
        <v>0</v>
      </c>
      <c r="I16" s="16">
        <v>116</v>
      </c>
      <c r="J16" s="20">
        <f>I16/121</f>
        <v>0.95867768595041325</v>
      </c>
      <c r="K16" s="33" t="s">
        <v>250</v>
      </c>
      <c r="L16" s="37" t="s">
        <v>248</v>
      </c>
      <c r="M16" s="37" t="s">
        <v>249</v>
      </c>
      <c r="N16" s="33" t="s">
        <v>352</v>
      </c>
      <c r="O16" s="84" t="s">
        <v>501</v>
      </c>
    </row>
    <row r="17" spans="1:15" x14ac:dyDescent="0.2">
      <c r="A17" s="15" t="s">
        <v>34</v>
      </c>
      <c r="B17" s="58">
        <v>17</v>
      </c>
      <c r="C17" s="58">
        <v>33.5</v>
      </c>
      <c r="D17" s="58">
        <v>32.200000000000003</v>
      </c>
      <c r="E17" s="58">
        <v>31.1</v>
      </c>
      <c r="F17" s="58">
        <v>30.6</v>
      </c>
      <c r="G17" s="23">
        <v>34</v>
      </c>
      <c r="H17" s="16">
        <v>0</v>
      </c>
      <c r="I17" s="16">
        <v>48</v>
      </c>
      <c r="J17" s="20">
        <f>I17/48</f>
        <v>1</v>
      </c>
      <c r="K17" s="33" t="s">
        <v>247</v>
      </c>
      <c r="L17" s="37" t="s">
        <v>248</v>
      </c>
      <c r="M17" s="37" t="s">
        <v>249</v>
      </c>
      <c r="N17" s="33" t="s">
        <v>352</v>
      </c>
      <c r="O17" s="84" t="s">
        <v>501</v>
      </c>
    </row>
    <row r="18" spans="1:15" x14ac:dyDescent="0.2">
      <c r="A18" s="17" t="s">
        <v>185</v>
      </c>
      <c r="B18" s="58">
        <v>15.2</v>
      </c>
      <c r="C18" s="58">
        <v>62.7</v>
      </c>
      <c r="D18" s="58">
        <v>50.2</v>
      </c>
      <c r="E18" s="58">
        <v>40.700000000000003</v>
      </c>
      <c r="F18" s="58">
        <v>37</v>
      </c>
      <c r="G18" s="23">
        <v>34</v>
      </c>
      <c r="H18" s="16">
        <v>0</v>
      </c>
      <c r="I18" s="16">
        <v>351</v>
      </c>
      <c r="J18" s="20">
        <f>I18/365</f>
        <v>0.9616438356164384</v>
      </c>
      <c r="K18" s="33" t="s">
        <v>247</v>
      </c>
      <c r="L18" s="37" t="s">
        <v>248</v>
      </c>
      <c r="M18" s="37" t="s">
        <v>249</v>
      </c>
      <c r="N18" s="33" t="s">
        <v>352</v>
      </c>
      <c r="O18" s="84" t="s">
        <v>500</v>
      </c>
    </row>
    <row r="19" spans="1:15" x14ac:dyDescent="0.2">
      <c r="A19" s="17" t="s">
        <v>135</v>
      </c>
      <c r="B19" s="58">
        <v>13.6</v>
      </c>
      <c r="C19" s="58">
        <v>31.4</v>
      </c>
      <c r="D19" s="58">
        <v>29.6</v>
      </c>
      <c r="E19" s="58">
        <v>28.2</v>
      </c>
      <c r="F19" s="58">
        <v>27.1</v>
      </c>
      <c r="G19" s="23">
        <v>28</v>
      </c>
      <c r="H19" s="16">
        <v>0</v>
      </c>
      <c r="I19" s="16">
        <v>114</v>
      </c>
      <c r="J19" s="20">
        <f t="shared" ref="J19:J24" si="0">I19/121</f>
        <v>0.94214876033057848</v>
      </c>
      <c r="K19" s="33" t="s">
        <v>247</v>
      </c>
      <c r="L19" s="37" t="s">
        <v>248</v>
      </c>
      <c r="M19" s="37" t="s">
        <v>249</v>
      </c>
      <c r="N19" s="33" t="s">
        <v>352</v>
      </c>
      <c r="O19" s="84" t="s">
        <v>501</v>
      </c>
    </row>
    <row r="20" spans="1:15" x14ac:dyDescent="0.2">
      <c r="A20" s="17" t="s">
        <v>280</v>
      </c>
      <c r="B20" s="58">
        <v>11.6</v>
      </c>
      <c r="C20" s="58">
        <v>27.8</v>
      </c>
      <c r="D20" s="58">
        <v>27.7</v>
      </c>
      <c r="E20" s="58">
        <v>25.7</v>
      </c>
      <c r="F20" s="58">
        <v>25.6</v>
      </c>
      <c r="G20" s="23">
        <v>26</v>
      </c>
      <c r="H20" s="16">
        <v>0</v>
      </c>
      <c r="I20" s="16">
        <v>112</v>
      </c>
      <c r="J20" s="20">
        <f t="shared" si="0"/>
        <v>0.92561983471074383</v>
      </c>
      <c r="K20" s="33" t="s">
        <v>247</v>
      </c>
      <c r="L20" s="37" t="s">
        <v>248</v>
      </c>
      <c r="M20" s="37" t="s">
        <v>249</v>
      </c>
      <c r="N20" s="33" t="s">
        <v>352</v>
      </c>
      <c r="O20" s="84" t="s">
        <v>501</v>
      </c>
    </row>
    <row r="21" spans="1:15" x14ac:dyDescent="0.2">
      <c r="A21" s="17" t="s">
        <v>273</v>
      </c>
      <c r="B21" s="58">
        <v>13.7</v>
      </c>
      <c r="C21" s="58">
        <v>31</v>
      </c>
      <c r="D21" s="58">
        <v>28.1</v>
      </c>
      <c r="E21" s="58">
        <v>26.4</v>
      </c>
      <c r="F21" s="58">
        <v>23.8</v>
      </c>
      <c r="G21" s="23">
        <v>28</v>
      </c>
      <c r="H21" s="16">
        <v>0</v>
      </c>
      <c r="I21" s="16">
        <v>91</v>
      </c>
      <c r="J21" s="20">
        <f t="shared" si="0"/>
        <v>0.75206611570247939</v>
      </c>
      <c r="K21" s="33" t="s">
        <v>250</v>
      </c>
      <c r="L21" s="37" t="s">
        <v>358</v>
      </c>
      <c r="M21" s="37" t="s">
        <v>249</v>
      </c>
      <c r="N21" s="33" t="s">
        <v>357</v>
      </c>
      <c r="O21" s="84" t="s">
        <v>500</v>
      </c>
    </row>
    <row r="22" spans="1:15" x14ac:dyDescent="0.2">
      <c r="A22" s="17" t="s">
        <v>281</v>
      </c>
      <c r="B22" s="58">
        <v>14.1</v>
      </c>
      <c r="C22" s="58">
        <v>33</v>
      </c>
      <c r="D22" s="58">
        <v>28.7</v>
      </c>
      <c r="E22" s="58">
        <v>26</v>
      </c>
      <c r="F22" s="58">
        <v>25.6</v>
      </c>
      <c r="G22" s="23">
        <v>26</v>
      </c>
      <c r="H22" s="16">
        <v>0</v>
      </c>
      <c r="I22" s="16">
        <v>113</v>
      </c>
      <c r="J22" s="20">
        <f t="shared" si="0"/>
        <v>0.93388429752066116</v>
      </c>
      <c r="K22" s="33" t="s">
        <v>247</v>
      </c>
      <c r="L22" s="37" t="s">
        <v>248</v>
      </c>
      <c r="M22" s="37" t="s">
        <v>249</v>
      </c>
      <c r="N22" s="33" t="s">
        <v>357</v>
      </c>
      <c r="O22" s="84" t="s">
        <v>500</v>
      </c>
    </row>
    <row r="23" spans="1:15" x14ac:dyDescent="0.2">
      <c r="A23" s="17" t="s">
        <v>158</v>
      </c>
      <c r="B23" s="58">
        <v>11.2</v>
      </c>
      <c r="C23" s="58">
        <v>42.7</v>
      </c>
      <c r="D23" s="58">
        <v>31.3</v>
      </c>
      <c r="E23" s="58">
        <v>30.4</v>
      </c>
      <c r="F23" s="58">
        <v>28.2</v>
      </c>
      <c r="G23" s="23">
        <v>30</v>
      </c>
      <c r="H23" s="16">
        <v>0</v>
      </c>
      <c r="I23" s="16">
        <v>114</v>
      </c>
      <c r="J23" s="20">
        <f t="shared" si="0"/>
        <v>0.94214876033057848</v>
      </c>
      <c r="K23" s="33" t="s">
        <v>247</v>
      </c>
      <c r="L23" s="37" t="s">
        <v>358</v>
      </c>
      <c r="M23" s="37" t="s">
        <v>249</v>
      </c>
      <c r="N23" s="33" t="s">
        <v>354</v>
      </c>
      <c r="O23" s="84" t="s">
        <v>499</v>
      </c>
    </row>
    <row r="24" spans="1:15" x14ac:dyDescent="0.2">
      <c r="A24" s="17" t="s">
        <v>179</v>
      </c>
      <c r="B24" s="58">
        <v>13.2</v>
      </c>
      <c r="C24" s="58">
        <v>29.1</v>
      </c>
      <c r="D24" s="58">
        <v>26</v>
      </c>
      <c r="E24" s="58">
        <v>24</v>
      </c>
      <c r="F24" s="58">
        <v>24</v>
      </c>
      <c r="G24" s="23">
        <v>24</v>
      </c>
      <c r="H24" s="16">
        <v>0</v>
      </c>
      <c r="I24" s="16">
        <v>120</v>
      </c>
      <c r="J24" s="20">
        <f t="shared" si="0"/>
        <v>0.99173553719008267</v>
      </c>
      <c r="K24" s="33" t="s">
        <v>247</v>
      </c>
      <c r="L24" s="37" t="s">
        <v>248</v>
      </c>
      <c r="M24" s="37" t="s">
        <v>249</v>
      </c>
      <c r="N24" s="33" t="s">
        <v>352</v>
      </c>
      <c r="O24" s="84" t="s">
        <v>501</v>
      </c>
    </row>
    <row r="25" spans="1:15" x14ac:dyDescent="0.2">
      <c r="A25" s="17" t="s">
        <v>287</v>
      </c>
      <c r="B25" s="58">
        <v>16.399999999999999</v>
      </c>
      <c r="C25" s="58">
        <v>40</v>
      </c>
      <c r="D25" s="58">
        <v>39</v>
      </c>
      <c r="E25" s="58">
        <v>37</v>
      </c>
      <c r="F25" s="58">
        <v>34</v>
      </c>
      <c r="G25" s="23">
        <v>30</v>
      </c>
      <c r="H25" s="16">
        <v>0</v>
      </c>
      <c r="I25" s="16">
        <v>334</v>
      </c>
      <c r="J25" s="20">
        <f>I25/365</f>
        <v>0.91506849315068495</v>
      </c>
      <c r="K25" s="33" t="s">
        <v>250</v>
      </c>
      <c r="L25" s="37" t="s">
        <v>360</v>
      </c>
      <c r="M25" s="37" t="s">
        <v>355</v>
      </c>
      <c r="N25" s="33" t="s">
        <v>351</v>
      </c>
      <c r="O25" s="84" t="s">
        <v>502</v>
      </c>
    </row>
    <row r="26" spans="1:15" x14ac:dyDescent="0.2">
      <c r="A26" s="17" t="s">
        <v>127</v>
      </c>
      <c r="B26" s="58">
        <v>14.3</v>
      </c>
      <c r="C26" s="58">
        <v>30.8</v>
      </c>
      <c r="D26" s="58">
        <v>27.9</v>
      </c>
      <c r="E26" s="58">
        <v>26.9</v>
      </c>
      <c r="F26" s="58">
        <v>25.6</v>
      </c>
      <c r="G26" s="23">
        <v>27</v>
      </c>
      <c r="H26" s="16">
        <v>0</v>
      </c>
      <c r="I26" s="16">
        <v>111</v>
      </c>
      <c r="J26" s="20">
        <f>I26/121</f>
        <v>0.9173553719008265</v>
      </c>
      <c r="K26" s="33" t="s">
        <v>247</v>
      </c>
      <c r="L26" s="37" t="s">
        <v>353</v>
      </c>
      <c r="M26" s="37" t="s">
        <v>249</v>
      </c>
      <c r="N26" s="33" t="s">
        <v>352</v>
      </c>
      <c r="O26" s="84" t="s">
        <v>501</v>
      </c>
    </row>
    <row r="27" spans="1:15" x14ac:dyDescent="0.2">
      <c r="A27" s="17" t="s">
        <v>170</v>
      </c>
      <c r="B27" s="58">
        <v>14.5</v>
      </c>
      <c r="C27" s="58">
        <v>44.4</v>
      </c>
      <c r="D27" s="58">
        <v>42.2</v>
      </c>
      <c r="E27" s="58">
        <v>39.299999999999997</v>
      </c>
      <c r="F27" s="58">
        <v>35.299999999999997</v>
      </c>
      <c r="G27" s="23">
        <v>32</v>
      </c>
      <c r="H27" s="16">
        <v>0</v>
      </c>
      <c r="I27" s="16">
        <v>335</v>
      </c>
      <c r="J27" s="20">
        <f>I27/365</f>
        <v>0.9178082191780822</v>
      </c>
      <c r="K27" s="33" t="s">
        <v>247</v>
      </c>
      <c r="L27" s="37" t="s">
        <v>248</v>
      </c>
      <c r="M27" s="37" t="s">
        <v>249</v>
      </c>
      <c r="N27" s="33" t="s">
        <v>352</v>
      </c>
      <c r="O27" s="84" t="s">
        <v>501</v>
      </c>
    </row>
    <row r="28" spans="1:15" x14ac:dyDescent="0.2">
      <c r="A28" s="17" t="s">
        <v>162</v>
      </c>
      <c r="B28" s="58">
        <v>14</v>
      </c>
      <c r="C28" s="58">
        <v>34</v>
      </c>
      <c r="D28" s="58">
        <v>25.3</v>
      </c>
      <c r="E28" s="58">
        <v>25.2</v>
      </c>
      <c r="F28" s="58">
        <v>25.2</v>
      </c>
      <c r="G28" s="23">
        <v>25</v>
      </c>
      <c r="H28" s="16">
        <v>0</v>
      </c>
      <c r="I28" s="16">
        <v>76</v>
      </c>
      <c r="J28" s="20">
        <f>I28/121</f>
        <v>0.62809917355371903</v>
      </c>
      <c r="K28" s="33" t="s">
        <v>250</v>
      </c>
      <c r="L28" s="37" t="s">
        <v>248</v>
      </c>
      <c r="M28" s="37" t="s">
        <v>249</v>
      </c>
      <c r="N28" s="33" t="s">
        <v>357</v>
      </c>
      <c r="O28" s="84" t="s">
        <v>499</v>
      </c>
    </row>
    <row r="29" spans="1:15" x14ac:dyDescent="0.2">
      <c r="A29" s="17"/>
      <c r="B29" s="58"/>
      <c r="C29" s="58"/>
      <c r="D29" s="58"/>
      <c r="E29" s="58"/>
      <c r="F29" s="58"/>
      <c r="G29" s="58"/>
      <c r="H29" s="16"/>
      <c r="I29" s="16"/>
      <c r="J29" s="20"/>
      <c r="K29" s="15"/>
      <c r="L29" s="15"/>
      <c r="M29" s="15"/>
      <c r="N29" s="15"/>
    </row>
    <row r="30" spans="1:15" x14ac:dyDescent="0.2">
      <c r="A30" s="15" t="s">
        <v>245</v>
      </c>
      <c r="B30" s="58">
        <f>AVERAGE(B7:B28)</f>
        <v>13.372727272727269</v>
      </c>
      <c r="C30" s="58"/>
      <c r="D30" s="58"/>
      <c r="E30" s="58"/>
      <c r="F30" s="58"/>
      <c r="G30" s="23">
        <f>AVERAGE(G7:G28)</f>
        <v>27.5</v>
      </c>
      <c r="H30" s="23">
        <f>AVERAGE(H7:H28)</f>
        <v>4.5454545454545456E-2</v>
      </c>
      <c r="I30" s="23">
        <f>AVERAGE(I7:I28)</f>
        <v>177.90909090909091</v>
      </c>
      <c r="J30" s="21">
        <f>AVERAGE(J8:J28)</f>
        <v>0.90512202616810333</v>
      </c>
      <c r="K30" s="15"/>
      <c r="L30" s="15"/>
      <c r="M30" s="15"/>
      <c r="N30" s="15"/>
    </row>
    <row r="31" spans="1:15" x14ac:dyDescent="0.2">
      <c r="A31" s="15" t="s">
        <v>246</v>
      </c>
      <c r="B31" s="58"/>
      <c r="C31" s="58">
        <f>MAX(C7:F28)</f>
        <v>71</v>
      </c>
      <c r="D31" s="58">
        <v>62.7</v>
      </c>
      <c r="E31" s="58">
        <v>54</v>
      </c>
      <c r="F31" s="58">
        <v>50.2</v>
      </c>
      <c r="G31" s="58"/>
      <c r="H31" s="23"/>
      <c r="I31" s="23"/>
      <c r="J31" s="21"/>
      <c r="K31" s="15"/>
      <c r="L31" s="15"/>
      <c r="M31" s="15"/>
      <c r="N31" s="15"/>
      <c r="O31" s="15"/>
    </row>
    <row r="32" spans="1:15" x14ac:dyDescent="0.2">
      <c r="A32" s="15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">
      <c r="A33" s="15" t="s">
        <v>165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2">
      <c r="A35" s="43" t="s">
        <v>261</v>
      </c>
      <c r="B35" s="103" t="s">
        <v>262</v>
      </c>
      <c r="C35" s="103"/>
      <c r="D35" s="103"/>
      <c r="E35" s="103"/>
      <c r="F35" s="103"/>
      <c r="G35" s="103" t="s">
        <v>263</v>
      </c>
      <c r="H35" s="103"/>
      <c r="I35" s="103"/>
      <c r="J35" s="103"/>
      <c r="K35" s="103" t="s">
        <v>264</v>
      </c>
      <c r="L35" s="103"/>
      <c r="M35" s="15"/>
      <c r="N35" s="15"/>
      <c r="O35" s="15"/>
    </row>
    <row r="36" spans="1:15" x14ac:dyDescent="0.2">
      <c r="A36" s="37" t="s">
        <v>340</v>
      </c>
      <c r="B36" s="96" t="s">
        <v>341</v>
      </c>
      <c r="C36" s="96"/>
      <c r="D36" s="96"/>
      <c r="E36" s="96"/>
      <c r="F36" s="96"/>
      <c r="G36" s="96" t="s">
        <v>325</v>
      </c>
      <c r="H36" s="96"/>
      <c r="I36" s="96"/>
      <c r="J36" s="96"/>
      <c r="K36" s="96" t="s">
        <v>322</v>
      </c>
      <c r="L36" s="96"/>
      <c r="M36" s="15"/>
      <c r="N36" s="15"/>
      <c r="O36" s="15"/>
    </row>
    <row r="37" spans="1:15" x14ac:dyDescent="0.2">
      <c r="A37" s="37" t="s">
        <v>342</v>
      </c>
      <c r="B37" s="96" t="s">
        <v>343</v>
      </c>
      <c r="C37" s="96"/>
      <c r="D37" s="96"/>
      <c r="E37" s="96"/>
      <c r="F37" s="96"/>
      <c r="G37" s="96" t="s">
        <v>344</v>
      </c>
      <c r="H37" s="96"/>
      <c r="I37" s="96"/>
      <c r="J37" s="96"/>
      <c r="K37" s="96" t="s">
        <v>268</v>
      </c>
      <c r="L37" s="96"/>
      <c r="M37" s="15"/>
      <c r="N37" s="15"/>
      <c r="O37" s="15"/>
    </row>
    <row r="38" spans="1:15" x14ac:dyDescent="0.2">
      <c r="A38" s="37" t="s">
        <v>345</v>
      </c>
      <c r="B38" s="96" t="s">
        <v>346</v>
      </c>
      <c r="C38" s="96"/>
      <c r="D38" s="96"/>
      <c r="E38" s="96"/>
      <c r="F38" s="96"/>
      <c r="G38" s="96" t="s">
        <v>347</v>
      </c>
      <c r="H38" s="96"/>
      <c r="I38" s="96"/>
      <c r="J38" s="96"/>
      <c r="K38" s="96" t="s">
        <v>268</v>
      </c>
      <c r="L38" s="96"/>
      <c r="M38" s="15"/>
      <c r="N38" s="15"/>
      <c r="O38" s="15"/>
    </row>
    <row r="39" spans="1:15" x14ac:dyDescent="0.2">
      <c r="A39" s="37" t="s">
        <v>348</v>
      </c>
      <c r="B39" s="96" t="s">
        <v>349</v>
      </c>
      <c r="C39" s="96"/>
      <c r="D39" s="96"/>
      <c r="E39" s="96"/>
      <c r="F39" s="96"/>
      <c r="G39" s="96" t="s">
        <v>350</v>
      </c>
      <c r="H39" s="96"/>
      <c r="I39" s="96"/>
      <c r="J39" s="96"/>
      <c r="K39" s="96" t="s">
        <v>268</v>
      </c>
      <c r="L39" s="96"/>
      <c r="M39" s="15"/>
      <c r="N39" s="15"/>
      <c r="O39" s="15"/>
    </row>
    <row r="41" spans="1:15" x14ac:dyDescent="0.2">
      <c r="A41" s="1" t="s">
        <v>469</v>
      </c>
      <c r="B41" s="8">
        <f>COUNTA(A7:A28)</f>
        <v>22</v>
      </c>
      <c r="C41" s="58"/>
      <c r="D41" s="58"/>
      <c r="E41" s="58"/>
      <c r="F41" s="58"/>
      <c r="G41" s="58"/>
      <c r="H41" s="23"/>
      <c r="I41" s="23"/>
      <c r="J41" s="21"/>
      <c r="K41" s="15"/>
      <c r="L41" s="15"/>
      <c r="M41" s="15"/>
      <c r="N41" s="15"/>
      <c r="O41" s="15"/>
    </row>
  </sheetData>
  <mergeCells count="19">
    <mergeCell ref="B38:F38"/>
    <mergeCell ref="G38:J38"/>
    <mergeCell ref="K38:L38"/>
    <mergeCell ref="C5:F5"/>
    <mergeCell ref="H5:J5"/>
    <mergeCell ref="A1:O1"/>
    <mergeCell ref="A2:O2"/>
    <mergeCell ref="B39:F39"/>
    <mergeCell ref="G39:J39"/>
    <mergeCell ref="K39:L39"/>
    <mergeCell ref="B37:F37"/>
    <mergeCell ref="G37:J37"/>
    <mergeCell ref="K37:L37"/>
    <mergeCell ref="B35:F35"/>
    <mergeCell ref="G35:J35"/>
    <mergeCell ref="K35:L35"/>
    <mergeCell ref="B36:F36"/>
    <mergeCell ref="G36:J36"/>
    <mergeCell ref="K36:L36"/>
  </mergeCells>
  <phoneticPr fontId="0" type="noConversion"/>
  <printOptions horizontalCentered="1"/>
  <pageMargins left="0.1" right="0.1" top="0.25" bottom="0.5" header="0" footer="0"/>
  <pageSetup scale="75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zoomScaleNormal="100" workbookViewId="0">
      <selection activeCell="I4" sqref="I4:I5"/>
    </sheetView>
  </sheetViews>
  <sheetFormatPr defaultRowHeight="12.75" x14ac:dyDescent="0.2"/>
  <cols>
    <col min="1" max="1" width="40.85546875" customWidth="1"/>
    <col min="2" max="8" width="6.140625" bestFit="1" customWidth="1"/>
    <col min="9" max="9" width="6.140625" customWidth="1"/>
    <col min="10" max="10" width="5.7109375" customWidth="1"/>
    <col min="11" max="11" width="6.42578125" customWidth="1"/>
    <col min="12" max="12" width="10.28515625" customWidth="1"/>
    <col min="13" max="13" width="7.85546875" bestFit="1" customWidth="1"/>
    <col min="14" max="14" width="7.42578125" bestFit="1" customWidth="1"/>
    <col min="15" max="15" width="9.7109375" bestFit="1" customWidth="1"/>
    <col min="16" max="16" width="14.28515625" bestFit="1" customWidth="1"/>
    <col min="17" max="17" width="24.7109375" bestFit="1" customWidth="1"/>
  </cols>
  <sheetData>
    <row r="1" spans="1:17" ht="15" x14ac:dyDescent="0.2">
      <c r="A1" s="99" t="s">
        <v>188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3" spans="1:17" x14ac:dyDescent="0.2">
      <c r="A3" s="49"/>
      <c r="B3" s="53"/>
      <c r="C3" s="53"/>
      <c r="D3" s="53"/>
      <c r="E3" s="53"/>
      <c r="F3" s="53"/>
      <c r="G3" s="53"/>
      <c r="H3" s="53"/>
      <c r="I3" s="53"/>
      <c r="J3" s="53"/>
      <c r="K3" s="53"/>
      <c r="L3" s="53" t="s">
        <v>200</v>
      </c>
      <c r="M3" s="43" t="s">
        <v>306</v>
      </c>
      <c r="N3" s="43" t="s">
        <v>312</v>
      </c>
      <c r="O3" s="43" t="s">
        <v>310</v>
      </c>
      <c r="P3" s="43" t="s">
        <v>308</v>
      </c>
      <c r="Q3" s="43" t="s">
        <v>315</v>
      </c>
    </row>
    <row r="4" spans="1:17" x14ac:dyDescent="0.2">
      <c r="A4" s="54" t="s">
        <v>65</v>
      </c>
      <c r="B4" s="54" t="s">
        <v>192</v>
      </c>
      <c r="C4" s="54" t="s">
        <v>193</v>
      </c>
      <c r="D4" s="54" t="s">
        <v>194</v>
      </c>
      <c r="E4" s="54" t="s">
        <v>195</v>
      </c>
      <c r="F4" s="54" t="s">
        <v>196</v>
      </c>
      <c r="G4" s="54" t="s">
        <v>197</v>
      </c>
      <c r="H4" s="54" t="s">
        <v>198</v>
      </c>
      <c r="I4" s="54" t="s">
        <v>199</v>
      </c>
      <c r="J4" s="53">
        <v>2000</v>
      </c>
      <c r="K4" s="53">
        <v>2001</v>
      </c>
      <c r="L4" s="53" t="s">
        <v>201</v>
      </c>
      <c r="M4" s="43" t="s">
        <v>307</v>
      </c>
      <c r="N4" s="43" t="s">
        <v>313</v>
      </c>
      <c r="O4" s="43" t="s">
        <v>311</v>
      </c>
      <c r="P4" s="43" t="s">
        <v>309</v>
      </c>
      <c r="Q4" s="43" t="s">
        <v>316</v>
      </c>
    </row>
    <row r="5" spans="1:17" x14ac:dyDescent="0.2">
      <c r="A5" s="17" t="s">
        <v>86</v>
      </c>
      <c r="B5" s="69">
        <v>4.4400000000000004</v>
      </c>
      <c r="C5" s="69">
        <v>4.3438185549116834</v>
      </c>
      <c r="D5" s="69">
        <v>4.4880486520422638</v>
      </c>
      <c r="E5" s="69">
        <v>4.5738399419218148</v>
      </c>
      <c r="F5" s="69">
        <v>4.4756711996952196</v>
      </c>
      <c r="G5" s="69">
        <v>4.5597371093326391</v>
      </c>
      <c r="H5" s="69">
        <v>4.5234995775092637</v>
      </c>
      <c r="I5" s="69">
        <v>4.28</v>
      </c>
      <c r="J5" s="70">
        <v>4.5999999999999996</v>
      </c>
      <c r="K5" s="70">
        <v>4.58</v>
      </c>
      <c r="L5" s="69">
        <f>AVERAGE(B5:K5)</f>
        <v>4.486461503541288</v>
      </c>
      <c r="M5" s="33" t="s">
        <v>250</v>
      </c>
      <c r="N5" s="37" t="s">
        <v>360</v>
      </c>
      <c r="O5" s="37" t="s">
        <v>249</v>
      </c>
      <c r="P5" s="33" t="s">
        <v>357</v>
      </c>
      <c r="Q5" s="84" t="s">
        <v>499</v>
      </c>
    </row>
    <row r="6" spans="1:17" x14ac:dyDescent="0.2">
      <c r="A6" s="17" t="s">
        <v>147</v>
      </c>
      <c r="B6" s="69">
        <v>4.3899999999999997</v>
      </c>
      <c r="C6" s="69">
        <v>4.3785232436175887</v>
      </c>
      <c r="D6" s="69">
        <v>4.5976582705009372</v>
      </c>
      <c r="E6" s="69">
        <v>4.6330832855724768</v>
      </c>
      <c r="F6" s="69">
        <v>4.5181209545170038</v>
      </c>
      <c r="G6" s="69">
        <v>4.6103200304092313</v>
      </c>
      <c r="H6" s="69">
        <v>4.6109513051807074</v>
      </c>
      <c r="I6" s="69">
        <v>4.4090711531933229</v>
      </c>
      <c r="J6" s="70">
        <v>4.67</v>
      </c>
      <c r="K6" s="70">
        <v>4.47</v>
      </c>
      <c r="L6" s="69">
        <f>AVERAGE(B6:K6)</f>
        <v>4.5287728242991268</v>
      </c>
      <c r="M6" s="33" t="s">
        <v>250</v>
      </c>
      <c r="N6" s="37" t="s">
        <v>353</v>
      </c>
      <c r="O6" s="37" t="s">
        <v>249</v>
      </c>
      <c r="P6" s="33" t="s">
        <v>357</v>
      </c>
      <c r="Q6" s="84" t="s">
        <v>250</v>
      </c>
    </row>
    <row r="7" spans="1:17" x14ac:dyDescent="0.2">
      <c r="A7" s="17" t="s">
        <v>282</v>
      </c>
      <c r="B7" s="69">
        <v>4.43</v>
      </c>
      <c r="C7" s="69">
        <v>4.0632497822023934</v>
      </c>
      <c r="D7" s="69">
        <v>4.6887073519907432</v>
      </c>
      <c r="E7" s="69">
        <v>4.4607062951200058</v>
      </c>
      <c r="F7" s="69">
        <v>4.5657774686224712</v>
      </c>
      <c r="G7" s="69">
        <v>4.5725530914052772</v>
      </c>
      <c r="H7" s="69">
        <v>4.6073710059190942</v>
      </c>
      <c r="I7" s="69">
        <v>4.4140479965273167</v>
      </c>
      <c r="J7" s="70">
        <v>4.57</v>
      </c>
      <c r="K7" s="71"/>
      <c r="L7" s="69">
        <f t="shared" ref="L7:L13" si="0">AVERAGE(B7:J7)</f>
        <v>4.485823665754145</v>
      </c>
      <c r="M7" s="33" t="s">
        <v>250</v>
      </c>
      <c r="N7" s="37" t="s">
        <v>353</v>
      </c>
      <c r="O7" s="37" t="s">
        <v>249</v>
      </c>
      <c r="P7" s="33" t="s">
        <v>357</v>
      </c>
      <c r="Q7" s="84" t="s">
        <v>500</v>
      </c>
    </row>
    <row r="8" spans="1:17" x14ac:dyDescent="0.2">
      <c r="A8" s="17" t="s">
        <v>156</v>
      </c>
      <c r="B8" s="69">
        <v>4.3</v>
      </c>
      <c r="C8" s="69">
        <v>4.2576111057007058</v>
      </c>
      <c r="D8" s="69">
        <v>4.3480143476002304</v>
      </c>
      <c r="E8" s="69">
        <v>4.4537239199750998</v>
      </c>
      <c r="F8" s="69">
        <v>4.3715841365854438</v>
      </c>
      <c r="G8" s="69">
        <v>4.4079412585450513</v>
      </c>
      <c r="H8" s="69">
        <v>4.3757725226855957</v>
      </c>
      <c r="I8" s="69">
        <v>4.1500000000000004</v>
      </c>
      <c r="J8" s="70">
        <v>4.57</v>
      </c>
      <c r="K8" s="70">
        <v>4.5</v>
      </c>
      <c r="L8" s="69">
        <f>AVERAGE(B8:K8)</f>
        <v>4.3734647291092124</v>
      </c>
      <c r="M8" s="33" t="s">
        <v>250</v>
      </c>
      <c r="N8" s="37" t="s">
        <v>358</v>
      </c>
      <c r="O8" s="37" t="s">
        <v>249</v>
      </c>
      <c r="P8" s="33" t="s">
        <v>357</v>
      </c>
      <c r="Q8" s="84" t="s">
        <v>499</v>
      </c>
    </row>
    <row r="9" spans="1:17" x14ac:dyDescent="0.2">
      <c r="A9" s="17" t="s">
        <v>31</v>
      </c>
      <c r="B9" s="69"/>
      <c r="C9" s="69"/>
      <c r="D9" s="69"/>
      <c r="E9" s="69"/>
      <c r="F9" s="69"/>
      <c r="G9" s="69"/>
      <c r="H9" s="69"/>
      <c r="I9" s="69"/>
      <c r="J9" s="70"/>
      <c r="K9" s="70">
        <v>4.41</v>
      </c>
      <c r="L9" s="69">
        <f>AVERAGE(B9:K9)</f>
        <v>4.41</v>
      </c>
      <c r="M9" s="33" t="s">
        <v>250</v>
      </c>
      <c r="N9" s="37" t="s">
        <v>248</v>
      </c>
      <c r="O9" s="37" t="s">
        <v>249</v>
      </c>
      <c r="P9" s="33" t="s">
        <v>357</v>
      </c>
      <c r="Q9" s="84" t="s">
        <v>250</v>
      </c>
    </row>
    <row r="10" spans="1:17" x14ac:dyDescent="0.2">
      <c r="A10" s="17" t="s">
        <v>158</v>
      </c>
      <c r="B10" s="69">
        <v>4.42</v>
      </c>
      <c r="C10" s="69">
        <v>4.2794072287932448</v>
      </c>
      <c r="D10" s="69">
        <v>4.5075215102593624</v>
      </c>
      <c r="E10" s="69">
        <v>4.5953853544299479</v>
      </c>
      <c r="F10" s="69">
        <v>4.4273692746559306</v>
      </c>
      <c r="G10" s="69">
        <v>4.5323726002515299</v>
      </c>
      <c r="H10" s="69">
        <v>4.5908503226976194</v>
      </c>
      <c r="I10" s="69">
        <v>4.29</v>
      </c>
      <c r="J10" s="70">
        <v>4.57</v>
      </c>
      <c r="K10" s="70">
        <v>4.5199999999999996</v>
      </c>
      <c r="L10" s="69">
        <f>AVERAGE(B10:K10)</f>
        <v>4.4732906291087629</v>
      </c>
      <c r="M10" s="33" t="s">
        <v>250</v>
      </c>
      <c r="N10" s="37" t="s">
        <v>358</v>
      </c>
      <c r="O10" s="37" t="s">
        <v>249</v>
      </c>
      <c r="P10" s="33" t="s">
        <v>357</v>
      </c>
      <c r="Q10" s="84" t="s">
        <v>499</v>
      </c>
    </row>
    <row r="11" spans="1:17" x14ac:dyDescent="0.2">
      <c r="A11" s="17" t="s">
        <v>278</v>
      </c>
      <c r="B11" s="69">
        <v>4.28</v>
      </c>
      <c r="C11" s="69">
        <v>4.2812385817401912</v>
      </c>
      <c r="D11" s="69">
        <v>4.544889132825614</v>
      </c>
      <c r="E11" s="69">
        <v>4.4867624507322272</v>
      </c>
      <c r="F11" s="69">
        <v>4.5305291762686419</v>
      </c>
      <c r="G11" s="72"/>
      <c r="H11" s="69">
        <v>4.63</v>
      </c>
      <c r="I11" s="69">
        <v>4.37</v>
      </c>
      <c r="J11" s="70">
        <v>4.6500000000000004</v>
      </c>
      <c r="K11" s="70">
        <v>4.6399999999999997</v>
      </c>
      <c r="L11" s="69">
        <f>AVERAGE(B11:K11)</f>
        <v>4.4903799268407418</v>
      </c>
      <c r="M11" s="33" t="s">
        <v>250</v>
      </c>
      <c r="N11" s="37" t="s">
        <v>248</v>
      </c>
      <c r="O11" s="37" t="s">
        <v>249</v>
      </c>
      <c r="P11" s="33" t="s">
        <v>357</v>
      </c>
      <c r="Q11" s="84" t="s">
        <v>250</v>
      </c>
    </row>
    <row r="12" spans="1:17" x14ac:dyDescent="0.2">
      <c r="A12" s="17" t="s">
        <v>277</v>
      </c>
      <c r="B12" s="69">
        <v>4.4400000000000004</v>
      </c>
      <c r="C12" s="69">
        <v>4.2649162030040442</v>
      </c>
      <c r="D12" s="69">
        <v>4.5923819423280934</v>
      </c>
      <c r="E12" s="69">
        <v>4.578317652250953</v>
      </c>
      <c r="F12" s="69">
        <v>4.5155837944028656</v>
      </c>
      <c r="G12" s="69">
        <v>4.4680018443761789</v>
      </c>
      <c r="H12" s="69">
        <v>4.635276399577533</v>
      </c>
      <c r="I12" s="69">
        <v>4.25</v>
      </c>
      <c r="J12" s="70">
        <v>4.4800000000000004</v>
      </c>
      <c r="K12" s="71"/>
      <c r="L12" s="69">
        <f t="shared" si="0"/>
        <v>4.4693864262155181</v>
      </c>
      <c r="M12" s="33" t="s">
        <v>250</v>
      </c>
      <c r="N12" s="37" t="s">
        <v>358</v>
      </c>
      <c r="O12" s="37" t="s">
        <v>249</v>
      </c>
      <c r="P12" s="33" t="s">
        <v>357</v>
      </c>
      <c r="Q12" s="84" t="s">
        <v>500</v>
      </c>
    </row>
    <row r="13" spans="1:17" x14ac:dyDescent="0.2">
      <c r="A13" s="17" t="s">
        <v>283</v>
      </c>
      <c r="B13" s="73"/>
      <c r="C13" s="73"/>
      <c r="D13" s="73"/>
      <c r="E13" s="73"/>
      <c r="F13" s="73"/>
      <c r="G13" s="73"/>
      <c r="H13" s="73"/>
      <c r="I13" s="73"/>
      <c r="J13" s="70">
        <v>4.55</v>
      </c>
      <c r="K13" s="70">
        <v>4.54</v>
      </c>
      <c r="L13" s="69">
        <f t="shared" si="0"/>
        <v>4.55</v>
      </c>
      <c r="M13" s="33" t="s">
        <v>250</v>
      </c>
      <c r="N13" s="37" t="s">
        <v>358</v>
      </c>
      <c r="O13" s="37" t="s">
        <v>249</v>
      </c>
      <c r="P13" s="33" t="s">
        <v>357</v>
      </c>
      <c r="Q13" s="84" t="s">
        <v>500</v>
      </c>
    </row>
    <row r="14" spans="1:17" x14ac:dyDescent="0.2">
      <c r="A14" s="17" t="s">
        <v>284</v>
      </c>
      <c r="B14" s="69">
        <v>4.3899999999999997</v>
      </c>
      <c r="C14" s="69">
        <v>4.3343476298824948</v>
      </c>
      <c r="D14" s="69">
        <v>4.536788119670029</v>
      </c>
      <c r="E14" s="69">
        <v>4.5180549014713058</v>
      </c>
      <c r="F14" s="69">
        <v>4.5056269655078216</v>
      </c>
      <c r="G14" s="69">
        <v>4.5007292942534702</v>
      </c>
      <c r="H14" s="69">
        <v>4.5669603684563889</v>
      </c>
      <c r="I14" s="69">
        <v>4.1500000000000004</v>
      </c>
      <c r="J14" s="70">
        <v>4.5999999999999996</v>
      </c>
      <c r="K14" s="70">
        <v>5.0599999999999996</v>
      </c>
      <c r="L14" s="69">
        <f>AVERAGE(B14:K14)</f>
        <v>4.5162507279241515</v>
      </c>
      <c r="M14" s="33" t="s">
        <v>250</v>
      </c>
      <c r="N14" s="37" t="s">
        <v>360</v>
      </c>
      <c r="O14" s="37" t="s">
        <v>249</v>
      </c>
      <c r="P14" s="33" t="s">
        <v>357</v>
      </c>
      <c r="Q14" s="84" t="s">
        <v>500</v>
      </c>
    </row>
    <row r="15" spans="1:17" x14ac:dyDescent="0.2">
      <c r="A15" s="17"/>
      <c r="B15" s="69"/>
      <c r="C15" s="69"/>
      <c r="D15" s="69"/>
      <c r="E15" s="69"/>
      <c r="F15" s="69"/>
      <c r="G15" s="69"/>
      <c r="H15" s="69"/>
      <c r="I15" s="69"/>
      <c r="J15" s="15"/>
      <c r="K15" s="15"/>
      <c r="L15" s="15"/>
      <c r="M15" s="15"/>
      <c r="N15" s="15"/>
      <c r="O15" s="15"/>
      <c r="P15" s="15"/>
      <c r="Q15" s="15"/>
    </row>
    <row r="16" spans="1:17" x14ac:dyDescent="0.2">
      <c r="A16" s="15" t="s">
        <v>245</v>
      </c>
      <c r="B16" s="69">
        <f t="shared" ref="B16:K16" si="1">AVERAGE(B5:B14)</f>
        <v>4.3862499999999995</v>
      </c>
      <c r="C16" s="69">
        <f t="shared" si="1"/>
        <v>4.2753890412315441</v>
      </c>
      <c r="D16" s="69">
        <f t="shared" si="1"/>
        <v>4.5380011659021591</v>
      </c>
      <c r="E16" s="69">
        <f t="shared" si="1"/>
        <v>4.5374842251842296</v>
      </c>
      <c r="F16" s="69">
        <f t="shared" si="1"/>
        <v>4.4887828712819244</v>
      </c>
      <c r="G16" s="69">
        <f t="shared" si="1"/>
        <v>4.5216650326533401</v>
      </c>
      <c r="H16" s="69">
        <f t="shared" si="1"/>
        <v>4.5675851877532754</v>
      </c>
      <c r="I16" s="69">
        <f t="shared" si="1"/>
        <v>4.2891398937150802</v>
      </c>
      <c r="J16" s="69">
        <f t="shared" si="1"/>
        <v>4.5844444444444443</v>
      </c>
      <c r="K16" s="69">
        <f t="shared" si="1"/>
        <v>4.59</v>
      </c>
      <c r="L16" s="38">
        <f>AVERAGE(B5:K14)</f>
        <v>4.4786589288639869</v>
      </c>
      <c r="M16" s="15"/>
      <c r="N16" s="15"/>
      <c r="O16" s="15"/>
      <c r="P16" s="15"/>
      <c r="Q16" s="15"/>
    </row>
    <row r="17" spans="1:17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">
      <c r="A18" s="15" t="s">
        <v>205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">
      <c r="A19" s="17" t="s">
        <v>215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">
      <c r="A21" s="43" t="s">
        <v>261</v>
      </c>
      <c r="B21" s="103" t="s">
        <v>262</v>
      </c>
      <c r="C21" s="103"/>
      <c r="D21" s="103"/>
      <c r="E21" s="103"/>
      <c r="F21" s="103"/>
      <c r="G21" s="103" t="s">
        <v>263</v>
      </c>
      <c r="H21" s="103"/>
      <c r="I21" s="103"/>
      <c r="J21" s="103"/>
      <c r="K21" s="103" t="s">
        <v>264</v>
      </c>
      <c r="L21" s="103"/>
      <c r="M21" s="15"/>
      <c r="N21" s="15"/>
      <c r="O21" s="15"/>
      <c r="P21" s="15"/>
      <c r="Q21" s="15"/>
    </row>
    <row r="22" spans="1:17" x14ac:dyDescent="0.2">
      <c r="A22" s="37" t="s">
        <v>319</v>
      </c>
      <c r="B22" s="96" t="s">
        <v>320</v>
      </c>
      <c r="C22" s="96"/>
      <c r="D22" s="96"/>
      <c r="E22" s="96"/>
      <c r="F22" s="96"/>
      <c r="G22" s="96" t="s">
        <v>321</v>
      </c>
      <c r="H22" s="96"/>
      <c r="I22" s="96"/>
      <c r="J22" s="96"/>
      <c r="K22" s="96" t="s">
        <v>322</v>
      </c>
      <c r="L22" s="96"/>
      <c r="M22" s="15"/>
      <c r="N22" s="15"/>
      <c r="O22" s="15"/>
      <c r="P22" s="15"/>
      <c r="Q22" s="15"/>
    </row>
    <row r="23" spans="1:1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15"/>
      <c r="N23" s="15"/>
      <c r="O23" s="15"/>
      <c r="P23" s="15"/>
      <c r="Q23" s="15"/>
    </row>
    <row r="24" spans="1:17" x14ac:dyDescent="0.2">
      <c r="A24" s="1" t="s">
        <v>469</v>
      </c>
      <c r="B24" s="8">
        <f>COUNT(K5:K14)</f>
        <v>8</v>
      </c>
      <c r="C24" s="69"/>
      <c r="D24" s="69"/>
      <c r="E24" s="69"/>
      <c r="F24" s="69"/>
      <c r="G24" s="69"/>
      <c r="H24" s="69"/>
      <c r="I24" s="69"/>
      <c r="J24" s="69"/>
      <c r="K24" s="69"/>
      <c r="L24" s="38"/>
      <c r="M24" s="15"/>
      <c r="N24" s="15"/>
      <c r="O24" s="15"/>
      <c r="P24" s="15"/>
      <c r="Q24" s="15"/>
    </row>
  </sheetData>
  <mergeCells count="7">
    <mergeCell ref="B22:F22"/>
    <mergeCell ref="G22:J22"/>
    <mergeCell ref="K22:L22"/>
    <mergeCell ref="A1:Q1"/>
    <mergeCell ref="B21:F21"/>
    <mergeCell ref="G21:J21"/>
    <mergeCell ref="K21:L21"/>
  </mergeCells>
  <phoneticPr fontId="0" type="noConversion"/>
  <printOptions horizontalCentered="1"/>
  <pageMargins left="0.1" right="0.1" top="0.25" bottom="0.5" header="0" footer="0"/>
  <pageSetup scale="77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Normal="100" workbookViewId="0">
      <selection activeCell="A2" sqref="A2"/>
    </sheetView>
  </sheetViews>
  <sheetFormatPr defaultRowHeight="12.75" x14ac:dyDescent="0.2"/>
  <cols>
    <col min="1" max="1" width="15.140625" customWidth="1"/>
    <col min="2" max="2" width="4" bestFit="1" customWidth="1"/>
    <col min="3" max="3" width="10.85546875" bestFit="1" customWidth="1"/>
    <col min="4" max="4" width="14.5703125" style="2" bestFit="1" customWidth="1"/>
    <col min="5" max="5" width="11.85546875" style="2" bestFit="1" customWidth="1"/>
    <col min="6" max="6" width="14.7109375" style="2" bestFit="1" customWidth="1"/>
    <col min="7" max="7" width="17" style="2" customWidth="1"/>
    <col min="8" max="8" width="26.28515625" style="27" bestFit="1" customWidth="1"/>
  </cols>
  <sheetData>
    <row r="1" spans="1:8" ht="15" x14ac:dyDescent="0.2">
      <c r="A1" s="99" t="s">
        <v>526</v>
      </c>
      <c r="B1" s="99"/>
      <c r="C1" s="99"/>
      <c r="D1" s="99"/>
      <c r="E1" s="99"/>
      <c r="F1" s="99"/>
      <c r="G1" s="99"/>
      <c r="H1" s="99"/>
    </row>
    <row r="3" spans="1:8" x14ac:dyDescent="0.2">
      <c r="A3" s="107" t="s">
        <v>2</v>
      </c>
      <c r="B3" s="107"/>
      <c r="C3" s="107"/>
      <c r="E3" s="100" t="s">
        <v>364</v>
      </c>
      <c r="F3" s="100"/>
      <c r="G3" s="100" t="s">
        <v>436</v>
      </c>
      <c r="H3" s="100"/>
    </row>
    <row r="4" spans="1:8" x14ac:dyDescent="0.2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x14ac:dyDescent="0.2">
      <c r="A5" s="75" t="s">
        <v>85</v>
      </c>
      <c r="B5" s="76" t="s">
        <v>370</v>
      </c>
      <c r="C5" s="74">
        <v>23862</v>
      </c>
      <c r="D5" s="2" t="s">
        <v>432</v>
      </c>
      <c r="E5" s="2">
        <v>1</v>
      </c>
      <c r="F5" s="2" t="s">
        <v>433</v>
      </c>
      <c r="G5" s="2" t="s">
        <v>434</v>
      </c>
      <c r="H5" s="27" t="s">
        <v>435</v>
      </c>
    </row>
    <row r="6" spans="1:8" x14ac:dyDescent="0.2">
      <c r="A6" s="75"/>
      <c r="B6" s="76"/>
      <c r="C6" s="74"/>
      <c r="D6" s="2" t="s">
        <v>188</v>
      </c>
      <c r="E6" s="2">
        <v>1</v>
      </c>
      <c r="F6" s="2" t="s">
        <v>437</v>
      </c>
      <c r="G6" s="2">
        <v>4.58</v>
      </c>
      <c r="H6" s="27" t="s">
        <v>462</v>
      </c>
    </row>
    <row r="7" spans="1:8" x14ac:dyDescent="0.2">
      <c r="A7" s="75" t="s">
        <v>7</v>
      </c>
      <c r="B7" s="76" t="s">
        <v>371</v>
      </c>
      <c r="C7" s="74">
        <v>120940</v>
      </c>
      <c r="D7" s="2" t="s">
        <v>470</v>
      </c>
      <c r="E7" s="2">
        <v>1</v>
      </c>
      <c r="F7" s="2" t="s">
        <v>437</v>
      </c>
      <c r="G7" s="2">
        <v>103</v>
      </c>
      <c r="H7" s="27" t="s">
        <v>462</v>
      </c>
    </row>
    <row r="8" spans="1:8" ht="15.75" x14ac:dyDescent="0.3">
      <c r="A8" s="75"/>
      <c r="B8" s="76"/>
      <c r="C8" s="74"/>
      <c r="D8" s="2" t="s">
        <v>522</v>
      </c>
      <c r="E8" s="2">
        <v>1</v>
      </c>
      <c r="F8" s="2">
        <v>0</v>
      </c>
      <c r="G8" s="2">
        <v>1.4999999999999999E-2</v>
      </c>
      <c r="H8" s="27" t="s">
        <v>472</v>
      </c>
    </row>
    <row r="9" spans="1:8" x14ac:dyDescent="0.2">
      <c r="A9" s="75"/>
      <c r="B9" s="76"/>
      <c r="C9" s="74"/>
      <c r="D9" s="2" t="s">
        <v>432</v>
      </c>
      <c r="E9" s="2">
        <v>2</v>
      </c>
      <c r="F9" s="2" t="s">
        <v>438</v>
      </c>
      <c r="G9" s="2" t="s">
        <v>461</v>
      </c>
      <c r="H9" s="27" t="s">
        <v>435</v>
      </c>
    </row>
    <row r="10" spans="1:8" ht="15.75" x14ac:dyDescent="0.3">
      <c r="A10" s="75"/>
      <c r="B10" s="76"/>
      <c r="C10" s="74"/>
      <c r="D10" s="2" t="s">
        <v>523</v>
      </c>
      <c r="E10" s="2">
        <v>1</v>
      </c>
      <c r="F10" s="2">
        <v>0</v>
      </c>
      <c r="G10" s="2">
        <v>36</v>
      </c>
      <c r="H10" s="27" t="s">
        <v>467</v>
      </c>
    </row>
    <row r="11" spans="1:8" x14ac:dyDescent="0.2">
      <c r="A11" s="75" t="s">
        <v>372</v>
      </c>
      <c r="B11" s="76" t="s">
        <v>373</v>
      </c>
      <c r="C11" s="74">
        <v>11722</v>
      </c>
    </row>
    <row r="12" spans="1:8" x14ac:dyDescent="0.2">
      <c r="A12" s="75" t="s">
        <v>88</v>
      </c>
      <c r="B12" s="76" t="s">
        <v>374</v>
      </c>
      <c r="C12" s="74">
        <v>145196</v>
      </c>
      <c r="D12" s="2" t="s">
        <v>432</v>
      </c>
      <c r="E12" s="2">
        <v>1</v>
      </c>
      <c r="F12" s="2" t="s">
        <v>439</v>
      </c>
      <c r="G12" s="2" t="s">
        <v>460</v>
      </c>
      <c r="H12" s="27" t="s">
        <v>435</v>
      </c>
    </row>
    <row r="13" spans="1:8" ht="15.75" x14ac:dyDescent="0.3">
      <c r="A13" s="75"/>
      <c r="B13" s="76"/>
      <c r="C13" s="74"/>
      <c r="D13" s="2" t="s">
        <v>525</v>
      </c>
      <c r="E13" s="2">
        <v>1</v>
      </c>
      <c r="F13" s="2">
        <v>0</v>
      </c>
      <c r="G13" s="77">
        <v>54</v>
      </c>
      <c r="H13" s="27" t="s">
        <v>435</v>
      </c>
    </row>
    <row r="14" spans="1:8" x14ac:dyDescent="0.2">
      <c r="A14" s="75" t="s">
        <v>375</v>
      </c>
      <c r="B14" s="76" t="s">
        <v>376</v>
      </c>
      <c r="C14" s="74">
        <v>16902</v>
      </c>
    </row>
    <row r="15" spans="1:8" ht="15.75" x14ac:dyDescent="0.3">
      <c r="A15" s="75" t="s">
        <v>77</v>
      </c>
      <c r="B15" s="76" t="s">
        <v>377</v>
      </c>
      <c r="C15" s="74">
        <v>20293</v>
      </c>
      <c r="D15" s="2" t="s">
        <v>524</v>
      </c>
      <c r="E15" s="2">
        <v>1</v>
      </c>
      <c r="F15" s="2">
        <v>0</v>
      </c>
      <c r="G15" s="2">
        <v>7.0000000000000001E-3</v>
      </c>
      <c r="H15" s="27" t="s">
        <v>467</v>
      </c>
    </row>
    <row r="16" spans="1:8" ht="15.75" x14ac:dyDescent="0.3">
      <c r="A16" s="75"/>
      <c r="B16" s="76"/>
      <c r="C16" s="74"/>
      <c r="D16" s="2" t="s">
        <v>522</v>
      </c>
      <c r="E16" s="2">
        <v>1</v>
      </c>
      <c r="F16" s="2">
        <v>0</v>
      </c>
      <c r="G16" s="2">
        <v>8.9999999999999993E-3</v>
      </c>
      <c r="H16" s="27" t="s">
        <v>472</v>
      </c>
    </row>
    <row r="17" spans="1:8" x14ac:dyDescent="0.2">
      <c r="A17" s="75"/>
      <c r="B17" s="76"/>
      <c r="C17" s="74"/>
      <c r="D17" s="2" t="s">
        <v>432</v>
      </c>
      <c r="E17" s="2">
        <v>1</v>
      </c>
      <c r="F17" s="2" t="s">
        <v>438</v>
      </c>
      <c r="G17" s="2" t="s">
        <v>459</v>
      </c>
      <c r="H17" s="27" t="s">
        <v>435</v>
      </c>
    </row>
    <row r="18" spans="1:8" ht="15.75" x14ac:dyDescent="0.3">
      <c r="A18" s="75"/>
      <c r="B18" s="76"/>
      <c r="C18" s="74"/>
      <c r="D18" s="2" t="s">
        <v>523</v>
      </c>
      <c r="E18" s="2">
        <v>1</v>
      </c>
      <c r="F18" s="2">
        <v>0</v>
      </c>
      <c r="G18" s="2">
        <v>65</v>
      </c>
      <c r="H18" s="27" t="s">
        <v>468</v>
      </c>
    </row>
    <row r="19" spans="1:8" x14ac:dyDescent="0.2">
      <c r="A19" s="75"/>
      <c r="B19" s="76"/>
      <c r="C19" s="74"/>
      <c r="D19" s="2" t="s">
        <v>188</v>
      </c>
      <c r="E19" s="2">
        <v>1</v>
      </c>
      <c r="F19" s="2" t="s">
        <v>437</v>
      </c>
      <c r="G19" s="2">
        <v>4.47</v>
      </c>
      <c r="H19" s="27" t="s">
        <v>462</v>
      </c>
    </row>
    <row r="20" spans="1:8" x14ac:dyDescent="0.2">
      <c r="A20" s="75" t="s">
        <v>9</v>
      </c>
      <c r="B20" s="76" t="s">
        <v>378</v>
      </c>
      <c r="C20" s="74">
        <v>86425</v>
      </c>
      <c r="D20" s="2" t="s">
        <v>470</v>
      </c>
      <c r="E20" s="2">
        <v>1</v>
      </c>
      <c r="F20" s="2" t="s">
        <v>437</v>
      </c>
      <c r="G20" s="2">
        <v>94</v>
      </c>
      <c r="H20" s="27" t="s">
        <v>462</v>
      </c>
    </row>
    <row r="21" spans="1:8" ht="15.75" x14ac:dyDescent="0.3">
      <c r="A21" s="75"/>
      <c r="B21" s="76"/>
      <c r="C21" s="74"/>
      <c r="D21" s="2" t="s">
        <v>525</v>
      </c>
      <c r="E21" s="2">
        <v>1</v>
      </c>
      <c r="F21" s="2">
        <v>0</v>
      </c>
      <c r="G21" s="2">
        <v>29.6</v>
      </c>
      <c r="H21" s="27" t="s">
        <v>468</v>
      </c>
    </row>
    <row r="22" spans="1:8" x14ac:dyDescent="0.2">
      <c r="A22" s="75" t="s">
        <v>91</v>
      </c>
      <c r="B22" s="76" t="s">
        <v>379</v>
      </c>
      <c r="C22" s="74">
        <v>128776</v>
      </c>
      <c r="D22" s="2" t="s">
        <v>432</v>
      </c>
      <c r="E22" s="2">
        <v>1</v>
      </c>
      <c r="F22" s="2" t="s">
        <v>440</v>
      </c>
      <c r="G22" s="2" t="s">
        <v>458</v>
      </c>
      <c r="H22" s="27" t="s">
        <v>468</v>
      </c>
    </row>
    <row r="23" spans="1:8" x14ac:dyDescent="0.2">
      <c r="A23" s="75" t="s">
        <v>380</v>
      </c>
      <c r="B23" s="76" t="s">
        <v>381</v>
      </c>
      <c r="C23" s="74">
        <v>12753</v>
      </c>
    </row>
    <row r="24" spans="1:8" x14ac:dyDescent="0.2">
      <c r="A24" s="75" t="s">
        <v>13</v>
      </c>
      <c r="B24" s="76" t="s">
        <v>382</v>
      </c>
      <c r="C24" s="74">
        <v>295039</v>
      </c>
      <c r="D24" s="2" t="s">
        <v>470</v>
      </c>
      <c r="E24" s="2">
        <v>3</v>
      </c>
      <c r="F24" s="2" t="s">
        <v>437</v>
      </c>
      <c r="G24" s="2">
        <v>88</v>
      </c>
      <c r="H24" s="27" t="s">
        <v>462</v>
      </c>
    </row>
    <row r="25" spans="1:8" x14ac:dyDescent="0.2">
      <c r="A25" s="75"/>
      <c r="B25" s="76"/>
      <c r="C25" s="74"/>
      <c r="D25" s="2" t="s">
        <v>427</v>
      </c>
      <c r="E25" s="2">
        <v>1</v>
      </c>
      <c r="F25" s="2">
        <v>0</v>
      </c>
      <c r="G25" s="77">
        <v>3</v>
      </c>
      <c r="H25" s="27" t="s">
        <v>467</v>
      </c>
    </row>
    <row r="26" spans="1:8" ht="15.75" x14ac:dyDescent="0.3">
      <c r="A26" s="75"/>
      <c r="B26" s="76"/>
      <c r="C26" s="74"/>
      <c r="D26" s="2" t="s">
        <v>524</v>
      </c>
      <c r="E26" s="2">
        <v>2</v>
      </c>
      <c r="F26" s="2">
        <v>0</v>
      </c>
      <c r="G26" s="2">
        <v>1.2E-2</v>
      </c>
      <c r="H26" s="27" t="s">
        <v>467</v>
      </c>
    </row>
    <row r="27" spans="1:8" ht="15.75" x14ac:dyDescent="0.3">
      <c r="A27" s="75"/>
      <c r="B27" s="76"/>
      <c r="C27" s="74"/>
      <c r="D27" s="2" t="s">
        <v>522</v>
      </c>
      <c r="E27" s="2">
        <v>2</v>
      </c>
      <c r="F27" s="2">
        <v>0</v>
      </c>
      <c r="G27" s="2">
        <v>2.8000000000000001E-2</v>
      </c>
      <c r="H27" s="27" t="s">
        <v>472</v>
      </c>
    </row>
    <row r="28" spans="1:8" ht="12" customHeight="1" x14ac:dyDescent="0.2">
      <c r="A28" s="75"/>
      <c r="B28" s="76"/>
      <c r="C28" s="74"/>
      <c r="D28" s="2" t="s">
        <v>432</v>
      </c>
      <c r="E28" s="2">
        <v>2</v>
      </c>
      <c r="F28" s="2" t="s">
        <v>440</v>
      </c>
      <c r="G28" s="2" t="s">
        <v>457</v>
      </c>
      <c r="H28" s="27" t="s">
        <v>468</v>
      </c>
    </row>
    <row r="29" spans="1:8" ht="15.75" x14ac:dyDescent="0.3">
      <c r="A29" s="75"/>
      <c r="B29" s="76"/>
      <c r="C29" s="74"/>
      <c r="D29" s="2" t="s">
        <v>523</v>
      </c>
      <c r="E29" s="2">
        <v>3</v>
      </c>
      <c r="F29" s="2">
        <v>0</v>
      </c>
      <c r="G29" s="2">
        <v>67</v>
      </c>
      <c r="H29" s="27" t="s">
        <v>468</v>
      </c>
    </row>
    <row r="30" spans="1:8" ht="15.75" x14ac:dyDescent="0.3">
      <c r="A30" s="75"/>
      <c r="B30" s="76"/>
      <c r="C30" s="74"/>
      <c r="D30" s="2" t="s">
        <v>525</v>
      </c>
      <c r="E30" s="2">
        <v>3</v>
      </c>
      <c r="F30" s="2">
        <v>0</v>
      </c>
      <c r="G30" s="2">
        <v>29.6</v>
      </c>
      <c r="H30" s="27" t="s">
        <v>468</v>
      </c>
    </row>
    <row r="31" spans="1:8" x14ac:dyDescent="0.2">
      <c r="A31" s="75" t="s">
        <v>96</v>
      </c>
      <c r="B31" s="76" t="s">
        <v>383</v>
      </c>
      <c r="C31" s="74">
        <v>44506</v>
      </c>
      <c r="D31" s="2" t="s">
        <v>432</v>
      </c>
      <c r="E31" s="2">
        <v>1</v>
      </c>
      <c r="F31" s="2" t="s">
        <v>433</v>
      </c>
      <c r="G31" s="2" t="s">
        <v>456</v>
      </c>
      <c r="H31" s="27" t="s">
        <v>435</v>
      </c>
    </row>
    <row r="32" spans="1:8" x14ac:dyDescent="0.2">
      <c r="A32" s="75"/>
      <c r="B32" s="76"/>
      <c r="C32" s="74"/>
      <c r="D32" s="2" t="s">
        <v>188</v>
      </c>
      <c r="E32" s="2">
        <v>1</v>
      </c>
      <c r="F32" s="2" t="s">
        <v>437</v>
      </c>
      <c r="G32" s="5">
        <v>4.5</v>
      </c>
      <c r="H32" s="27" t="s">
        <v>462</v>
      </c>
    </row>
    <row r="33" spans="1:8" ht="13.5" customHeight="1" x14ac:dyDescent="0.2">
      <c r="A33" s="75" t="s">
        <v>98</v>
      </c>
      <c r="B33" s="76" t="s">
        <v>384</v>
      </c>
      <c r="C33" s="74">
        <v>32170</v>
      </c>
      <c r="D33" s="2" t="s">
        <v>432</v>
      </c>
      <c r="E33" s="2">
        <v>1</v>
      </c>
      <c r="F33" s="2" t="s">
        <v>438</v>
      </c>
      <c r="G33" s="2" t="s">
        <v>455</v>
      </c>
      <c r="H33" s="27" t="s">
        <v>435</v>
      </c>
    </row>
    <row r="34" spans="1:8" ht="15.75" x14ac:dyDescent="0.3">
      <c r="A34" s="75" t="s">
        <v>207</v>
      </c>
      <c r="B34" s="76" t="s">
        <v>385</v>
      </c>
      <c r="C34" s="74">
        <v>38577</v>
      </c>
      <c r="D34" s="2" t="s">
        <v>525</v>
      </c>
      <c r="E34" s="2">
        <v>1</v>
      </c>
      <c r="F34" s="2">
        <v>0</v>
      </c>
      <c r="G34" s="2">
        <v>28.1</v>
      </c>
      <c r="H34" s="27" t="s">
        <v>468</v>
      </c>
    </row>
    <row r="35" spans="1:8" x14ac:dyDescent="0.2">
      <c r="A35" s="75" t="s">
        <v>386</v>
      </c>
      <c r="B35" s="76" t="s">
        <v>387</v>
      </c>
      <c r="C35" s="74">
        <v>28450</v>
      </c>
    </row>
    <row r="36" spans="1:8" x14ac:dyDescent="0.2">
      <c r="A36" s="75" t="s">
        <v>101</v>
      </c>
      <c r="B36" s="76" t="s">
        <v>388</v>
      </c>
      <c r="C36" s="74">
        <v>34377</v>
      </c>
      <c r="D36" s="2" t="s">
        <v>432</v>
      </c>
      <c r="E36" s="2">
        <v>1</v>
      </c>
      <c r="F36" s="2" t="s">
        <v>440</v>
      </c>
      <c r="G36" s="2" t="s">
        <v>454</v>
      </c>
      <c r="H36" s="27" t="s">
        <v>468</v>
      </c>
    </row>
    <row r="37" spans="1:8" x14ac:dyDescent="0.2">
      <c r="A37" s="75"/>
      <c r="B37" s="76"/>
      <c r="C37" s="74"/>
      <c r="D37" s="2" t="s">
        <v>428</v>
      </c>
      <c r="E37" s="2">
        <v>1</v>
      </c>
      <c r="F37" s="2">
        <v>0</v>
      </c>
      <c r="G37" s="77">
        <v>71</v>
      </c>
      <c r="H37" s="27" t="s">
        <v>464</v>
      </c>
    </row>
    <row r="38" spans="1:8" x14ac:dyDescent="0.2">
      <c r="A38" s="75" t="s">
        <v>104</v>
      </c>
      <c r="B38" s="76" t="s">
        <v>389</v>
      </c>
      <c r="C38" s="74">
        <v>61851</v>
      </c>
      <c r="D38" s="2" t="s">
        <v>432</v>
      </c>
      <c r="E38" s="2">
        <v>1</v>
      </c>
      <c r="F38" s="2" t="s">
        <v>433</v>
      </c>
      <c r="G38" s="2" t="s">
        <v>453</v>
      </c>
      <c r="H38" s="27" t="s">
        <v>435</v>
      </c>
    </row>
    <row r="39" spans="1:8" x14ac:dyDescent="0.2">
      <c r="A39" s="75" t="s">
        <v>19</v>
      </c>
      <c r="B39" s="76" t="s">
        <v>390</v>
      </c>
      <c r="C39" s="74">
        <v>29114</v>
      </c>
      <c r="D39" s="2" t="s">
        <v>470</v>
      </c>
      <c r="E39" s="2">
        <v>1</v>
      </c>
      <c r="F39" s="2" t="s">
        <v>437</v>
      </c>
      <c r="G39" s="2">
        <v>85</v>
      </c>
      <c r="H39" s="27" t="s">
        <v>462</v>
      </c>
    </row>
    <row r="40" spans="1:8" x14ac:dyDescent="0.2">
      <c r="A40" s="75" t="s">
        <v>391</v>
      </c>
      <c r="B40" s="76" t="s">
        <v>392</v>
      </c>
      <c r="C40" s="74">
        <v>83060</v>
      </c>
    </row>
    <row r="42" spans="1:8" x14ac:dyDescent="0.2">
      <c r="A42" s="49" t="s">
        <v>463</v>
      </c>
    </row>
  </sheetData>
  <mergeCells count="4">
    <mergeCell ref="G3:H3"/>
    <mergeCell ref="A1:H1"/>
    <mergeCell ref="A3:C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  <colBreaks count="2" manualBreakCount="2">
    <brk id="1" max="1048575" man="1"/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workbookViewId="0">
      <selection activeCell="A2" sqref="A2"/>
    </sheetView>
  </sheetViews>
  <sheetFormatPr defaultRowHeight="12.75" x14ac:dyDescent="0.2"/>
  <cols>
    <col min="1" max="1" width="14.85546875" bestFit="1" customWidth="1"/>
    <col min="2" max="2" width="4" bestFit="1" customWidth="1"/>
    <col min="3" max="3" width="10.85546875" bestFit="1" customWidth="1"/>
    <col min="4" max="4" width="14.5703125" bestFit="1" customWidth="1"/>
    <col min="5" max="5" width="11.85546875" bestFit="1" customWidth="1"/>
    <col min="6" max="6" width="14.7109375" bestFit="1" customWidth="1"/>
    <col min="7" max="7" width="17" bestFit="1" customWidth="1"/>
    <col min="8" max="8" width="26.28515625" bestFit="1" customWidth="1"/>
  </cols>
  <sheetData>
    <row r="1" spans="1:8" ht="15" x14ac:dyDescent="0.2">
      <c r="A1" s="99" t="s">
        <v>526</v>
      </c>
      <c r="B1" s="99"/>
      <c r="C1" s="99"/>
      <c r="D1" s="99"/>
      <c r="E1" s="99"/>
      <c r="F1" s="99"/>
      <c r="G1" s="99"/>
      <c r="H1" s="99"/>
    </row>
    <row r="2" spans="1:8" x14ac:dyDescent="0.2">
      <c r="D2" s="2"/>
      <c r="E2" s="2"/>
      <c r="F2" s="2"/>
      <c r="G2" s="2"/>
      <c r="H2" s="27"/>
    </row>
    <row r="3" spans="1:8" x14ac:dyDescent="0.2">
      <c r="A3" s="107" t="s">
        <v>2</v>
      </c>
      <c r="B3" s="107"/>
      <c r="C3" s="107"/>
      <c r="D3" s="2"/>
      <c r="E3" s="100" t="s">
        <v>364</v>
      </c>
      <c r="F3" s="100"/>
      <c r="G3" s="100" t="s">
        <v>436</v>
      </c>
      <c r="H3" s="100"/>
    </row>
    <row r="4" spans="1:8" x14ac:dyDescent="0.2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x14ac:dyDescent="0.2">
      <c r="A5" s="75" t="s">
        <v>106</v>
      </c>
      <c r="B5" s="76" t="s">
        <v>393</v>
      </c>
      <c r="C5" s="74">
        <v>18375</v>
      </c>
      <c r="D5" s="2" t="s">
        <v>432</v>
      </c>
      <c r="E5" s="2">
        <v>1</v>
      </c>
      <c r="F5" s="2" t="s">
        <v>440</v>
      </c>
      <c r="G5" s="2" t="s">
        <v>452</v>
      </c>
      <c r="H5" s="27" t="s">
        <v>468</v>
      </c>
    </row>
    <row r="6" spans="1:8" ht="15.75" x14ac:dyDescent="0.3">
      <c r="A6" s="75"/>
      <c r="B6" s="76"/>
      <c r="C6" s="74"/>
      <c r="D6" s="2" t="s">
        <v>525</v>
      </c>
      <c r="E6" s="2">
        <v>1</v>
      </c>
      <c r="F6" s="2">
        <v>0</v>
      </c>
      <c r="G6" s="2">
        <v>31.6</v>
      </c>
      <c r="H6" s="27" t="s">
        <v>468</v>
      </c>
    </row>
    <row r="7" spans="1:8" ht="15.75" x14ac:dyDescent="0.3">
      <c r="A7" s="75" t="s">
        <v>121</v>
      </c>
      <c r="B7" s="76" t="s">
        <v>394</v>
      </c>
      <c r="C7" s="74">
        <v>22295</v>
      </c>
      <c r="D7" s="2" t="s">
        <v>523</v>
      </c>
      <c r="E7" s="2">
        <v>2</v>
      </c>
      <c r="F7" s="2">
        <v>0</v>
      </c>
      <c r="G7" s="2">
        <v>14</v>
      </c>
      <c r="H7" s="27" t="s">
        <v>467</v>
      </c>
    </row>
    <row r="8" spans="1:8" x14ac:dyDescent="0.2">
      <c r="A8" s="75" t="s">
        <v>21</v>
      </c>
      <c r="B8" s="76" t="s">
        <v>395</v>
      </c>
      <c r="C8" s="74">
        <v>114344</v>
      </c>
      <c r="D8" s="2" t="s">
        <v>470</v>
      </c>
      <c r="E8" s="2">
        <v>1</v>
      </c>
      <c r="F8" s="2" t="s">
        <v>437</v>
      </c>
      <c r="G8" s="2">
        <v>136</v>
      </c>
      <c r="H8" s="27" t="s">
        <v>462</v>
      </c>
    </row>
    <row r="9" spans="1:8" ht="15.75" x14ac:dyDescent="0.3">
      <c r="A9" s="75"/>
      <c r="B9" s="76"/>
      <c r="C9" s="74"/>
      <c r="D9" s="2" t="s">
        <v>525</v>
      </c>
      <c r="E9" s="2">
        <v>1</v>
      </c>
      <c r="F9" s="2"/>
      <c r="G9" s="2">
        <v>26.7</v>
      </c>
      <c r="H9" s="27" t="s">
        <v>468</v>
      </c>
    </row>
    <row r="10" spans="1:8" x14ac:dyDescent="0.2">
      <c r="A10" s="75" t="s">
        <v>24</v>
      </c>
      <c r="B10" s="76" t="s">
        <v>396</v>
      </c>
      <c r="C10" s="74">
        <v>46302</v>
      </c>
      <c r="D10" s="2" t="s">
        <v>470</v>
      </c>
      <c r="E10" s="2">
        <v>4</v>
      </c>
      <c r="F10" s="2" t="s">
        <v>437</v>
      </c>
      <c r="G10" s="2">
        <v>179</v>
      </c>
      <c r="H10" s="27" t="s">
        <v>462</v>
      </c>
    </row>
    <row r="11" spans="1:8" ht="15.75" x14ac:dyDescent="0.3">
      <c r="A11" s="75"/>
      <c r="B11" s="76"/>
      <c r="C11" s="74"/>
      <c r="D11" s="2" t="s">
        <v>524</v>
      </c>
      <c r="E11" s="2">
        <v>1</v>
      </c>
      <c r="F11" s="2">
        <v>0</v>
      </c>
      <c r="G11" s="2">
        <v>1.2E-2</v>
      </c>
      <c r="H11" s="27" t="s">
        <v>467</v>
      </c>
    </row>
    <row r="12" spans="1:8" ht="15.75" x14ac:dyDescent="0.3">
      <c r="A12" s="75"/>
      <c r="B12" s="76"/>
      <c r="C12" s="74"/>
      <c r="D12" s="2" t="s">
        <v>523</v>
      </c>
      <c r="E12" s="2">
        <v>3</v>
      </c>
      <c r="F12" s="2">
        <v>0</v>
      </c>
      <c r="G12" s="2">
        <v>103</v>
      </c>
      <c r="H12" s="27" t="s">
        <v>468</v>
      </c>
    </row>
    <row r="13" spans="1:8" ht="15.75" x14ac:dyDescent="0.3">
      <c r="A13" s="75"/>
      <c r="B13" s="76"/>
      <c r="C13" s="74"/>
      <c r="D13" s="2" t="s">
        <v>525</v>
      </c>
      <c r="E13" s="2">
        <v>1</v>
      </c>
      <c r="F13" s="2">
        <v>0</v>
      </c>
      <c r="G13" s="77">
        <v>27</v>
      </c>
      <c r="H13" s="27" t="s">
        <v>468</v>
      </c>
    </row>
    <row r="14" spans="1:8" x14ac:dyDescent="0.2">
      <c r="A14" s="75"/>
      <c r="B14" s="76"/>
      <c r="C14" s="74"/>
      <c r="D14" s="2" t="s">
        <v>188</v>
      </c>
      <c r="E14" s="2">
        <v>1</v>
      </c>
      <c r="F14" s="2" t="s">
        <v>437</v>
      </c>
      <c r="G14" s="2">
        <v>4.41</v>
      </c>
      <c r="H14" s="27" t="s">
        <v>462</v>
      </c>
    </row>
    <row r="15" spans="1:8" x14ac:dyDescent="0.2">
      <c r="A15" s="75" t="s">
        <v>33</v>
      </c>
      <c r="B15" s="76" t="s">
        <v>397</v>
      </c>
      <c r="C15" s="74">
        <v>320167</v>
      </c>
      <c r="D15" s="2" t="s">
        <v>470</v>
      </c>
      <c r="E15" s="2">
        <v>2</v>
      </c>
      <c r="F15" s="2" t="s">
        <v>437</v>
      </c>
      <c r="G15" s="2">
        <v>190</v>
      </c>
      <c r="H15" s="27" t="s">
        <v>462</v>
      </c>
    </row>
    <row r="16" spans="1:8" x14ac:dyDescent="0.2">
      <c r="A16" s="75"/>
      <c r="B16" s="76"/>
      <c r="C16" s="74"/>
      <c r="D16" s="2" t="s">
        <v>427</v>
      </c>
      <c r="E16" s="2">
        <v>1</v>
      </c>
      <c r="F16" s="2">
        <v>0</v>
      </c>
      <c r="G16" s="2">
        <v>3.7</v>
      </c>
      <c r="H16" s="27" t="s">
        <v>467</v>
      </c>
    </row>
    <row r="17" spans="1:8" ht="15.75" x14ac:dyDescent="0.3">
      <c r="A17" s="75"/>
      <c r="B17" s="76"/>
      <c r="C17" s="74"/>
      <c r="D17" s="2" t="s">
        <v>524</v>
      </c>
      <c r="E17" s="2">
        <v>1</v>
      </c>
      <c r="F17" s="2">
        <v>0</v>
      </c>
      <c r="G17" s="2">
        <v>1.4999999999999999E-2</v>
      </c>
      <c r="H17" s="27" t="s">
        <v>467</v>
      </c>
    </row>
    <row r="18" spans="1:8" ht="15.75" x14ac:dyDescent="0.3">
      <c r="A18" s="75"/>
      <c r="B18" s="76"/>
      <c r="C18" s="74"/>
      <c r="D18" s="2" t="s">
        <v>522</v>
      </c>
      <c r="E18" s="2">
        <v>2</v>
      </c>
      <c r="F18" s="2">
        <v>0</v>
      </c>
      <c r="G18" s="2">
        <v>3.7999999999999999E-2</v>
      </c>
      <c r="H18" s="27" t="s">
        <v>472</v>
      </c>
    </row>
    <row r="19" spans="1:8" ht="15.75" x14ac:dyDescent="0.3">
      <c r="A19" s="75"/>
      <c r="B19" s="76"/>
      <c r="C19" s="74"/>
      <c r="D19" s="2" t="s">
        <v>523</v>
      </c>
      <c r="E19" s="2">
        <v>1</v>
      </c>
      <c r="F19" s="2">
        <v>0</v>
      </c>
      <c r="G19" s="2">
        <v>55</v>
      </c>
      <c r="H19" s="27" t="s">
        <v>468</v>
      </c>
    </row>
    <row r="20" spans="1:8" ht="15.75" x14ac:dyDescent="0.3">
      <c r="A20" s="75"/>
      <c r="B20" s="76"/>
      <c r="C20" s="74"/>
      <c r="D20" s="2" t="s">
        <v>525</v>
      </c>
      <c r="E20" s="2">
        <v>2</v>
      </c>
      <c r="F20" s="2">
        <v>0</v>
      </c>
      <c r="G20" s="2">
        <v>62.7</v>
      </c>
      <c r="H20" s="27" t="s">
        <v>435</v>
      </c>
    </row>
    <row r="21" spans="1:8" x14ac:dyDescent="0.2">
      <c r="A21" s="75" t="s">
        <v>38</v>
      </c>
      <c r="B21" s="76" t="s">
        <v>333</v>
      </c>
      <c r="C21" s="74">
        <v>59567</v>
      </c>
      <c r="D21" s="2" t="s">
        <v>470</v>
      </c>
      <c r="E21" s="2">
        <v>2</v>
      </c>
      <c r="F21" s="2" t="s">
        <v>437</v>
      </c>
      <c r="G21" s="2">
        <v>74</v>
      </c>
      <c r="H21" s="27" t="s">
        <v>462</v>
      </c>
    </row>
    <row r="22" spans="1:8" ht="15.75" x14ac:dyDescent="0.3">
      <c r="A22" s="75"/>
      <c r="B22" s="76"/>
      <c r="C22" s="74"/>
      <c r="D22" s="2" t="s">
        <v>525</v>
      </c>
      <c r="E22" s="2">
        <v>1</v>
      </c>
      <c r="F22" s="2">
        <v>0</v>
      </c>
      <c r="G22" s="2">
        <v>31.4</v>
      </c>
      <c r="H22" s="27" t="s">
        <v>468</v>
      </c>
    </row>
    <row r="23" spans="1:8" x14ac:dyDescent="0.2">
      <c r="A23" s="75" t="s">
        <v>42</v>
      </c>
      <c r="B23" s="76" t="s">
        <v>398</v>
      </c>
      <c r="C23" s="74">
        <v>18191</v>
      </c>
      <c r="D23" s="2" t="s">
        <v>470</v>
      </c>
      <c r="E23" s="2">
        <v>1</v>
      </c>
      <c r="F23" s="2" t="s">
        <v>437</v>
      </c>
      <c r="G23" s="2">
        <v>105</v>
      </c>
      <c r="H23" s="27" t="s">
        <v>462</v>
      </c>
    </row>
    <row r="24" spans="1:8" x14ac:dyDescent="0.2">
      <c r="A24" s="75" t="s">
        <v>46</v>
      </c>
      <c r="B24" s="76" t="s">
        <v>399</v>
      </c>
      <c r="C24" s="74">
        <v>144053</v>
      </c>
      <c r="D24" s="2" t="s">
        <v>470</v>
      </c>
      <c r="E24" s="2">
        <v>1</v>
      </c>
      <c r="F24" s="2" t="s">
        <v>437</v>
      </c>
      <c r="G24" s="2">
        <v>93</v>
      </c>
      <c r="H24" s="27" t="s">
        <v>462</v>
      </c>
    </row>
    <row r="25" spans="1:8" ht="15.75" x14ac:dyDescent="0.3">
      <c r="A25" s="75"/>
      <c r="B25" s="76"/>
      <c r="C25" s="74"/>
      <c r="D25" s="2" t="s">
        <v>525</v>
      </c>
      <c r="E25" s="2">
        <v>1</v>
      </c>
      <c r="F25" s="2">
        <v>0</v>
      </c>
      <c r="G25" s="2">
        <v>27.8</v>
      </c>
      <c r="H25" s="27" t="s">
        <v>468</v>
      </c>
    </row>
    <row r="26" spans="1:8" x14ac:dyDescent="0.2">
      <c r="A26" s="75" t="s">
        <v>400</v>
      </c>
      <c r="B26" s="76" t="s">
        <v>401</v>
      </c>
      <c r="C26" s="74">
        <v>15487</v>
      </c>
      <c r="D26" s="2"/>
      <c r="E26" s="2"/>
      <c r="F26" s="2"/>
      <c r="G26" s="2"/>
      <c r="H26" s="27"/>
    </row>
    <row r="27" spans="1:8" x14ac:dyDescent="0.2">
      <c r="A27" s="75" t="s">
        <v>402</v>
      </c>
      <c r="B27" s="76" t="s">
        <v>403</v>
      </c>
      <c r="C27" s="74">
        <v>43599</v>
      </c>
      <c r="D27" s="2" t="s">
        <v>470</v>
      </c>
      <c r="E27" s="2">
        <v>1</v>
      </c>
      <c r="F27" s="2" t="s">
        <v>437</v>
      </c>
      <c r="G27" s="2">
        <v>70</v>
      </c>
      <c r="H27" s="27" t="s">
        <v>462</v>
      </c>
    </row>
    <row r="28" spans="1:8" x14ac:dyDescent="0.2">
      <c r="A28" s="75" t="s">
        <v>404</v>
      </c>
      <c r="B28" s="76" t="s">
        <v>405</v>
      </c>
      <c r="C28" s="74">
        <v>54516</v>
      </c>
      <c r="D28" s="2"/>
      <c r="E28" s="2"/>
      <c r="F28" s="2"/>
      <c r="G28" s="2"/>
      <c r="H28" s="27"/>
    </row>
    <row r="29" spans="1:8" x14ac:dyDescent="0.2">
      <c r="A29" s="75" t="s">
        <v>211</v>
      </c>
      <c r="B29" s="76" t="s">
        <v>406</v>
      </c>
      <c r="C29" s="74">
        <v>58092</v>
      </c>
      <c r="D29" s="2" t="s">
        <v>470</v>
      </c>
      <c r="E29" s="2">
        <v>1</v>
      </c>
      <c r="F29" s="2" t="s">
        <v>437</v>
      </c>
      <c r="G29" s="2">
        <v>18</v>
      </c>
      <c r="H29" s="27" t="s">
        <v>462</v>
      </c>
    </row>
    <row r="30" spans="1:8" x14ac:dyDescent="0.2">
      <c r="A30" s="75" t="s">
        <v>407</v>
      </c>
      <c r="B30" s="76" t="s">
        <v>408</v>
      </c>
      <c r="C30" s="74">
        <v>18437</v>
      </c>
      <c r="D30" s="2"/>
      <c r="E30" s="2"/>
      <c r="F30" s="2"/>
      <c r="G30" s="2"/>
      <c r="H30" s="27"/>
    </row>
    <row r="31" spans="1:8" x14ac:dyDescent="0.2">
      <c r="A31" s="75" t="s">
        <v>49</v>
      </c>
      <c r="B31" s="76" t="s">
        <v>335</v>
      </c>
      <c r="C31" s="74">
        <v>167611</v>
      </c>
      <c r="D31" s="2" t="s">
        <v>470</v>
      </c>
      <c r="E31" s="2">
        <v>2</v>
      </c>
      <c r="F31" s="2" t="s">
        <v>437</v>
      </c>
      <c r="G31" s="2">
        <v>100</v>
      </c>
      <c r="H31" s="27" t="s">
        <v>462</v>
      </c>
    </row>
    <row r="32" spans="1:8" ht="15.75" x14ac:dyDescent="0.3">
      <c r="A32" s="75"/>
      <c r="B32" s="76"/>
      <c r="C32" s="74"/>
      <c r="D32" s="2" t="s">
        <v>524</v>
      </c>
      <c r="E32" s="2">
        <v>1</v>
      </c>
      <c r="F32" s="2">
        <v>0</v>
      </c>
      <c r="G32" s="2">
        <v>1.7999999999999999E-2</v>
      </c>
      <c r="H32" s="27" t="s">
        <v>467</v>
      </c>
    </row>
    <row r="33" spans="1:8" ht="15.75" x14ac:dyDescent="0.3">
      <c r="A33" s="75"/>
      <c r="B33" s="76"/>
      <c r="C33" s="74"/>
      <c r="D33" s="2" t="s">
        <v>523</v>
      </c>
      <c r="E33" s="2">
        <v>2</v>
      </c>
      <c r="F33" s="2">
        <v>0</v>
      </c>
      <c r="G33" s="2">
        <v>139</v>
      </c>
      <c r="H33" s="27" t="s">
        <v>468</v>
      </c>
    </row>
    <row r="34" spans="1:8" ht="15.75" x14ac:dyDescent="0.3">
      <c r="A34" s="75"/>
      <c r="B34" s="76"/>
      <c r="C34" s="74"/>
      <c r="D34" s="2" t="s">
        <v>525</v>
      </c>
      <c r="E34" s="2">
        <v>2</v>
      </c>
      <c r="F34" s="2">
        <v>0</v>
      </c>
      <c r="G34" s="77">
        <v>33</v>
      </c>
      <c r="H34" s="27" t="s">
        <v>468</v>
      </c>
    </row>
    <row r="35" spans="1:8" x14ac:dyDescent="0.2">
      <c r="A35" s="75" t="s">
        <v>409</v>
      </c>
      <c r="B35" s="76" t="s">
        <v>410</v>
      </c>
      <c r="C35" s="74">
        <v>8868</v>
      </c>
      <c r="D35" s="2"/>
      <c r="E35" s="2"/>
      <c r="F35" s="2"/>
      <c r="G35" s="2"/>
      <c r="H35" s="27"/>
    </row>
    <row r="36" spans="1:8" x14ac:dyDescent="0.2">
      <c r="A36" s="75" t="s">
        <v>411</v>
      </c>
      <c r="B36" s="76" t="s">
        <v>412</v>
      </c>
      <c r="C36" s="74">
        <v>33899</v>
      </c>
      <c r="D36" s="2"/>
      <c r="E36" s="2"/>
      <c r="F36" s="2"/>
      <c r="G36" s="2"/>
      <c r="H36" s="27"/>
    </row>
    <row r="37" spans="1:8" x14ac:dyDescent="0.2">
      <c r="A37" s="75" t="s">
        <v>413</v>
      </c>
      <c r="B37" s="76" t="s">
        <v>414</v>
      </c>
      <c r="C37" s="74">
        <v>29361</v>
      </c>
      <c r="D37" s="2"/>
      <c r="E37" s="2"/>
      <c r="F37" s="2"/>
      <c r="G37" s="2"/>
      <c r="H37" s="27"/>
    </row>
    <row r="38" spans="1:8" x14ac:dyDescent="0.2">
      <c r="A38" s="75" t="s">
        <v>415</v>
      </c>
      <c r="B38" s="76" t="s">
        <v>416</v>
      </c>
      <c r="C38" s="74">
        <v>33172</v>
      </c>
      <c r="D38" s="2"/>
      <c r="E38" s="2"/>
      <c r="F38" s="2"/>
      <c r="G38" s="2"/>
      <c r="H38" s="27"/>
    </row>
    <row r="40" spans="1:8" x14ac:dyDescent="0.2">
      <c r="A40" s="49" t="s">
        <v>463</v>
      </c>
    </row>
  </sheetData>
  <mergeCells count="4">
    <mergeCell ref="A1:H1"/>
    <mergeCell ref="A3:C3"/>
    <mergeCell ref="G3:H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workbookViewId="0">
      <selection activeCell="A2" sqref="A2"/>
    </sheetView>
  </sheetViews>
  <sheetFormatPr defaultRowHeight="12.75" x14ac:dyDescent="0.2"/>
  <cols>
    <col min="1" max="1" width="15.28515625" bestFit="1" customWidth="1"/>
    <col min="2" max="2" width="4" bestFit="1" customWidth="1"/>
    <col min="3" max="3" width="10.85546875" bestFit="1" customWidth="1"/>
    <col min="4" max="4" width="14.5703125" bestFit="1" customWidth="1"/>
    <col min="5" max="5" width="11.85546875" bestFit="1" customWidth="1"/>
    <col min="6" max="6" width="14.7109375" bestFit="1" customWidth="1"/>
    <col min="7" max="7" width="17" bestFit="1" customWidth="1"/>
    <col min="8" max="8" width="26.28515625" bestFit="1" customWidth="1"/>
  </cols>
  <sheetData>
    <row r="1" spans="1:8" ht="15" x14ac:dyDescent="0.2">
      <c r="A1" s="99" t="s">
        <v>526</v>
      </c>
      <c r="B1" s="99"/>
      <c r="C1" s="99"/>
      <c r="D1" s="99"/>
      <c r="E1" s="99"/>
      <c r="F1" s="99"/>
      <c r="G1" s="99"/>
      <c r="H1" s="99"/>
    </row>
    <row r="2" spans="1:8" x14ac:dyDescent="0.2">
      <c r="D2" s="2"/>
      <c r="E2" s="2"/>
      <c r="F2" s="2"/>
      <c r="G2" s="2"/>
      <c r="H2" s="27"/>
    </row>
    <row r="3" spans="1:8" x14ac:dyDescent="0.2">
      <c r="A3" s="107" t="s">
        <v>2</v>
      </c>
      <c r="B3" s="107"/>
      <c r="C3" s="107"/>
      <c r="D3" s="2"/>
      <c r="E3" s="100" t="s">
        <v>364</v>
      </c>
      <c r="F3" s="100"/>
      <c r="G3" s="100" t="s">
        <v>436</v>
      </c>
      <c r="H3" s="100"/>
    </row>
    <row r="4" spans="1:8" x14ac:dyDescent="0.2">
      <c r="A4" s="53" t="s">
        <v>368</v>
      </c>
      <c r="B4" s="44" t="s">
        <v>429</v>
      </c>
      <c r="C4" s="43" t="s">
        <v>369</v>
      </c>
      <c r="D4" s="53" t="s">
        <v>362</v>
      </c>
      <c r="E4" s="53" t="s">
        <v>363</v>
      </c>
      <c r="F4" s="53" t="s">
        <v>365</v>
      </c>
      <c r="G4" s="53" t="s">
        <v>367</v>
      </c>
      <c r="H4" s="53" t="s">
        <v>366</v>
      </c>
    </row>
    <row r="5" spans="1:8" ht="15.75" x14ac:dyDescent="0.3">
      <c r="A5" s="75" t="s">
        <v>81</v>
      </c>
      <c r="B5" s="76" t="s">
        <v>417</v>
      </c>
      <c r="C5" s="74">
        <v>57494</v>
      </c>
      <c r="D5" s="2" t="s">
        <v>524</v>
      </c>
      <c r="E5" s="2">
        <v>1</v>
      </c>
      <c r="F5" s="2">
        <v>0</v>
      </c>
      <c r="G5" s="2">
        <v>8.0000000000000002E-3</v>
      </c>
      <c r="H5" s="27" t="s">
        <v>467</v>
      </c>
    </row>
    <row r="6" spans="1:8" x14ac:dyDescent="0.2">
      <c r="A6" s="75"/>
      <c r="B6" s="76"/>
      <c r="C6" s="74"/>
      <c r="D6" s="2" t="s">
        <v>432</v>
      </c>
      <c r="E6" s="2">
        <v>1</v>
      </c>
      <c r="F6" s="2" t="s">
        <v>433</v>
      </c>
      <c r="G6" s="2" t="s">
        <v>451</v>
      </c>
      <c r="H6" s="27" t="s">
        <v>435</v>
      </c>
    </row>
    <row r="7" spans="1:8" ht="15.75" x14ac:dyDescent="0.3">
      <c r="A7" s="75"/>
      <c r="B7" s="76"/>
      <c r="C7" s="74"/>
      <c r="D7" s="2" t="s">
        <v>525</v>
      </c>
      <c r="E7" s="2">
        <v>1</v>
      </c>
      <c r="F7" s="2">
        <v>0</v>
      </c>
      <c r="G7" s="2">
        <v>42.7</v>
      </c>
      <c r="H7" s="27" t="s">
        <v>435</v>
      </c>
    </row>
    <row r="8" spans="1:8" x14ac:dyDescent="0.2">
      <c r="A8" s="75"/>
      <c r="B8" s="76"/>
      <c r="C8" s="74"/>
      <c r="D8" s="2" t="s">
        <v>188</v>
      </c>
      <c r="E8" s="2">
        <v>1</v>
      </c>
      <c r="F8" s="2" t="s">
        <v>437</v>
      </c>
      <c r="G8" s="2">
        <v>4.5199999999999996</v>
      </c>
      <c r="H8" s="27" t="s">
        <v>462</v>
      </c>
    </row>
    <row r="9" spans="1:8" x14ac:dyDescent="0.2">
      <c r="A9" s="75" t="s">
        <v>418</v>
      </c>
      <c r="B9" s="76" t="s">
        <v>319</v>
      </c>
      <c r="C9" s="74">
        <v>84803</v>
      </c>
      <c r="D9" s="2"/>
      <c r="E9" s="2"/>
      <c r="F9" s="2"/>
      <c r="G9" s="2"/>
      <c r="H9" s="27"/>
    </row>
    <row r="10" spans="1:8" x14ac:dyDescent="0.2">
      <c r="A10" s="75" t="s">
        <v>110</v>
      </c>
      <c r="B10" s="76" t="s">
        <v>419</v>
      </c>
      <c r="C10" s="74">
        <v>93894</v>
      </c>
      <c r="D10" s="2" t="s">
        <v>432</v>
      </c>
      <c r="E10" s="2">
        <v>1</v>
      </c>
      <c r="F10" s="2" t="s">
        <v>441</v>
      </c>
      <c r="G10" s="2" t="s">
        <v>450</v>
      </c>
      <c r="H10" s="27" t="s">
        <v>435</v>
      </c>
    </row>
    <row r="11" spans="1:8" x14ac:dyDescent="0.2">
      <c r="A11" s="75" t="s">
        <v>55</v>
      </c>
      <c r="B11" s="76" t="s">
        <v>337</v>
      </c>
      <c r="C11" s="74">
        <v>285720</v>
      </c>
      <c r="D11" s="2" t="s">
        <v>470</v>
      </c>
      <c r="E11" s="2">
        <v>5</v>
      </c>
      <c r="F11" s="2" t="s">
        <v>437</v>
      </c>
      <c r="G11" s="2">
        <v>93</v>
      </c>
      <c r="H11" s="27" t="s">
        <v>462</v>
      </c>
    </row>
    <row r="12" spans="1:8" x14ac:dyDescent="0.2">
      <c r="A12" s="75"/>
      <c r="B12" s="76"/>
      <c r="C12" s="74"/>
      <c r="D12" s="2" t="s">
        <v>427</v>
      </c>
      <c r="E12" s="2">
        <v>1</v>
      </c>
      <c r="F12" s="2">
        <v>0</v>
      </c>
      <c r="G12" s="2">
        <v>3.8</v>
      </c>
      <c r="H12" s="27" t="s">
        <v>467</v>
      </c>
    </row>
    <row r="13" spans="1:8" ht="15.75" x14ac:dyDescent="0.3">
      <c r="A13" s="75"/>
      <c r="B13" s="76"/>
      <c r="C13" s="74"/>
      <c r="D13" s="2" t="s">
        <v>524</v>
      </c>
      <c r="E13" s="2">
        <v>4</v>
      </c>
      <c r="F13" s="2">
        <v>0</v>
      </c>
      <c r="G13" s="7">
        <v>0.02</v>
      </c>
      <c r="H13" s="27" t="s">
        <v>467</v>
      </c>
    </row>
    <row r="14" spans="1:8" ht="15.75" x14ac:dyDescent="0.3">
      <c r="A14" s="75"/>
      <c r="B14" s="76"/>
      <c r="C14" s="74"/>
      <c r="D14" s="2" t="s">
        <v>522</v>
      </c>
      <c r="E14" s="2">
        <v>3</v>
      </c>
      <c r="F14" s="2">
        <v>0</v>
      </c>
      <c r="G14" s="2">
        <v>3.6999999999999998E-2</v>
      </c>
      <c r="H14" s="27" t="s">
        <v>472</v>
      </c>
    </row>
    <row r="15" spans="1:8" x14ac:dyDescent="0.2">
      <c r="A15" s="75"/>
      <c r="B15" s="76"/>
      <c r="C15" s="74"/>
      <c r="D15" s="2" t="s">
        <v>432</v>
      </c>
      <c r="E15" s="2">
        <v>4</v>
      </c>
      <c r="F15" s="2" t="s">
        <v>442</v>
      </c>
      <c r="G15" s="2" t="s">
        <v>446</v>
      </c>
      <c r="H15" s="27" t="s">
        <v>435</v>
      </c>
    </row>
    <row r="16" spans="1:8" ht="15.75" x14ac:dyDescent="0.3">
      <c r="A16" s="75"/>
      <c r="B16" s="76"/>
      <c r="C16" s="74"/>
      <c r="D16" s="2" t="s">
        <v>523</v>
      </c>
      <c r="E16" s="2">
        <v>4</v>
      </c>
      <c r="F16" s="2">
        <v>0</v>
      </c>
      <c r="G16" s="2">
        <v>145</v>
      </c>
      <c r="H16" s="27" t="s">
        <v>468</v>
      </c>
    </row>
    <row r="17" spans="1:8" ht="15.75" x14ac:dyDescent="0.3">
      <c r="A17" s="75"/>
      <c r="B17" s="76"/>
      <c r="C17" s="74"/>
      <c r="D17" s="2" t="s">
        <v>525</v>
      </c>
      <c r="E17" s="2">
        <v>3</v>
      </c>
      <c r="F17" s="2">
        <v>0</v>
      </c>
      <c r="G17" s="77">
        <v>40</v>
      </c>
      <c r="H17" s="27" t="s">
        <v>468</v>
      </c>
    </row>
    <row r="18" spans="1:8" x14ac:dyDescent="0.2">
      <c r="A18" s="75"/>
      <c r="B18" s="76"/>
      <c r="C18" s="74"/>
      <c r="D18" s="2" t="s">
        <v>188</v>
      </c>
      <c r="E18" s="2">
        <v>2</v>
      </c>
      <c r="F18" s="2" t="s">
        <v>437</v>
      </c>
      <c r="G18" s="2">
        <v>4.6399999999999997</v>
      </c>
      <c r="H18" s="27" t="s">
        <v>462</v>
      </c>
    </row>
    <row r="19" spans="1:8" x14ac:dyDescent="0.2">
      <c r="A19" s="75" t="s">
        <v>420</v>
      </c>
      <c r="B19" s="76" t="s">
        <v>421</v>
      </c>
      <c r="C19" s="74">
        <v>16357</v>
      </c>
      <c r="D19" s="2"/>
      <c r="E19" s="2"/>
      <c r="F19" s="2"/>
      <c r="G19" s="2"/>
      <c r="H19" s="27"/>
    </row>
    <row r="20" spans="1:8" x14ac:dyDescent="0.2">
      <c r="A20" s="75" t="s">
        <v>59</v>
      </c>
      <c r="B20" s="76" t="s">
        <v>422</v>
      </c>
      <c r="C20" s="74">
        <v>226800</v>
      </c>
      <c r="D20" s="2" t="s">
        <v>470</v>
      </c>
      <c r="E20" s="2">
        <v>1</v>
      </c>
      <c r="F20" s="2" t="s">
        <v>437</v>
      </c>
      <c r="G20" s="2">
        <v>115</v>
      </c>
      <c r="H20" s="27" t="s">
        <v>462</v>
      </c>
    </row>
    <row r="21" spans="1:8" x14ac:dyDescent="0.2">
      <c r="A21" s="75"/>
      <c r="B21" s="76"/>
      <c r="C21" s="74"/>
      <c r="D21" s="2" t="s">
        <v>432</v>
      </c>
      <c r="E21" s="2">
        <v>1</v>
      </c>
      <c r="F21" s="2" t="s">
        <v>443</v>
      </c>
      <c r="G21" s="2" t="s">
        <v>445</v>
      </c>
      <c r="H21" s="27" t="s">
        <v>435</v>
      </c>
    </row>
    <row r="22" spans="1:8" ht="15.75" x14ac:dyDescent="0.3">
      <c r="A22" s="75"/>
      <c r="B22" s="76"/>
      <c r="C22" s="74"/>
      <c r="D22" s="2" t="s">
        <v>523</v>
      </c>
      <c r="E22" s="2">
        <v>1</v>
      </c>
      <c r="F22" s="2">
        <v>0</v>
      </c>
      <c r="G22" s="2">
        <v>51</v>
      </c>
      <c r="H22" s="27" t="s">
        <v>467</v>
      </c>
    </row>
    <row r="23" spans="1:8" ht="15.75" x14ac:dyDescent="0.3">
      <c r="A23" s="75"/>
      <c r="B23" s="76"/>
      <c r="C23" s="74"/>
      <c r="D23" s="2" t="s">
        <v>525</v>
      </c>
      <c r="E23" s="2">
        <v>1</v>
      </c>
      <c r="F23" s="2">
        <v>0</v>
      </c>
      <c r="G23" s="2">
        <v>44.4</v>
      </c>
      <c r="H23" s="27" t="s">
        <v>435</v>
      </c>
    </row>
    <row r="24" spans="1:8" x14ac:dyDescent="0.2">
      <c r="A24" s="75" t="s">
        <v>423</v>
      </c>
      <c r="B24" s="76" t="s">
        <v>424</v>
      </c>
      <c r="C24" s="74">
        <v>102637</v>
      </c>
      <c r="D24" s="2"/>
      <c r="E24" s="2"/>
      <c r="F24" s="2"/>
      <c r="G24" s="2"/>
      <c r="H24" s="27"/>
    </row>
    <row r="25" spans="1:8" x14ac:dyDescent="0.2">
      <c r="A25" s="75" t="s">
        <v>114</v>
      </c>
      <c r="B25" s="76" t="s">
        <v>425</v>
      </c>
      <c r="C25" s="74">
        <v>30337</v>
      </c>
      <c r="D25" s="2" t="s">
        <v>432</v>
      </c>
      <c r="E25" s="2">
        <v>1</v>
      </c>
      <c r="F25" s="2" t="s">
        <v>440</v>
      </c>
      <c r="G25" s="2" t="s">
        <v>449</v>
      </c>
      <c r="H25" s="27" t="s">
        <v>468</v>
      </c>
    </row>
    <row r="26" spans="1:8" x14ac:dyDescent="0.2">
      <c r="A26" s="75"/>
      <c r="B26" s="76"/>
      <c r="C26" s="74"/>
      <c r="D26" s="2" t="s">
        <v>188</v>
      </c>
      <c r="E26" s="2">
        <v>1</v>
      </c>
      <c r="F26" s="2" t="s">
        <v>437</v>
      </c>
      <c r="G26" s="2">
        <v>5.0599999999999996</v>
      </c>
      <c r="H26" s="27" t="s">
        <v>462</v>
      </c>
    </row>
    <row r="27" spans="1:8" x14ac:dyDescent="0.2">
      <c r="A27" s="75" t="s">
        <v>163</v>
      </c>
      <c r="B27" s="76" t="s">
        <v>426</v>
      </c>
      <c r="C27" s="74">
        <v>36815</v>
      </c>
      <c r="D27" s="2" t="s">
        <v>432</v>
      </c>
      <c r="E27" s="2">
        <v>1</v>
      </c>
      <c r="F27" s="2" t="s">
        <v>440</v>
      </c>
      <c r="G27" s="2" t="s">
        <v>448</v>
      </c>
      <c r="H27" s="27" t="s">
        <v>468</v>
      </c>
    </row>
    <row r="28" spans="1:8" x14ac:dyDescent="0.2">
      <c r="A28" s="75" t="s">
        <v>63</v>
      </c>
      <c r="B28" s="76" t="s">
        <v>323</v>
      </c>
      <c r="C28" s="74">
        <v>131497</v>
      </c>
      <c r="D28" s="2" t="s">
        <v>470</v>
      </c>
      <c r="E28" s="2">
        <v>1</v>
      </c>
      <c r="F28" s="2" t="s">
        <v>437</v>
      </c>
      <c r="G28" s="2">
        <v>79</v>
      </c>
      <c r="H28" s="27" t="s">
        <v>462</v>
      </c>
    </row>
    <row r="29" spans="1:8" x14ac:dyDescent="0.2">
      <c r="D29" s="2" t="s">
        <v>432</v>
      </c>
      <c r="E29" s="2">
        <v>1</v>
      </c>
      <c r="F29" s="2" t="s">
        <v>440</v>
      </c>
      <c r="G29" s="2" t="s">
        <v>447</v>
      </c>
      <c r="H29" s="27" t="s">
        <v>468</v>
      </c>
    </row>
    <row r="30" spans="1:8" ht="15.75" x14ac:dyDescent="0.3">
      <c r="D30" s="2" t="s">
        <v>523</v>
      </c>
      <c r="E30" s="2">
        <v>1</v>
      </c>
      <c r="F30" s="2">
        <v>0</v>
      </c>
      <c r="G30" s="2">
        <v>53</v>
      </c>
      <c r="H30" s="27" t="s">
        <v>467</v>
      </c>
    </row>
    <row r="31" spans="1:8" ht="15.75" x14ac:dyDescent="0.3">
      <c r="D31" s="2" t="s">
        <v>525</v>
      </c>
      <c r="E31" s="2">
        <v>1</v>
      </c>
      <c r="F31" s="2">
        <v>0</v>
      </c>
      <c r="G31" s="77">
        <v>34</v>
      </c>
      <c r="H31" s="27" t="s">
        <v>468</v>
      </c>
    </row>
    <row r="32" spans="1:8" x14ac:dyDescent="0.2">
      <c r="D32" s="2"/>
      <c r="E32" s="2"/>
      <c r="F32" s="2"/>
      <c r="G32" s="2"/>
      <c r="H32" s="27"/>
    </row>
    <row r="33" spans="1:8" x14ac:dyDescent="0.2">
      <c r="A33" s="2" t="s">
        <v>444</v>
      </c>
      <c r="B33" s="2">
        <v>45</v>
      </c>
      <c r="C33" s="36">
        <f>SUM(C11:C28)</f>
        <v>830163</v>
      </c>
      <c r="D33" s="2" t="s">
        <v>470</v>
      </c>
      <c r="E33" s="2">
        <v>28</v>
      </c>
      <c r="F33" s="2" t="s">
        <v>437</v>
      </c>
      <c r="G33" s="2">
        <v>190</v>
      </c>
      <c r="H33" s="27" t="s">
        <v>462</v>
      </c>
    </row>
    <row r="34" spans="1:8" x14ac:dyDescent="0.2">
      <c r="D34" s="2" t="s">
        <v>427</v>
      </c>
      <c r="E34" s="2">
        <v>3</v>
      </c>
      <c r="F34" s="2">
        <v>0</v>
      </c>
      <c r="G34" s="2">
        <v>3.8</v>
      </c>
      <c r="H34" s="27" t="s">
        <v>467</v>
      </c>
    </row>
    <row r="35" spans="1:8" ht="15.75" x14ac:dyDescent="0.3">
      <c r="D35" s="2" t="s">
        <v>524</v>
      </c>
      <c r="E35" s="2">
        <v>11</v>
      </c>
      <c r="F35" s="2">
        <v>0</v>
      </c>
      <c r="G35" s="7">
        <v>0.02</v>
      </c>
      <c r="H35" s="27" t="s">
        <v>467</v>
      </c>
    </row>
    <row r="36" spans="1:8" ht="15.75" x14ac:dyDescent="0.3">
      <c r="D36" s="2" t="s">
        <v>522</v>
      </c>
      <c r="E36" s="2">
        <v>9</v>
      </c>
      <c r="F36" s="2">
        <v>0</v>
      </c>
      <c r="G36" s="2">
        <v>3.7999999999999999E-2</v>
      </c>
      <c r="H36" s="27" t="s">
        <v>472</v>
      </c>
    </row>
    <row r="37" spans="1:8" x14ac:dyDescent="0.2">
      <c r="D37" s="2" t="s">
        <v>432</v>
      </c>
      <c r="E37" s="2">
        <v>23</v>
      </c>
      <c r="F37" s="2" t="s">
        <v>465</v>
      </c>
      <c r="G37" s="2" t="s">
        <v>466</v>
      </c>
      <c r="H37" s="27" t="s">
        <v>435</v>
      </c>
    </row>
    <row r="38" spans="1:8" ht="15.75" x14ac:dyDescent="0.3">
      <c r="D38" s="2" t="s">
        <v>523</v>
      </c>
      <c r="E38" s="2">
        <v>19</v>
      </c>
      <c r="F38" s="2">
        <v>0</v>
      </c>
      <c r="G38" s="2">
        <v>145</v>
      </c>
      <c r="H38" s="27" t="s">
        <v>468</v>
      </c>
    </row>
    <row r="39" spans="1:8" ht="15.75" x14ac:dyDescent="0.3">
      <c r="D39" s="2" t="s">
        <v>525</v>
      </c>
      <c r="E39" s="2">
        <v>22</v>
      </c>
      <c r="F39" s="2">
        <v>1</v>
      </c>
      <c r="G39" s="77">
        <v>71</v>
      </c>
      <c r="H39" s="27" t="s">
        <v>464</v>
      </c>
    </row>
    <row r="40" spans="1:8" x14ac:dyDescent="0.2">
      <c r="D40" s="2" t="s">
        <v>188</v>
      </c>
      <c r="E40" s="2">
        <v>8</v>
      </c>
      <c r="F40" s="2" t="s">
        <v>437</v>
      </c>
      <c r="G40" s="2">
        <v>5.0599999999999996</v>
      </c>
      <c r="H40" s="27" t="s">
        <v>462</v>
      </c>
    </row>
    <row r="42" spans="1:8" x14ac:dyDescent="0.2">
      <c r="A42" s="49" t="s">
        <v>463</v>
      </c>
    </row>
  </sheetData>
  <mergeCells count="4">
    <mergeCell ref="A1:H1"/>
    <mergeCell ref="A3:C3"/>
    <mergeCell ref="G3:H3"/>
    <mergeCell ref="E3:F3"/>
  </mergeCells>
  <phoneticPr fontId="0" type="noConversion"/>
  <printOptions horizontalCentered="1"/>
  <pageMargins left="0.1" right="0.1" top="0.25" bottom="0.5" header="0" footer="0"/>
  <pageSetup fitToHeight="0" orientation="landscape" r:id="rId1"/>
  <headerFooter alignWithMargins="0">
    <oddFooter>&amp;C&amp;8For the year of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abSelected="1" zoomScaleNormal="100" workbookViewId="0">
      <selection activeCell="A6" sqref="A6"/>
    </sheetView>
  </sheetViews>
  <sheetFormatPr defaultRowHeight="12.75" x14ac:dyDescent="0.2"/>
  <cols>
    <col min="1" max="1" width="41.28515625" bestFit="1" customWidth="1"/>
    <col min="2" max="2" width="11.140625" style="2" bestFit="1" customWidth="1"/>
    <col min="3" max="3" width="15.28515625" style="27" bestFit="1" customWidth="1"/>
    <col min="4" max="4" width="20.5703125" style="27" bestFit="1" customWidth="1"/>
    <col min="5" max="5" width="7.140625" style="36" customWidth="1"/>
    <col min="6" max="6" width="8.28515625" style="36" customWidth="1"/>
    <col min="7" max="7" width="15" bestFit="1" customWidth="1"/>
    <col min="8" max="8" width="24.85546875" bestFit="1" customWidth="1"/>
    <col min="9" max="9" width="9.42578125" bestFit="1" customWidth="1"/>
    <col min="10" max="10" width="20.42578125" bestFit="1" customWidth="1"/>
    <col min="11" max="11" width="43" bestFit="1" customWidth="1"/>
    <col min="12" max="12" width="23.28515625" bestFit="1" customWidth="1"/>
  </cols>
  <sheetData>
    <row r="1" spans="1:15" ht="15" x14ac:dyDescent="0.2">
      <c r="A1" s="93" t="s">
        <v>471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5" x14ac:dyDescent="0.2">
      <c r="A2" s="94" t="s">
        <v>473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5" x14ac:dyDescent="0.2">
      <c r="C3" s="26"/>
      <c r="E3" s="28"/>
      <c r="F3" s="28"/>
    </row>
    <row r="4" spans="1:15" x14ac:dyDescent="0.2">
      <c r="A4" s="46"/>
      <c r="B4" s="47"/>
      <c r="C4" s="29"/>
      <c r="D4" s="48"/>
      <c r="E4" s="30"/>
      <c r="F4" s="30"/>
      <c r="G4" s="49"/>
      <c r="H4" s="49"/>
      <c r="I4" s="50" t="s">
        <v>317</v>
      </c>
      <c r="J4" s="49"/>
      <c r="K4" s="49"/>
      <c r="L4" s="49"/>
    </row>
    <row r="5" spans="1:15" x14ac:dyDescent="0.2">
      <c r="A5" s="44" t="s">
        <v>65</v>
      </c>
      <c r="B5" s="44" t="s">
        <v>0</v>
      </c>
      <c r="C5" s="44" t="s">
        <v>2</v>
      </c>
      <c r="D5" s="44" t="s">
        <v>1</v>
      </c>
      <c r="E5" s="51" t="s">
        <v>67</v>
      </c>
      <c r="F5" s="51" t="s">
        <v>66</v>
      </c>
      <c r="G5" s="43" t="s">
        <v>216</v>
      </c>
      <c r="H5" s="43" t="s">
        <v>217</v>
      </c>
      <c r="I5" s="50" t="s">
        <v>318</v>
      </c>
      <c r="J5" s="52" t="s">
        <v>218</v>
      </c>
      <c r="K5" s="43" t="s">
        <v>219</v>
      </c>
      <c r="L5" s="43" t="s">
        <v>220</v>
      </c>
    </row>
    <row r="6" spans="1:15" s="15" customFormat="1" x14ac:dyDescent="0.2">
      <c r="A6" s="17" t="s">
        <v>86</v>
      </c>
      <c r="B6" s="18" t="s">
        <v>84</v>
      </c>
      <c r="C6" s="31" t="s">
        <v>85</v>
      </c>
      <c r="D6" s="32"/>
      <c r="E6" s="86">
        <v>372478</v>
      </c>
      <c r="F6" s="86">
        <v>3798898</v>
      </c>
      <c r="G6" s="33" t="s">
        <v>221</v>
      </c>
      <c r="H6" s="33" t="s">
        <v>222</v>
      </c>
      <c r="I6" s="34">
        <v>204</v>
      </c>
      <c r="J6" s="35">
        <v>33330</v>
      </c>
      <c r="K6" s="33" t="s">
        <v>223</v>
      </c>
      <c r="L6" s="33" t="s">
        <v>224</v>
      </c>
      <c r="M6" s="20"/>
    </row>
    <row r="7" spans="1:15" s="15" customFormat="1" x14ac:dyDescent="0.2">
      <c r="A7" s="17" t="s">
        <v>83</v>
      </c>
      <c r="B7" s="18" t="s">
        <v>75</v>
      </c>
      <c r="C7" s="31" t="s">
        <v>7</v>
      </c>
      <c r="D7" s="32"/>
      <c r="E7" s="86">
        <v>426614</v>
      </c>
      <c r="F7" s="86">
        <v>3689312</v>
      </c>
      <c r="G7" s="33" t="s">
        <v>225</v>
      </c>
      <c r="H7" s="33" t="s">
        <v>226</v>
      </c>
      <c r="I7" s="34">
        <v>91</v>
      </c>
      <c r="J7" s="35">
        <v>31344</v>
      </c>
      <c r="K7" s="33" t="s">
        <v>227</v>
      </c>
      <c r="L7" s="33" t="s">
        <v>224</v>
      </c>
      <c r="M7" s="20"/>
    </row>
    <row r="8" spans="1:15" s="15" customFormat="1" x14ac:dyDescent="0.2">
      <c r="A8" s="17" t="s">
        <v>209</v>
      </c>
      <c r="B8" s="18" t="s">
        <v>208</v>
      </c>
      <c r="C8" s="31" t="s">
        <v>7</v>
      </c>
      <c r="D8" s="32"/>
      <c r="E8" s="86">
        <v>468239</v>
      </c>
      <c r="F8" s="86">
        <v>3722716</v>
      </c>
      <c r="G8" s="33" t="s">
        <v>221</v>
      </c>
      <c r="H8" s="33" t="s">
        <v>222</v>
      </c>
      <c r="I8" s="34">
        <v>138</v>
      </c>
      <c r="J8" s="35">
        <v>36724</v>
      </c>
      <c r="K8" s="33" t="s">
        <v>227</v>
      </c>
      <c r="L8" s="33" t="s">
        <v>224</v>
      </c>
      <c r="M8" s="20"/>
    </row>
    <row r="9" spans="1:15" x14ac:dyDescent="0.2">
      <c r="A9" s="1" t="s">
        <v>8</v>
      </c>
      <c r="B9" s="14" t="s">
        <v>6</v>
      </c>
      <c r="C9" s="22" t="s">
        <v>7</v>
      </c>
      <c r="E9" s="87">
        <v>417056</v>
      </c>
      <c r="F9" s="87">
        <v>3699183</v>
      </c>
      <c r="G9" s="33" t="s">
        <v>221</v>
      </c>
      <c r="H9" s="33" t="s">
        <v>222</v>
      </c>
      <c r="I9" s="34">
        <v>46</v>
      </c>
      <c r="J9" s="35">
        <v>26387</v>
      </c>
      <c r="K9" s="33" t="s">
        <v>227</v>
      </c>
      <c r="L9" s="33" t="s">
        <v>224</v>
      </c>
    </row>
    <row r="10" spans="1:15" s="15" customFormat="1" x14ac:dyDescent="0.2">
      <c r="A10" s="17" t="s">
        <v>89</v>
      </c>
      <c r="B10" s="18" t="s">
        <v>87</v>
      </c>
      <c r="C10" s="31" t="s">
        <v>88</v>
      </c>
      <c r="D10" s="32"/>
      <c r="E10" s="86">
        <v>363630</v>
      </c>
      <c r="F10" s="86">
        <v>3848907</v>
      </c>
      <c r="G10" s="33" t="s">
        <v>221</v>
      </c>
      <c r="H10" s="33" t="s">
        <v>226</v>
      </c>
      <c r="I10" s="34">
        <v>300</v>
      </c>
      <c r="J10" s="35">
        <v>33390</v>
      </c>
      <c r="K10" s="33" t="s">
        <v>228</v>
      </c>
      <c r="L10" s="33" t="s">
        <v>33</v>
      </c>
      <c r="M10" s="20"/>
    </row>
    <row r="11" spans="1:15" s="15" customFormat="1" x14ac:dyDescent="0.2">
      <c r="A11" s="17" t="s">
        <v>147</v>
      </c>
      <c r="B11" s="18" t="s">
        <v>76</v>
      </c>
      <c r="C11" s="31" t="s">
        <v>77</v>
      </c>
      <c r="D11" s="32"/>
      <c r="E11" s="86">
        <v>456692</v>
      </c>
      <c r="F11" s="86">
        <v>3686698</v>
      </c>
      <c r="G11" s="33" t="s">
        <v>229</v>
      </c>
      <c r="H11" s="33" t="s">
        <v>222</v>
      </c>
      <c r="I11" s="34">
        <v>91</v>
      </c>
      <c r="J11" s="35">
        <v>31362</v>
      </c>
      <c r="K11" s="33" t="s">
        <v>223</v>
      </c>
      <c r="L11" s="33" t="s">
        <v>224</v>
      </c>
      <c r="M11" s="20"/>
    </row>
    <row r="12" spans="1:15" x14ac:dyDescent="0.2">
      <c r="A12" s="1" t="s">
        <v>11</v>
      </c>
      <c r="B12" s="14" t="s">
        <v>10</v>
      </c>
      <c r="C12" s="22" t="s">
        <v>9</v>
      </c>
      <c r="D12" s="22" t="s">
        <v>9</v>
      </c>
      <c r="E12" s="87">
        <v>530355</v>
      </c>
      <c r="F12" s="87">
        <v>3588470</v>
      </c>
      <c r="G12" s="33" t="s">
        <v>230</v>
      </c>
      <c r="H12" s="33" t="s">
        <v>231</v>
      </c>
      <c r="I12" s="34">
        <v>8</v>
      </c>
      <c r="J12" s="35">
        <v>36192</v>
      </c>
      <c r="K12" s="33" t="s">
        <v>223</v>
      </c>
      <c r="L12" s="33" t="s">
        <v>224</v>
      </c>
    </row>
    <row r="13" spans="1:15" s="15" customFormat="1" x14ac:dyDescent="0.2">
      <c r="A13" s="17" t="s">
        <v>92</v>
      </c>
      <c r="B13" s="18" t="s">
        <v>90</v>
      </c>
      <c r="C13" s="31" t="s">
        <v>91</v>
      </c>
      <c r="D13" s="32"/>
      <c r="E13" s="86">
        <v>599351</v>
      </c>
      <c r="F13" s="86">
        <v>3650181</v>
      </c>
      <c r="G13" s="33" t="s">
        <v>232</v>
      </c>
      <c r="H13" s="33" t="s">
        <v>222</v>
      </c>
      <c r="I13" s="34">
        <v>2</v>
      </c>
      <c r="J13" s="35">
        <v>28661</v>
      </c>
      <c r="K13" s="33" t="s">
        <v>233</v>
      </c>
      <c r="L13" s="33" t="s">
        <v>13</v>
      </c>
      <c r="M13" s="20"/>
    </row>
    <row r="14" spans="1:15" x14ac:dyDescent="0.2">
      <c r="A14" s="1" t="s">
        <v>14</v>
      </c>
      <c r="B14" s="14" t="s">
        <v>12</v>
      </c>
      <c r="C14" s="22" t="s">
        <v>13</v>
      </c>
      <c r="D14" s="22" t="s">
        <v>146</v>
      </c>
      <c r="E14" s="87">
        <v>595649</v>
      </c>
      <c r="F14" s="87">
        <v>3638503</v>
      </c>
      <c r="G14" s="33" t="s">
        <v>230</v>
      </c>
      <c r="H14" s="33" t="s">
        <v>231</v>
      </c>
      <c r="I14" s="34">
        <v>7</v>
      </c>
      <c r="J14" s="35">
        <v>25248</v>
      </c>
      <c r="K14" s="33" t="s">
        <v>233</v>
      </c>
      <c r="L14" s="33" t="s">
        <v>13</v>
      </c>
    </row>
    <row r="15" spans="1:15" x14ac:dyDescent="0.2">
      <c r="A15" s="1" t="s">
        <v>73</v>
      </c>
      <c r="B15" s="14" t="s">
        <v>72</v>
      </c>
      <c r="C15" s="22" t="s">
        <v>13</v>
      </c>
      <c r="D15" s="22" t="s">
        <v>13</v>
      </c>
      <c r="E15" s="88">
        <v>598631</v>
      </c>
      <c r="F15" s="88">
        <v>3628738</v>
      </c>
      <c r="G15" s="33" t="s">
        <v>230</v>
      </c>
      <c r="H15" s="33" t="s">
        <v>231</v>
      </c>
      <c r="I15" s="34">
        <v>6</v>
      </c>
      <c r="J15" s="35">
        <v>29896</v>
      </c>
      <c r="K15" s="33" t="s">
        <v>233</v>
      </c>
      <c r="L15" s="33" t="s">
        <v>13</v>
      </c>
      <c r="M15" s="2"/>
      <c r="N15" s="12"/>
      <c r="O15" s="9"/>
    </row>
    <row r="16" spans="1:15" s="15" customFormat="1" x14ac:dyDescent="0.2">
      <c r="A16" s="17" t="s">
        <v>94</v>
      </c>
      <c r="B16" s="18" t="s">
        <v>93</v>
      </c>
      <c r="C16" s="31" t="s">
        <v>13</v>
      </c>
      <c r="D16" s="32"/>
      <c r="E16" s="86">
        <v>596762</v>
      </c>
      <c r="F16" s="86">
        <v>3641594</v>
      </c>
      <c r="G16" s="33" t="s">
        <v>232</v>
      </c>
      <c r="H16" s="33" t="s">
        <v>226</v>
      </c>
      <c r="I16" s="34">
        <v>4</v>
      </c>
      <c r="J16" s="35">
        <v>28133</v>
      </c>
      <c r="K16" s="33" t="s">
        <v>233</v>
      </c>
      <c r="L16" s="33" t="s">
        <v>13</v>
      </c>
      <c r="M16" s="20"/>
    </row>
    <row r="17" spans="1:15" x14ac:dyDescent="0.2">
      <c r="A17" s="1" t="s">
        <v>16</v>
      </c>
      <c r="B17" s="14" t="s">
        <v>15</v>
      </c>
      <c r="C17" s="22" t="s">
        <v>13</v>
      </c>
      <c r="E17" s="87">
        <v>625554</v>
      </c>
      <c r="F17" s="87">
        <v>3645337</v>
      </c>
      <c r="G17" s="33" t="s">
        <v>229</v>
      </c>
      <c r="H17" s="33" t="s">
        <v>222</v>
      </c>
      <c r="I17" s="34">
        <v>5</v>
      </c>
      <c r="J17" s="35">
        <v>30508</v>
      </c>
      <c r="K17" s="33" t="s">
        <v>233</v>
      </c>
      <c r="L17" s="33" t="s">
        <v>224</v>
      </c>
    </row>
    <row r="18" spans="1:15" x14ac:dyDescent="0.2">
      <c r="A18" s="1" t="s">
        <v>71</v>
      </c>
      <c r="B18" s="14" t="s">
        <v>17</v>
      </c>
      <c r="C18" s="22" t="s">
        <v>13</v>
      </c>
      <c r="D18" s="22" t="s">
        <v>146</v>
      </c>
      <c r="E18" s="87">
        <v>598473</v>
      </c>
      <c r="F18" s="87">
        <v>3634157</v>
      </c>
      <c r="G18" s="33" t="s">
        <v>232</v>
      </c>
      <c r="H18" s="33" t="s">
        <v>231</v>
      </c>
      <c r="I18" s="34">
        <v>5</v>
      </c>
      <c r="J18" s="35">
        <v>32077</v>
      </c>
      <c r="K18" s="33" t="s">
        <v>233</v>
      </c>
      <c r="L18" s="33" t="s">
        <v>224</v>
      </c>
    </row>
    <row r="19" spans="1:15" x14ac:dyDescent="0.2">
      <c r="A19" s="1" t="s">
        <v>167</v>
      </c>
      <c r="B19" s="14" t="s">
        <v>129</v>
      </c>
      <c r="C19" s="22" t="s">
        <v>13</v>
      </c>
      <c r="D19" s="22" t="s">
        <v>13</v>
      </c>
      <c r="E19" s="87">
        <v>587347</v>
      </c>
      <c r="F19" s="87">
        <v>3649274</v>
      </c>
      <c r="G19" s="33" t="s">
        <v>225</v>
      </c>
      <c r="H19" s="33" t="s">
        <v>226</v>
      </c>
      <c r="I19" s="34">
        <v>12</v>
      </c>
      <c r="J19" s="35">
        <v>36259</v>
      </c>
      <c r="K19" s="33" t="s">
        <v>233</v>
      </c>
      <c r="L19" s="33" t="s">
        <v>13</v>
      </c>
      <c r="M19" s="2"/>
      <c r="N19" s="2"/>
      <c r="O19" s="12"/>
    </row>
    <row r="20" spans="1:15" x14ac:dyDescent="0.2">
      <c r="A20" s="1" t="s">
        <v>168</v>
      </c>
      <c r="B20" s="14" t="s">
        <v>130</v>
      </c>
      <c r="C20" s="22" t="s">
        <v>13</v>
      </c>
      <c r="D20" s="22" t="s">
        <v>13</v>
      </c>
      <c r="E20" s="87">
        <v>597515</v>
      </c>
      <c r="F20" s="87">
        <v>3628389</v>
      </c>
      <c r="G20" s="33" t="s">
        <v>225</v>
      </c>
      <c r="H20" s="33" t="s">
        <v>231</v>
      </c>
      <c r="I20" s="34">
        <v>2</v>
      </c>
      <c r="J20" s="35">
        <v>36119</v>
      </c>
      <c r="K20" s="33" t="s">
        <v>233</v>
      </c>
      <c r="L20" s="33" t="s">
        <v>13</v>
      </c>
      <c r="M20" s="2"/>
      <c r="N20" s="2"/>
      <c r="O20" s="12"/>
    </row>
    <row r="21" spans="1:15" s="15" customFormat="1" x14ac:dyDescent="0.2">
      <c r="A21" s="17" t="s">
        <v>156</v>
      </c>
      <c r="B21" s="18" t="s">
        <v>95</v>
      </c>
      <c r="C21" s="31" t="s">
        <v>96</v>
      </c>
      <c r="D21" s="32"/>
      <c r="E21" s="86">
        <v>425619</v>
      </c>
      <c r="F21" s="86">
        <v>3887598</v>
      </c>
      <c r="G21" s="33" t="s">
        <v>229</v>
      </c>
      <c r="H21" s="33" t="s">
        <v>222</v>
      </c>
      <c r="I21" s="34">
        <v>296</v>
      </c>
      <c r="J21" s="35">
        <v>32227</v>
      </c>
      <c r="K21" s="33" t="s">
        <v>228</v>
      </c>
      <c r="L21" s="33" t="s">
        <v>224</v>
      </c>
      <c r="M21" s="20"/>
    </row>
    <row r="22" spans="1:15" s="15" customFormat="1" x14ac:dyDescent="0.2">
      <c r="A22" s="17" t="s">
        <v>99</v>
      </c>
      <c r="B22" s="18" t="s">
        <v>97</v>
      </c>
      <c r="C22" s="31" t="s">
        <v>98</v>
      </c>
      <c r="D22" s="32"/>
      <c r="E22" s="86">
        <v>481373</v>
      </c>
      <c r="F22" s="86">
        <v>3849885</v>
      </c>
      <c r="G22" s="33" t="s">
        <v>230</v>
      </c>
      <c r="H22" s="33" t="s">
        <v>222</v>
      </c>
      <c r="I22" s="34">
        <v>201</v>
      </c>
      <c r="J22" s="35">
        <v>29274</v>
      </c>
      <c r="K22" s="33" t="s">
        <v>223</v>
      </c>
      <c r="L22" s="33" t="s">
        <v>224</v>
      </c>
      <c r="M22" s="20"/>
    </row>
    <row r="23" spans="1:15" x14ac:dyDescent="0.2">
      <c r="A23" s="1" t="s">
        <v>207</v>
      </c>
      <c r="B23" s="14" t="s">
        <v>206</v>
      </c>
      <c r="C23" s="22" t="s">
        <v>207</v>
      </c>
      <c r="D23" s="22"/>
      <c r="E23" s="87">
        <v>573287</v>
      </c>
      <c r="F23" s="87">
        <v>3830568</v>
      </c>
      <c r="G23" s="33" t="s">
        <v>229</v>
      </c>
      <c r="H23" s="33" t="s">
        <v>222</v>
      </c>
      <c r="I23" s="34">
        <v>133</v>
      </c>
      <c r="J23" s="35">
        <v>36531</v>
      </c>
      <c r="K23" s="33" t="s">
        <v>223</v>
      </c>
      <c r="L23" s="33" t="s">
        <v>224</v>
      </c>
      <c r="M23" s="2"/>
      <c r="N23" s="2"/>
      <c r="O23" s="12"/>
    </row>
    <row r="24" spans="1:15" s="15" customFormat="1" x14ac:dyDescent="0.2">
      <c r="A24" s="17" t="s">
        <v>102</v>
      </c>
      <c r="B24" s="18" t="s">
        <v>100</v>
      </c>
      <c r="C24" s="31" t="s">
        <v>101</v>
      </c>
      <c r="D24" s="32"/>
      <c r="E24" s="86">
        <v>503269</v>
      </c>
      <c r="F24" s="86">
        <v>3651959</v>
      </c>
      <c r="G24" s="33" t="s">
        <v>221</v>
      </c>
      <c r="H24" s="33" t="s">
        <v>222</v>
      </c>
      <c r="I24" s="34">
        <v>11</v>
      </c>
      <c r="J24" s="35">
        <v>32939</v>
      </c>
      <c r="K24" s="33" t="s">
        <v>223</v>
      </c>
      <c r="L24" s="33" t="s">
        <v>224</v>
      </c>
      <c r="M24" s="20"/>
    </row>
    <row r="25" spans="1:15" s="15" customFormat="1" x14ac:dyDescent="0.2">
      <c r="A25" s="17" t="s">
        <v>157</v>
      </c>
      <c r="B25" s="18" t="s">
        <v>103</v>
      </c>
      <c r="C25" s="31" t="s">
        <v>104</v>
      </c>
      <c r="D25" s="32"/>
      <c r="E25" s="86">
        <v>615539</v>
      </c>
      <c r="F25" s="86">
        <v>3794336</v>
      </c>
      <c r="G25" s="33" t="s">
        <v>221</v>
      </c>
      <c r="H25" s="33" t="s">
        <v>222</v>
      </c>
      <c r="I25" s="34">
        <v>64</v>
      </c>
      <c r="J25" s="35">
        <v>34025</v>
      </c>
      <c r="K25" s="33" t="s">
        <v>223</v>
      </c>
      <c r="L25" s="33" t="s">
        <v>224</v>
      </c>
      <c r="M25" s="20"/>
    </row>
    <row r="26" spans="1:15" x14ac:dyDescent="0.2">
      <c r="A26" t="s">
        <v>184</v>
      </c>
      <c r="B26" s="14" t="s">
        <v>18</v>
      </c>
      <c r="C26" s="22" t="s">
        <v>19</v>
      </c>
      <c r="D26" s="22" t="s">
        <v>19</v>
      </c>
      <c r="E26" s="87">
        <v>649208</v>
      </c>
      <c r="F26" s="87">
        <v>3809572</v>
      </c>
      <c r="G26" s="33" t="s">
        <v>230</v>
      </c>
      <c r="H26" s="33" t="s">
        <v>231</v>
      </c>
      <c r="I26" s="34">
        <v>34</v>
      </c>
      <c r="J26" s="35">
        <v>26380</v>
      </c>
      <c r="K26" s="33" t="s">
        <v>223</v>
      </c>
      <c r="L26" s="33" t="s">
        <v>224</v>
      </c>
    </row>
    <row r="27" spans="1:15" s="15" customFormat="1" x14ac:dyDescent="0.2">
      <c r="A27" s="17" t="s">
        <v>107</v>
      </c>
      <c r="B27" s="18" t="s">
        <v>105</v>
      </c>
      <c r="C27" s="31" t="s">
        <v>106</v>
      </c>
      <c r="D27" s="32"/>
      <c r="E27" s="86">
        <v>420928</v>
      </c>
      <c r="F27" s="86">
        <v>3733431</v>
      </c>
      <c r="G27" s="33" t="s">
        <v>221</v>
      </c>
      <c r="H27" s="33" t="s">
        <v>222</v>
      </c>
      <c r="I27" s="34">
        <v>177</v>
      </c>
      <c r="J27" s="35">
        <v>29308</v>
      </c>
      <c r="K27" s="33" t="s">
        <v>227</v>
      </c>
      <c r="L27" s="33" t="s">
        <v>224</v>
      </c>
      <c r="M27" s="20"/>
    </row>
    <row r="28" spans="1:15" x14ac:dyDescent="0.2">
      <c r="A28" s="1" t="s">
        <v>122</v>
      </c>
      <c r="B28" s="14" t="s">
        <v>234</v>
      </c>
      <c r="C28" s="22" t="s">
        <v>121</v>
      </c>
      <c r="E28" s="87">
        <v>508081</v>
      </c>
      <c r="F28" s="87">
        <v>3791655</v>
      </c>
      <c r="G28" s="33" t="s">
        <v>229</v>
      </c>
      <c r="H28" s="33" t="s">
        <v>222</v>
      </c>
      <c r="I28" s="34">
        <v>125</v>
      </c>
      <c r="J28" s="35">
        <v>33208</v>
      </c>
      <c r="K28" s="33" t="s">
        <v>223</v>
      </c>
      <c r="L28" s="33" t="s">
        <v>224</v>
      </c>
      <c r="M28" s="2"/>
      <c r="N28" s="2"/>
      <c r="O28" s="12"/>
    </row>
    <row r="29" spans="1:15" x14ac:dyDescent="0.2">
      <c r="A29" s="1" t="s">
        <v>123</v>
      </c>
      <c r="B29" s="14" t="s">
        <v>235</v>
      </c>
      <c r="C29" s="22" t="s">
        <v>121</v>
      </c>
      <c r="E29" s="87">
        <v>511046</v>
      </c>
      <c r="F29" s="87">
        <v>3792767</v>
      </c>
      <c r="G29" s="33" t="s">
        <v>229</v>
      </c>
      <c r="H29" s="33" t="s">
        <v>222</v>
      </c>
      <c r="I29" s="34">
        <v>137</v>
      </c>
      <c r="J29" s="35">
        <v>33208</v>
      </c>
      <c r="K29" s="33" t="s">
        <v>223</v>
      </c>
      <c r="L29" s="33" t="s">
        <v>224</v>
      </c>
      <c r="M29" s="2"/>
      <c r="N29" s="2"/>
      <c r="O29" s="12"/>
    </row>
    <row r="30" spans="1:15" x14ac:dyDescent="0.2">
      <c r="A30" s="1" t="s">
        <v>22</v>
      </c>
      <c r="B30" s="14" t="s">
        <v>20</v>
      </c>
      <c r="C30" s="22" t="s">
        <v>21</v>
      </c>
      <c r="D30" s="22" t="s">
        <v>21</v>
      </c>
      <c r="E30" s="87">
        <v>610696</v>
      </c>
      <c r="F30" s="87">
        <v>3784358</v>
      </c>
      <c r="G30" s="33" t="s">
        <v>230</v>
      </c>
      <c r="H30" s="33" t="s">
        <v>231</v>
      </c>
      <c r="I30" s="34">
        <v>40</v>
      </c>
      <c r="J30" s="35">
        <v>25204</v>
      </c>
      <c r="K30" s="33" t="s">
        <v>236</v>
      </c>
      <c r="L30" s="33" t="s">
        <v>21</v>
      </c>
    </row>
    <row r="31" spans="1:15" x14ac:dyDescent="0.2">
      <c r="A31" s="1" t="s">
        <v>169</v>
      </c>
      <c r="B31" s="14" t="s">
        <v>131</v>
      </c>
      <c r="C31" s="22" t="s">
        <v>21</v>
      </c>
      <c r="D31" s="22" t="s">
        <v>21</v>
      </c>
      <c r="E31" s="87">
        <v>605971</v>
      </c>
      <c r="F31" s="87">
        <v>3781130</v>
      </c>
      <c r="G31" s="33" t="s">
        <v>225</v>
      </c>
      <c r="H31" s="33" t="s">
        <v>222</v>
      </c>
      <c r="I31" s="34">
        <v>13</v>
      </c>
      <c r="J31" s="35">
        <v>36175</v>
      </c>
      <c r="K31" s="33" t="s">
        <v>236</v>
      </c>
      <c r="L31" s="33" t="s">
        <v>21</v>
      </c>
      <c r="M31" s="2"/>
      <c r="N31" s="2"/>
      <c r="O31" s="12"/>
    </row>
    <row r="32" spans="1:15" x14ac:dyDescent="0.2">
      <c r="A32" s="1" t="s">
        <v>25</v>
      </c>
      <c r="B32" s="14" t="s">
        <v>23</v>
      </c>
      <c r="C32" s="22" t="s">
        <v>24</v>
      </c>
      <c r="D32" s="22" t="s">
        <v>24</v>
      </c>
      <c r="E32" s="87">
        <v>658389</v>
      </c>
      <c r="F32" s="87">
        <v>3693255</v>
      </c>
      <c r="G32" s="33" t="s">
        <v>232</v>
      </c>
      <c r="H32" s="33" t="s">
        <v>231</v>
      </c>
      <c r="I32" s="34">
        <v>10</v>
      </c>
      <c r="J32" s="35">
        <v>25659</v>
      </c>
      <c r="K32" s="33" t="s">
        <v>223</v>
      </c>
      <c r="L32" s="33" t="s">
        <v>224</v>
      </c>
    </row>
    <row r="33" spans="1:17" x14ac:dyDescent="0.2">
      <c r="A33" s="1" t="s">
        <v>27</v>
      </c>
      <c r="B33" s="14" t="s">
        <v>26</v>
      </c>
      <c r="C33" s="22" t="s">
        <v>24</v>
      </c>
      <c r="D33" s="22" t="s">
        <v>24</v>
      </c>
      <c r="E33" s="87">
        <v>658711</v>
      </c>
      <c r="F33" s="87">
        <v>3692520</v>
      </c>
      <c r="G33" s="33" t="s">
        <v>232</v>
      </c>
      <c r="H33" s="33" t="s">
        <v>231</v>
      </c>
      <c r="I33" s="34">
        <v>9</v>
      </c>
      <c r="J33" s="35">
        <v>26597</v>
      </c>
      <c r="K33" s="33" t="s">
        <v>223</v>
      </c>
      <c r="L33" s="33" t="s">
        <v>224</v>
      </c>
    </row>
    <row r="34" spans="1:17" x14ac:dyDescent="0.2">
      <c r="A34" s="1" t="s">
        <v>29</v>
      </c>
      <c r="B34" s="14" t="s">
        <v>28</v>
      </c>
      <c r="C34" s="22" t="s">
        <v>24</v>
      </c>
      <c r="D34" s="22" t="s">
        <v>24</v>
      </c>
      <c r="E34" s="87">
        <v>658375</v>
      </c>
      <c r="F34" s="87">
        <v>3690944</v>
      </c>
      <c r="G34" s="33" t="s">
        <v>225</v>
      </c>
      <c r="H34" s="33" t="s">
        <v>226</v>
      </c>
      <c r="I34" s="34">
        <v>13</v>
      </c>
      <c r="J34" s="35">
        <v>28156</v>
      </c>
      <c r="K34" s="33" t="s">
        <v>223</v>
      </c>
      <c r="L34" s="33" t="s">
        <v>224</v>
      </c>
    </row>
    <row r="35" spans="1:17" x14ac:dyDescent="0.2">
      <c r="A35" s="1" t="s">
        <v>31</v>
      </c>
      <c r="B35" s="14" t="s">
        <v>30</v>
      </c>
      <c r="C35" s="22" t="s">
        <v>24</v>
      </c>
      <c r="D35" s="22" t="s">
        <v>24</v>
      </c>
      <c r="E35" s="87">
        <v>659490</v>
      </c>
      <c r="F35" s="87">
        <v>3693858</v>
      </c>
      <c r="G35" s="33" t="s">
        <v>225</v>
      </c>
      <c r="H35" s="33" t="s">
        <v>231</v>
      </c>
      <c r="I35" s="34">
        <v>3</v>
      </c>
      <c r="J35" s="35">
        <v>34866</v>
      </c>
      <c r="K35" s="33" t="s">
        <v>223</v>
      </c>
      <c r="L35" s="33" t="s">
        <v>224</v>
      </c>
    </row>
    <row r="36" spans="1:17" x14ac:dyDescent="0.2">
      <c r="A36" s="1" t="s">
        <v>34</v>
      </c>
      <c r="B36" s="14" t="s">
        <v>32</v>
      </c>
      <c r="C36" s="22" t="s">
        <v>33</v>
      </c>
      <c r="D36" s="22" t="s">
        <v>33</v>
      </c>
      <c r="E36" s="87">
        <v>371736</v>
      </c>
      <c r="F36" s="87">
        <v>3855846</v>
      </c>
      <c r="G36" s="33" t="s">
        <v>230</v>
      </c>
      <c r="H36" s="33" t="s">
        <v>231</v>
      </c>
      <c r="I36" s="34">
        <v>290</v>
      </c>
      <c r="J36" s="35">
        <v>32604</v>
      </c>
      <c r="K36" s="33" t="s">
        <v>228</v>
      </c>
      <c r="L36" s="33" t="s">
        <v>33</v>
      </c>
    </row>
    <row r="37" spans="1:17" x14ac:dyDescent="0.2">
      <c r="A37" s="1" t="s">
        <v>185</v>
      </c>
      <c r="B37" s="14" t="s">
        <v>132</v>
      </c>
      <c r="C37" s="22" t="s">
        <v>33</v>
      </c>
      <c r="D37" s="22" t="s">
        <v>133</v>
      </c>
      <c r="E37" s="87">
        <v>380028</v>
      </c>
      <c r="F37" s="87">
        <v>3862420</v>
      </c>
      <c r="G37" s="33" t="s">
        <v>225</v>
      </c>
      <c r="H37" s="33" t="s">
        <v>226</v>
      </c>
      <c r="I37" s="34">
        <v>0</v>
      </c>
      <c r="J37" s="35">
        <v>36281</v>
      </c>
      <c r="K37" s="33" t="s">
        <v>228</v>
      </c>
      <c r="L37" s="33" t="s">
        <v>224</v>
      </c>
    </row>
    <row r="38" spans="1:17" x14ac:dyDescent="0.2">
      <c r="A38" s="1" t="s">
        <v>166</v>
      </c>
      <c r="B38" s="14" t="s">
        <v>237</v>
      </c>
      <c r="C38" s="22" t="s">
        <v>33</v>
      </c>
      <c r="D38" s="22" t="s">
        <v>33</v>
      </c>
      <c r="E38" s="87">
        <v>370287</v>
      </c>
      <c r="F38" s="87">
        <v>3859348</v>
      </c>
      <c r="G38" s="33" t="s">
        <v>225</v>
      </c>
      <c r="H38" s="33" t="s">
        <v>226</v>
      </c>
      <c r="I38" s="34">
        <v>305</v>
      </c>
      <c r="J38" s="35">
        <v>25500</v>
      </c>
      <c r="K38" s="33" t="s">
        <v>228</v>
      </c>
      <c r="L38" s="33" t="s">
        <v>33</v>
      </c>
      <c r="M38" s="2"/>
      <c r="N38" s="2"/>
      <c r="O38" s="12"/>
    </row>
    <row r="39" spans="1:17" x14ac:dyDescent="0.2">
      <c r="A39" s="1" t="s">
        <v>70</v>
      </c>
      <c r="B39" s="14" t="s">
        <v>35</v>
      </c>
      <c r="C39" s="22" t="s">
        <v>33</v>
      </c>
      <c r="D39" s="22" t="s">
        <v>36</v>
      </c>
      <c r="E39" s="87">
        <v>387723</v>
      </c>
      <c r="F39" s="87">
        <v>3866851</v>
      </c>
      <c r="G39" s="33" t="s">
        <v>230</v>
      </c>
      <c r="H39" s="33" t="s">
        <v>231</v>
      </c>
      <c r="I39" s="34">
        <v>315</v>
      </c>
      <c r="J39" s="35">
        <v>28192</v>
      </c>
      <c r="K39" s="33" t="s">
        <v>228</v>
      </c>
      <c r="L39" s="33" t="s">
        <v>224</v>
      </c>
    </row>
    <row r="40" spans="1:17" x14ac:dyDescent="0.2">
      <c r="A40" s="1" t="s">
        <v>39</v>
      </c>
      <c r="B40" s="14" t="s">
        <v>37</v>
      </c>
      <c r="C40" s="22" t="s">
        <v>38</v>
      </c>
      <c r="D40" s="22" t="s">
        <v>38</v>
      </c>
      <c r="E40" s="87">
        <v>393814</v>
      </c>
      <c r="F40" s="87">
        <v>3782427</v>
      </c>
      <c r="G40" s="33" t="s">
        <v>230</v>
      </c>
      <c r="H40" s="33" t="s">
        <v>226</v>
      </c>
      <c r="I40" s="34">
        <v>197</v>
      </c>
      <c r="J40" s="35">
        <v>24400</v>
      </c>
      <c r="K40" s="33" t="s">
        <v>223</v>
      </c>
      <c r="L40" s="33" t="s">
        <v>224</v>
      </c>
    </row>
    <row r="41" spans="1:17" x14ac:dyDescent="0.2">
      <c r="A41" s="1" t="s">
        <v>182</v>
      </c>
      <c r="B41" s="14" t="s">
        <v>40</v>
      </c>
      <c r="C41" s="22" t="s">
        <v>38</v>
      </c>
      <c r="E41" s="87">
        <v>393053</v>
      </c>
      <c r="F41" s="87">
        <v>3780864</v>
      </c>
      <c r="G41" s="33" t="s">
        <v>232</v>
      </c>
      <c r="H41" s="33" t="s">
        <v>226</v>
      </c>
      <c r="I41" s="34">
        <v>187</v>
      </c>
      <c r="J41" s="35">
        <v>36187</v>
      </c>
      <c r="K41" s="33" t="s">
        <v>223</v>
      </c>
      <c r="L41" s="33" t="s">
        <v>224</v>
      </c>
    </row>
    <row r="42" spans="1:17" x14ac:dyDescent="0.2">
      <c r="A42" s="1" t="s">
        <v>135</v>
      </c>
      <c r="B42" s="14" t="s">
        <v>134</v>
      </c>
      <c r="C42" s="22" t="s">
        <v>38</v>
      </c>
      <c r="E42" s="87">
        <v>391936</v>
      </c>
      <c r="F42" s="87">
        <v>3786176</v>
      </c>
      <c r="G42" s="33" t="s">
        <v>232</v>
      </c>
      <c r="H42" s="33" t="s">
        <v>226</v>
      </c>
      <c r="I42" s="34">
        <v>0</v>
      </c>
      <c r="J42" s="35">
        <v>36130</v>
      </c>
      <c r="K42" s="33" t="s">
        <v>223</v>
      </c>
      <c r="L42" s="33" t="s">
        <v>224</v>
      </c>
      <c r="M42" s="2"/>
      <c r="N42" s="2"/>
      <c r="O42" s="12"/>
      <c r="P42" s="12"/>
    </row>
    <row r="43" spans="1:17" x14ac:dyDescent="0.2">
      <c r="A43" s="1" t="s">
        <v>43</v>
      </c>
      <c r="B43" s="14" t="s">
        <v>41</v>
      </c>
      <c r="C43" s="22" t="s">
        <v>42</v>
      </c>
      <c r="D43" s="22" t="s">
        <v>42</v>
      </c>
      <c r="E43" s="87">
        <v>489216</v>
      </c>
      <c r="F43" s="87">
        <v>3637122</v>
      </c>
      <c r="G43" s="33" t="s">
        <v>230</v>
      </c>
      <c r="H43" s="33" t="s">
        <v>231</v>
      </c>
      <c r="I43" s="34">
        <v>30</v>
      </c>
      <c r="J43" s="35">
        <v>32567</v>
      </c>
      <c r="K43" s="33" t="s">
        <v>223</v>
      </c>
      <c r="L43" s="33" t="s">
        <v>224</v>
      </c>
    </row>
    <row r="44" spans="1:17" x14ac:dyDescent="0.2">
      <c r="A44" s="1" t="s">
        <v>47</v>
      </c>
      <c r="B44" s="14" t="s">
        <v>44</v>
      </c>
      <c r="C44" s="22" t="s">
        <v>46</v>
      </c>
      <c r="D44" s="22" t="s">
        <v>45</v>
      </c>
      <c r="E44" s="87">
        <v>696737</v>
      </c>
      <c r="F44" s="87">
        <v>3731000</v>
      </c>
      <c r="G44" s="33" t="s">
        <v>230</v>
      </c>
      <c r="H44" s="33" t="s">
        <v>231</v>
      </c>
      <c r="I44" s="34">
        <v>2</v>
      </c>
      <c r="J44" s="35">
        <v>33238</v>
      </c>
      <c r="K44" s="33" t="s">
        <v>238</v>
      </c>
      <c r="L44" s="33" t="s">
        <v>45</v>
      </c>
    </row>
    <row r="45" spans="1:17" x14ac:dyDescent="0.2">
      <c r="A45" t="s">
        <v>269</v>
      </c>
      <c r="B45" s="14" t="s">
        <v>430</v>
      </c>
      <c r="C45" s="22" t="s">
        <v>402</v>
      </c>
      <c r="D45" s="22" t="s">
        <v>431</v>
      </c>
      <c r="E45" s="87">
        <v>536014</v>
      </c>
      <c r="F45" s="87">
        <v>3789473</v>
      </c>
      <c r="G45" s="33" t="s">
        <v>230</v>
      </c>
      <c r="H45" s="33" t="s">
        <v>231</v>
      </c>
      <c r="I45" s="34">
        <v>61</v>
      </c>
      <c r="J45" s="35">
        <v>25378</v>
      </c>
      <c r="K45" s="33" t="s">
        <v>223</v>
      </c>
      <c r="L45" s="33" t="s">
        <v>224</v>
      </c>
    </row>
    <row r="46" spans="1:17" x14ac:dyDescent="0.2">
      <c r="A46" t="s">
        <v>210</v>
      </c>
      <c r="B46" s="14" t="s">
        <v>239</v>
      </c>
      <c r="C46" s="22" t="s">
        <v>211</v>
      </c>
      <c r="D46" s="22" t="s">
        <v>211</v>
      </c>
      <c r="E46" s="87">
        <v>406283</v>
      </c>
      <c r="F46" s="87">
        <v>3818121</v>
      </c>
      <c r="G46" s="33" t="s">
        <v>230</v>
      </c>
      <c r="H46" s="33" t="s">
        <v>226</v>
      </c>
      <c r="I46" s="34">
        <v>177</v>
      </c>
      <c r="J46" s="35">
        <v>26362</v>
      </c>
      <c r="K46" s="33" t="s">
        <v>223</v>
      </c>
      <c r="L46" s="33" t="s">
        <v>224</v>
      </c>
    </row>
    <row r="47" spans="1:17" x14ac:dyDescent="0.2">
      <c r="A47" s="1" t="s">
        <v>181</v>
      </c>
      <c r="B47" s="14" t="s">
        <v>48</v>
      </c>
      <c r="C47" s="22" t="s">
        <v>49</v>
      </c>
      <c r="E47" s="87">
        <v>488916</v>
      </c>
      <c r="F47" s="87">
        <v>3738007</v>
      </c>
      <c r="G47" s="33" t="s">
        <v>221</v>
      </c>
      <c r="H47" s="33" t="s">
        <v>222</v>
      </c>
      <c r="I47" s="34">
        <v>128</v>
      </c>
      <c r="J47" s="35">
        <v>31096</v>
      </c>
      <c r="K47" s="33" t="s">
        <v>240</v>
      </c>
      <c r="L47" s="33" t="s">
        <v>224</v>
      </c>
    </row>
    <row r="48" spans="1:17" x14ac:dyDescent="0.2">
      <c r="A48" s="17" t="s">
        <v>148</v>
      </c>
      <c r="B48" s="18" t="s">
        <v>78</v>
      </c>
      <c r="C48" s="31" t="s">
        <v>49</v>
      </c>
      <c r="D48" s="31" t="s">
        <v>79</v>
      </c>
      <c r="E48" s="86">
        <v>485720</v>
      </c>
      <c r="F48" s="86">
        <v>3767608</v>
      </c>
      <c r="G48" s="33" t="s">
        <v>230</v>
      </c>
      <c r="H48" s="33" t="s">
        <v>226</v>
      </c>
      <c r="I48" s="34">
        <v>69</v>
      </c>
      <c r="J48" s="35">
        <v>32605</v>
      </c>
      <c r="K48" s="33" t="s">
        <v>240</v>
      </c>
      <c r="L48" s="33" t="s">
        <v>224</v>
      </c>
      <c r="M48" s="16"/>
      <c r="N48" s="19"/>
      <c r="O48" s="19"/>
      <c r="P48" s="16"/>
      <c r="Q48" s="20"/>
    </row>
    <row r="49" spans="1:17" x14ac:dyDescent="0.2">
      <c r="A49" s="1" t="s">
        <v>124</v>
      </c>
      <c r="B49" s="14" t="s">
        <v>241</v>
      </c>
      <c r="C49" s="22" t="s">
        <v>49</v>
      </c>
      <c r="D49" s="22" t="s">
        <v>51</v>
      </c>
      <c r="E49" s="87">
        <v>495150</v>
      </c>
      <c r="F49" s="87">
        <v>3759006</v>
      </c>
      <c r="G49" s="33" t="s">
        <v>230</v>
      </c>
      <c r="H49" s="33" t="s">
        <v>231</v>
      </c>
      <c r="I49" s="34">
        <v>55</v>
      </c>
      <c r="J49" s="35">
        <v>33537</v>
      </c>
      <c r="K49" s="33" t="s">
        <v>240</v>
      </c>
      <c r="L49" s="33" t="s">
        <v>54</v>
      </c>
      <c r="M49" s="2"/>
      <c r="N49" s="2"/>
      <c r="O49" s="12"/>
    </row>
    <row r="50" spans="1:17" x14ac:dyDescent="0.2">
      <c r="A50" s="1" t="s">
        <v>52</v>
      </c>
      <c r="B50" s="14" t="s">
        <v>50</v>
      </c>
      <c r="C50" s="22" t="s">
        <v>49</v>
      </c>
      <c r="D50" s="22" t="s">
        <v>51</v>
      </c>
      <c r="E50" s="87">
        <v>493969</v>
      </c>
      <c r="F50" s="87">
        <v>3758514</v>
      </c>
      <c r="G50" s="33" t="s">
        <v>230</v>
      </c>
      <c r="H50" s="33" t="s">
        <v>231</v>
      </c>
      <c r="I50" s="34">
        <v>61</v>
      </c>
      <c r="J50" s="35">
        <v>30834</v>
      </c>
      <c r="K50" s="33" t="s">
        <v>240</v>
      </c>
      <c r="L50" s="33" t="s">
        <v>54</v>
      </c>
    </row>
    <row r="51" spans="1:17" s="15" customFormat="1" x14ac:dyDescent="0.2">
      <c r="A51" s="17" t="s">
        <v>158</v>
      </c>
      <c r="B51" s="18" t="s">
        <v>80</v>
      </c>
      <c r="C51" s="31" t="s">
        <v>81</v>
      </c>
      <c r="D51" s="32"/>
      <c r="E51" s="86">
        <v>295318</v>
      </c>
      <c r="F51" s="86">
        <v>3853504</v>
      </c>
      <c r="G51" s="33" t="s">
        <v>229</v>
      </c>
      <c r="H51" s="33" t="s">
        <v>222</v>
      </c>
      <c r="I51" s="34">
        <v>658</v>
      </c>
      <c r="J51" s="35">
        <v>30529</v>
      </c>
      <c r="K51" s="33" t="s">
        <v>223</v>
      </c>
      <c r="L51" s="33" t="s">
        <v>224</v>
      </c>
      <c r="M51" s="20"/>
    </row>
    <row r="52" spans="1:17" s="15" customFormat="1" x14ac:dyDescent="0.2">
      <c r="A52" s="17" t="s">
        <v>159</v>
      </c>
      <c r="B52" s="18" t="s">
        <v>108</v>
      </c>
      <c r="C52" s="31" t="s">
        <v>110</v>
      </c>
      <c r="D52" s="31" t="s">
        <v>109</v>
      </c>
      <c r="E52" s="86">
        <v>331505</v>
      </c>
      <c r="F52" s="86">
        <v>3835941</v>
      </c>
      <c r="G52" s="33" t="s">
        <v>221</v>
      </c>
      <c r="H52" s="33" t="s">
        <v>222</v>
      </c>
      <c r="I52" s="34">
        <v>216</v>
      </c>
      <c r="J52" s="35">
        <v>29050</v>
      </c>
      <c r="K52" s="33" t="s">
        <v>228</v>
      </c>
      <c r="L52" s="33" t="s">
        <v>224</v>
      </c>
      <c r="M52" s="20"/>
    </row>
    <row r="53" spans="1:17" x14ac:dyDescent="0.2">
      <c r="A53" s="1" t="s">
        <v>183</v>
      </c>
      <c r="B53" s="14" t="s">
        <v>53</v>
      </c>
      <c r="C53" s="22" t="s">
        <v>55</v>
      </c>
      <c r="D53" s="22" t="s">
        <v>54</v>
      </c>
      <c r="E53" s="87">
        <v>497871</v>
      </c>
      <c r="F53" s="87">
        <v>3762547</v>
      </c>
      <c r="G53" s="33" t="s">
        <v>230</v>
      </c>
      <c r="H53" s="33" t="s">
        <v>226</v>
      </c>
      <c r="I53" s="34">
        <v>76</v>
      </c>
      <c r="J53" s="35">
        <v>24484</v>
      </c>
      <c r="K53" s="33" t="s">
        <v>240</v>
      </c>
      <c r="L53" s="33" t="s">
        <v>54</v>
      </c>
    </row>
    <row r="54" spans="1:17" x14ac:dyDescent="0.2">
      <c r="A54" s="1" t="s">
        <v>179</v>
      </c>
      <c r="B54" s="14" t="s">
        <v>56</v>
      </c>
      <c r="C54" s="22" t="s">
        <v>55</v>
      </c>
      <c r="D54" s="22" t="s">
        <v>54</v>
      </c>
      <c r="E54" s="87">
        <v>503485</v>
      </c>
      <c r="F54" s="87">
        <v>3772372</v>
      </c>
      <c r="G54" s="33" t="s">
        <v>225</v>
      </c>
      <c r="H54" s="33" t="s">
        <v>226</v>
      </c>
      <c r="I54" s="34">
        <v>122</v>
      </c>
      <c r="J54" s="35">
        <v>29314</v>
      </c>
      <c r="K54" s="33" t="s">
        <v>240</v>
      </c>
      <c r="L54" s="33" t="s">
        <v>54</v>
      </c>
    </row>
    <row r="55" spans="1:17" x14ac:dyDescent="0.2">
      <c r="A55" s="1" t="s">
        <v>180</v>
      </c>
      <c r="B55" s="14" t="s">
        <v>242</v>
      </c>
      <c r="C55" s="22" t="s">
        <v>55</v>
      </c>
      <c r="D55" s="22" t="s">
        <v>54</v>
      </c>
      <c r="E55" s="87">
        <v>498204</v>
      </c>
      <c r="F55" s="87">
        <v>3760083</v>
      </c>
      <c r="G55" s="33" t="s">
        <v>230</v>
      </c>
      <c r="H55" s="33" t="s">
        <v>226</v>
      </c>
      <c r="I55" s="34">
        <v>67</v>
      </c>
      <c r="J55" s="35">
        <v>29434</v>
      </c>
      <c r="K55" s="33" t="s">
        <v>240</v>
      </c>
      <c r="L55" s="33" t="s">
        <v>54</v>
      </c>
    </row>
    <row r="56" spans="1:17" x14ac:dyDescent="0.2">
      <c r="A56" s="1" t="s">
        <v>125</v>
      </c>
      <c r="B56" s="14" t="s">
        <v>243</v>
      </c>
      <c r="C56" s="22" t="s">
        <v>55</v>
      </c>
      <c r="D56" s="22" t="s">
        <v>54</v>
      </c>
      <c r="E56" s="87">
        <v>496305</v>
      </c>
      <c r="F56" s="87">
        <v>3759991</v>
      </c>
      <c r="G56" s="33" t="s">
        <v>230</v>
      </c>
      <c r="H56" s="33" t="s">
        <v>231</v>
      </c>
      <c r="I56" s="34">
        <v>53</v>
      </c>
      <c r="J56" s="35">
        <v>33541</v>
      </c>
      <c r="K56" s="33" t="s">
        <v>240</v>
      </c>
      <c r="L56" s="33" t="s">
        <v>54</v>
      </c>
      <c r="M56" s="2"/>
      <c r="N56" s="2"/>
      <c r="O56" s="12"/>
    </row>
    <row r="57" spans="1:17" x14ac:dyDescent="0.2">
      <c r="A57" t="s">
        <v>127</v>
      </c>
      <c r="B57" s="14" t="s">
        <v>126</v>
      </c>
      <c r="C57" s="22" t="s">
        <v>55</v>
      </c>
      <c r="D57" s="22" t="s">
        <v>54</v>
      </c>
      <c r="E57" s="87">
        <v>497794</v>
      </c>
      <c r="F57" s="87">
        <v>3761007</v>
      </c>
      <c r="G57" s="33" t="s">
        <v>225</v>
      </c>
      <c r="H57" s="33" t="s">
        <v>231</v>
      </c>
      <c r="I57" s="34">
        <v>76</v>
      </c>
      <c r="J57" s="35">
        <v>36123</v>
      </c>
      <c r="K57" s="33" t="s">
        <v>240</v>
      </c>
      <c r="L57" s="33" t="s">
        <v>54</v>
      </c>
    </row>
    <row r="58" spans="1:17" x14ac:dyDescent="0.2">
      <c r="A58" s="22" t="s">
        <v>202</v>
      </c>
      <c r="B58" s="14" t="s">
        <v>74</v>
      </c>
      <c r="C58" s="22" t="s">
        <v>55</v>
      </c>
      <c r="D58" s="22" t="s">
        <v>54</v>
      </c>
      <c r="E58" s="88">
        <v>496845</v>
      </c>
      <c r="F58" s="88">
        <v>3763656</v>
      </c>
      <c r="G58" s="33" t="s">
        <v>230</v>
      </c>
      <c r="H58" s="33" t="s">
        <v>231</v>
      </c>
      <c r="I58" s="34">
        <v>0</v>
      </c>
      <c r="J58" s="35">
        <v>36167</v>
      </c>
      <c r="K58" s="33" t="s">
        <v>240</v>
      </c>
      <c r="L58" s="33" t="s">
        <v>54</v>
      </c>
      <c r="M58" s="2"/>
      <c r="N58" s="12"/>
      <c r="O58" s="9"/>
    </row>
    <row r="59" spans="1:17" x14ac:dyDescent="0.2">
      <c r="A59" s="17" t="s">
        <v>204</v>
      </c>
      <c r="B59" s="14" t="s">
        <v>203</v>
      </c>
      <c r="C59" s="22" t="s">
        <v>55</v>
      </c>
      <c r="D59" s="22"/>
      <c r="E59" s="87">
        <v>520258</v>
      </c>
      <c r="F59" s="87">
        <v>3741410</v>
      </c>
      <c r="G59" s="33" t="s">
        <v>229</v>
      </c>
      <c r="H59" s="33" t="s">
        <v>222</v>
      </c>
      <c r="I59" s="34">
        <v>34</v>
      </c>
      <c r="J59" s="35">
        <v>36521</v>
      </c>
      <c r="K59" s="33" t="s">
        <v>240</v>
      </c>
      <c r="L59" s="33" t="s">
        <v>224</v>
      </c>
    </row>
    <row r="60" spans="1:17" s="15" customFormat="1" x14ac:dyDescent="0.2">
      <c r="A60" s="17" t="s">
        <v>160</v>
      </c>
      <c r="B60" s="18" t="s">
        <v>111</v>
      </c>
      <c r="C60" s="31" t="s">
        <v>55</v>
      </c>
      <c r="D60" s="32"/>
      <c r="E60" s="86">
        <v>511449</v>
      </c>
      <c r="F60" s="86">
        <v>3776444</v>
      </c>
      <c r="G60" s="33" t="s">
        <v>221</v>
      </c>
      <c r="H60" s="33" t="s">
        <v>222</v>
      </c>
      <c r="I60" s="34">
        <v>134</v>
      </c>
      <c r="J60" s="35">
        <v>32703</v>
      </c>
      <c r="K60" s="33" t="s">
        <v>240</v>
      </c>
      <c r="L60" s="33" t="s">
        <v>54</v>
      </c>
      <c r="M60" s="20"/>
    </row>
    <row r="61" spans="1:17" x14ac:dyDescent="0.2">
      <c r="A61" s="17" t="s">
        <v>128</v>
      </c>
      <c r="B61" s="18" t="s">
        <v>82</v>
      </c>
      <c r="C61" s="31" t="s">
        <v>55</v>
      </c>
      <c r="D61" s="31" t="s">
        <v>54</v>
      </c>
      <c r="E61" s="86">
        <v>496666</v>
      </c>
      <c r="F61" s="86">
        <v>3764672</v>
      </c>
      <c r="G61" s="33" t="s">
        <v>230</v>
      </c>
      <c r="H61" s="33" t="s">
        <v>226</v>
      </c>
      <c r="I61" s="34">
        <v>82</v>
      </c>
      <c r="J61" s="35">
        <v>25441</v>
      </c>
      <c r="K61" s="33" t="s">
        <v>240</v>
      </c>
      <c r="L61" s="33" t="s">
        <v>54</v>
      </c>
      <c r="M61" s="16"/>
      <c r="N61" s="19"/>
      <c r="O61" s="19"/>
      <c r="P61" s="16"/>
      <c r="Q61" s="20"/>
    </row>
    <row r="62" spans="1:17" s="15" customFormat="1" x14ac:dyDescent="0.2">
      <c r="A62" s="17" t="s">
        <v>69</v>
      </c>
      <c r="B62" s="18" t="s">
        <v>57</v>
      </c>
      <c r="C62" s="31" t="s">
        <v>55</v>
      </c>
      <c r="D62" s="32"/>
      <c r="E62" s="86">
        <v>516067</v>
      </c>
      <c r="F62" s="86">
        <v>3741587</v>
      </c>
      <c r="G62" s="33" t="s">
        <v>229</v>
      </c>
      <c r="H62" s="33" t="s">
        <v>222</v>
      </c>
      <c r="I62" s="34">
        <v>30</v>
      </c>
      <c r="J62" s="35">
        <v>29663</v>
      </c>
      <c r="K62" s="33" t="s">
        <v>240</v>
      </c>
      <c r="L62" s="33" t="s">
        <v>224</v>
      </c>
      <c r="M62" s="20"/>
    </row>
    <row r="63" spans="1:17" x14ac:dyDescent="0.2">
      <c r="A63" s="1" t="s">
        <v>60</v>
      </c>
      <c r="B63" s="14" t="s">
        <v>58</v>
      </c>
      <c r="C63" s="22" t="s">
        <v>59</v>
      </c>
      <c r="D63" s="22" t="s">
        <v>59</v>
      </c>
      <c r="E63" s="87">
        <v>414850</v>
      </c>
      <c r="F63" s="87">
        <v>3867421</v>
      </c>
      <c r="G63" s="33" t="s">
        <v>230</v>
      </c>
      <c r="H63" s="33" t="s">
        <v>231</v>
      </c>
      <c r="I63" s="34">
        <v>238</v>
      </c>
      <c r="J63" s="35">
        <v>23740</v>
      </c>
      <c r="K63" s="33" t="s">
        <v>228</v>
      </c>
      <c r="L63" s="33" t="s">
        <v>59</v>
      </c>
    </row>
    <row r="64" spans="1:17" s="15" customFormat="1" x14ac:dyDescent="0.2">
      <c r="A64" s="17" t="s">
        <v>161</v>
      </c>
      <c r="B64" s="18" t="s">
        <v>112</v>
      </c>
      <c r="C64" s="31" t="s">
        <v>59</v>
      </c>
      <c r="D64" s="32"/>
      <c r="E64" s="86">
        <v>401836</v>
      </c>
      <c r="F64" s="86">
        <v>3872111</v>
      </c>
      <c r="G64" s="33" t="s">
        <v>225</v>
      </c>
      <c r="H64" s="33" t="s">
        <v>222</v>
      </c>
      <c r="I64" s="34">
        <v>265</v>
      </c>
      <c r="J64" s="35">
        <v>32967</v>
      </c>
      <c r="K64" s="33" t="s">
        <v>228</v>
      </c>
      <c r="L64" s="33" t="s">
        <v>59</v>
      </c>
      <c r="M64" s="20"/>
    </row>
    <row r="65" spans="1:15" x14ac:dyDescent="0.2">
      <c r="A65" s="1" t="s">
        <v>170</v>
      </c>
      <c r="B65" s="14" t="s">
        <v>136</v>
      </c>
      <c r="C65" s="22" t="s">
        <v>59</v>
      </c>
      <c r="E65" s="87">
        <v>408207</v>
      </c>
      <c r="F65" s="87">
        <v>3865174</v>
      </c>
      <c r="G65" s="33" t="s">
        <v>225</v>
      </c>
      <c r="H65" s="33" t="s">
        <v>226</v>
      </c>
      <c r="I65" s="34">
        <v>260</v>
      </c>
      <c r="J65" s="35">
        <v>36109</v>
      </c>
      <c r="K65" s="33" t="s">
        <v>228</v>
      </c>
      <c r="L65" s="33" t="s">
        <v>224</v>
      </c>
      <c r="M65" s="2"/>
      <c r="N65" s="2"/>
      <c r="O65" s="12"/>
    </row>
    <row r="66" spans="1:15" s="15" customFormat="1" x14ac:dyDescent="0.2">
      <c r="A66" s="17" t="s">
        <v>115</v>
      </c>
      <c r="B66" s="18" t="s">
        <v>113</v>
      </c>
      <c r="C66" s="31" t="s">
        <v>114</v>
      </c>
      <c r="D66" s="32"/>
      <c r="E66" s="86">
        <v>448587</v>
      </c>
      <c r="F66" s="86">
        <v>3821887</v>
      </c>
      <c r="G66" s="33" t="s">
        <v>229</v>
      </c>
      <c r="H66" s="33" t="s">
        <v>222</v>
      </c>
      <c r="I66" s="34">
        <v>113</v>
      </c>
      <c r="J66" s="35">
        <v>30548</v>
      </c>
      <c r="K66" s="33" t="s">
        <v>223</v>
      </c>
      <c r="L66" s="33" t="s">
        <v>224</v>
      </c>
      <c r="M66" s="20"/>
    </row>
    <row r="67" spans="1:15" s="15" customFormat="1" x14ac:dyDescent="0.2">
      <c r="A67" s="17" t="s">
        <v>117</v>
      </c>
      <c r="B67" s="18" t="s">
        <v>116</v>
      </c>
      <c r="C67" s="31" t="s">
        <v>163</v>
      </c>
      <c r="D67" s="32"/>
      <c r="E67" s="86">
        <v>632955</v>
      </c>
      <c r="F67" s="86">
        <v>3732242</v>
      </c>
      <c r="G67" s="33" t="s">
        <v>221</v>
      </c>
      <c r="H67" s="33" t="s">
        <v>222</v>
      </c>
      <c r="I67" s="34">
        <v>18</v>
      </c>
      <c r="J67" s="35">
        <v>33351</v>
      </c>
      <c r="K67" s="33" t="s">
        <v>223</v>
      </c>
      <c r="L67" s="33" t="s">
        <v>224</v>
      </c>
      <c r="M67" s="20"/>
    </row>
    <row r="68" spans="1:15" x14ac:dyDescent="0.2">
      <c r="A68" s="1" t="s">
        <v>68</v>
      </c>
      <c r="B68" s="14" t="s">
        <v>61</v>
      </c>
      <c r="C68" s="22" t="s">
        <v>63</v>
      </c>
      <c r="D68" s="22" t="s">
        <v>62</v>
      </c>
      <c r="E68" s="87">
        <v>499924</v>
      </c>
      <c r="F68" s="87">
        <v>3868718</v>
      </c>
      <c r="G68" s="33" t="s">
        <v>230</v>
      </c>
      <c r="H68" s="33" t="s">
        <v>226</v>
      </c>
      <c r="I68" s="34">
        <v>189</v>
      </c>
      <c r="J68" s="35">
        <v>27375</v>
      </c>
      <c r="K68" s="33" t="s">
        <v>244</v>
      </c>
      <c r="L68" s="33" t="s">
        <v>62</v>
      </c>
    </row>
    <row r="69" spans="1:15" s="15" customFormat="1" x14ac:dyDescent="0.2">
      <c r="A69" s="17" t="s">
        <v>162</v>
      </c>
      <c r="B69" s="18" t="s">
        <v>118</v>
      </c>
      <c r="C69" s="31" t="s">
        <v>63</v>
      </c>
      <c r="D69" s="32"/>
      <c r="E69" s="86">
        <v>479147</v>
      </c>
      <c r="F69" s="86">
        <v>3865723</v>
      </c>
      <c r="G69" s="33" t="s">
        <v>221</v>
      </c>
      <c r="H69" s="33" t="s">
        <v>226</v>
      </c>
      <c r="I69" s="34">
        <v>222</v>
      </c>
      <c r="J69" s="35">
        <v>34058</v>
      </c>
      <c r="K69" s="33" t="s">
        <v>244</v>
      </c>
      <c r="L69" s="33" t="s">
        <v>224</v>
      </c>
      <c r="M69" s="20"/>
    </row>
    <row r="70" spans="1:15" x14ac:dyDescent="0.2">
      <c r="A70" s="1"/>
      <c r="B70" s="14"/>
      <c r="C70" s="22"/>
      <c r="D70" s="22"/>
    </row>
    <row r="71" spans="1:15" x14ac:dyDescent="0.2">
      <c r="A71" s="1"/>
      <c r="B71" s="16"/>
      <c r="C71" s="22"/>
      <c r="D71" s="22"/>
    </row>
    <row r="72" spans="1:15" x14ac:dyDescent="0.2">
      <c r="A72" s="1"/>
      <c r="B72" s="16"/>
      <c r="C72" s="22"/>
      <c r="D72" s="22"/>
    </row>
    <row r="73" spans="1:15" x14ac:dyDescent="0.2">
      <c r="B73" s="18"/>
    </row>
    <row r="74" spans="1:15" x14ac:dyDescent="0.2">
      <c r="B74" s="16"/>
    </row>
  </sheetData>
  <mergeCells count="2">
    <mergeCell ref="A1:L1"/>
    <mergeCell ref="A2:L2"/>
  </mergeCells>
  <phoneticPr fontId="0" type="noConversion"/>
  <printOptions horizontalCentered="1"/>
  <pageMargins left="0.1" right="0.1" top="0.25" bottom="0.5" header="0" footer="0"/>
  <pageSetup scale="57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opLeftCell="A4" zoomScaleNormal="100" workbookViewId="0">
      <selection activeCell="A3" sqref="A3"/>
    </sheetView>
  </sheetViews>
  <sheetFormatPr defaultRowHeight="12.75" x14ac:dyDescent="0.2"/>
  <cols>
    <col min="1" max="1" width="36" bestFit="1" customWidth="1"/>
    <col min="2" max="3" width="7.85546875" bestFit="1" customWidth="1"/>
    <col min="4" max="4" width="6.5703125" bestFit="1" customWidth="1"/>
    <col min="5" max="6" width="6.85546875" bestFit="1" customWidth="1"/>
    <col min="7" max="7" width="6.5703125" bestFit="1" customWidth="1"/>
    <col min="8" max="8" width="9.7109375" style="8" bestFit="1" customWidth="1"/>
    <col min="9" max="9" width="11.5703125" bestFit="1" customWidth="1"/>
    <col min="10" max="10" width="7.42578125" bestFit="1" customWidth="1"/>
    <col min="11" max="11" width="9.7109375" bestFit="1" customWidth="1"/>
    <col min="12" max="12" width="17.42578125" bestFit="1" customWidth="1"/>
    <col min="13" max="13" width="29.140625" bestFit="1" customWidth="1"/>
  </cols>
  <sheetData>
    <row r="1" spans="1:13" ht="18.75" x14ac:dyDescent="0.25">
      <c r="A1" s="93" t="s">
        <v>506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14.25" x14ac:dyDescent="0.2">
      <c r="A2" s="94" t="s">
        <v>507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4" spans="1:13" x14ac:dyDescent="0.2">
      <c r="A4" s="46"/>
      <c r="B4" s="42" t="s">
        <v>177</v>
      </c>
      <c r="C4" s="97" t="s">
        <v>64</v>
      </c>
      <c r="D4" s="98"/>
      <c r="E4" s="97"/>
      <c r="F4" s="97"/>
      <c r="G4" s="97" t="s">
        <v>172</v>
      </c>
      <c r="H4" s="97"/>
      <c r="I4" s="43" t="s">
        <v>306</v>
      </c>
      <c r="J4" s="43" t="s">
        <v>312</v>
      </c>
      <c r="K4" s="43" t="s">
        <v>310</v>
      </c>
      <c r="L4" s="43" t="s">
        <v>308</v>
      </c>
      <c r="M4" s="43" t="s">
        <v>315</v>
      </c>
    </row>
    <row r="5" spans="1:13" x14ac:dyDescent="0.2">
      <c r="A5" s="44" t="s">
        <v>65</v>
      </c>
      <c r="B5" s="42" t="s">
        <v>186</v>
      </c>
      <c r="C5" s="42" t="s">
        <v>173</v>
      </c>
      <c r="D5" s="42" t="s">
        <v>174</v>
      </c>
      <c r="E5" s="42" t="s">
        <v>175</v>
      </c>
      <c r="F5" s="42" t="s">
        <v>176</v>
      </c>
      <c r="G5" s="42" t="s">
        <v>155</v>
      </c>
      <c r="H5" s="56" t="s">
        <v>187</v>
      </c>
      <c r="I5" s="43" t="s">
        <v>307</v>
      </c>
      <c r="J5" s="43" t="s">
        <v>313</v>
      </c>
      <c r="K5" s="43" t="s">
        <v>311</v>
      </c>
      <c r="L5" s="43" t="s">
        <v>309</v>
      </c>
      <c r="M5" s="40" t="s">
        <v>316</v>
      </c>
    </row>
    <row r="6" spans="1:13" x14ac:dyDescent="0.2">
      <c r="A6" s="1" t="s">
        <v>8</v>
      </c>
      <c r="B6" s="2">
        <v>32</v>
      </c>
      <c r="C6" s="2">
        <v>103</v>
      </c>
      <c r="D6" s="2">
        <v>62</v>
      </c>
      <c r="E6" s="2">
        <v>60</v>
      </c>
      <c r="F6" s="2">
        <v>59</v>
      </c>
      <c r="G6" s="2">
        <v>49</v>
      </c>
      <c r="H6" s="11">
        <f>(G6/61)</f>
        <v>0.80327868852459017</v>
      </c>
      <c r="I6" s="33" t="s">
        <v>250</v>
      </c>
      <c r="J6" s="37" t="s">
        <v>248</v>
      </c>
      <c r="K6" s="37" t="s">
        <v>249</v>
      </c>
      <c r="L6" s="33" t="s">
        <v>351</v>
      </c>
      <c r="M6" s="84" t="s">
        <v>501</v>
      </c>
    </row>
    <row r="7" spans="1:13" x14ac:dyDescent="0.2">
      <c r="A7" s="1" t="s">
        <v>11</v>
      </c>
      <c r="B7" s="2">
        <v>28</v>
      </c>
      <c r="C7" s="2">
        <v>94</v>
      </c>
      <c r="D7" s="2">
        <v>86</v>
      </c>
      <c r="E7" s="2">
        <v>81</v>
      </c>
      <c r="F7" s="2">
        <v>79</v>
      </c>
      <c r="G7" s="2">
        <v>54</v>
      </c>
      <c r="H7" s="11">
        <f t="shared" ref="H7:H33" si="0">(G7/61)</f>
        <v>0.88524590163934425</v>
      </c>
      <c r="I7" s="33" t="s">
        <v>250</v>
      </c>
      <c r="J7" s="37" t="s">
        <v>248</v>
      </c>
      <c r="K7" s="37" t="s">
        <v>249</v>
      </c>
      <c r="L7" s="33" t="s">
        <v>352</v>
      </c>
      <c r="M7" s="84" t="s">
        <v>501</v>
      </c>
    </row>
    <row r="8" spans="1:13" x14ac:dyDescent="0.2">
      <c r="A8" s="1" t="s">
        <v>14</v>
      </c>
      <c r="B8" s="2">
        <v>36</v>
      </c>
      <c r="C8" s="2">
        <v>88</v>
      </c>
      <c r="D8" s="2">
        <v>70</v>
      </c>
      <c r="E8" s="2">
        <v>66</v>
      </c>
      <c r="F8" s="2">
        <v>65</v>
      </c>
      <c r="G8" s="2">
        <v>57</v>
      </c>
      <c r="H8" s="11">
        <f t="shared" si="0"/>
        <v>0.93442622950819676</v>
      </c>
      <c r="I8" s="33" t="s">
        <v>250</v>
      </c>
      <c r="J8" s="37" t="s">
        <v>353</v>
      </c>
      <c r="K8" s="37" t="s">
        <v>249</v>
      </c>
      <c r="L8" s="33" t="s">
        <v>352</v>
      </c>
      <c r="M8" s="84" t="s">
        <v>314</v>
      </c>
    </row>
    <row r="9" spans="1:13" x14ac:dyDescent="0.2">
      <c r="A9" s="1" t="s">
        <v>16</v>
      </c>
      <c r="B9" s="2">
        <v>23</v>
      </c>
      <c r="C9" s="2">
        <v>62</v>
      </c>
      <c r="D9" s="2">
        <v>60</v>
      </c>
      <c r="E9" s="2">
        <v>55</v>
      </c>
      <c r="F9" s="2">
        <v>55</v>
      </c>
      <c r="G9" s="2">
        <v>56</v>
      </c>
      <c r="H9" s="11">
        <f t="shared" si="0"/>
        <v>0.91803278688524592</v>
      </c>
      <c r="I9" s="33" t="s">
        <v>250</v>
      </c>
      <c r="J9" s="37" t="s">
        <v>353</v>
      </c>
      <c r="K9" s="37" t="s">
        <v>249</v>
      </c>
      <c r="L9" s="33" t="s">
        <v>354</v>
      </c>
      <c r="M9" s="84" t="s">
        <v>500</v>
      </c>
    </row>
    <row r="10" spans="1:13" x14ac:dyDescent="0.2">
      <c r="A10" s="1" t="s">
        <v>71</v>
      </c>
      <c r="B10" s="2">
        <v>28</v>
      </c>
      <c r="C10" s="2">
        <v>78</v>
      </c>
      <c r="D10" s="2">
        <v>66</v>
      </c>
      <c r="E10" s="2">
        <v>57</v>
      </c>
      <c r="F10" s="2">
        <v>55</v>
      </c>
      <c r="G10" s="2">
        <v>59</v>
      </c>
      <c r="H10" s="11">
        <f t="shared" si="0"/>
        <v>0.96721311475409832</v>
      </c>
      <c r="I10" s="33" t="s">
        <v>250</v>
      </c>
      <c r="J10" s="37" t="s">
        <v>353</v>
      </c>
      <c r="K10" s="37" t="s">
        <v>355</v>
      </c>
      <c r="L10" s="33" t="s">
        <v>352</v>
      </c>
      <c r="M10" s="84" t="s">
        <v>502</v>
      </c>
    </row>
    <row r="11" spans="1:13" x14ac:dyDescent="0.2">
      <c r="A11" t="s">
        <v>184</v>
      </c>
      <c r="B11" s="2">
        <v>35</v>
      </c>
      <c r="C11" s="2">
        <v>85</v>
      </c>
      <c r="D11" s="2">
        <v>75</v>
      </c>
      <c r="E11" s="2">
        <v>69</v>
      </c>
      <c r="F11" s="2">
        <v>63</v>
      </c>
      <c r="G11" s="2">
        <v>58</v>
      </c>
      <c r="H11" s="11">
        <f t="shared" si="0"/>
        <v>0.95081967213114749</v>
      </c>
      <c r="I11" s="33" t="s">
        <v>250</v>
      </c>
      <c r="J11" s="37" t="s">
        <v>248</v>
      </c>
      <c r="K11" s="37" t="s">
        <v>249</v>
      </c>
      <c r="L11" s="33" t="s">
        <v>352</v>
      </c>
      <c r="M11" s="84" t="s">
        <v>250</v>
      </c>
    </row>
    <row r="12" spans="1:13" x14ac:dyDescent="0.2">
      <c r="A12" s="1" t="s">
        <v>22</v>
      </c>
      <c r="B12" s="2">
        <v>36</v>
      </c>
      <c r="C12" s="2">
        <v>136</v>
      </c>
      <c r="D12" s="2">
        <v>100</v>
      </c>
      <c r="E12" s="2">
        <v>80</v>
      </c>
      <c r="F12" s="2">
        <v>76</v>
      </c>
      <c r="G12" s="2">
        <v>57</v>
      </c>
      <c r="H12" s="11">
        <f t="shared" si="0"/>
        <v>0.93442622950819676</v>
      </c>
      <c r="I12" s="33" t="s">
        <v>250</v>
      </c>
      <c r="J12" s="37" t="s">
        <v>248</v>
      </c>
      <c r="K12" s="37" t="s">
        <v>249</v>
      </c>
      <c r="L12" s="33" t="s">
        <v>352</v>
      </c>
      <c r="M12" s="84" t="s">
        <v>501</v>
      </c>
    </row>
    <row r="13" spans="1:13" x14ac:dyDescent="0.2">
      <c r="A13" s="1" t="s">
        <v>25</v>
      </c>
      <c r="B13" s="2">
        <v>44</v>
      </c>
      <c r="C13" s="2">
        <v>119</v>
      </c>
      <c r="D13" s="2">
        <v>112</v>
      </c>
      <c r="E13" s="2">
        <v>98</v>
      </c>
      <c r="F13" s="2">
        <v>75</v>
      </c>
      <c r="G13" s="2">
        <v>59</v>
      </c>
      <c r="H13" s="11">
        <f>(G13/73)</f>
        <v>0.80821917808219179</v>
      </c>
      <c r="I13" s="33" t="s">
        <v>250</v>
      </c>
      <c r="J13" s="37" t="s">
        <v>353</v>
      </c>
      <c r="K13" s="37" t="s">
        <v>355</v>
      </c>
      <c r="L13" s="33" t="s">
        <v>351</v>
      </c>
      <c r="M13" s="84" t="s">
        <v>314</v>
      </c>
    </row>
    <row r="14" spans="1:13" x14ac:dyDescent="0.2">
      <c r="A14" s="1" t="s">
        <v>27</v>
      </c>
      <c r="B14" s="2">
        <v>76</v>
      </c>
      <c r="C14" s="2">
        <v>179</v>
      </c>
      <c r="D14" s="2">
        <v>144</v>
      </c>
      <c r="E14" s="2">
        <v>143</v>
      </c>
      <c r="F14" s="2">
        <v>136</v>
      </c>
      <c r="G14" s="2">
        <v>59</v>
      </c>
      <c r="H14" s="11">
        <f>(G14/73)</f>
        <v>0.80821917808219179</v>
      </c>
      <c r="I14" s="33" t="s">
        <v>250</v>
      </c>
      <c r="J14" s="37" t="s">
        <v>353</v>
      </c>
      <c r="K14" s="37" t="s">
        <v>355</v>
      </c>
      <c r="L14" s="33" t="s">
        <v>351</v>
      </c>
      <c r="M14" s="84" t="s">
        <v>314</v>
      </c>
    </row>
    <row r="15" spans="1:13" x14ac:dyDescent="0.2">
      <c r="A15" s="1" t="s">
        <v>29</v>
      </c>
      <c r="B15" s="2">
        <v>25</v>
      </c>
      <c r="C15" s="2">
        <v>59</v>
      </c>
      <c r="D15" s="2">
        <v>46</v>
      </c>
      <c r="E15" s="2">
        <v>45</v>
      </c>
      <c r="F15" s="2">
        <v>44</v>
      </c>
      <c r="G15" s="2">
        <v>57</v>
      </c>
      <c r="H15" s="11">
        <f>(G15/73)</f>
        <v>0.78082191780821919</v>
      </c>
      <c r="I15" s="33" t="s">
        <v>250</v>
      </c>
      <c r="J15" s="37" t="s">
        <v>248</v>
      </c>
      <c r="K15" s="37" t="s">
        <v>249</v>
      </c>
      <c r="L15" s="33" t="s">
        <v>352</v>
      </c>
      <c r="M15" s="84" t="s">
        <v>501</v>
      </c>
    </row>
    <row r="16" spans="1:13" x14ac:dyDescent="0.2">
      <c r="A16" s="1" t="s">
        <v>31</v>
      </c>
      <c r="B16" s="2">
        <v>42</v>
      </c>
      <c r="C16" s="2">
        <v>158</v>
      </c>
      <c r="D16" s="2">
        <v>98</v>
      </c>
      <c r="E16" s="2">
        <v>95</v>
      </c>
      <c r="F16" s="2">
        <v>90</v>
      </c>
      <c r="G16" s="2">
        <v>59</v>
      </c>
      <c r="H16" s="11">
        <f>(G16/73)</f>
        <v>0.80821917808219179</v>
      </c>
      <c r="I16" s="33" t="s">
        <v>250</v>
      </c>
      <c r="J16" s="37" t="s">
        <v>248</v>
      </c>
      <c r="K16" s="37" t="s">
        <v>355</v>
      </c>
      <c r="L16" s="33" t="s">
        <v>352</v>
      </c>
      <c r="M16" s="84" t="s">
        <v>314</v>
      </c>
    </row>
    <row r="17" spans="1:13" x14ac:dyDescent="0.2">
      <c r="A17" s="1" t="s">
        <v>34</v>
      </c>
      <c r="B17" s="2">
        <v>31</v>
      </c>
      <c r="C17" s="2">
        <v>190</v>
      </c>
      <c r="D17" s="2">
        <v>92</v>
      </c>
      <c r="E17" s="2">
        <v>72</v>
      </c>
      <c r="F17" s="2">
        <v>67</v>
      </c>
      <c r="G17" s="2">
        <v>61</v>
      </c>
      <c r="H17" s="11">
        <f t="shared" si="0"/>
        <v>1</v>
      </c>
      <c r="I17" s="33" t="s">
        <v>250</v>
      </c>
      <c r="J17" s="37" t="s">
        <v>248</v>
      </c>
      <c r="K17" s="37" t="s">
        <v>249</v>
      </c>
      <c r="L17" s="33" t="s">
        <v>352</v>
      </c>
      <c r="M17" s="84" t="s">
        <v>498</v>
      </c>
    </row>
    <row r="18" spans="1:13" x14ac:dyDescent="0.2">
      <c r="A18" s="1" t="s">
        <v>70</v>
      </c>
      <c r="B18" s="2">
        <v>28</v>
      </c>
      <c r="C18" s="2">
        <v>123</v>
      </c>
      <c r="D18" s="2">
        <v>70</v>
      </c>
      <c r="E18" s="2">
        <v>68</v>
      </c>
      <c r="F18" s="2">
        <v>65</v>
      </c>
      <c r="G18" s="2">
        <v>61</v>
      </c>
      <c r="H18" s="11">
        <f t="shared" si="0"/>
        <v>1</v>
      </c>
      <c r="I18" s="33" t="s">
        <v>250</v>
      </c>
      <c r="J18" s="37" t="s">
        <v>248</v>
      </c>
      <c r="K18" s="37" t="s">
        <v>249</v>
      </c>
      <c r="L18" s="33" t="s">
        <v>352</v>
      </c>
      <c r="M18" s="84" t="s">
        <v>250</v>
      </c>
    </row>
    <row r="19" spans="1:13" x14ac:dyDescent="0.2">
      <c r="A19" s="1" t="s">
        <v>39</v>
      </c>
      <c r="B19" s="2">
        <v>27</v>
      </c>
      <c r="C19" s="2">
        <v>74</v>
      </c>
      <c r="D19" s="2">
        <v>67</v>
      </c>
      <c r="E19" s="2">
        <v>57</v>
      </c>
      <c r="F19" s="2">
        <v>55</v>
      </c>
      <c r="G19" s="2">
        <v>57</v>
      </c>
      <c r="H19" s="11">
        <f t="shared" si="0"/>
        <v>0.93442622950819676</v>
      </c>
      <c r="I19" s="33" t="s">
        <v>250</v>
      </c>
      <c r="J19" s="37" t="s">
        <v>248</v>
      </c>
      <c r="K19" s="37" t="s">
        <v>249</v>
      </c>
      <c r="L19" s="33" t="s">
        <v>352</v>
      </c>
      <c r="M19" s="84" t="s">
        <v>501</v>
      </c>
    </row>
    <row r="20" spans="1:13" x14ac:dyDescent="0.2">
      <c r="A20" s="1" t="s">
        <v>182</v>
      </c>
      <c r="B20" s="2">
        <v>23</v>
      </c>
      <c r="C20" s="2">
        <v>65</v>
      </c>
      <c r="D20" s="2">
        <v>57</v>
      </c>
      <c r="E20" s="2">
        <v>55</v>
      </c>
      <c r="F20" s="2">
        <v>45</v>
      </c>
      <c r="G20" s="2">
        <v>58</v>
      </c>
      <c r="H20" s="11">
        <f t="shared" si="0"/>
        <v>0.95081967213114749</v>
      </c>
      <c r="I20" s="33" t="s">
        <v>250</v>
      </c>
      <c r="J20" s="37" t="s">
        <v>353</v>
      </c>
      <c r="K20" s="37" t="s">
        <v>355</v>
      </c>
      <c r="L20" s="33" t="s">
        <v>352</v>
      </c>
      <c r="M20" s="84" t="s">
        <v>502</v>
      </c>
    </row>
    <row r="21" spans="1:13" x14ac:dyDescent="0.2">
      <c r="A21" s="1" t="s">
        <v>43</v>
      </c>
      <c r="B21" s="2">
        <v>33</v>
      </c>
      <c r="C21" s="2">
        <v>105</v>
      </c>
      <c r="D21" s="2">
        <v>96</v>
      </c>
      <c r="E21" s="2">
        <v>95</v>
      </c>
      <c r="F21" s="2">
        <v>62</v>
      </c>
      <c r="G21" s="2">
        <v>56</v>
      </c>
      <c r="H21" s="11">
        <f t="shared" si="0"/>
        <v>0.91803278688524592</v>
      </c>
      <c r="I21" s="33" t="s">
        <v>250</v>
      </c>
      <c r="J21" s="37" t="s">
        <v>356</v>
      </c>
      <c r="K21" s="37" t="s">
        <v>249</v>
      </c>
      <c r="L21" s="33" t="s">
        <v>357</v>
      </c>
      <c r="M21" s="84" t="s">
        <v>502</v>
      </c>
    </row>
    <row r="22" spans="1:13" x14ac:dyDescent="0.2">
      <c r="A22" s="1" t="s">
        <v>47</v>
      </c>
      <c r="B22" s="2">
        <v>33</v>
      </c>
      <c r="C22" s="2">
        <v>93</v>
      </c>
      <c r="D22" s="2">
        <v>92</v>
      </c>
      <c r="E22" s="2">
        <v>75</v>
      </c>
      <c r="F22" s="2">
        <v>72</v>
      </c>
      <c r="G22" s="2">
        <v>56</v>
      </c>
      <c r="H22" s="11">
        <f t="shared" si="0"/>
        <v>0.91803278688524592</v>
      </c>
      <c r="I22" s="33" t="s">
        <v>250</v>
      </c>
      <c r="J22" s="37" t="s">
        <v>248</v>
      </c>
      <c r="K22" s="37" t="s">
        <v>249</v>
      </c>
      <c r="L22" s="33" t="s">
        <v>352</v>
      </c>
      <c r="M22" s="84" t="s">
        <v>501</v>
      </c>
    </row>
    <row r="23" spans="1:13" x14ac:dyDescent="0.2">
      <c r="A23" t="s">
        <v>269</v>
      </c>
      <c r="B23" s="2">
        <v>30</v>
      </c>
      <c r="C23" s="2">
        <v>70</v>
      </c>
      <c r="D23" s="2">
        <v>69</v>
      </c>
      <c r="E23" s="2">
        <v>51</v>
      </c>
      <c r="F23" s="2">
        <v>49</v>
      </c>
      <c r="G23" s="2">
        <v>61</v>
      </c>
      <c r="H23" s="11">
        <f t="shared" si="0"/>
        <v>1</v>
      </c>
      <c r="I23" s="33" t="s">
        <v>250</v>
      </c>
      <c r="J23" s="37" t="s">
        <v>248</v>
      </c>
      <c r="K23" s="37" t="s">
        <v>249</v>
      </c>
      <c r="L23" s="33" t="s">
        <v>352</v>
      </c>
      <c r="M23" s="84" t="s">
        <v>501</v>
      </c>
    </row>
    <row r="24" spans="1:13" x14ac:dyDescent="0.2">
      <c r="A24" t="s">
        <v>299</v>
      </c>
      <c r="B24" s="2">
        <v>18</v>
      </c>
      <c r="C24" s="2">
        <v>18</v>
      </c>
      <c r="D24" s="2"/>
      <c r="E24" s="2"/>
      <c r="F24" s="2"/>
      <c r="G24" s="2">
        <v>1</v>
      </c>
      <c r="H24" s="11">
        <f>(G24/1)</f>
        <v>1</v>
      </c>
      <c r="I24" s="33" t="s">
        <v>250</v>
      </c>
      <c r="J24" s="37" t="s">
        <v>248</v>
      </c>
      <c r="K24" s="37" t="s">
        <v>249</v>
      </c>
      <c r="L24" s="33" t="s">
        <v>352</v>
      </c>
      <c r="M24" s="84" t="s">
        <v>501</v>
      </c>
    </row>
    <row r="25" spans="1:13" x14ac:dyDescent="0.2">
      <c r="A25" s="1" t="s">
        <v>181</v>
      </c>
      <c r="B25" s="2">
        <v>26</v>
      </c>
      <c r="C25" s="2">
        <v>95</v>
      </c>
      <c r="D25" s="2">
        <v>62</v>
      </c>
      <c r="E25" s="2">
        <v>54</v>
      </c>
      <c r="F25" s="2">
        <v>54</v>
      </c>
      <c r="G25" s="2">
        <v>53</v>
      </c>
      <c r="H25" s="11">
        <f t="shared" si="0"/>
        <v>0.86885245901639341</v>
      </c>
      <c r="I25" s="33" t="s">
        <v>232</v>
      </c>
      <c r="J25" s="37" t="s">
        <v>356</v>
      </c>
      <c r="K25" s="37" t="s">
        <v>355</v>
      </c>
      <c r="L25" s="33" t="s">
        <v>357</v>
      </c>
      <c r="M25" s="84" t="s">
        <v>502</v>
      </c>
    </row>
    <row r="26" spans="1:13" x14ac:dyDescent="0.2">
      <c r="A26" s="1" t="s">
        <v>52</v>
      </c>
      <c r="B26" s="2">
        <v>39</v>
      </c>
      <c r="C26" s="2">
        <v>100</v>
      </c>
      <c r="D26" s="2">
        <v>71</v>
      </c>
      <c r="E26" s="2">
        <v>68</v>
      </c>
      <c r="F26" s="2">
        <v>68</v>
      </c>
      <c r="G26" s="2">
        <v>56</v>
      </c>
      <c r="H26" s="11">
        <f t="shared" si="0"/>
        <v>0.91803278688524592</v>
      </c>
      <c r="I26" s="33" t="s">
        <v>250</v>
      </c>
      <c r="J26" s="37" t="s">
        <v>248</v>
      </c>
      <c r="K26" s="37" t="s">
        <v>249</v>
      </c>
      <c r="L26" s="33" t="s">
        <v>352</v>
      </c>
      <c r="M26" s="84" t="s">
        <v>501</v>
      </c>
    </row>
    <row r="27" spans="1:13" x14ac:dyDescent="0.2">
      <c r="A27" s="1" t="s">
        <v>183</v>
      </c>
      <c r="B27" s="2">
        <v>35</v>
      </c>
      <c r="C27" s="2">
        <v>87</v>
      </c>
      <c r="D27" s="2">
        <v>60</v>
      </c>
      <c r="E27" s="2">
        <v>60</v>
      </c>
      <c r="F27" s="2">
        <v>58</v>
      </c>
      <c r="G27" s="2">
        <v>60</v>
      </c>
      <c r="H27" s="11">
        <f t="shared" si="0"/>
        <v>0.98360655737704916</v>
      </c>
      <c r="I27" s="33" t="s">
        <v>250</v>
      </c>
      <c r="J27" s="37" t="s">
        <v>248</v>
      </c>
      <c r="K27" s="37" t="s">
        <v>249</v>
      </c>
      <c r="L27" s="33" t="s">
        <v>352</v>
      </c>
      <c r="M27" s="84" t="s">
        <v>501</v>
      </c>
    </row>
    <row r="28" spans="1:13" x14ac:dyDescent="0.2">
      <c r="A28" s="1" t="s">
        <v>179</v>
      </c>
      <c r="B28" s="2">
        <v>28</v>
      </c>
      <c r="C28" s="2">
        <v>79</v>
      </c>
      <c r="D28" s="2">
        <v>67</v>
      </c>
      <c r="E28" s="2">
        <v>52</v>
      </c>
      <c r="F28" s="2">
        <v>52</v>
      </c>
      <c r="G28" s="2">
        <v>59</v>
      </c>
      <c r="H28" s="11">
        <f t="shared" si="0"/>
        <v>0.96721311475409832</v>
      </c>
      <c r="I28" s="33" t="s">
        <v>250</v>
      </c>
      <c r="J28" s="37" t="s">
        <v>358</v>
      </c>
      <c r="K28" s="37" t="s">
        <v>249</v>
      </c>
      <c r="L28" s="33" t="s">
        <v>352</v>
      </c>
      <c r="M28" s="84" t="s">
        <v>500</v>
      </c>
    </row>
    <row r="29" spans="1:13" x14ac:dyDescent="0.2">
      <c r="A29" s="1" t="s">
        <v>300</v>
      </c>
      <c r="B29" s="2">
        <v>39</v>
      </c>
      <c r="C29" s="2">
        <v>93</v>
      </c>
      <c r="D29" s="2">
        <v>70</v>
      </c>
      <c r="E29" s="2">
        <v>70</v>
      </c>
      <c r="F29" s="2">
        <v>69</v>
      </c>
      <c r="G29" s="2">
        <v>56</v>
      </c>
      <c r="H29" s="11">
        <f t="shared" si="0"/>
        <v>0.91803278688524592</v>
      </c>
      <c r="I29" s="33" t="s">
        <v>250</v>
      </c>
      <c r="J29" s="37" t="s">
        <v>353</v>
      </c>
      <c r="K29" s="37" t="s">
        <v>355</v>
      </c>
      <c r="L29" s="33" t="s">
        <v>352</v>
      </c>
      <c r="M29" s="84" t="s">
        <v>314</v>
      </c>
    </row>
    <row r="30" spans="1:13" x14ac:dyDescent="0.2">
      <c r="A30" t="s">
        <v>301</v>
      </c>
      <c r="B30" s="2">
        <v>34</v>
      </c>
      <c r="C30" s="2">
        <v>61</v>
      </c>
      <c r="D30" s="2">
        <v>61</v>
      </c>
      <c r="E30" s="2">
        <v>60</v>
      </c>
      <c r="F30" s="2">
        <v>45</v>
      </c>
      <c r="G30" s="2">
        <v>16</v>
      </c>
      <c r="H30" s="11">
        <f>(G30/18)</f>
        <v>0.88888888888888884</v>
      </c>
      <c r="I30" s="33" t="s">
        <v>250</v>
      </c>
      <c r="J30" s="37" t="s">
        <v>353</v>
      </c>
      <c r="K30" s="37" t="s">
        <v>249</v>
      </c>
      <c r="L30" s="33" t="s">
        <v>352</v>
      </c>
      <c r="M30" s="84" t="s">
        <v>501</v>
      </c>
    </row>
    <row r="31" spans="1:13" x14ac:dyDescent="0.2">
      <c r="A31" s="17" t="s">
        <v>204</v>
      </c>
      <c r="B31" s="2">
        <v>19</v>
      </c>
      <c r="C31" s="2">
        <v>70</v>
      </c>
      <c r="D31" s="2">
        <v>62</v>
      </c>
      <c r="E31" s="2">
        <v>43</v>
      </c>
      <c r="F31" s="2">
        <v>37</v>
      </c>
      <c r="G31" s="2">
        <v>59</v>
      </c>
      <c r="H31" s="11">
        <f>(G31/61)</f>
        <v>0.96721311475409832</v>
      </c>
      <c r="I31" s="33" t="s">
        <v>250</v>
      </c>
      <c r="J31" s="37" t="s">
        <v>358</v>
      </c>
      <c r="K31" s="37" t="s">
        <v>251</v>
      </c>
      <c r="L31" s="33" t="s">
        <v>351</v>
      </c>
      <c r="M31" s="84" t="s">
        <v>500</v>
      </c>
    </row>
    <row r="32" spans="1:13" x14ac:dyDescent="0.2">
      <c r="A32" s="1" t="s">
        <v>60</v>
      </c>
      <c r="B32" s="2">
        <v>30</v>
      </c>
      <c r="C32" s="2">
        <v>115</v>
      </c>
      <c r="D32" s="2">
        <v>69</v>
      </c>
      <c r="E32" s="2">
        <v>60</v>
      </c>
      <c r="F32" s="2">
        <v>51</v>
      </c>
      <c r="G32" s="2">
        <v>40</v>
      </c>
      <c r="H32" s="11">
        <f t="shared" si="0"/>
        <v>0.65573770491803274</v>
      </c>
      <c r="I32" s="33" t="s">
        <v>250</v>
      </c>
      <c r="J32" s="37" t="s">
        <v>248</v>
      </c>
      <c r="K32" s="37" t="s">
        <v>249</v>
      </c>
      <c r="L32" s="33" t="s">
        <v>352</v>
      </c>
      <c r="M32" s="84" t="s">
        <v>501</v>
      </c>
    </row>
    <row r="33" spans="1:13" x14ac:dyDescent="0.2">
      <c r="A33" s="1" t="s">
        <v>68</v>
      </c>
      <c r="B33" s="2">
        <v>38</v>
      </c>
      <c r="C33" s="2">
        <v>79</v>
      </c>
      <c r="D33" s="2">
        <v>73</v>
      </c>
      <c r="E33" s="2">
        <v>64</v>
      </c>
      <c r="F33" s="2">
        <v>62</v>
      </c>
      <c r="G33" s="2">
        <v>51</v>
      </c>
      <c r="H33" s="11">
        <f t="shared" si="0"/>
        <v>0.83606557377049184</v>
      </c>
      <c r="I33" s="33" t="s">
        <v>250</v>
      </c>
      <c r="J33" s="37" t="s">
        <v>248</v>
      </c>
      <c r="K33" s="37" t="s">
        <v>249</v>
      </c>
      <c r="L33" s="33" t="s">
        <v>352</v>
      </c>
      <c r="M33" s="84" t="s">
        <v>501</v>
      </c>
    </row>
    <row r="34" spans="1:13" x14ac:dyDescent="0.2">
      <c r="A34" s="1"/>
      <c r="B34" s="2"/>
      <c r="C34" s="2"/>
      <c r="D34" s="2"/>
      <c r="E34" s="2"/>
      <c r="F34" s="2"/>
      <c r="G34" s="2"/>
      <c r="H34" s="11"/>
      <c r="I34" s="33"/>
      <c r="J34" s="37"/>
      <c r="K34" s="37"/>
      <c r="L34" s="33"/>
      <c r="M34" s="84"/>
    </row>
    <row r="35" spans="1:13" x14ac:dyDescent="0.2">
      <c r="A35" s="15" t="s">
        <v>245</v>
      </c>
      <c r="B35" s="8">
        <f>AVERAGE(B6:B33)</f>
        <v>32.714285714285715</v>
      </c>
      <c r="C35" s="8"/>
      <c r="D35" s="8"/>
      <c r="E35" s="8"/>
      <c r="F35" s="8"/>
      <c r="G35" s="8">
        <f>AVERAGE(G6:G33)</f>
        <v>53.035714285714285</v>
      </c>
      <c r="H35" s="10">
        <f>SUM(G6:G33)/1605</f>
        <v>0.92523364485981308</v>
      </c>
    </row>
    <row r="36" spans="1:13" x14ac:dyDescent="0.2">
      <c r="A36" s="15" t="s">
        <v>246</v>
      </c>
      <c r="B36" s="8"/>
      <c r="C36" s="8">
        <f>MAX(C6:F33)</f>
        <v>190</v>
      </c>
      <c r="D36" s="8">
        <v>179</v>
      </c>
      <c r="E36" s="8">
        <v>158</v>
      </c>
      <c r="F36" s="8">
        <v>144</v>
      </c>
      <c r="G36" s="8"/>
      <c r="H36" s="10"/>
    </row>
    <row r="38" spans="1:13" x14ac:dyDescent="0.2">
      <c r="A38" s="17" t="s">
        <v>303</v>
      </c>
    </row>
    <row r="40" spans="1:13" x14ac:dyDescent="0.2">
      <c r="A40" s="40" t="s">
        <v>261</v>
      </c>
      <c r="B40" s="95" t="s">
        <v>262</v>
      </c>
      <c r="C40" s="95"/>
      <c r="D40" s="95"/>
      <c r="E40" s="95"/>
      <c r="F40" s="95"/>
      <c r="G40" s="95" t="s">
        <v>263</v>
      </c>
      <c r="H40" s="95"/>
      <c r="I40" s="95"/>
      <c r="J40" s="95"/>
      <c r="K40" s="95" t="s">
        <v>264</v>
      </c>
      <c r="L40" s="95"/>
    </row>
    <row r="41" spans="1:13" x14ac:dyDescent="0.2">
      <c r="A41" s="37" t="s">
        <v>323</v>
      </c>
      <c r="B41" s="96" t="s">
        <v>324</v>
      </c>
      <c r="C41" s="96"/>
      <c r="D41" s="96"/>
      <c r="E41" s="96"/>
      <c r="F41" s="96"/>
      <c r="G41" s="96" t="s">
        <v>325</v>
      </c>
      <c r="H41" s="96"/>
      <c r="I41" s="96"/>
      <c r="J41" s="96"/>
      <c r="K41" s="96" t="s">
        <v>322</v>
      </c>
      <c r="L41" s="96"/>
    </row>
    <row r="43" spans="1:13" x14ac:dyDescent="0.2">
      <c r="A43" s="1" t="s">
        <v>469</v>
      </c>
      <c r="B43" s="8">
        <f>COUNTA(A6:A33)</f>
        <v>28</v>
      </c>
      <c r="C43" s="8"/>
      <c r="D43" s="8"/>
      <c r="E43" s="8"/>
      <c r="F43" s="8"/>
      <c r="G43" s="8"/>
      <c r="H43" s="10"/>
    </row>
  </sheetData>
  <mergeCells count="10">
    <mergeCell ref="C4:F4"/>
    <mergeCell ref="G4:H4"/>
    <mergeCell ref="A1:M1"/>
    <mergeCell ref="A2:M2"/>
    <mergeCell ref="B40:F40"/>
    <mergeCell ref="G40:J40"/>
    <mergeCell ref="K40:L40"/>
    <mergeCell ref="B41:F41"/>
    <mergeCell ref="G41:J41"/>
    <mergeCell ref="K41:L41"/>
  </mergeCells>
  <phoneticPr fontId="0" type="noConversion"/>
  <printOptions horizontalCentered="1"/>
  <pageMargins left="0.1" right="0.1" top="0.25" bottom="0.5" header="0" footer="0"/>
  <pageSetup scale="84" fitToHeight="0" orientation="landscape" r:id="rId1"/>
  <headerFooter alignWithMargins="0">
    <oddFooter>&amp;C&amp;8For the year of 2001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Normal="100" workbookViewId="0">
      <selection activeCell="A3" sqref="A3"/>
    </sheetView>
  </sheetViews>
  <sheetFormatPr defaultRowHeight="12.75" x14ac:dyDescent="0.2"/>
  <cols>
    <col min="1" max="1" width="36.85546875" bestFit="1" customWidth="1"/>
    <col min="2" max="2" width="6.85546875" style="2" bestFit="1" customWidth="1"/>
    <col min="3" max="3" width="8" customWidth="1"/>
    <col min="4" max="4" width="6.85546875" bestFit="1" customWidth="1"/>
    <col min="5" max="5" width="7.140625" customWidth="1"/>
    <col min="6" max="6" width="6.85546875" style="2" bestFit="1" customWidth="1"/>
    <col min="7" max="7" width="6.85546875" customWidth="1"/>
    <col min="8" max="8" width="6.85546875" bestFit="1" customWidth="1"/>
    <col min="9" max="9" width="7" customWidth="1"/>
    <col min="10" max="10" width="6.85546875" bestFit="1" customWidth="1"/>
    <col min="11" max="11" width="11.140625" bestFit="1" customWidth="1"/>
    <col min="12" max="12" width="7.85546875" bestFit="1" customWidth="1"/>
    <col min="13" max="13" width="7.42578125" bestFit="1" customWidth="1"/>
    <col min="14" max="14" width="9.7109375" bestFit="1" customWidth="1"/>
    <col min="15" max="15" width="17.42578125" bestFit="1" customWidth="1"/>
    <col min="16" max="16" width="29.140625" bestFit="1" customWidth="1"/>
  </cols>
  <sheetData>
    <row r="1" spans="1:16" ht="18.75" x14ac:dyDescent="0.25">
      <c r="A1" s="99" t="s">
        <v>508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16" ht="14.25" x14ac:dyDescent="0.2">
      <c r="A2" s="94" t="s">
        <v>509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">
      <c r="A3" s="3"/>
      <c r="C3" s="3"/>
      <c r="D3" s="3"/>
      <c r="E3" s="3"/>
      <c r="G3" s="3"/>
      <c r="H3" s="3"/>
      <c r="I3" s="3"/>
    </row>
    <row r="4" spans="1:16" x14ac:dyDescent="0.2">
      <c r="A4" s="57"/>
      <c r="B4" s="100" t="s">
        <v>138</v>
      </c>
      <c r="C4" s="100"/>
      <c r="D4" s="100" t="s">
        <v>139</v>
      </c>
      <c r="E4" s="100"/>
      <c r="F4" s="100" t="s">
        <v>140</v>
      </c>
      <c r="G4" s="100"/>
      <c r="H4" s="100" t="s">
        <v>141</v>
      </c>
      <c r="I4" s="100"/>
      <c r="J4" s="100" t="s">
        <v>172</v>
      </c>
      <c r="K4" s="100"/>
      <c r="L4" s="43" t="s">
        <v>306</v>
      </c>
      <c r="M4" s="43" t="s">
        <v>312</v>
      </c>
      <c r="N4" s="43" t="s">
        <v>310</v>
      </c>
      <c r="O4" s="43" t="s">
        <v>308</v>
      </c>
      <c r="P4" s="43" t="s">
        <v>315</v>
      </c>
    </row>
    <row r="5" spans="1:16" x14ac:dyDescent="0.2">
      <c r="A5" s="53" t="s">
        <v>65</v>
      </c>
      <c r="B5" s="53" t="s">
        <v>137</v>
      </c>
      <c r="C5" s="53" t="s">
        <v>5</v>
      </c>
      <c r="D5" s="53" t="s">
        <v>137</v>
      </c>
      <c r="E5" s="53" t="s">
        <v>5</v>
      </c>
      <c r="F5" s="53" t="s">
        <v>137</v>
      </c>
      <c r="G5" s="53" t="s">
        <v>5</v>
      </c>
      <c r="H5" s="53" t="s">
        <v>137</v>
      </c>
      <c r="I5" s="53" t="s">
        <v>5</v>
      </c>
      <c r="J5" s="53" t="s">
        <v>137</v>
      </c>
      <c r="K5" s="53" t="s">
        <v>252</v>
      </c>
      <c r="L5" s="43" t="s">
        <v>307</v>
      </c>
      <c r="M5" s="43" t="s">
        <v>313</v>
      </c>
      <c r="N5" s="43" t="s">
        <v>311</v>
      </c>
      <c r="O5" s="43" t="s">
        <v>309</v>
      </c>
      <c r="P5" s="43" t="s">
        <v>316</v>
      </c>
    </row>
    <row r="6" spans="1:16" x14ac:dyDescent="0.2">
      <c r="A6" t="s">
        <v>8</v>
      </c>
      <c r="B6" s="8">
        <v>10</v>
      </c>
      <c r="C6" s="5">
        <v>0</v>
      </c>
      <c r="D6" s="8">
        <v>12</v>
      </c>
      <c r="E6" s="5">
        <v>0</v>
      </c>
      <c r="F6" s="8">
        <v>13</v>
      </c>
      <c r="G6" s="5">
        <v>0</v>
      </c>
      <c r="H6" s="8">
        <v>14</v>
      </c>
      <c r="I6" s="5">
        <v>0</v>
      </c>
      <c r="J6" s="8">
        <f>SUM(B6,D6,F6,H6)</f>
        <v>49</v>
      </c>
      <c r="K6" s="12">
        <f>(J6/61)</f>
        <v>0.80327868852459017</v>
      </c>
      <c r="L6" s="33" t="s">
        <v>250</v>
      </c>
      <c r="M6" s="37" t="s">
        <v>248</v>
      </c>
      <c r="N6" s="37" t="s">
        <v>249</v>
      </c>
      <c r="O6" s="33" t="s">
        <v>351</v>
      </c>
      <c r="P6" s="84" t="s">
        <v>250</v>
      </c>
    </row>
    <row r="7" spans="1:16" x14ac:dyDescent="0.2">
      <c r="A7" t="s">
        <v>11</v>
      </c>
      <c r="B7" s="8">
        <v>11</v>
      </c>
      <c r="C7" s="5">
        <v>0</v>
      </c>
      <c r="D7" s="8">
        <v>15</v>
      </c>
      <c r="E7" s="5">
        <v>0</v>
      </c>
      <c r="F7" s="2">
        <v>15</v>
      </c>
      <c r="G7" s="5">
        <v>0</v>
      </c>
      <c r="H7" s="8">
        <v>13</v>
      </c>
      <c r="I7" s="5">
        <v>0.01</v>
      </c>
      <c r="J7" s="8">
        <f t="shared" ref="J7:J33" si="0">SUM(B7,D7,F7,H7)</f>
        <v>54</v>
      </c>
      <c r="K7" s="12">
        <f t="shared" ref="K7:K33" si="1">(J7/61)</f>
        <v>0.88524590163934425</v>
      </c>
      <c r="L7" s="33" t="s">
        <v>250</v>
      </c>
      <c r="M7" s="37" t="s">
        <v>248</v>
      </c>
      <c r="N7" s="37" t="s">
        <v>249</v>
      </c>
      <c r="O7" s="33" t="s">
        <v>352</v>
      </c>
      <c r="P7" s="84" t="s">
        <v>250</v>
      </c>
    </row>
    <row r="8" spans="1:16" x14ac:dyDescent="0.2">
      <c r="A8" t="s">
        <v>14</v>
      </c>
      <c r="B8" s="8">
        <v>12</v>
      </c>
      <c r="C8" s="5">
        <v>0.01</v>
      </c>
      <c r="D8" s="8">
        <v>16</v>
      </c>
      <c r="E8" s="5">
        <v>0.01</v>
      </c>
      <c r="F8" s="8">
        <v>15</v>
      </c>
      <c r="G8" s="5">
        <v>0</v>
      </c>
      <c r="H8" s="8">
        <v>14</v>
      </c>
      <c r="I8" s="5">
        <v>0.01</v>
      </c>
      <c r="J8" s="8">
        <f t="shared" si="0"/>
        <v>57</v>
      </c>
      <c r="K8" s="12">
        <f t="shared" si="1"/>
        <v>0.93442622950819676</v>
      </c>
      <c r="L8" s="33" t="s">
        <v>247</v>
      </c>
      <c r="M8" s="37" t="s">
        <v>353</v>
      </c>
      <c r="N8" s="37" t="s">
        <v>249</v>
      </c>
      <c r="O8" s="33" t="s">
        <v>352</v>
      </c>
      <c r="P8" s="84" t="s">
        <v>501</v>
      </c>
    </row>
    <row r="9" spans="1:16" x14ac:dyDescent="0.2">
      <c r="A9" t="s">
        <v>16</v>
      </c>
      <c r="B9" s="8">
        <v>13</v>
      </c>
      <c r="C9" s="5">
        <v>0</v>
      </c>
      <c r="D9" s="8">
        <v>14</v>
      </c>
      <c r="E9" s="5">
        <v>0</v>
      </c>
      <c r="F9" s="8">
        <v>15</v>
      </c>
      <c r="G9" s="5">
        <v>0</v>
      </c>
      <c r="H9" s="8">
        <v>14</v>
      </c>
      <c r="I9" s="5">
        <v>0</v>
      </c>
      <c r="J9" s="8">
        <f t="shared" si="0"/>
        <v>56</v>
      </c>
      <c r="K9" s="12">
        <f t="shared" si="1"/>
        <v>0.91803278688524592</v>
      </c>
      <c r="L9" s="33" t="s">
        <v>250</v>
      </c>
      <c r="M9" s="37" t="s">
        <v>248</v>
      </c>
      <c r="N9" s="37" t="s">
        <v>249</v>
      </c>
      <c r="O9" s="33" t="s">
        <v>354</v>
      </c>
      <c r="P9" s="84" t="s">
        <v>250</v>
      </c>
    </row>
    <row r="10" spans="1:16" x14ac:dyDescent="0.2">
      <c r="A10" t="s">
        <v>71</v>
      </c>
      <c r="B10" s="8">
        <v>14</v>
      </c>
      <c r="C10" s="5">
        <v>0.01</v>
      </c>
      <c r="D10" s="8">
        <v>16</v>
      </c>
      <c r="E10" s="5">
        <v>0.01</v>
      </c>
      <c r="F10" s="8">
        <v>15</v>
      </c>
      <c r="G10" s="5">
        <v>0</v>
      </c>
      <c r="H10" s="8">
        <v>14</v>
      </c>
      <c r="I10" s="5">
        <v>0</v>
      </c>
      <c r="J10" s="8">
        <f t="shared" si="0"/>
        <v>59</v>
      </c>
      <c r="K10" s="12">
        <f t="shared" si="1"/>
        <v>0.96721311475409832</v>
      </c>
      <c r="L10" s="33" t="s">
        <v>250</v>
      </c>
      <c r="M10" s="37" t="s">
        <v>353</v>
      </c>
      <c r="N10" s="37" t="s">
        <v>355</v>
      </c>
      <c r="O10" s="33" t="s">
        <v>352</v>
      </c>
      <c r="P10" s="84" t="s">
        <v>500</v>
      </c>
    </row>
    <row r="11" spans="1:16" x14ac:dyDescent="0.2">
      <c r="A11" t="s">
        <v>184</v>
      </c>
      <c r="B11" s="8">
        <v>14</v>
      </c>
      <c r="C11" s="5">
        <v>0.01</v>
      </c>
      <c r="D11" s="8">
        <v>14</v>
      </c>
      <c r="E11" s="5">
        <v>0</v>
      </c>
      <c r="F11" s="8">
        <v>15</v>
      </c>
      <c r="G11" s="5">
        <v>0</v>
      </c>
      <c r="H11" s="8">
        <v>15</v>
      </c>
      <c r="I11" s="5">
        <v>0.01</v>
      </c>
      <c r="J11" s="8">
        <f t="shared" si="0"/>
        <v>58</v>
      </c>
      <c r="K11" s="12">
        <f>(J11/61)</f>
        <v>0.95081967213114749</v>
      </c>
      <c r="L11" s="33" t="s">
        <v>250</v>
      </c>
      <c r="M11" s="37" t="s">
        <v>248</v>
      </c>
      <c r="N11" s="37" t="s">
        <v>249</v>
      </c>
      <c r="O11" s="33" t="s">
        <v>352</v>
      </c>
      <c r="P11" s="84" t="s">
        <v>250</v>
      </c>
    </row>
    <row r="12" spans="1:16" x14ac:dyDescent="0.2">
      <c r="A12" t="s">
        <v>270</v>
      </c>
      <c r="B12" s="8">
        <v>14</v>
      </c>
      <c r="C12" s="5">
        <v>0</v>
      </c>
      <c r="D12" s="8">
        <v>15</v>
      </c>
      <c r="E12" s="5">
        <v>0</v>
      </c>
      <c r="F12" s="8">
        <v>13</v>
      </c>
      <c r="G12" s="5">
        <v>0</v>
      </c>
      <c r="H12" s="8">
        <v>14</v>
      </c>
      <c r="I12" s="5">
        <v>0.01</v>
      </c>
      <c r="J12" s="8">
        <f t="shared" si="0"/>
        <v>56</v>
      </c>
      <c r="K12" s="12">
        <f t="shared" si="1"/>
        <v>0.91803278688524592</v>
      </c>
      <c r="L12" s="33" t="s">
        <v>250</v>
      </c>
      <c r="M12" s="37" t="s">
        <v>248</v>
      </c>
      <c r="N12" s="37" t="s">
        <v>249</v>
      </c>
      <c r="O12" s="33" t="s">
        <v>352</v>
      </c>
      <c r="P12" s="84" t="s">
        <v>250</v>
      </c>
    </row>
    <row r="13" spans="1:16" x14ac:dyDescent="0.2">
      <c r="A13" t="s">
        <v>25</v>
      </c>
      <c r="B13" s="8">
        <v>14</v>
      </c>
      <c r="C13" s="5">
        <v>0.01</v>
      </c>
      <c r="D13" s="8">
        <v>16</v>
      </c>
      <c r="E13" s="5">
        <v>0.01</v>
      </c>
      <c r="F13" s="8">
        <v>15</v>
      </c>
      <c r="G13" s="5">
        <v>0</v>
      </c>
      <c r="H13" s="8">
        <v>14</v>
      </c>
      <c r="I13" s="5">
        <v>0</v>
      </c>
      <c r="J13" s="8">
        <f t="shared" si="0"/>
        <v>59</v>
      </c>
      <c r="K13" s="12">
        <f>(J13/73)</f>
        <v>0.80821917808219179</v>
      </c>
      <c r="L13" s="33" t="s">
        <v>250</v>
      </c>
      <c r="M13" s="37" t="s">
        <v>353</v>
      </c>
      <c r="N13" s="37" t="s">
        <v>355</v>
      </c>
      <c r="O13" s="33" t="s">
        <v>351</v>
      </c>
      <c r="P13" s="84" t="s">
        <v>250</v>
      </c>
    </row>
    <row r="14" spans="1:16" x14ac:dyDescent="0.2">
      <c r="A14" t="s">
        <v>27</v>
      </c>
      <c r="B14" s="8">
        <v>13</v>
      </c>
      <c r="C14" s="5">
        <v>0.01</v>
      </c>
      <c r="D14" s="8">
        <v>16</v>
      </c>
      <c r="E14" s="5">
        <v>0.01</v>
      </c>
      <c r="F14" s="8">
        <v>15</v>
      </c>
      <c r="G14" s="5">
        <v>0.01</v>
      </c>
      <c r="H14" s="8">
        <v>15</v>
      </c>
      <c r="I14" s="5">
        <v>0.01</v>
      </c>
      <c r="J14" s="8">
        <f t="shared" si="0"/>
        <v>59</v>
      </c>
      <c r="K14" s="12">
        <f>(J14/73)</f>
        <v>0.80821917808219179</v>
      </c>
      <c r="L14" s="33" t="s">
        <v>250</v>
      </c>
      <c r="M14" s="37" t="s">
        <v>353</v>
      </c>
      <c r="N14" s="37" t="s">
        <v>355</v>
      </c>
      <c r="O14" s="33" t="s">
        <v>351</v>
      </c>
      <c r="P14" s="84" t="s">
        <v>250</v>
      </c>
    </row>
    <row r="15" spans="1:16" x14ac:dyDescent="0.2">
      <c r="A15" t="s">
        <v>29</v>
      </c>
      <c r="B15" s="8">
        <v>15</v>
      </c>
      <c r="C15" s="5">
        <v>0</v>
      </c>
      <c r="D15" s="8">
        <v>15</v>
      </c>
      <c r="E15" s="5">
        <v>0</v>
      </c>
      <c r="F15" s="8">
        <v>12</v>
      </c>
      <c r="G15" s="5">
        <v>0</v>
      </c>
      <c r="H15" s="8">
        <v>15</v>
      </c>
      <c r="I15" s="5">
        <v>0</v>
      </c>
      <c r="J15" s="8">
        <f t="shared" si="0"/>
        <v>57</v>
      </c>
      <c r="K15" s="12">
        <f>(J15/73)</f>
        <v>0.78082191780821919</v>
      </c>
      <c r="L15" s="33" t="s">
        <v>250</v>
      </c>
      <c r="M15" s="37" t="s">
        <v>248</v>
      </c>
      <c r="N15" s="37" t="s">
        <v>249</v>
      </c>
      <c r="O15" s="33" t="s">
        <v>352</v>
      </c>
      <c r="P15" s="84" t="s">
        <v>250</v>
      </c>
    </row>
    <row r="16" spans="1:16" x14ac:dyDescent="0.2">
      <c r="A16" t="s">
        <v>31</v>
      </c>
      <c r="B16" s="8">
        <v>14</v>
      </c>
      <c r="C16" s="5">
        <v>0.01</v>
      </c>
      <c r="D16" s="8">
        <v>16</v>
      </c>
      <c r="E16" s="5">
        <v>0.01</v>
      </c>
      <c r="F16" s="8">
        <v>14</v>
      </c>
      <c r="G16" s="5">
        <v>0.01</v>
      </c>
      <c r="H16" s="8">
        <v>15</v>
      </c>
      <c r="I16" s="5">
        <v>0.01</v>
      </c>
      <c r="J16" s="8">
        <f t="shared" si="0"/>
        <v>59</v>
      </c>
      <c r="K16" s="12">
        <f>(J16/73)</f>
        <v>0.80821917808219179</v>
      </c>
      <c r="L16" s="33" t="s">
        <v>247</v>
      </c>
      <c r="M16" s="37" t="s">
        <v>248</v>
      </c>
      <c r="N16" s="37" t="s">
        <v>355</v>
      </c>
      <c r="O16" s="33" t="s">
        <v>352</v>
      </c>
      <c r="P16" s="84" t="s">
        <v>250</v>
      </c>
    </row>
    <row r="17" spans="1:16" x14ac:dyDescent="0.2">
      <c r="A17" t="s">
        <v>271</v>
      </c>
      <c r="B17" s="8">
        <v>15</v>
      </c>
      <c r="C17" s="5">
        <v>0.01</v>
      </c>
      <c r="D17" s="8">
        <v>16</v>
      </c>
      <c r="E17" s="5">
        <v>0</v>
      </c>
      <c r="F17" s="8">
        <v>15</v>
      </c>
      <c r="G17" s="5">
        <v>0</v>
      </c>
      <c r="H17" s="8">
        <v>15</v>
      </c>
      <c r="I17" s="5">
        <v>0.01</v>
      </c>
      <c r="J17" s="8">
        <f t="shared" si="0"/>
        <v>61</v>
      </c>
      <c r="K17" s="12">
        <f t="shared" si="1"/>
        <v>1</v>
      </c>
      <c r="L17" s="33" t="s">
        <v>247</v>
      </c>
      <c r="M17" s="37" t="s">
        <v>248</v>
      </c>
      <c r="N17" s="37" t="s">
        <v>249</v>
      </c>
      <c r="O17" s="33" t="s">
        <v>352</v>
      </c>
      <c r="P17" s="84" t="s">
        <v>501</v>
      </c>
    </row>
    <row r="18" spans="1:16" x14ac:dyDescent="0.2">
      <c r="A18" t="s">
        <v>70</v>
      </c>
      <c r="B18" s="8">
        <v>15</v>
      </c>
      <c r="C18" s="5">
        <v>0.01</v>
      </c>
      <c r="D18" s="8">
        <v>16</v>
      </c>
      <c r="E18" s="5">
        <v>0</v>
      </c>
      <c r="F18" s="8">
        <v>15</v>
      </c>
      <c r="G18" s="5">
        <v>0.01</v>
      </c>
      <c r="H18" s="8">
        <v>15</v>
      </c>
      <c r="I18" s="5">
        <v>0.01</v>
      </c>
      <c r="J18" s="8">
        <f t="shared" si="0"/>
        <v>61</v>
      </c>
      <c r="K18" s="12">
        <f t="shared" si="1"/>
        <v>1</v>
      </c>
      <c r="L18" s="33" t="s">
        <v>247</v>
      </c>
      <c r="M18" s="37" t="s">
        <v>248</v>
      </c>
      <c r="N18" s="37" t="s">
        <v>249</v>
      </c>
      <c r="O18" s="33" t="s">
        <v>352</v>
      </c>
      <c r="P18" s="84" t="s">
        <v>502</v>
      </c>
    </row>
    <row r="19" spans="1:16" x14ac:dyDescent="0.2">
      <c r="A19" t="s">
        <v>272</v>
      </c>
      <c r="B19" s="8">
        <v>13</v>
      </c>
      <c r="C19" s="5">
        <v>0.01</v>
      </c>
      <c r="D19" s="8">
        <v>16</v>
      </c>
      <c r="E19" s="5">
        <v>0</v>
      </c>
      <c r="F19" s="8">
        <v>14</v>
      </c>
      <c r="G19" s="5">
        <v>0</v>
      </c>
      <c r="H19" s="8">
        <v>14</v>
      </c>
      <c r="I19" s="5">
        <v>0.01</v>
      </c>
      <c r="J19" s="8">
        <f t="shared" si="0"/>
        <v>57</v>
      </c>
      <c r="K19" s="12">
        <f t="shared" si="1"/>
        <v>0.93442622950819676</v>
      </c>
      <c r="L19" s="33" t="s">
        <v>250</v>
      </c>
      <c r="M19" s="37" t="s">
        <v>248</v>
      </c>
      <c r="N19" s="37" t="s">
        <v>249</v>
      </c>
      <c r="O19" s="33" t="s">
        <v>352</v>
      </c>
      <c r="P19" s="84" t="s">
        <v>250</v>
      </c>
    </row>
    <row r="20" spans="1:16" x14ac:dyDescent="0.2">
      <c r="A20" t="s">
        <v>182</v>
      </c>
      <c r="B20" s="8">
        <v>14</v>
      </c>
      <c r="C20" s="5">
        <v>0.03</v>
      </c>
      <c r="D20" s="8">
        <v>15</v>
      </c>
      <c r="E20" s="5">
        <v>0</v>
      </c>
      <c r="F20" s="8">
        <v>14</v>
      </c>
      <c r="G20" s="5">
        <v>0</v>
      </c>
      <c r="H20" s="8">
        <v>15</v>
      </c>
      <c r="I20" s="5">
        <v>0.01</v>
      </c>
      <c r="J20" s="8">
        <f t="shared" si="0"/>
        <v>58</v>
      </c>
      <c r="K20" s="12">
        <f t="shared" si="1"/>
        <v>0.95081967213114749</v>
      </c>
      <c r="L20" s="33" t="s">
        <v>250</v>
      </c>
      <c r="M20" s="37" t="s">
        <v>353</v>
      </c>
      <c r="N20" s="37" t="s">
        <v>355</v>
      </c>
      <c r="O20" s="33" t="s">
        <v>352</v>
      </c>
      <c r="P20" s="84" t="s">
        <v>502</v>
      </c>
    </row>
    <row r="21" spans="1:16" x14ac:dyDescent="0.2">
      <c r="A21" t="s">
        <v>43</v>
      </c>
      <c r="B21" s="8">
        <v>13</v>
      </c>
      <c r="C21" s="5">
        <v>0</v>
      </c>
      <c r="D21" s="8">
        <v>15</v>
      </c>
      <c r="E21" s="5">
        <v>0</v>
      </c>
      <c r="F21" s="8">
        <v>15</v>
      </c>
      <c r="G21" s="5">
        <v>0</v>
      </c>
      <c r="H21" s="8">
        <v>13</v>
      </c>
      <c r="I21" s="5">
        <v>0</v>
      </c>
      <c r="J21" s="8">
        <f t="shared" si="0"/>
        <v>56</v>
      </c>
      <c r="K21" s="12">
        <f t="shared" si="1"/>
        <v>0.91803278688524592</v>
      </c>
      <c r="L21" s="33" t="s">
        <v>250</v>
      </c>
      <c r="M21" s="37" t="s">
        <v>356</v>
      </c>
      <c r="N21" s="37" t="s">
        <v>249</v>
      </c>
      <c r="O21" s="33" t="s">
        <v>357</v>
      </c>
      <c r="P21" s="84" t="s">
        <v>502</v>
      </c>
    </row>
    <row r="22" spans="1:16" x14ac:dyDescent="0.2">
      <c r="A22" t="s">
        <v>47</v>
      </c>
      <c r="B22" s="8">
        <v>13</v>
      </c>
      <c r="C22" s="5">
        <v>0.01</v>
      </c>
      <c r="D22" s="8">
        <v>15</v>
      </c>
      <c r="E22" s="5">
        <v>0</v>
      </c>
      <c r="F22" s="8">
        <v>13</v>
      </c>
      <c r="G22" s="5">
        <v>0</v>
      </c>
      <c r="H22" s="8">
        <v>15</v>
      </c>
      <c r="I22" s="5">
        <v>0.01</v>
      </c>
      <c r="J22" s="8">
        <f t="shared" si="0"/>
        <v>56</v>
      </c>
      <c r="K22" s="12">
        <f t="shared" si="1"/>
        <v>0.91803278688524592</v>
      </c>
      <c r="L22" s="33" t="s">
        <v>250</v>
      </c>
      <c r="M22" s="37" t="s">
        <v>248</v>
      </c>
      <c r="N22" s="37" t="s">
        <v>249</v>
      </c>
      <c r="O22" s="33" t="s">
        <v>352</v>
      </c>
      <c r="P22" s="84" t="s">
        <v>250</v>
      </c>
    </row>
    <row r="23" spans="1:16" x14ac:dyDescent="0.2">
      <c r="A23" t="s">
        <v>269</v>
      </c>
      <c r="B23" s="8">
        <v>15</v>
      </c>
      <c r="C23" s="5">
        <v>0.01</v>
      </c>
      <c r="D23" s="8">
        <v>16</v>
      </c>
      <c r="E23" s="5">
        <v>0</v>
      </c>
      <c r="F23" s="8">
        <v>15</v>
      </c>
      <c r="G23" s="5">
        <v>0</v>
      </c>
      <c r="H23" s="8">
        <v>15</v>
      </c>
      <c r="I23" s="5">
        <v>0.01</v>
      </c>
      <c r="J23" s="8">
        <f t="shared" si="0"/>
        <v>61</v>
      </c>
      <c r="K23" s="12">
        <f t="shared" si="1"/>
        <v>1</v>
      </c>
      <c r="L23" s="33" t="s">
        <v>250</v>
      </c>
      <c r="M23" s="37" t="s">
        <v>248</v>
      </c>
      <c r="N23" s="37" t="s">
        <v>249</v>
      </c>
      <c r="O23" s="33" t="s">
        <v>352</v>
      </c>
      <c r="P23" s="84" t="s">
        <v>250</v>
      </c>
    </row>
    <row r="24" spans="1:16" x14ac:dyDescent="0.2">
      <c r="A24" t="s">
        <v>299</v>
      </c>
      <c r="B24" s="8">
        <v>1</v>
      </c>
      <c r="C24" s="5">
        <v>0.02</v>
      </c>
      <c r="D24" s="8" t="s">
        <v>214</v>
      </c>
      <c r="E24" s="5" t="s">
        <v>214</v>
      </c>
      <c r="F24" s="8" t="s">
        <v>214</v>
      </c>
      <c r="G24" s="5" t="s">
        <v>214</v>
      </c>
      <c r="H24" s="8"/>
      <c r="I24" s="5"/>
      <c r="J24" s="8">
        <f t="shared" si="0"/>
        <v>1</v>
      </c>
      <c r="K24" s="12">
        <f>(J24/1)</f>
        <v>1</v>
      </c>
      <c r="L24" s="33" t="s">
        <v>250</v>
      </c>
      <c r="M24" s="37" t="s">
        <v>248</v>
      </c>
      <c r="N24" s="37" t="s">
        <v>249</v>
      </c>
      <c r="O24" s="33" t="s">
        <v>352</v>
      </c>
      <c r="P24" s="84" t="s">
        <v>250</v>
      </c>
    </row>
    <row r="25" spans="1:16" x14ac:dyDescent="0.2">
      <c r="A25" t="s">
        <v>273</v>
      </c>
      <c r="B25" s="8">
        <v>13</v>
      </c>
      <c r="C25" s="5">
        <v>0.01</v>
      </c>
      <c r="D25" s="8">
        <v>14</v>
      </c>
      <c r="E25" s="5">
        <v>0</v>
      </c>
      <c r="F25" s="8">
        <v>12</v>
      </c>
      <c r="G25" s="5">
        <v>0</v>
      </c>
      <c r="H25" s="8">
        <v>14</v>
      </c>
      <c r="I25" s="5">
        <v>0</v>
      </c>
      <c r="J25" s="8">
        <f t="shared" si="0"/>
        <v>53</v>
      </c>
      <c r="K25" s="12">
        <f t="shared" si="1"/>
        <v>0.86885245901639341</v>
      </c>
      <c r="L25" s="33" t="s">
        <v>250</v>
      </c>
      <c r="M25" s="37" t="s">
        <v>356</v>
      </c>
      <c r="N25" s="37" t="s">
        <v>355</v>
      </c>
      <c r="O25" s="33" t="s">
        <v>357</v>
      </c>
      <c r="P25" s="84" t="s">
        <v>502</v>
      </c>
    </row>
    <row r="26" spans="1:16" x14ac:dyDescent="0.2">
      <c r="A26" s="1" t="s">
        <v>52</v>
      </c>
      <c r="B26" s="2">
        <v>11</v>
      </c>
      <c r="C26" s="5">
        <v>0.01</v>
      </c>
      <c r="D26" s="8">
        <v>16</v>
      </c>
      <c r="E26" s="5">
        <v>0.01</v>
      </c>
      <c r="F26" s="8">
        <v>15</v>
      </c>
      <c r="G26" s="5">
        <v>0.01</v>
      </c>
      <c r="H26" s="8">
        <v>14</v>
      </c>
      <c r="I26" s="5">
        <v>0.01</v>
      </c>
      <c r="J26" s="8">
        <f t="shared" si="0"/>
        <v>56</v>
      </c>
      <c r="K26" s="12">
        <f t="shared" si="1"/>
        <v>0.91803278688524592</v>
      </c>
      <c r="L26" s="33" t="s">
        <v>250</v>
      </c>
      <c r="M26" s="37" t="s">
        <v>248</v>
      </c>
      <c r="N26" s="37" t="s">
        <v>249</v>
      </c>
      <c r="O26" s="33" t="s">
        <v>352</v>
      </c>
      <c r="P26" s="84" t="s">
        <v>501</v>
      </c>
    </row>
    <row r="27" spans="1:16" x14ac:dyDescent="0.2">
      <c r="A27" s="1" t="s">
        <v>183</v>
      </c>
      <c r="B27" s="8">
        <v>15</v>
      </c>
      <c r="C27" s="5">
        <v>0.01</v>
      </c>
      <c r="D27" s="8">
        <v>16</v>
      </c>
      <c r="E27" s="5">
        <v>0.01</v>
      </c>
      <c r="F27" s="8">
        <v>15</v>
      </c>
      <c r="G27" s="5">
        <v>0</v>
      </c>
      <c r="H27" s="8">
        <v>14</v>
      </c>
      <c r="I27" s="5">
        <v>0.01</v>
      </c>
      <c r="J27" s="8">
        <f t="shared" si="0"/>
        <v>60</v>
      </c>
      <c r="K27" s="12">
        <f t="shared" si="1"/>
        <v>0.98360655737704916</v>
      </c>
      <c r="L27" s="33" t="s">
        <v>247</v>
      </c>
      <c r="M27" s="37" t="s">
        <v>248</v>
      </c>
      <c r="N27" s="37" t="s">
        <v>249</v>
      </c>
      <c r="O27" s="33" t="s">
        <v>352</v>
      </c>
      <c r="P27" s="84" t="s">
        <v>498</v>
      </c>
    </row>
    <row r="28" spans="1:16" x14ac:dyDescent="0.2">
      <c r="A28" t="s">
        <v>274</v>
      </c>
      <c r="B28" s="8">
        <v>15</v>
      </c>
      <c r="C28" s="5">
        <v>0.02</v>
      </c>
      <c r="D28" s="8">
        <v>15</v>
      </c>
      <c r="E28" s="5">
        <v>0</v>
      </c>
      <c r="F28" s="8">
        <v>15</v>
      </c>
      <c r="G28" s="5">
        <v>0</v>
      </c>
      <c r="H28" s="8">
        <v>14</v>
      </c>
      <c r="I28" s="5">
        <v>0</v>
      </c>
      <c r="J28" s="8">
        <f t="shared" si="0"/>
        <v>59</v>
      </c>
      <c r="K28" s="12">
        <f t="shared" si="1"/>
        <v>0.96721311475409832</v>
      </c>
      <c r="L28" s="33" t="s">
        <v>250</v>
      </c>
      <c r="M28" s="37" t="s">
        <v>358</v>
      </c>
      <c r="N28" s="37" t="s">
        <v>249</v>
      </c>
      <c r="O28" s="33" t="s">
        <v>352</v>
      </c>
      <c r="P28" s="84" t="s">
        <v>500</v>
      </c>
    </row>
    <row r="29" spans="1:16" x14ac:dyDescent="0.2">
      <c r="A29" s="1" t="s">
        <v>300</v>
      </c>
      <c r="B29" s="8">
        <v>13</v>
      </c>
      <c r="C29" s="5">
        <v>0.01</v>
      </c>
      <c r="D29" s="8">
        <v>16</v>
      </c>
      <c r="E29" s="5">
        <v>0.01</v>
      </c>
      <c r="F29" s="8">
        <v>14</v>
      </c>
      <c r="G29" s="5">
        <v>0.01</v>
      </c>
      <c r="H29" s="8">
        <v>13</v>
      </c>
      <c r="I29" s="5">
        <v>0.01</v>
      </c>
      <c r="J29" s="8">
        <f t="shared" si="0"/>
        <v>56</v>
      </c>
      <c r="K29" s="12">
        <f t="shared" si="1"/>
        <v>0.91803278688524592</v>
      </c>
      <c r="L29" s="33" t="s">
        <v>250</v>
      </c>
      <c r="M29" s="37" t="s">
        <v>353</v>
      </c>
      <c r="N29" s="37" t="s">
        <v>355</v>
      </c>
      <c r="O29" s="33" t="s">
        <v>352</v>
      </c>
      <c r="P29" s="84" t="s">
        <v>501</v>
      </c>
    </row>
    <row r="30" spans="1:16" x14ac:dyDescent="0.2">
      <c r="A30" t="s">
        <v>301</v>
      </c>
      <c r="B30" s="8"/>
      <c r="C30" s="5"/>
      <c r="D30" s="8"/>
      <c r="E30" s="5"/>
      <c r="F30" s="8">
        <v>3</v>
      </c>
      <c r="G30" s="5">
        <v>0.01</v>
      </c>
      <c r="H30" s="8">
        <v>13</v>
      </c>
      <c r="I30" s="5">
        <v>0.01</v>
      </c>
      <c r="J30" s="8">
        <f t="shared" si="0"/>
        <v>16</v>
      </c>
      <c r="K30" s="12">
        <f>(J30/18)</f>
        <v>0.88888888888888884</v>
      </c>
      <c r="L30" s="33" t="s">
        <v>250</v>
      </c>
      <c r="M30" s="37" t="s">
        <v>353</v>
      </c>
      <c r="N30" s="37" t="s">
        <v>249</v>
      </c>
      <c r="O30" s="33" t="s">
        <v>352</v>
      </c>
      <c r="P30" s="84" t="s">
        <v>501</v>
      </c>
    </row>
    <row r="31" spans="1:16" x14ac:dyDescent="0.2">
      <c r="A31" s="17" t="s">
        <v>204</v>
      </c>
      <c r="B31" s="8">
        <v>14</v>
      </c>
      <c r="C31" s="5">
        <v>0</v>
      </c>
      <c r="D31" s="8">
        <v>16</v>
      </c>
      <c r="E31" s="5">
        <v>0</v>
      </c>
      <c r="F31" s="8">
        <v>15</v>
      </c>
      <c r="G31" s="5">
        <v>0</v>
      </c>
      <c r="H31" s="8">
        <v>14</v>
      </c>
      <c r="I31" s="5">
        <v>0</v>
      </c>
      <c r="J31" s="8">
        <f t="shared" si="0"/>
        <v>59</v>
      </c>
      <c r="K31" s="12">
        <f>(J31/61)</f>
        <v>0.96721311475409832</v>
      </c>
      <c r="L31" s="33" t="s">
        <v>250</v>
      </c>
      <c r="M31" s="37" t="s">
        <v>358</v>
      </c>
      <c r="N31" s="37" t="s">
        <v>251</v>
      </c>
      <c r="O31" s="33" t="s">
        <v>351</v>
      </c>
      <c r="P31" s="84" t="s">
        <v>500</v>
      </c>
    </row>
    <row r="32" spans="1:16" x14ac:dyDescent="0.2">
      <c r="A32" t="s">
        <v>60</v>
      </c>
      <c r="B32" s="8">
        <v>15</v>
      </c>
      <c r="C32" s="5">
        <v>0.01</v>
      </c>
      <c r="D32" s="8">
        <v>8</v>
      </c>
      <c r="E32" s="5">
        <v>0.01</v>
      </c>
      <c r="F32" s="8">
        <v>7</v>
      </c>
      <c r="G32" s="5">
        <v>0.01</v>
      </c>
      <c r="H32" s="8">
        <v>10</v>
      </c>
      <c r="I32" s="5">
        <v>0</v>
      </c>
      <c r="J32" s="8">
        <f t="shared" si="0"/>
        <v>40</v>
      </c>
      <c r="K32" s="12">
        <f t="shared" si="1"/>
        <v>0.65573770491803274</v>
      </c>
      <c r="L32" s="33" t="s">
        <v>250</v>
      </c>
      <c r="M32" s="37" t="s">
        <v>248</v>
      </c>
      <c r="N32" s="37" t="s">
        <v>249</v>
      </c>
      <c r="O32" s="33" t="s">
        <v>352</v>
      </c>
      <c r="P32" s="84" t="s">
        <v>250</v>
      </c>
    </row>
    <row r="33" spans="1:16" x14ac:dyDescent="0.2">
      <c r="A33" t="s">
        <v>68</v>
      </c>
      <c r="B33" s="8">
        <v>11</v>
      </c>
      <c r="C33" s="5">
        <v>0.01</v>
      </c>
      <c r="D33" s="8">
        <v>13</v>
      </c>
      <c r="E33" s="5">
        <v>0</v>
      </c>
      <c r="F33" s="8">
        <v>13</v>
      </c>
      <c r="G33" s="5">
        <v>0.01</v>
      </c>
      <c r="H33" s="8">
        <v>14</v>
      </c>
      <c r="I33" s="5">
        <v>0</v>
      </c>
      <c r="J33" s="8">
        <f t="shared" si="0"/>
        <v>51</v>
      </c>
      <c r="K33" s="12">
        <f t="shared" si="1"/>
        <v>0.83606557377049184</v>
      </c>
      <c r="L33" s="33" t="s">
        <v>250</v>
      </c>
      <c r="M33" s="37" t="s">
        <v>248</v>
      </c>
      <c r="N33" s="37" t="s">
        <v>249</v>
      </c>
      <c r="O33" s="33" t="s">
        <v>352</v>
      </c>
      <c r="P33" s="84" t="s">
        <v>250</v>
      </c>
    </row>
    <row r="34" spans="1:16" x14ac:dyDescent="0.2">
      <c r="B34" s="8"/>
      <c r="C34" s="5"/>
      <c r="D34" s="8"/>
      <c r="E34" s="5"/>
      <c r="F34" s="8"/>
      <c r="G34" s="5"/>
      <c r="H34" s="8"/>
      <c r="I34" s="5"/>
      <c r="K34" s="12"/>
      <c r="L34" s="33"/>
      <c r="M34" s="37"/>
      <c r="N34" s="37"/>
      <c r="O34" s="33"/>
      <c r="P34" s="84"/>
    </row>
    <row r="35" spans="1:16" x14ac:dyDescent="0.2">
      <c r="A35" t="s">
        <v>245</v>
      </c>
      <c r="B35" s="8">
        <f t="shared" ref="B35:J35" si="2">AVERAGE(B6:B33)</f>
        <v>12.962962962962964</v>
      </c>
      <c r="C35" s="5">
        <f t="shared" si="2"/>
        <v>8.8888888888888906E-3</v>
      </c>
      <c r="D35" s="8">
        <f t="shared" si="2"/>
        <v>14.923076923076923</v>
      </c>
      <c r="E35" s="5">
        <f t="shared" si="2"/>
        <v>3.4615384615384612E-3</v>
      </c>
      <c r="F35" s="8">
        <f t="shared" si="2"/>
        <v>13.592592592592593</v>
      </c>
      <c r="G35" s="5">
        <f t="shared" si="2"/>
        <v>2.9629629629629628E-3</v>
      </c>
      <c r="H35" s="8">
        <f t="shared" si="2"/>
        <v>14.037037037037036</v>
      </c>
      <c r="I35" s="5">
        <f t="shared" si="2"/>
        <v>5.9259259259259256E-3</v>
      </c>
      <c r="J35" s="8">
        <f t="shared" si="2"/>
        <v>53</v>
      </c>
      <c r="K35" s="13">
        <f>SUM(J6:J33)/1605</f>
        <v>0.92461059190031147</v>
      </c>
    </row>
    <row r="36" spans="1:16" x14ac:dyDescent="0.2">
      <c r="A36" s="1"/>
      <c r="B36" s="8"/>
    </row>
    <row r="37" spans="1:16" x14ac:dyDescent="0.2">
      <c r="A37" s="15" t="s">
        <v>302</v>
      </c>
    </row>
    <row r="39" spans="1:16" x14ac:dyDescent="0.2">
      <c r="A39" s="40" t="s">
        <v>261</v>
      </c>
      <c r="B39" s="95" t="s">
        <v>262</v>
      </c>
      <c r="C39" s="95"/>
      <c r="D39" s="95"/>
      <c r="E39" s="95"/>
      <c r="F39" s="95"/>
      <c r="G39" s="95" t="s">
        <v>263</v>
      </c>
      <c r="H39" s="95"/>
      <c r="I39" s="95"/>
      <c r="J39" s="95"/>
      <c r="K39" s="95" t="s">
        <v>264</v>
      </c>
      <c r="L39" s="95"/>
    </row>
    <row r="40" spans="1:16" x14ac:dyDescent="0.2">
      <c r="A40" s="37" t="s">
        <v>326</v>
      </c>
      <c r="B40" s="96" t="s">
        <v>324</v>
      </c>
      <c r="C40" s="96"/>
      <c r="D40" s="96"/>
      <c r="E40" s="96"/>
      <c r="F40" s="96"/>
      <c r="G40" s="96" t="s">
        <v>327</v>
      </c>
      <c r="H40" s="96"/>
      <c r="I40" s="96"/>
      <c r="J40" s="96"/>
      <c r="K40" s="96" t="s">
        <v>322</v>
      </c>
      <c r="L40" s="96"/>
    </row>
    <row r="42" spans="1:16" x14ac:dyDescent="0.2">
      <c r="A42" s="1" t="s">
        <v>469</v>
      </c>
      <c r="B42" s="8">
        <f>COUNTA(A5:A32)</f>
        <v>28</v>
      </c>
    </row>
  </sheetData>
  <mergeCells count="13">
    <mergeCell ref="A1:P1"/>
    <mergeCell ref="A2:P2"/>
    <mergeCell ref="J4:K4"/>
    <mergeCell ref="B4:C4"/>
    <mergeCell ref="D4:E4"/>
    <mergeCell ref="F4:G4"/>
    <mergeCell ref="H4:I4"/>
    <mergeCell ref="B39:F39"/>
    <mergeCell ref="G39:J39"/>
    <mergeCell ref="K39:L39"/>
    <mergeCell ref="B40:F40"/>
    <mergeCell ref="G40:J40"/>
    <mergeCell ref="K40:L40"/>
  </mergeCells>
  <phoneticPr fontId="0" type="noConversion"/>
  <printOptions horizontalCentered="1"/>
  <pageMargins left="0.1" right="0.1" top="0.25" bottom="0.5" header="0" footer="0"/>
  <pageSetup scale="75" fitToHeight="0" orientation="landscape" r:id="rId1"/>
  <headerFooter alignWithMargins="0">
    <oddFooter>&amp;C&amp;8For the year of 2001</oddFooter>
  </headerFooter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0"/>
  <sheetViews>
    <sheetView topLeftCell="A4" zoomScaleNormal="100" workbookViewId="0">
      <selection activeCell="A6" sqref="A6"/>
    </sheetView>
  </sheetViews>
  <sheetFormatPr defaultRowHeight="12.75" x14ac:dyDescent="0.2"/>
  <cols>
    <col min="1" max="1" width="26.28515625" bestFit="1" customWidth="1"/>
    <col min="2" max="2" width="6.5703125" customWidth="1"/>
    <col min="3" max="3" width="5.5703125" customWidth="1"/>
    <col min="4" max="4" width="9.5703125" customWidth="1"/>
    <col min="5" max="5" width="5.5703125" customWidth="1"/>
    <col min="6" max="6" width="5.85546875" customWidth="1"/>
    <col min="7" max="7" width="8.42578125" customWidth="1"/>
    <col min="8" max="8" width="7.85546875" customWidth="1"/>
    <col min="9" max="9" width="9.85546875" bestFit="1" customWidth="1"/>
    <col min="10" max="10" width="7.85546875" bestFit="1" customWidth="1"/>
    <col min="11" max="11" width="6.85546875" bestFit="1" customWidth="1"/>
    <col min="12" max="12" width="9.7109375" bestFit="1" customWidth="1"/>
    <col min="13" max="13" width="14.7109375" bestFit="1" customWidth="1"/>
    <col min="14" max="14" width="28.42578125" style="2" bestFit="1" customWidth="1"/>
  </cols>
  <sheetData>
    <row r="1" spans="1:256" ht="15" x14ac:dyDescent="0.2">
      <c r="A1" s="99" t="s">
        <v>510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256" x14ac:dyDescent="0.2">
      <c r="A2" s="94" t="s">
        <v>527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4" spans="1:256" x14ac:dyDescent="0.2">
      <c r="A4" s="46"/>
      <c r="B4" s="97" t="s">
        <v>144</v>
      </c>
      <c r="C4" s="97"/>
      <c r="D4" s="97"/>
      <c r="E4" s="97" t="s">
        <v>145</v>
      </c>
      <c r="F4" s="97"/>
      <c r="G4" s="97"/>
      <c r="H4" s="97" t="s">
        <v>172</v>
      </c>
      <c r="I4" s="97"/>
      <c r="J4" s="43" t="s">
        <v>306</v>
      </c>
      <c r="K4" s="43" t="s">
        <v>312</v>
      </c>
      <c r="L4" s="43" t="s">
        <v>310</v>
      </c>
      <c r="M4" s="43" t="s">
        <v>308</v>
      </c>
      <c r="N4" s="43" t="s">
        <v>315</v>
      </c>
    </row>
    <row r="5" spans="1:256" x14ac:dyDescent="0.2">
      <c r="A5" s="44" t="s">
        <v>65</v>
      </c>
      <c r="B5" s="42" t="s">
        <v>3</v>
      </c>
      <c r="C5" s="42" t="s">
        <v>4</v>
      </c>
      <c r="D5" s="42" t="s">
        <v>142</v>
      </c>
      <c r="E5" s="42" t="s">
        <v>3</v>
      </c>
      <c r="F5" s="42" t="s">
        <v>4</v>
      </c>
      <c r="G5" s="42" t="s">
        <v>143</v>
      </c>
      <c r="H5" s="42" t="s">
        <v>137</v>
      </c>
      <c r="I5" s="45" t="s">
        <v>187</v>
      </c>
      <c r="J5" s="43" t="s">
        <v>307</v>
      </c>
      <c r="K5" s="43" t="s">
        <v>313</v>
      </c>
      <c r="L5" s="43" t="s">
        <v>311</v>
      </c>
      <c r="M5" s="43" t="s">
        <v>309</v>
      </c>
      <c r="N5" s="43" t="s">
        <v>316</v>
      </c>
    </row>
    <row r="6" spans="1:256" x14ac:dyDescent="0.2">
      <c r="A6" s="59" t="s">
        <v>73</v>
      </c>
      <c r="B6" s="60">
        <v>5.0999999999999996</v>
      </c>
      <c r="C6" s="60">
        <v>5.0999999999999996</v>
      </c>
      <c r="D6" s="61">
        <v>0</v>
      </c>
      <c r="E6" s="60">
        <v>3</v>
      </c>
      <c r="F6" s="60">
        <v>3</v>
      </c>
      <c r="G6" s="61">
        <v>0</v>
      </c>
      <c r="H6" s="61">
        <v>8536</v>
      </c>
      <c r="I6" s="62">
        <f>(H6/8760)</f>
        <v>0.97442922374429219</v>
      </c>
      <c r="J6" s="33" t="s">
        <v>247</v>
      </c>
      <c r="K6" s="37" t="s">
        <v>248</v>
      </c>
      <c r="L6" s="33" t="s">
        <v>249</v>
      </c>
      <c r="M6" s="33" t="s">
        <v>361</v>
      </c>
      <c r="N6" s="33" t="s">
        <v>314</v>
      </c>
    </row>
    <row r="7" spans="1:256" x14ac:dyDescent="0.2">
      <c r="A7" s="59" t="s">
        <v>34</v>
      </c>
      <c r="B7" s="60">
        <v>5</v>
      </c>
      <c r="C7" s="60">
        <v>4.7</v>
      </c>
      <c r="D7" s="61">
        <v>0</v>
      </c>
      <c r="E7" s="60">
        <v>3.7</v>
      </c>
      <c r="F7" s="60">
        <v>3.4</v>
      </c>
      <c r="G7" s="61">
        <v>0</v>
      </c>
      <c r="H7" s="61">
        <v>8570</v>
      </c>
      <c r="I7" s="62">
        <f>(H7/8760)</f>
        <v>0.97831050228310501</v>
      </c>
      <c r="J7" s="33" t="s">
        <v>250</v>
      </c>
      <c r="K7" s="37" t="s">
        <v>248</v>
      </c>
      <c r="L7" s="33" t="s">
        <v>249</v>
      </c>
      <c r="M7" s="33" t="s">
        <v>351</v>
      </c>
      <c r="N7" s="33" t="s">
        <v>498</v>
      </c>
    </row>
    <row r="8" spans="1:256" x14ac:dyDescent="0.2">
      <c r="A8" s="63" t="s">
        <v>202</v>
      </c>
      <c r="B8" s="60">
        <v>5.3</v>
      </c>
      <c r="C8" s="60">
        <v>4.5999999999999996</v>
      </c>
      <c r="D8" s="61">
        <v>0</v>
      </c>
      <c r="E8" s="60">
        <v>3.8</v>
      </c>
      <c r="F8" s="60">
        <v>3.3</v>
      </c>
      <c r="G8" s="61">
        <v>0</v>
      </c>
      <c r="H8" s="61">
        <v>8493</v>
      </c>
      <c r="I8" s="62">
        <f>(H8/8760)</f>
        <v>0.96952054794520548</v>
      </c>
      <c r="J8" s="33" t="s">
        <v>247</v>
      </c>
      <c r="K8" s="37" t="s">
        <v>248</v>
      </c>
      <c r="L8" s="33" t="s">
        <v>251</v>
      </c>
      <c r="M8" s="33" t="s">
        <v>361</v>
      </c>
      <c r="N8" s="33" t="s">
        <v>314</v>
      </c>
    </row>
    <row r="9" spans="1:256" x14ac:dyDescent="0.2">
      <c r="A9" s="59"/>
      <c r="B9" s="60"/>
      <c r="C9" s="60"/>
      <c r="D9" s="61"/>
      <c r="E9" s="60"/>
      <c r="F9" s="60"/>
      <c r="G9" s="61"/>
      <c r="H9" s="61"/>
      <c r="I9" s="62"/>
      <c r="J9" s="64"/>
      <c r="K9" s="39"/>
      <c r="L9" s="39"/>
      <c r="M9" s="39"/>
      <c r="N9" s="61"/>
    </row>
    <row r="10" spans="1:256" x14ac:dyDescent="0.2">
      <c r="A10" s="39" t="s">
        <v>245</v>
      </c>
      <c r="B10" s="60"/>
      <c r="C10" s="60"/>
      <c r="D10" s="65">
        <v>0</v>
      </c>
      <c r="E10" s="60"/>
      <c r="F10" s="60"/>
      <c r="G10" s="65">
        <v>0</v>
      </c>
      <c r="H10" s="65">
        <f>AVERAGE(H6:H8)</f>
        <v>8533</v>
      </c>
      <c r="I10" s="66">
        <f>(SUM(H6:H8)/(COUNT(H6:H8)*8760))</f>
        <v>0.97408675799086752</v>
      </c>
      <c r="J10" s="39"/>
      <c r="K10" s="39"/>
      <c r="L10" s="39"/>
      <c r="M10" s="39"/>
      <c r="N10" s="61"/>
    </row>
    <row r="11" spans="1:256" x14ac:dyDescent="0.2">
      <c r="A11" s="39" t="s">
        <v>246</v>
      </c>
      <c r="B11" s="67">
        <f>MAX(B6:C8)</f>
        <v>5.3</v>
      </c>
      <c r="C11" s="39">
        <v>5.0999999999999996</v>
      </c>
      <c r="D11" s="39"/>
      <c r="E11" s="67">
        <f>MAX(E6:F8)</f>
        <v>3.8</v>
      </c>
      <c r="F11" s="39">
        <v>3.7</v>
      </c>
      <c r="G11" s="39"/>
      <c r="H11" s="39"/>
      <c r="I11" s="39"/>
      <c r="J11" s="39"/>
      <c r="K11" s="39"/>
      <c r="L11" s="39"/>
      <c r="M11" s="39"/>
      <c r="N11" s="61"/>
    </row>
    <row r="12" spans="1:256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1:256" x14ac:dyDescent="0.2">
      <c r="A13" s="43" t="s">
        <v>261</v>
      </c>
      <c r="B13" s="103" t="s">
        <v>262</v>
      </c>
      <c r="C13" s="103"/>
      <c r="D13" s="103"/>
      <c r="E13" s="103"/>
      <c r="F13" s="103"/>
      <c r="G13" s="103" t="s">
        <v>263</v>
      </c>
      <c r="H13" s="103"/>
      <c r="I13" s="103"/>
      <c r="J13" s="103"/>
      <c r="K13" s="103" t="s">
        <v>264</v>
      </c>
      <c r="L13" s="103"/>
      <c r="M13" s="15"/>
      <c r="N13" s="16"/>
    </row>
    <row r="14" spans="1:256" x14ac:dyDescent="0.2">
      <c r="A14" s="37" t="s">
        <v>265</v>
      </c>
      <c r="B14" s="96" t="s">
        <v>266</v>
      </c>
      <c r="C14" s="96"/>
      <c r="D14" s="96"/>
      <c r="E14" s="96"/>
      <c r="F14" s="96"/>
      <c r="G14" s="96" t="s">
        <v>267</v>
      </c>
      <c r="H14" s="96"/>
      <c r="I14" s="96"/>
      <c r="J14" s="96"/>
      <c r="K14" s="96" t="s">
        <v>268</v>
      </c>
      <c r="L14" s="96"/>
      <c r="M14" s="15"/>
      <c r="N14" s="16"/>
    </row>
    <row r="16" spans="1:256" x14ac:dyDescent="0.2">
      <c r="A16" s="79" t="s">
        <v>469</v>
      </c>
      <c r="C16" s="1"/>
      <c r="D16" s="78">
        <f>COUNTA(A6:A8)</f>
        <v>3</v>
      </c>
      <c r="E16" s="1"/>
      <c r="F16" s="8"/>
      <c r="G16" s="1"/>
      <c r="H16" s="8"/>
      <c r="I16" s="1"/>
      <c r="J16" s="8"/>
      <c r="K16" s="1"/>
      <c r="L16" s="8"/>
      <c r="M16" s="1"/>
      <c r="N16" s="8"/>
      <c r="O16" s="1"/>
      <c r="P16" s="8"/>
      <c r="Q16" s="1"/>
      <c r="R16" s="8"/>
      <c r="S16" s="1"/>
      <c r="T16" s="8"/>
      <c r="U16" s="1"/>
      <c r="V16" s="8"/>
      <c r="W16" s="1"/>
      <c r="X16" s="8"/>
      <c r="Y16" s="1"/>
      <c r="Z16" s="8"/>
      <c r="AA16" s="1"/>
      <c r="AB16" s="8"/>
      <c r="AC16" s="1"/>
      <c r="AD16" s="8"/>
      <c r="AE16" s="1"/>
      <c r="AF16" s="8"/>
      <c r="AG16" s="1"/>
      <c r="AH16" s="8"/>
      <c r="AI16" s="1"/>
      <c r="AJ16" s="8"/>
      <c r="AK16" s="1"/>
      <c r="AL16" s="8"/>
      <c r="AM16" s="1"/>
      <c r="AN16" s="8"/>
      <c r="AO16" s="1"/>
      <c r="AP16" s="8"/>
      <c r="AQ16" s="1"/>
      <c r="AR16" s="8"/>
      <c r="AS16" s="1"/>
      <c r="AT16" s="8"/>
      <c r="AU16" s="1"/>
      <c r="AV16" s="8"/>
      <c r="AW16" s="1"/>
      <c r="AX16" s="8"/>
      <c r="AY16" s="1"/>
      <c r="AZ16" s="8"/>
      <c r="BA16" s="1"/>
      <c r="BB16" s="8"/>
      <c r="BC16" s="1"/>
      <c r="BD16" s="8"/>
      <c r="BE16" s="1"/>
      <c r="BF16" s="8"/>
      <c r="BG16" s="1"/>
      <c r="BH16" s="8"/>
      <c r="BI16" s="1"/>
      <c r="BJ16" s="8"/>
      <c r="BK16" s="1"/>
      <c r="BL16" s="8"/>
      <c r="BM16" s="1"/>
      <c r="BN16" s="8"/>
      <c r="BO16" s="1"/>
      <c r="BP16" s="8"/>
      <c r="BQ16" s="1"/>
      <c r="BR16" s="8"/>
      <c r="BS16" s="1"/>
      <c r="BT16" s="8"/>
      <c r="BU16" s="1"/>
      <c r="BV16" s="8"/>
      <c r="BW16" s="1"/>
      <c r="BX16" s="8"/>
      <c r="BY16" s="1"/>
      <c r="BZ16" s="8"/>
      <c r="CA16" s="1"/>
      <c r="CB16" s="8"/>
      <c r="CC16" s="1"/>
      <c r="CD16" s="8"/>
      <c r="CE16" s="1"/>
      <c r="CF16" s="8"/>
      <c r="CG16" s="1"/>
      <c r="CH16" s="8"/>
      <c r="CI16" s="1"/>
      <c r="CJ16" s="8"/>
      <c r="CK16" s="1"/>
      <c r="CL16" s="8"/>
      <c r="CM16" s="1"/>
      <c r="CN16" s="8"/>
      <c r="CO16" s="1"/>
      <c r="CP16" s="8"/>
      <c r="CQ16" s="1"/>
      <c r="CR16" s="8"/>
      <c r="CS16" s="1"/>
      <c r="CT16" s="8"/>
      <c r="CU16" s="1"/>
      <c r="CV16" s="8"/>
      <c r="CW16" s="1"/>
      <c r="CX16" s="8"/>
      <c r="CY16" s="1"/>
      <c r="CZ16" s="8"/>
      <c r="DA16" s="1"/>
      <c r="DB16" s="8"/>
      <c r="DC16" s="1"/>
      <c r="DD16" s="8"/>
      <c r="DE16" s="1"/>
      <c r="DF16" s="8"/>
      <c r="DG16" s="1"/>
      <c r="DH16" s="8"/>
      <c r="DI16" s="1"/>
      <c r="DJ16" s="8"/>
      <c r="DK16" s="1"/>
      <c r="DL16" s="8"/>
      <c r="DM16" s="1"/>
      <c r="DN16" s="8"/>
      <c r="DO16" s="1"/>
      <c r="DP16" s="8"/>
      <c r="DQ16" s="1"/>
      <c r="DR16" s="8"/>
      <c r="DS16" s="1"/>
      <c r="DT16" s="8"/>
      <c r="DU16" s="1"/>
      <c r="DV16" s="8"/>
      <c r="DW16" s="1"/>
      <c r="DX16" s="8"/>
      <c r="DY16" s="1"/>
      <c r="DZ16" s="8"/>
      <c r="EA16" s="1"/>
      <c r="EB16" s="8"/>
      <c r="EC16" s="1"/>
      <c r="ED16" s="8"/>
      <c r="EE16" s="1"/>
      <c r="EF16" s="8"/>
      <c r="EG16" s="1"/>
      <c r="EH16" s="8"/>
      <c r="EI16" s="1"/>
      <c r="EJ16" s="8"/>
      <c r="EK16" s="1"/>
      <c r="EL16" s="8"/>
      <c r="EM16" s="1"/>
      <c r="EN16" s="8"/>
      <c r="EO16" s="1"/>
      <c r="EP16" s="8"/>
      <c r="EQ16" s="1"/>
      <c r="ER16" s="8"/>
      <c r="ES16" s="1"/>
      <c r="ET16" s="8"/>
      <c r="EU16" s="1"/>
      <c r="EV16" s="8"/>
      <c r="EW16" s="1"/>
      <c r="EX16" s="8"/>
      <c r="EY16" s="1"/>
      <c r="EZ16" s="8"/>
      <c r="FA16" s="1"/>
      <c r="FB16" s="8"/>
      <c r="FC16" s="1"/>
      <c r="FD16" s="8"/>
      <c r="FE16" s="1"/>
      <c r="FF16" s="8"/>
      <c r="FG16" s="1"/>
      <c r="FH16" s="8"/>
      <c r="FI16" s="1"/>
      <c r="FJ16" s="8"/>
      <c r="FK16" s="1"/>
      <c r="FL16" s="8"/>
      <c r="FM16" s="1"/>
      <c r="FN16" s="8"/>
      <c r="FO16" s="1"/>
      <c r="FP16" s="8"/>
      <c r="FQ16" s="1"/>
      <c r="FR16" s="8"/>
      <c r="FS16" s="1"/>
      <c r="FT16" s="8"/>
      <c r="FU16" s="1"/>
      <c r="FV16" s="8"/>
      <c r="FW16" s="1"/>
      <c r="FX16" s="8"/>
      <c r="FY16" s="1"/>
      <c r="FZ16" s="8"/>
      <c r="GA16" s="1"/>
      <c r="GB16" s="8"/>
      <c r="GC16" s="1"/>
      <c r="GD16" s="8"/>
      <c r="GE16" s="1"/>
      <c r="GF16" s="8"/>
      <c r="GG16" s="1"/>
      <c r="GH16" s="8"/>
      <c r="GI16" s="1"/>
      <c r="GJ16" s="8"/>
      <c r="GK16" s="1"/>
      <c r="GL16" s="8"/>
      <c r="GM16" s="1"/>
      <c r="GN16" s="8"/>
      <c r="GO16" s="1"/>
      <c r="GP16" s="8"/>
      <c r="GQ16" s="1"/>
      <c r="GR16" s="8"/>
      <c r="GS16" s="1"/>
      <c r="GT16" s="8"/>
      <c r="GU16" s="1"/>
      <c r="GV16" s="8"/>
      <c r="GW16" s="1"/>
      <c r="GX16" s="8"/>
      <c r="GY16" s="1"/>
      <c r="GZ16" s="8"/>
      <c r="HA16" s="1"/>
      <c r="HB16" s="8"/>
      <c r="HC16" s="1"/>
      <c r="HD16" s="8"/>
      <c r="HE16" s="1"/>
      <c r="HF16" s="8"/>
      <c r="HG16" s="1"/>
      <c r="HH16" s="8"/>
      <c r="HI16" s="1"/>
      <c r="HJ16" s="8"/>
      <c r="HK16" s="1"/>
      <c r="HL16" s="8"/>
      <c r="HM16" s="1"/>
      <c r="HN16" s="8"/>
      <c r="HO16" s="1"/>
      <c r="HP16" s="8"/>
      <c r="HQ16" s="1"/>
      <c r="HR16" s="8"/>
      <c r="HS16" s="1"/>
      <c r="HT16" s="8"/>
      <c r="HU16" s="1"/>
      <c r="HV16" s="8"/>
      <c r="HW16" s="1"/>
      <c r="HX16" s="8"/>
      <c r="HY16" s="1"/>
      <c r="HZ16" s="8"/>
      <c r="IA16" s="1"/>
      <c r="IB16" s="8"/>
      <c r="IC16" s="1"/>
      <c r="ID16" s="8"/>
      <c r="IE16" s="1"/>
      <c r="IF16" s="8"/>
      <c r="IG16" s="1"/>
      <c r="IH16" s="8"/>
      <c r="II16" s="1"/>
      <c r="IJ16" s="8"/>
      <c r="IK16" s="1"/>
      <c r="IL16" s="8"/>
      <c r="IM16" s="1"/>
      <c r="IN16" s="8"/>
      <c r="IO16" s="1"/>
      <c r="IP16" s="8"/>
      <c r="IQ16" s="1"/>
      <c r="IR16" s="8"/>
      <c r="IS16" s="1"/>
      <c r="IT16" s="8"/>
      <c r="IU16" s="1"/>
      <c r="IV16" s="8"/>
    </row>
    <row r="19" spans="1:14" ht="15" x14ac:dyDescent="0.2">
      <c r="A19" s="99" t="s">
        <v>534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1:14" ht="18.75" x14ac:dyDescent="0.25">
      <c r="A20" s="99" t="s">
        <v>528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1:14" ht="14.25" x14ac:dyDescent="0.2">
      <c r="A21" s="94" t="s">
        <v>529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3" spans="1:14" x14ac:dyDescent="0.2">
      <c r="A23" s="46"/>
      <c r="B23" s="97" t="s">
        <v>144</v>
      </c>
      <c r="C23" s="97"/>
      <c r="D23" s="42"/>
      <c r="E23" s="97" t="s">
        <v>145</v>
      </c>
      <c r="F23" s="97"/>
      <c r="G23" s="42"/>
    </row>
    <row r="24" spans="1:14" x14ac:dyDescent="0.2">
      <c r="A24" s="44" t="s">
        <v>65</v>
      </c>
      <c r="B24" s="42" t="s">
        <v>3</v>
      </c>
      <c r="C24" s="42" t="s">
        <v>4</v>
      </c>
      <c r="D24" s="42"/>
      <c r="E24" s="42" t="s">
        <v>3</v>
      </c>
      <c r="F24" s="42" t="s">
        <v>4</v>
      </c>
      <c r="G24" s="42"/>
    </row>
    <row r="25" spans="1:14" x14ac:dyDescent="0.2">
      <c r="A25" s="59" t="s">
        <v>73</v>
      </c>
      <c r="B25" s="65">
        <f t="shared" ref="B25:C27" si="0">B6*1.15*1000</f>
        <v>5864.9999999999991</v>
      </c>
      <c r="C25" s="65">
        <f t="shared" si="0"/>
        <v>5864.9999999999991</v>
      </c>
      <c r="D25" s="61"/>
      <c r="E25" s="65">
        <f t="shared" ref="E25:F27" si="1">E6*1.15*1000</f>
        <v>3449.9999999999995</v>
      </c>
      <c r="F25" s="65">
        <f t="shared" si="1"/>
        <v>3449.9999999999995</v>
      </c>
      <c r="G25" s="61"/>
    </row>
    <row r="26" spans="1:14" x14ac:dyDescent="0.2">
      <c r="A26" s="59" t="s">
        <v>34</v>
      </c>
      <c r="B26" s="65">
        <f t="shared" si="0"/>
        <v>5750</v>
      </c>
      <c r="C26" s="65">
        <f t="shared" si="0"/>
        <v>5404.9999999999991</v>
      </c>
      <c r="D26" s="61"/>
      <c r="E26" s="65">
        <f t="shared" si="1"/>
        <v>4255</v>
      </c>
      <c r="F26" s="65">
        <f t="shared" si="1"/>
        <v>3909.9999999999995</v>
      </c>
      <c r="G26" s="61"/>
    </row>
    <row r="27" spans="1:14" x14ac:dyDescent="0.2">
      <c r="A27" s="63" t="s">
        <v>202</v>
      </c>
      <c r="B27" s="65">
        <f t="shared" si="0"/>
        <v>6095</v>
      </c>
      <c r="C27" s="65">
        <f t="shared" si="0"/>
        <v>5289.9999999999991</v>
      </c>
      <c r="D27" s="61"/>
      <c r="E27" s="65">
        <f t="shared" si="1"/>
        <v>4369.9999999999991</v>
      </c>
      <c r="F27" s="65">
        <f t="shared" si="1"/>
        <v>3794.9999999999995</v>
      </c>
      <c r="G27" s="61"/>
    </row>
    <row r="29" spans="1:14" ht="14.25" x14ac:dyDescent="0.2">
      <c r="A29" s="101" t="s">
        <v>532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4" x14ac:dyDescent="0.2">
      <c r="A30" s="102" t="s">
        <v>533</v>
      </c>
      <c r="B30" s="102"/>
      <c r="C30" s="102"/>
      <c r="D30" s="102"/>
      <c r="E30" s="85"/>
      <c r="F30" s="85"/>
      <c r="N30"/>
    </row>
  </sheetData>
  <mergeCells count="18">
    <mergeCell ref="K14:L14"/>
    <mergeCell ref="B13:F13"/>
    <mergeCell ref="B14:F14"/>
    <mergeCell ref="G13:J13"/>
    <mergeCell ref="G14:J14"/>
    <mergeCell ref="B4:D4"/>
    <mergeCell ref="E4:G4"/>
    <mergeCell ref="H4:I4"/>
    <mergeCell ref="A1:N1"/>
    <mergeCell ref="A2:N2"/>
    <mergeCell ref="K13:L13"/>
    <mergeCell ref="A29:N29"/>
    <mergeCell ref="A30:D30"/>
    <mergeCell ref="B23:C23"/>
    <mergeCell ref="E23:F23"/>
    <mergeCell ref="A19:N19"/>
    <mergeCell ref="A20:N20"/>
    <mergeCell ref="A21:N21"/>
  </mergeCells>
  <phoneticPr fontId="0" type="noConversion"/>
  <printOptions horizontalCentered="1"/>
  <pageMargins left="0.1" right="0.1" top="0.25" bottom="0.5" header="0" footer="0"/>
  <pageSetup scale="93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zoomScaleNormal="100" workbookViewId="0">
      <selection activeCell="A6" sqref="A6"/>
    </sheetView>
  </sheetViews>
  <sheetFormatPr defaultRowHeight="12.75" x14ac:dyDescent="0.2"/>
  <cols>
    <col min="1" max="1" width="40.85546875" customWidth="1"/>
    <col min="2" max="2" width="8.5703125" bestFit="1" customWidth="1"/>
    <col min="3" max="4" width="6.85546875" bestFit="1" customWidth="1"/>
    <col min="5" max="5" width="10" customWidth="1"/>
    <col min="6" max="7" width="6.85546875" bestFit="1" customWidth="1"/>
    <col min="8" max="8" width="10.85546875" customWidth="1"/>
    <col min="9" max="9" width="6" customWidth="1"/>
    <col min="10" max="10" width="6.85546875" bestFit="1" customWidth="1"/>
    <col min="11" max="11" width="7" customWidth="1"/>
    <col min="12" max="12" width="10.140625" customWidth="1"/>
    <col min="13" max="13" width="11.5703125" bestFit="1" customWidth="1"/>
    <col min="14" max="14" width="7.42578125" bestFit="1" customWidth="1"/>
    <col min="15" max="15" width="9.7109375" bestFit="1" customWidth="1"/>
    <col min="16" max="16" width="17.42578125" bestFit="1" customWidth="1"/>
    <col min="17" max="17" width="24.7109375" bestFit="1" customWidth="1"/>
  </cols>
  <sheetData>
    <row r="1" spans="1:17" ht="18" x14ac:dyDescent="0.3">
      <c r="A1" s="99" t="s">
        <v>511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spans="1:17" x14ac:dyDescent="0.2">
      <c r="A2" s="94" t="s">
        <v>512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7" x14ac:dyDescent="0.2">
      <c r="A3" s="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7" x14ac:dyDescent="0.2">
      <c r="A4" s="15"/>
      <c r="B4" s="53" t="s">
        <v>172</v>
      </c>
      <c r="C4" s="100" t="s">
        <v>154</v>
      </c>
      <c r="D4" s="104"/>
      <c r="E4" s="104"/>
      <c r="F4" s="100" t="s">
        <v>151</v>
      </c>
      <c r="G4" s="98"/>
      <c r="H4" s="100"/>
      <c r="I4" s="100" t="s">
        <v>149</v>
      </c>
      <c r="J4" s="98"/>
      <c r="K4" s="100" t="s">
        <v>172</v>
      </c>
      <c r="L4" s="100"/>
      <c r="M4" s="43" t="s">
        <v>306</v>
      </c>
      <c r="N4" s="43" t="s">
        <v>312</v>
      </c>
      <c r="O4" s="43" t="s">
        <v>310</v>
      </c>
      <c r="P4" s="43" t="s">
        <v>308</v>
      </c>
      <c r="Q4" s="43" t="s">
        <v>315</v>
      </c>
    </row>
    <row r="5" spans="1:17" x14ac:dyDescent="0.2">
      <c r="A5" s="54" t="s">
        <v>65</v>
      </c>
      <c r="B5" s="53" t="s">
        <v>150</v>
      </c>
      <c r="C5" s="53" t="s">
        <v>3</v>
      </c>
      <c r="D5" s="53" t="s">
        <v>4</v>
      </c>
      <c r="E5" s="53" t="s">
        <v>153</v>
      </c>
      <c r="F5" s="53" t="s">
        <v>3</v>
      </c>
      <c r="G5" s="53" t="s">
        <v>4</v>
      </c>
      <c r="H5" s="53" t="s">
        <v>152</v>
      </c>
      <c r="I5" s="53" t="s">
        <v>3</v>
      </c>
      <c r="J5" s="53" t="s">
        <v>4</v>
      </c>
      <c r="K5" s="53" t="s">
        <v>155</v>
      </c>
      <c r="L5" s="56" t="s">
        <v>187</v>
      </c>
      <c r="M5" s="43" t="s">
        <v>307</v>
      </c>
      <c r="N5" s="43" t="s">
        <v>313</v>
      </c>
      <c r="O5" s="43" t="s">
        <v>311</v>
      </c>
      <c r="P5" s="43" t="s">
        <v>309</v>
      </c>
      <c r="Q5" s="43" t="s">
        <v>316</v>
      </c>
    </row>
    <row r="6" spans="1:17" x14ac:dyDescent="0.2">
      <c r="A6" s="17" t="s">
        <v>147</v>
      </c>
      <c r="B6" s="19">
        <v>2E-3</v>
      </c>
      <c r="C6" s="19">
        <v>7.0000000000000001E-3</v>
      </c>
      <c r="D6" s="19">
        <v>6.0000000000000001E-3</v>
      </c>
      <c r="E6" s="16">
        <v>0</v>
      </c>
      <c r="F6" s="19">
        <v>3.2000000000000001E-2</v>
      </c>
      <c r="G6" s="19">
        <v>2.3E-2</v>
      </c>
      <c r="H6" s="16">
        <v>0</v>
      </c>
      <c r="I6" s="19">
        <v>5.7000000000000002E-2</v>
      </c>
      <c r="J6" s="19">
        <v>3.6999999999999998E-2</v>
      </c>
      <c r="K6" s="16">
        <v>8241</v>
      </c>
      <c r="L6" s="20">
        <f>(K6/8760)</f>
        <v>0.9407534246575342</v>
      </c>
      <c r="M6" s="33" t="s">
        <v>232</v>
      </c>
      <c r="N6" s="37" t="s">
        <v>353</v>
      </c>
      <c r="O6" s="37" t="s">
        <v>249</v>
      </c>
      <c r="P6" s="33" t="s">
        <v>357</v>
      </c>
      <c r="Q6" s="84" t="s">
        <v>502</v>
      </c>
    </row>
    <row r="7" spans="1:17" x14ac:dyDescent="0.2">
      <c r="A7" s="17" t="s">
        <v>14</v>
      </c>
      <c r="B7" s="19">
        <v>3.0000000000000001E-3</v>
      </c>
      <c r="C7" s="19">
        <v>1.2E-2</v>
      </c>
      <c r="D7" s="19">
        <v>1.0999999999999999E-2</v>
      </c>
      <c r="E7" s="16">
        <v>0</v>
      </c>
      <c r="F7" s="19">
        <v>3.1E-2</v>
      </c>
      <c r="G7" s="19">
        <v>2.9000000000000001E-2</v>
      </c>
      <c r="H7" s="16">
        <v>0</v>
      </c>
      <c r="I7" s="19">
        <v>5.8999999999999997E-2</v>
      </c>
      <c r="J7" s="19">
        <v>4.2999999999999997E-2</v>
      </c>
      <c r="K7" s="16">
        <v>8673</v>
      </c>
      <c r="L7" s="20">
        <f t="shared" ref="L7:L15" si="0">(K7/8760)</f>
        <v>0.9900684931506849</v>
      </c>
      <c r="M7" s="33" t="s">
        <v>359</v>
      </c>
      <c r="N7" s="37" t="s">
        <v>353</v>
      </c>
      <c r="O7" s="37" t="s">
        <v>249</v>
      </c>
      <c r="P7" s="33" t="s">
        <v>352</v>
      </c>
      <c r="Q7" s="84" t="s">
        <v>501</v>
      </c>
    </row>
    <row r="8" spans="1:17" x14ac:dyDescent="0.2">
      <c r="A8" s="17" t="s">
        <v>16</v>
      </c>
      <c r="B8" s="19">
        <v>2E-3</v>
      </c>
      <c r="C8" s="19">
        <v>7.0000000000000001E-3</v>
      </c>
      <c r="D8" s="19">
        <v>6.0000000000000001E-3</v>
      </c>
      <c r="E8" s="16">
        <v>0</v>
      </c>
      <c r="F8" s="19">
        <v>2.4E-2</v>
      </c>
      <c r="G8" s="19">
        <v>0.02</v>
      </c>
      <c r="H8" s="16">
        <v>0</v>
      </c>
      <c r="I8" s="19">
        <v>3.7999999999999999E-2</v>
      </c>
      <c r="J8" s="19">
        <v>2.4E-2</v>
      </c>
      <c r="K8" s="16">
        <v>8326</v>
      </c>
      <c r="L8" s="20">
        <f t="shared" si="0"/>
        <v>0.95045662100456618</v>
      </c>
      <c r="M8" s="33" t="s">
        <v>247</v>
      </c>
      <c r="N8" s="37" t="s">
        <v>353</v>
      </c>
      <c r="O8" s="37" t="s">
        <v>249</v>
      </c>
      <c r="P8" s="33" t="s">
        <v>354</v>
      </c>
      <c r="Q8" s="84" t="s">
        <v>502</v>
      </c>
    </row>
    <row r="9" spans="1:17" x14ac:dyDescent="0.2">
      <c r="A9" s="17" t="s">
        <v>27</v>
      </c>
      <c r="B9" s="19">
        <v>2E-3</v>
      </c>
      <c r="C9" s="7">
        <v>1.2E-2</v>
      </c>
      <c r="D9" s="7">
        <v>1.2E-2</v>
      </c>
      <c r="E9" s="16">
        <v>0</v>
      </c>
      <c r="F9" s="19">
        <v>4.2000000000000003E-2</v>
      </c>
      <c r="G9" s="19">
        <v>3.4000000000000002E-2</v>
      </c>
      <c r="H9" s="16">
        <v>0</v>
      </c>
      <c r="I9" s="19">
        <v>8.8999999999999996E-2</v>
      </c>
      <c r="J9" s="19">
        <v>5.8000000000000003E-2</v>
      </c>
      <c r="K9" s="16">
        <v>8684</v>
      </c>
      <c r="L9" s="20">
        <f t="shared" si="0"/>
        <v>0.99132420091324203</v>
      </c>
      <c r="M9" s="33" t="s">
        <v>247</v>
      </c>
      <c r="N9" s="37" t="s">
        <v>353</v>
      </c>
      <c r="O9" s="37" t="s">
        <v>355</v>
      </c>
      <c r="P9" s="33" t="s">
        <v>352</v>
      </c>
      <c r="Q9" s="84" t="s">
        <v>502</v>
      </c>
    </row>
    <row r="10" spans="1:17" x14ac:dyDescent="0.2">
      <c r="A10" s="17" t="s">
        <v>271</v>
      </c>
      <c r="B10" s="19">
        <v>3.0000000000000001E-3</v>
      </c>
      <c r="C10" s="19">
        <v>1.4999999999999999E-2</v>
      </c>
      <c r="D10" s="19">
        <v>1.2999999999999999E-2</v>
      </c>
      <c r="E10" s="16">
        <v>0</v>
      </c>
      <c r="F10" s="19">
        <v>4.7E-2</v>
      </c>
      <c r="G10" s="19">
        <v>2.5999999999999999E-2</v>
      </c>
      <c r="H10" s="16">
        <v>0</v>
      </c>
      <c r="I10" s="19">
        <v>0.10100000000000001</v>
      </c>
      <c r="J10" s="19">
        <v>5.1999999999999998E-2</v>
      </c>
      <c r="K10" s="16">
        <v>8630</v>
      </c>
      <c r="L10" s="20">
        <f t="shared" si="0"/>
        <v>0.98515981735159819</v>
      </c>
      <c r="M10" s="33" t="s">
        <v>247</v>
      </c>
      <c r="N10" s="37" t="s">
        <v>248</v>
      </c>
      <c r="O10" s="37" t="s">
        <v>249</v>
      </c>
      <c r="P10" s="33" t="s">
        <v>352</v>
      </c>
      <c r="Q10" s="84" t="s">
        <v>501</v>
      </c>
    </row>
    <row r="11" spans="1:17" x14ac:dyDescent="0.2">
      <c r="A11" s="17" t="s">
        <v>148</v>
      </c>
      <c r="B11" s="19">
        <v>3.0000000000000001E-3</v>
      </c>
      <c r="C11" s="19">
        <v>1.7999999999999999E-2</v>
      </c>
      <c r="D11" s="19">
        <v>1.4E-2</v>
      </c>
      <c r="E11" s="16">
        <v>0</v>
      </c>
      <c r="F11" s="19">
        <v>6.7000000000000004E-2</v>
      </c>
      <c r="G11" s="19">
        <v>6.4000000000000001E-2</v>
      </c>
      <c r="H11" s="16">
        <v>0</v>
      </c>
      <c r="I11" s="19">
        <v>0.13900000000000001</v>
      </c>
      <c r="J11" s="19">
        <v>9.0999999999999998E-2</v>
      </c>
      <c r="K11" s="16">
        <v>8553</v>
      </c>
      <c r="L11" s="20">
        <f t="shared" si="0"/>
        <v>0.97636986301369866</v>
      </c>
      <c r="M11" s="33" t="s">
        <v>250</v>
      </c>
      <c r="N11" s="37" t="s">
        <v>356</v>
      </c>
      <c r="O11" s="37" t="s">
        <v>249</v>
      </c>
      <c r="P11" s="33" t="s">
        <v>352</v>
      </c>
      <c r="Q11" s="84" t="s">
        <v>502</v>
      </c>
    </row>
    <row r="12" spans="1:17" x14ac:dyDescent="0.2">
      <c r="A12" s="17" t="s">
        <v>275</v>
      </c>
      <c r="B12" s="19">
        <v>2E-3</v>
      </c>
      <c r="C12" s="19">
        <v>8.0000000000000002E-3</v>
      </c>
      <c r="D12" s="19">
        <v>7.0000000000000001E-3</v>
      </c>
      <c r="E12" s="16">
        <v>0</v>
      </c>
      <c r="F12" s="19">
        <v>1.7000000000000001E-2</v>
      </c>
      <c r="G12" s="19">
        <v>1.4999999999999999E-2</v>
      </c>
      <c r="H12" s="16">
        <v>0</v>
      </c>
      <c r="I12" s="19">
        <v>1.9E-2</v>
      </c>
      <c r="J12" s="19">
        <v>1.7000000000000001E-2</v>
      </c>
      <c r="K12" s="16">
        <v>8603</v>
      </c>
      <c r="L12" s="20">
        <f t="shared" si="0"/>
        <v>0.98207762557077627</v>
      </c>
      <c r="M12" s="33" t="s">
        <v>250</v>
      </c>
      <c r="N12" s="37" t="s">
        <v>360</v>
      </c>
      <c r="O12" s="37" t="s">
        <v>249</v>
      </c>
      <c r="P12" s="33" t="s">
        <v>354</v>
      </c>
      <c r="Q12" s="84" t="s">
        <v>499</v>
      </c>
    </row>
    <row r="13" spans="1:17" x14ac:dyDescent="0.2">
      <c r="A13" s="17" t="s">
        <v>276</v>
      </c>
      <c r="B13" s="19">
        <v>3.0000000000000001E-3</v>
      </c>
      <c r="C13" s="19">
        <v>1.4999999999999999E-2</v>
      </c>
      <c r="D13" s="19">
        <v>1.2999999999999999E-2</v>
      </c>
      <c r="E13" s="16">
        <v>0</v>
      </c>
      <c r="F13" s="19">
        <v>2.5999999999999999E-2</v>
      </c>
      <c r="G13" s="19">
        <v>2.5999999999999999E-2</v>
      </c>
      <c r="H13" s="16">
        <v>0</v>
      </c>
      <c r="I13" s="19">
        <v>0.05</v>
      </c>
      <c r="J13" s="19">
        <v>4.4999999999999998E-2</v>
      </c>
      <c r="K13" s="16">
        <v>8623</v>
      </c>
      <c r="L13" s="20">
        <f t="shared" si="0"/>
        <v>0.98436073059360729</v>
      </c>
      <c r="M13" s="33" t="s">
        <v>250</v>
      </c>
      <c r="N13" s="37" t="s">
        <v>360</v>
      </c>
      <c r="O13" s="37" t="s">
        <v>249</v>
      </c>
      <c r="P13" s="33" t="s">
        <v>352</v>
      </c>
      <c r="Q13" s="84" t="s">
        <v>250</v>
      </c>
    </row>
    <row r="14" spans="1:17" x14ac:dyDescent="0.2">
      <c r="A14" s="17" t="s">
        <v>204</v>
      </c>
      <c r="B14" s="19">
        <v>2E-3</v>
      </c>
      <c r="C14" s="19">
        <v>0.02</v>
      </c>
      <c r="D14" s="19">
        <v>7.0000000000000001E-3</v>
      </c>
      <c r="E14" s="16">
        <v>0</v>
      </c>
      <c r="F14" s="19">
        <v>5.2999999999999999E-2</v>
      </c>
      <c r="G14" s="19">
        <v>3.5000000000000003E-2</v>
      </c>
      <c r="H14" s="16">
        <v>0</v>
      </c>
      <c r="I14" s="19">
        <v>6.5000000000000002E-2</v>
      </c>
      <c r="J14" s="19">
        <v>6.2E-2</v>
      </c>
      <c r="K14" s="16">
        <v>7700</v>
      </c>
      <c r="L14" s="20">
        <f t="shared" si="0"/>
        <v>0.87899543378995437</v>
      </c>
      <c r="M14" s="33" t="s">
        <v>250</v>
      </c>
      <c r="N14" s="37" t="s">
        <v>358</v>
      </c>
      <c r="O14" s="37" t="s">
        <v>249</v>
      </c>
      <c r="P14" s="33" t="s">
        <v>351</v>
      </c>
      <c r="Q14" s="84" t="s">
        <v>500</v>
      </c>
    </row>
    <row r="15" spans="1:17" x14ac:dyDescent="0.2">
      <c r="A15" s="17" t="s">
        <v>128</v>
      </c>
      <c r="B15" s="19">
        <v>3.0000000000000001E-3</v>
      </c>
      <c r="C15" s="19">
        <v>1.2999999999999999E-2</v>
      </c>
      <c r="D15" s="19">
        <v>1.2E-2</v>
      </c>
      <c r="E15" s="16">
        <v>0</v>
      </c>
      <c r="F15" s="19">
        <v>2.5999999999999999E-2</v>
      </c>
      <c r="G15" s="19">
        <v>2.5999999999999999E-2</v>
      </c>
      <c r="H15" s="16">
        <v>0</v>
      </c>
      <c r="I15" s="19">
        <v>6.4000000000000001E-2</v>
      </c>
      <c r="J15" s="19">
        <v>3.7999999999999999E-2</v>
      </c>
      <c r="K15" s="16">
        <v>8685</v>
      </c>
      <c r="L15" s="20">
        <f t="shared" si="0"/>
        <v>0.99143835616438358</v>
      </c>
      <c r="M15" s="33" t="s">
        <v>247</v>
      </c>
      <c r="N15" s="37" t="s">
        <v>248</v>
      </c>
      <c r="O15" s="37" t="s">
        <v>249</v>
      </c>
      <c r="P15" s="33" t="s">
        <v>351</v>
      </c>
      <c r="Q15" s="84" t="s">
        <v>501</v>
      </c>
    </row>
    <row r="16" spans="1:17" x14ac:dyDescent="0.2">
      <c r="A16" s="17" t="s">
        <v>277</v>
      </c>
      <c r="B16" s="19">
        <v>2E-3</v>
      </c>
      <c r="C16" s="19">
        <v>5.0000000000000001E-3</v>
      </c>
      <c r="D16" s="19">
        <v>5.0000000000000001E-3</v>
      </c>
      <c r="E16" s="16">
        <v>0</v>
      </c>
      <c r="F16" s="19">
        <v>2.1000000000000001E-2</v>
      </c>
      <c r="G16" s="19">
        <v>1.7999999999999999E-2</v>
      </c>
      <c r="H16" s="16">
        <v>0</v>
      </c>
      <c r="I16" s="19">
        <v>3.2000000000000001E-2</v>
      </c>
      <c r="J16" s="19">
        <v>2.9000000000000001E-2</v>
      </c>
      <c r="K16" s="16">
        <v>1816</v>
      </c>
      <c r="L16" s="20">
        <f>(K16/2088)</f>
        <v>0.86973180076628354</v>
      </c>
      <c r="M16" s="33" t="s">
        <v>250</v>
      </c>
      <c r="N16" s="37" t="s">
        <v>358</v>
      </c>
      <c r="O16" s="37" t="s">
        <v>249</v>
      </c>
      <c r="P16" s="33" t="s">
        <v>361</v>
      </c>
      <c r="Q16" s="84" t="s">
        <v>500</v>
      </c>
    </row>
    <row r="17" spans="1:17" x14ac:dyDescent="0.2">
      <c r="A17" s="17"/>
      <c r="B17" s="19"/>
      <c r="C17" s="19"/>
      <c r="D17" s="19"/>
      <c r="E17" s="16"/>
      <c r="F17" s="19"/>
      <c r="G17" s="19"/>
      <c r="H17" s="16"/>
      <c r="I17" s="19"/>
      <c r="J17" s="19"/>
      <c r="K17" s="16"/>
      <c r="L17" s="20"/>
    </row>
    <row r="18" spans="1:17" x14ac:dyDescent="0.2">
      <c r="A18" s="15" t="s">
        <v>245</v>
      </c>
      <c r="B18" s="19">
        <f>AVERAGE(B6:B16)</f>
        <v>2.454545454545454E-3</v>
      </c>
      <c r="C18" s="19"/>
      <c r="D18" s="19"/>
      <c r="E18" s="23">
        <v>0</v>
      </c>
      <c r="F18" s="19"/>
      <c r="G18" s="19"/>
      <c r="H18" s="23">
        <v>0</v>
      </c>
      <c r="I18" s="19"/>
      <c r="J18" s="19"/>
      <c r="K18" s="16">
        <f>AVERAGE(K6:K16)</f>
        <v>7866.727272727273</v>
      </c>
      <c r="L18" s="21">
        <f>SUM(K6:K16)/89688</f>
        <v>0.9648336455267148</v>
      </c>
    </row>
    <row r="19" spans="1:17" x14ac:dyDescent="0.2">
      <c r="A19" s="15" t="s">
        <v>246</v>
      </c>
      <c r="B19" s="19"/>
      <c r="C19" s="7">
        <f>MAX(C6:D16)</f>
        <v>0.02</v>
      </c>
      <c r="D19" s="19">
        <v>1.7999999999999999E-2</v>
      </c>
      <c r="E19" s="23"/>
      <c r="F19" s="7">
        <f>MAX(F6:G16)</f>
        <v>6.7000000000000004E-2</v>
      </c>
      <c r="G19" s="19">
        <v>6.4000000000000001E-2</v>
      </c>
      <c r="H19" s="23"/>
      <c r="I19" s="7">
        <f>MAX(I6:J16)</f>
        <v>0.13900000000000001</v>
      </c>
      <c r="J19" s="19">
        <v>0.10100000000000001</v>
      </c>
      <c r="K19" s="16"/>
      <c r="L19" s="21"/>
    </row>
    <row r="21" spans="1:17" x14ac:dyDescent="0.2">
      <c r="A21" s="17" t="s">
        <v>212</v>
      </c>
    </row>
    <row r="23" spans="1:17" x14ac:dyDescent="0.2">
      <c r="A23" s="40" t="s">
        <v>261</v>
      </c>
      <c r="B23" s="95" t="s">
        <v>262</v>
      </c>
      <c r="C23" s="95"/>
      <c r="D23" s="95"/>
      <c r="E23" s="95"/>
      <c r="F23" s="95"/>
      <c r="G23" s="95" t="s">
        <v>263</v>
      </c>
      <c r="H23" s="95"/>
      <c r="I23" s="95"/>
      <c r="J23" s="95"/>
      <c r="K23" s="95" t="s">
        <v>264</v>
      </c>
      <c r="L23" s="95"/>
    </row>
    <row r="24" spans="1:17" x14ac:dyDescent="0.2">
      <c r="A24" s="37" t="s">
        <v>328</v>
      </c>
      <c r="B24" s="96" t="s">
        <v>266</v>
      </c>
      <c r="C24" s="96"/>
      <c r="D24" s="96"/>
      <c r="E24" s="96"/>
      <c r="F24" s="96"/>
      <c r="G24" s="96" t="s">
        <v>329</v>
      </c>
      <c r="H24" s="96"/>
      <c r="I24" s="96"/>
      <c r="J24" s="96"/>
      <c r="K24" s="96" t="s">
        <v>268</v>
      </c>
      <c r="L24" s="96"/>
    </row>
    <row r="25" spans="1:17" x14ac:dyDescent="0.2">
      <c r="A25" s="37" t="s">
        <v>330</v>
      </c>
      <c r="B25" s="96" t="s">
        <v>266</v>
      </c>
      <c r="C25" s="96"/>
      <c r="D25" s="96"/>
      <c r="E25" s="96"/>
      <c r="F25" s="96"/>
      <c r="G25" s="96" t="s">
        <v>329</v>
      </c>
      <c r="H25" s="96"/>
      <c r="I25" s="96"/>
      <c r="J25" s="96"/>
      <c r="K25" s="96" t="s">
        <v>268</v>
      </c>
      <c r="L25" s="96"/>
    </row>
    <row r="27" spans="1:17" x14ac:dyDescent="0.2">
      <c r="A27" s="1" t="s">
        <v>469</v>
      </c>
      <c r="B27" s="8">
        <f>COUNTA(A6:A16)</f>
        <v>11</v>
      </c>
      <c r="C27" s="7"/>
      <c r="D27" s="19"/>
      <c r="E27" s="23"/>
      <c r="F27" s="7"/>
      <c r="G27" s="19"/>
      <c r="H27" s="23"/>
      <c r="I27" s="7"/>
      <c r="J27" s="19"/>
      <c r="K27" s="16"/>
      <c r="L27" s="21"/>
    </row>
    <row r="30" spans="1:17" ht="15" x14ac:dyDescent="0.2">
      <c r="A30" s="99" t="s">
        <v>534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1:17" ht="19.5" x14ac:dyDescent="0.3">
      <c r="A31" s="99" t="s">
        <v>530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17" ht="14.25" x14ac:dyDescent="0.2">
      <c r="A32" s="94" t="s">
        <v>531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</row>
    <row r="34" spans="1:13" x14ac:dyDescent="0.2">
      <c r="A34" s="15"/>
      <c r="B34" s="53" t="s">
        <v>172</v>
      </c>
      <c r="C34" s="100" t="s">
        <v>154</v>
      </c>
      <c r="D34" s="100"/>
      <c r="F34" s="100" t="s">
        <v>151</v>
      </c>
      <c r="G34" s="100"/>
      <c r="H34" s="53"/>
    </row>
    <row r="35" spans="1:13" x14ac:dyDescent="0.2">
      <c r="A35" s="54" t="s">
        <v>65</v>
      </c>
      <c r="B35" s="53" t="s">
        <v>150</v>
      </c>
      <c r="C35" s="53" t="s">
        <v>3</v>
      </c>
      <c r="D35" s="53" t="s">
        <v>4</v>
      </c>
      <c r="F35" s="53" t="s">
        <v>3</v>
      </c>
      <c r="G35" s="53" t="s">
        <v>4</v>
      </c>
      <c r="H35" s="53"/>
    </row>
    <row r="36" spans="1:13" x14ac:dyDescent="0.2">
      <c r="A36" s="17" t="s">
        <v>147</v>
      </c>
      <c r="B36" s="58">
        <f>B6*2632</f>
        <v>5.2640000000000002</v>
      </c>
      <c r="C36" s="58">
        <f t="shared" ref="C36:D46" si="1">C6*2632</f>
        <v>18.423999999999999</v>
      </c>
      <c r="D36" s="58">
        <f t="shared" si="1"/>
        <v>15.792</v>
      </c>
      <c r="F36" s="58">
        <f t="shared" ref="F36:G46" si="2">F6*2632</f>
        <v>84.224000000000004</v>
      </c>
      <c r="G36" s="58">
        <f t="shared" si="2"/>
        <v>60.536000000000001</v>
      </c>
      <c r="H36" s="16"/>
    </row>
    <row r="37" spans="1:13" x14ac:dyDescent="0.2">
      <c r="A37" s="17" t="s">
        <v>14</v>
      </c>
      <c r="B37" s="58">
        <f t="shared" ref="B37:B46" si="3">B7*2632</f>
        <v>7.8959999999999999</v>
      </c>
      <c r="C37" s="58">
        <f t="shared" si="1"/>
        <v>31.584</v>
      </c>
      <c r="D37" s="58">
        <f t="shared" si="1"/>
        <v>28.951999999999998</v>
      </c>
      <c r="F37" s="58">
        <f t="shared" si="2"/>
        <v>81.591999999999999</v>
      </c>
      <c r="G37" s="58">
        <f t="shared" si="2"/>
        <v>76.328000000000003</v>
      </c>
      <c r="H37" s="16"/>
    </row>
    <row r="38" spans="1:13" x14ac:dyDescent="0.2">
      <c r="A38" s="17" t="s">
        <v>16</v>
      </c>
      <c r="B38" s="58">
        <f t="shared" si="3"/>
        <v>5.2640000000000002</v>
      </c>
      <c r="C38" s="58">
        <f t="shared" si="1"/>
        <v>18.423999999999999</v>
      </c>
      <c r="D38" s="58">
        <f t="shared" si="1"/>
        <v>15.792</v>
      </c>
      <c r="F38" s="58">
        <f t="shared" si="2"/>
        <v>63.167999999999999</v>
      </c>
      <c r="G38" s="58">
        <f t="shared" si="2"/>
        <v>52.64</v>
      </c>
      <c r="H38" s="16"/>
    </row>
    <row r="39" spans="1:13" x14ac:dyDescent="0.2">
      <c r="A39" s="17" t="s">
        <v>27</v>
      </c>
      <c r="B39" s="58">
        <f t="shared" si="3"/>
        <v>5.2640000000000002</v>
      </c>
      <c r="C39" s="58">
        <f t="shared" si="1"/>
        <v>31.584</v>
      </c>
      <c r="D39" s="58">
        <f t="shared" si="1"/>
        <v>31.584</v>
      </c>
      <c r="F39" s="23">
        <f t="shared" si="2"/>
        <v>110.54400000000001</v>
      </c>
      <c r="G39" s="58">
        <f t="shared" si="2"/>
        <v>89.488</v>
      </c>
      <c r="H39" s="16"/>
    </row>
    <row r="40" spans="1:13" x14ac:dyDescent="0.2">
      <c r="A40" s="17" t="s">
        <v>271</v>
      </c>
      <c r="B40" s="58">
        <f t="shared" si="3"/>
        <v>7.8959999999999999</v>
      </c>
      <c r="C40" s="58">
        <f t="shared" si="1"/>
        <v>39.479999999999997</v>
      </c>
      <c r="D40" s="58">
        <f t="shared" si="1"/>
        <v>34.216000000000001</v>
      </c>
      <c r="F40" s="23">
        <f t="shared" si="2"/>
        <v>123.70399999999999</v>
      </c>
      <c r="G40" s="58">
        <f t="shared" si="2"/>
        <v>68.432000000000002</v>
      </c>
      <c r="H40" s="16"/>
    </row>
    <row r="41" spans="1:13" x14ac:dyDescent="0.2">
      <c r="A41" s="17" t="s">
        <v>148</v>
      </c>
      <c r="B41" s="58">
        <f t="shared" si="3"/>
        <v>7.8959999999999999</v>
      </c>
      <c r="C41" s="58">
        <f t="shared" si="1"/>
        <v>47.375999999999998</v>
      </c>
      <c r="D41" s="58">
        <f t="shared" si="1"/>
        <v>36.847999999999999</v>
      </c>
      <c r="F41" s="23">
        <f t="shared" si="2"/>
        <v>176.34400000000002</v>
      </c>
      <c r="G41" s="23">
        <f t="shared" si="2"/>
        <v>168.44800000000001</v>
      </c>
      <c r="H41" s="16"/>
    </row>
    <row r="42" spans="1:13" x14ac:dyDescent="0.2">
      <c r="A42" s="17" t="s">
        <v>275</v>
      </c>
      <c r="B42" s="58">
        <f t="shared" si="3"/>
        <v>5.2640000000000002</v>
      </c>
      <c r="C42" s="58">
        <f t="shared" si="1"/>
        <v>21.056000000000001</v>
      </c>
      <c r="D42" s="58">
        <f t="shared" si="1"/>
        <v>18.423999999999999</v>
      </c>
      <c r="F42" s="58">
        <f t="shared" si="2"/>
        <v>44.744</v>
      </c>
      <c r="G42" s="58">
        <f t="shared" si="2"/>
        <v>39.479999999999997</v>
      </c>
      <c r="H42" s="16"/>
    </row>
    <row r="43" spans="1:13" x14ac:dyDescent="0.2">
      <c r="A43" s="17" t="s">
        <v>276</v>
      </c>
      <c r="B43" s="58">
        <f t="shared" si="3"/>
        <v>7.8959999999999999</v>
      </c>
      <c r="C43" s="58">
        <f t="shared" si="1"/>
        <v>39.479999999999997</v>
      </c>
      <c r="D43" s="58">
        <f t="shared" si="1"/>
        <v>34.216000000000001</v>
      </c>
      <c r="F43" s="58">
        <f t="shared" si="2"/>
        <v>68.432000000000002</v>
      </c>
      <c r="G43" s="58">
        <f t="shared" si="2"/>
        <v>68.432000000000002</v>
      </c>
      <c r="H43" s="16"/>
    </row>
    <row r="44" spans="1:13" x14ac:dyDescent="0.2">
      <c r="A44" s="17" t="s">
        <v>204</v>
      </c>
      <c r="B44" s="58">
        <f t="shared" si="3"/>
        <v>5.2640000000000002</v>
      </c>
      <c r="C44" s="58">
        <f t="shared" si="1"/>
        <v>52.64</v>
      </c>
      <c r="D44" s="58">
        <f t="shared" si="1"/>
        <v>18.423999999999999</v>
      </c>
      <c r="F44" s="23">
        <f t="shared" si="2"/>
        <v>139.49600000000001</v>
      </c>
      <c r="G44" s="58">
        <f t="shared" si="2"/>
        <v>92.12</v>
      </c>
      <c r="H44" s="16"/>
    </row>
    <row r="45" spans="1:13" x14ac:dyDescent="0.2">
      <c r="A45" s="17" t="s">
        <v>128</v>
      </c>
      <c r="B45" s="58">
        <f t="shared" si="3"/>
        <v>7.8959999999999999</v>
      </c>
      <c r="C45" s="58">
        <f t="shared" si="1"/>
        <v>34.216000000000001</v>
      </c>
      <c r="D45" s="58">
        <f t="shared" si="1"/>
        <v>31.584</v>
      </c>
      <c r="F45" s="58">
        <f t="shared" si="2"/>
        <v>68.432000000000002</v>
      </c>
      <c r="G45" s="58">
        <f t="shared" si="2"/>
        <v>68.432000000000002</v>
      </c>
      <c r="H45" s="16"/>
    </row>
    <row r="46" spans="1:13" x14ac:dyDescent="0.2">
      <c r="A46" s="17" t="s">
        <v>69</v>
      </c>
      <c r="B46" s="58">
        <f t="shared" si="3"/>
        <v>5.2640000000000002</v>
      </c>
      <c r="C46" s="58">
        <f t="shared" si="1"/>
        <v>13.16</v>
      </c>
      <c r="D46" s="58">
        <f t="shared" si="1"/>
        <v>13.16</v>
      </c>
      <c r="F46" s="58">
        <f t="shared" si="2"/>
        <v>55.272000000000006</v>
      </c>
      <c r="G46" s="58">
        <f t="shared" si="2"/>
        <v>47.375999999999998</v>
      </c>
      <c r="H46" s="16"/>
    </row>
    <row r="48" spans="1:13" ht="15.75" x14ac:dyDescent="0.3">
      <c r="A48" s="101" t="s">
        <v>535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6" x14ac:dyDescent="0.2">
      <c r="A49" s="102" t="s">
        <v>533</v>
      </c>
      <c r="B49" s="102"/>
      <c r="C49" s="102"/>
      <c r="D49" s="102"/>
      <c r="E49" s="85"/>
      <c r="F49" s="85"/>
    </row>
  </sheetData>
  <mergeCells count="22">
    <mergeCell ref="K4:L4"/>
    <mergeCell ref="B23:F23"/>
    <mergeCell ref="A30:Q30"/>
    <mergeCell ref="A32:Q32"/>
    <mergeCell ref="A1:Q1"/>
    <mergeCell ref="A2:Q2"/>
    <mergeCell ref="B25:F25"/>
    <mergeCell ref="G25:J25"/>
    <mergeCell ref="K25:L25"/>
    <mergeCell ref="C4:E4"/>
    <mergeCell ref="F4:H4"/>
    <mergeCell ref="I4:J4"/>
    <mergeCell ref="G23:J23"/>
    <mergeCell ref="K23:L23"/>
    <mergeCell ref="A49:D49"/>
    <mergeCell ref="A48:M48"/>
    <mergeCell ref="B24:F24"/>
    <mergeCell ref="G24:J24"/>
    <mergeCell ref="K24:L24"/>
    <mergeCell ref="C34:D34"/>
    <mergeCell ref="A31:Q31"/>
    <mergeCell ref="F34:G34"/>
  </mergeCells>
  <phoneticPr fontId="0" type="noConversion"/>
  <printOptions horizontalCentered="1"/>
  <pageMargins left="0.1" right="0.1" top="0.25" bottom="0.5" header="0" footer="0"/>
  <pageSetup scale="69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16" zoomScaleNormal="100" workbookViewId="0">
      <selection activeCell="A37" sqref="A37"/>
    </sheetView>
  </sheetViews>
  <sheetFormatPr defaultRowHeight="12.75" x14ac:dyDescent="0.2"/>
  <cols>
    <col min="1" max="1" width="41.28515625" bestFit="1" customWidth="1"/>
    <col min="2" max="2" width="8.5703125" bestFit="1" customWidth="1"/>
    <col min="3" max="3" width="6.85546875" bestFit="1" customWidth="1"/>
    <col min="4" max="4" width="7" bestFit="1" customWidth="1"/>
    <col min="5" max="5" width="7.5703125" bestFit="1" customWidth="1"/>
    <col min="6" max="6" width="9.85546875" bestFit="1" customWidth="1"/>
    <col min="7" max="7" width="11.5703125" bestFit="1" customWidth="1"/>
    <col min="8" max="8" width="7.42578125" bestFit="1" customWidth="1"/>
    <col min="9" max="9" width="9.7109375" bestFit="1" customWidth="1"/>
    <col min="10" max="10" width="17.42578125" bestFit="1" customWidth="1"/>
    <col min="11" max="11" width="27.28515625" bestFit="1" customWidth="1"/>
    <col min="12" max="12" width="9.28515625" customWidth="1"/>
  </cols>
  <sheetData>
    <row r="1" spans="1:12" ht="18" x14ac:dyDescent="0.3">
      <c r="A1" s="99" t="s">
        <v>513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x14ac:dyDescent="0.2">
      <c r="A2" s="94" t="s">
        <v>514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4" spans="1:12" x14ac:dyDescent="0.2">
      <c r="A4" s="49"/>
      <c r="B4" s="53" t="s">
        <v>172</v>
      </c>
      <c r="C4" s="100" t="s">
        <v>149</v>
      </c>
      <c r="D4" s="100"/>
      <c r="E4" s="100" t="s">
        <v>172</v>
      </c>
      <c r="F4" s="100"/>
      <c r="G4" s="43" t="s">
        <v>306</v>
      </c>
      <c r="H4" s="43" t="s">
        <v>312</v>
      </c>
      <c r="I4" s="43" t="s">
        <v>310</v>
      </c>
      <c r="J4" s="43" t="s">
        <v>308</v>
      </c>
      <c r="K4" s="43" t="s">
        <v>315</v>
      </c>
      <c r="L4" s="15"/>
    </row>
    <row r="5" spans="1:12" x14ac:dyDescent="0.2">
      <c r="A5" s="54" t="s">
        <v>65</v>
      </c>
      <c r="B5" s="53" t="s">
        <v>5</v>
      </c>
      <c r="C5" s="53" t="s">
        <v>173</v>
      </c>
      <c r="D5" s="53" t="s">
        <v>174</v>
      </c>
      <c r="E5" s="53" t="s">
        <v>178</v>
      </c>
      <c r="F5" s="56" t="s">
        <v>187</v>
      </c>
      <c r="G5" s="43" t="s">
        <v>307</v>
      </c>
      <c r="H5" s="43" t="s">
        <v>313</v>
      </c>
      <c r="I5" s="43" t="s">
        <v>311</v>
      </c>
      <c r="J5" s="43" t="s">
        <v>309</v>
      </c>
      <c r="K5" s="43" t="s">
        <v>316</v>
      </c>
      <c r="L5" s="15"/>
    </row>
    <row r="6" spans="1:12" x14ac:dyDescent="0.2">
      <c r="A6" s="17" t="s">
        <v>83</v>
      </c>
      <c r="B6" s="19">
        <v>4.0000000000000001E-3</v>
      </c>
      <c r="C6" s="19">
        <v>3.6999999999999998E-2</v>
      </c>
      <c r="D6" s="19">
        <v>3.1E-2</v>
      </c>
      <c r="E6" s="16">
        <v>8296</v>
      </c>
      <c r="F6" s="20">
        <f>(E6/8760)</f>
        <v>0.94703196347031959</v>
      </c>
      <c r="G6" s="33" t="s">
        <v>232</v>
      </c>
      <c r="H6" s="37" t="s">
        <v>353</v>
      </c>
      <c r="I6" s="37" t="s">
        <v>249</v>
      </c>
      <c r="J6" s="33" t="s">
        <v>357</v>
      </c>
      <c r="K6" s="84" t="s">
        <v>502</v>
      </c>
      <c r="L6" s="15"/>
    </row>
    <row r="7" spans="1:12" x14ac:dyDescent="0.2">
      <c r="A7" s="17" t="s">
        <v>147</v>
      </c>
      <c r="B7" s="19">
        <v>3.0000000000000001E-3</v>
      </c>
      <c r="C7" s="19">
        <v>2.5999999999999999E-2</v>
      </c>
      <c r="D7" s="19">
        <v>2.4E-2</v>
      </c>
      <c r="E7" s="16">
        <v>7337</v>
      </c>
      <c r="F7" s="20">
        <f t="shared" ref="F7:F13" si="0">(E7/8760)</f>
        <v>0.83755707762557075</v>
      </c>
      <c r="G7" s="33" t="s">
        <v>232</v>
      </c>
      <c r="H7" s="37" t="s">
        <v>353</v>
      </c>
      <c r="I7" s="37" t="s">
        <v>249</v>
      </c>
      <c r="J7" s="33" t="s">
        <v>357</v>
      </c>
      <c r="K7" s="84" t="s">
        <v>502</v>
      </c>
      <c r="L7" s="15"/>
    </row>
    <row r="8" spans="1:12" x14ac:dyDescent="0.2">
      <c r="A8" s="17" t="s">
        <v>14</v>
      </c>
      <c r="B8" s="19">
        <v>1.0999999999999999E-2</v>
      </c>
      <c r="C8" s="19">
        <v>7.0000000000000007E-2</v>
      </c>
      <c r="D8" s="19">
        <v>5.7000000000000002E-2</v>
      </c>
      <c r="E8" s="16">
        <v>8007</v>
      </c>
      <c r="F8" s="20">
        <f t="shared" si="0"/>
        <v>0.91404109589041094</v>
      </c>
      <c r="G8" s="33" t="s">
        <v>247</v>
      </c>
      <c r="H8" s="37" t="s">
        <v>353</v>
      </c>
      <c r="I8" s="37" t="s">
        <v>251</v>
      </c>
      <c r="J8" s="33" t="s">
        <v>352</v>
      </c>
      <c r="K8" s="84" t="s">
        <v>314</v>
      </c>
      <c r="L8" s="15"/>
    </row>
    <row r="9" spans="1:12" x14ac:dyDescent="0.2">
      <c r="A9" s="17" t="s">
        <v>16</v>
      </c>
      <c r="B9" s="19">
        <v>4.0000000000000001E-3</v>
      </c>
      <c r="C9" s="19">
        <v>2.1999999999999999E-2</v>
      </c>
      <c r="D9" s="19">
        <v>2.1000000000000001E-2</v>
      </c>
      <c r="E9" s="16">
        <v>8192</v>
      </c>
      <c r="F9" s="20">
        <f t="shared" si="0"/>
        <v>0.93515981735159814</v>
      </c>
      <c r="G9" s="33" t="s">
        <v>247</v>
      </c>
      <c r="H9" s="37" t="s">
        <v>353</v>
      </c>
      <c r="I9" s="37" t="s">
        <v>249</v>
      </c>
      <c r="J9" s="33" t="s">
        <v>354</v>
      </c>
      <c r="K9" s="84" t="s">
        <v>500</v>
      </c>
      <c r="L9" s="15"/>
    </row>
    <row r="10" spans="1:12" x14ac:dyDescent="0.2">
      <c r="A10" s="17" t="s">
        <v>34</v>
      </c>
      <c r="B10" s="19">
        <v>1.4999999999999999E-2</v>
      </c>
      <c r="C10" s="19">
        <v>7.0999999999999994E-2</v>
      </c>
      <c r="D10" s="19">
        <v>7.0000000000000007E-2</v>
      </c>
      <c r="E10" s="16">
        <v>7180</v>
      </c>
      <c r="F10" s="20">
        <f t="shared" si="0"/>
        <v>0.81963470319634701</v>
      </c>
      <c r="G10" s="33" t="s">
        <v>247</v>
      </c>
      <c r="H10" s="37" t="s">
        <v>248</v>
      </c>
      <c r="I10" s="37" t="s">
        <v>249</v>
      </c>
      <c r="J10" s="33" t="s">
        <v>352</v>
      </c>
      <c r="K10" s="84" t="s">
        <v>501</v>
      </c>
      <c r="L10" s="15"/>
    </row>
    <row r="11" spans="1:12" x14ac:dyDescent="0.2">
      <c r="A11" s="17" t="s">
        <v>297</v>
      </c>
      <c r="B11" s="19">
        <v>1.2E-2</v>
      </c>
      <c r="C11" s="19">
        <v>6.5000000000000002E-2</v>
      </c>
      <c r="D11" s="19">
        <v>6.4000000000000001E-2</v>
      </c>
      <c r="E11" s="16">
        <v>4773</v>
      </c>
      <c r="F11" s="20">
        <f>(E11/5112)</f>
        <v>0.93368544600938963</v>
      </c>
      <c r="G11" s="33" t="s">
        <v>250</v>
      </c>
      <c r="H11" s="37" t="s">
        <v>248</v>
      </c>
      <c r="I11" s="37" t="s">
        <v>249</v>
      </c>
      <c r="J11" s="33" t="s">
        <v>352</v>
      </c>
      <c r="K11" s="84" t="s">
        <v>500</v>
      </c>
      <c r="L11" s="15"/>
    </row>
    <row r="12" spans="1:12" x14ac:dyDescent="0.2">
      <c r="A12" s="17" t="s">
        <v>278</v>
      </c>
      <c r="B12" s="19">
        <v>1.4E-2</v>
      </c>
      <c r="C12" s="19">
        <v>7.2999999999999995E-2</v>
      </c>
      <c r="D12" s="19">
        <v>7.0000000000000007E-2</v>
      </c>
      <c r="E12" s="16">
        <v>8606</v>
      </c>
      <c r="F12" s="20">
        <f t="shared" si="0"/>
        <v>0.98242009132420094</v>
      </c>
      <c r="G12" s="33" t="s">
        <v>247</v>
      </c>
      <c r="H12" s="37" t="s">
        <v>248</v>
      </c>
      <c r="I12" s="37" t="s">
        <v>249</v>
      </c>
      <c r="J12" s="33" t="s">
        <v>352</v>
      </c>
      <c r="K12" s="84" t="s">
        <v>501</v>
      </c>
      <c r="L12" s="15"/>
    </row>
    <row r="13" spans="1:12" x14ac:dyDescent="0.2">
      <c r="A13" s="17" t="s">
        <v>204</v>
      </c>
      <c r="B13" s="19">
        <v>3.0000000000000001E-3</v>
      </c>
      <c r="C13" s="19">
        <v>3.3000000000000002E-2</v>
      </c>
      <c r="D13" s="19">
        <v>2.8000000000000001E-2</v>
      </c>
      <c r="E13" s="16">
        <v>8518</v>
      </c>
      <c r="F13" s="20">
        <f t="shared" si="0"/>
        <v>0.97237442922374429</v>
      </c>
      <c r="G13" s="33" t="s">
        <v>250</v>
      </c>
      <c r="H13" s="37" t="s">
        <v>358</v>
      </c>
      <c r="I13" s="37" t="s">
        <v>251</v>
      </c>
      <c r="J13" s="33" t="s">
        <v>351</v>
      </c>
      <c r="K13" s="84" t="s">
        <v>500</v>
      </c>
      <c r="L13" s="15"/>
    </row>
    <row r="14" spans="1:12" x14ac:dyDescent="0.2">
      <c r="A14" s="17" t="s">
        <v>277</v>
      </c>
      <c r="B14" s="105" t="s">
        <v>213</v>
      </c>
      <c r="C14" s="105"/>
      <c r="D14" s="105"/>
      <c r="E14" s="16">
        <v>0</v>
      </c>
      <c r="F14" s="20">
        <f>(E14/2064)</f>
        <v>0</v>
      </c>
      <c r="G14" s="33" t="s">
        <v>250</v>
      </c>
      <c r="H14" s="37" t="s">
        <v>358</v>
      </c>
      <c r="I14" s="37" t="s">
        <v>249</v>
      </c>
      <c r="J14" s="33" t="s">
        <v>361</v>
      </c>
      <c r="K14" s="84" t="s">
        <v>500</v>
      </c>
      <c r="L14" s="15"/>
    </row>
    <row r="15" spans="1:12" x14ac:dyDescent="0.2">
      <c r="A15" s="17"/>
      <c r="B15" s="19"/>
      <c r="C15" s="19"/>
      <c r="D15" s="19"/>
      <c r="E15" s="16"/>
      <c r="F15" s="20"/>
      <c r="G15" s="15"/>
      <c r="H15" s="15"/>
      <c r="I15" s="15"/>
      <c r="J15" s="15"/>
      <c r="K15" s="15"/>
      <c r="L15" s="15"/>
    </row>
    <row r="16" spans="1:12" x14ac:dyDescent="0.2">
      <c r="A16" s="15" t="s">
        <v>245</v>
      </c>
      <c r="B16" s="19">
        <f>AVERAGE(B6:B15)</f>
        <v>8.2500000000000004E-3</v>
      </c>
      <c r="C16" s="19"/>
      <c r="D16" s="19"/>
      <c r="E16" s="23">
        <f>AVERAGE(E6:E15)</f>
        <v>6767.666666666667</v>
      </c>
      <c r="F16" s="21">
        <f>(SUM(E6:E15)/68496)</f>
        <v>0.8892344078486335</v>
      </c>
      <c r="G16" s="15"/>
      <c r="H16" s="15"/>
      <c r="I16" s="15"/>
      <c r="J16" s="15"/>
      <c r="K16" s="15"/>
      <c r="L16" s="15"/>
    </row>
    <row r="17" spans="1:12" x14ac:dyDescent="0.2">
      <c r="A17" s="15" t="s">
        <v>246</v>
      </c>
      <c r="B17" s="19"/>
      <c r="C17" s="19">
        <f>MAX(C6:C13)</f>
        <v>7.2999999999999995E-2</v>
      </c>
      <c r="D17" s="19">
        <v>7.0999999999999994E-2</v>
      </c>
      <c r="E17" s="23"/>
      <c r="F17" s="21"/>
      <c r="G17" s="15"/>
      <c r="H17" s="15"/>
      <c r="I17" s="15"/>
      <c r="J17" s="15"/>
      <c r="K17" s="15"/>
      <c r="L17" s="15"/>
    </row>
    <row r="18" spans="1:12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">
      <c r="A19" s="15" t="s">
        <v>298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43" t="s">
        <v>261</v>
      </c>
      <c r="B21" s="103" t="s">
        <v>262</v>
      </c>
      <c r="C21" s="103"/>
      <c r="D21" s="103"/>
      <c r="E21" s="103"/>
      <c r="F21" s="103"/>
      <c r="G21" s="103" t="s">
        <v>263</v>
      </c>
      <c r="H21" s="103"/>
      <c r="I21" s="103"/>
      <c r="J21" s="103"/>
      <c r="K21" s="43" t="s">
        <v>264</v>
      </c>
      <c r="L21" s="43"/>
    </row>
    <row r="22" spans="1:12" x14ac:dyDescent="0.2">
      <c r="A22" s="37" t="s">
        <v>331</v>
      </c>
      <c r="B22" s="96" t="s">
        <v>266</v>
      </c>
      <c r="C22" s="96"/>
      <c r="D22" s="96"/>
      <c r="E22" s="96"/>
      <c r="F22" s="96"/>
      <c r="G22" s="96" t="s">
        <v>332</v>
      </c>
      <c r="H22" s="96"/>
      <c r="I22" s="96"/>
      <c r="J22" s="96"/>
      <c r="K22" s="37" t="s">
        <v>268</v>
      </c>
      <c r="L22" s="37"/>
    </row>
    <row r="24" spans="1:12" x14ac:dyDescent="0.2">
      <c r="A24" s="1" t="s">
        <v>469</v>
      </c>
      <c r="B24" s="8">
        <f>COUNTA(A6:A14)</f>
        <v>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7" spans="1:12" ht="15" x14ac:dyDescent="0.2">
      <c r="A27" s="99" t="s">
        <v>534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</row>
    <row r="28" spans="1:12" ht="19.5" x14ac:dyDescent="0.3">
      <c r="A28" s="99" t="s">
        <v>537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1:12" ht="14.25" x14ac:dyDescent="0.2">
      <c r="A29" s="94" t="s">
        <v>538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1" spans="1:12" x14ac:dyDescent="0.2">
      <c r="A31" s="49"/>
      <c r="B31" s="53" t="s">
        <v>172</v>
      </c>
    </row>
    <row r="32" spans="1:12" x14ac:dyDescent="0.2">
      <c r="A32" s="54" t="s">
        <v>65</v>
      </c>
      <c r="B32" s="53" t="s">
        <v>5</v>
      </c>
    </row>
    <row r="33" spans="1:11" x14ac:dyDescent="0.2">
      <c r="A33" s="17" t="s">
        <v>83</v>
      </c>
      <c r="B33" s="69">
        <f>B6*1887</f>
        <v>7.548</v>
      </c>
    </row>
    <row r="34" spans="1:11" x14ac:dyDescent="0.2">
      <c r="A34" s="17" t="s">
        <v>147</v>
      </c>
      <c r="B34" s="69">
        <f t="shared" ref="B34:B40" si="1">B7*1887</f>
        <v>5.6610000000000005</v>
      </c>
    </row>
    <row r="35" spans="1:11" x14ac:dyDescent="0.2">
      <c r="A35" s="17" t="s">
        <v>14</v>
      </c>
      <c r="B35" s="58">
        <f t="shared" si="1"/>
        <v>20.756999999999998</v>
      </c>
    </row>
    <row r="36" spans="1:11" x14ac:dyDescent="0.2">
      <c r="A36" s="17" t="s">
        <v>16</v>
      </c>
      <c r="B36" s="69">
        <f t="shared" si="1"/>
        <v>7.548</v>
      </c>
    </row>
    <row r="37" spans="1:11" x14ac:dyDescent="0.2">
      <c r="A37" s="17" t="s">
        <v>34</v>
      </c>
      <c r="B37" s="58">
        <f t="shared" si="1"/>
        <v>28.305</v>
      </c>
    </row>
    <row r="38" spans="1:11" x14ac:dyDescent="0.2">
      <c r="A38" s="17" t="s">
        <v>133</v>
      </c>
      <c r="B38" s="58">
        <f t="shared" si="1"/>
        <v>22.644000000000002</v>
      </c>
    </row>
    <row r="39" spans="1:11" x14ac:dyDescent="0.2">
      <c r="A39" s="17" t="s">
        <v>278</v>
      </c>
      <c r="B39" s="58">
        <f t="shared" si="1"/>
        <v>26.417999999999999</v>
      </c>
    </row>
    <row r="40" spans="1:11" x14ac:dyDescent="0.2">
      <c r="A40" s="17" t="s">
        <v>204</v>
      </c>
      <c r="B40" s="69">
        <f t="shared" si="1"/>
        <v>5.6610000000000005</v>
      </c>
    </row>
    <row r="41" spans="1:11" x14ac:dyDescent="0.2">
      <c r="A41" s="17" t="s">
        <v>69</v>
      </c>
      <c r="B41" s="105" t="s">
        <v>213</v>
      </c>
      <c r="C41" s="105"/>
      <c r="D41" s="19"/>
    </row>
    <row r="43" spans="1:11" ht="15.75" x14ac:dyDescent="0.3">
      <c r="A43" s="101" t="s">
        <v>536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1:11" x14ac:dyDescent="0.2">
      <c r="A44" s="102" t="s">
        <v>533</v>
      </c>
      <c r="B44" s="102"/>
      <c r="C44" s="102"/>
      <c r="D44" s="102"/>
      <c r="E44" s="85"/>
      <c r="F44" s="85"/>
    </row>
  </sheetData>
  <mergeCells count="15">
    <mergeCell ref="A1:K1"/>
    <mergeCell ref="A2:K2"/>
    <mergeCell ref="B21:F21"/>
    <mergeCell ref="G21:J21"/>
    <mergeCell ref="B22:F22"/>
    <mergeCell ref="G22:J22"/>
    <mergeCell ref="C4:D4"/>
    <mergeCell ref="B14:D14"/>
    <mergeCell ref="E4:F4"/>
    <mergeCell ref="A44:D44"/>
    <mergeCell ref="A43:K43"/>
    <mergeCell ref="B41:C41"/>
    <mergeCell ref="A27:K27"/>
    <mergeCell ref="A28:K28"/>
    <mergeCell ref="A29:K29"/>
  </mergeCells>
  <phoneticPr fontId="0" type="noConversion"/>
  <printOptions horizontalCentered="1"/>
  <pageMargins left="0.1" right="0.1" top="0.25" bottom="0.5" header="0" footer="0"/>
  <pageSetup scale="89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Normal="100" workbookViewId="0">
      <selection activeCell="A3" sqref="A3"/>
    </sheetView>
  </sheetViews>
  <sheetFormatPr defaultRowHeight="12.75" x14ac:dyDescent="0.2"/>
  <cols>
    <col min="1" max="1" width="41.28515625" style="15" bestFit="1" customWidth="1"/>
    <col min="2" max="2" width="6.85546875" style="15" bestFit="1" customWidth="1"/>
    <col min="3" max="4" width="7" style="15" bestFit="1" customWidth="1"/>
    <col min="5" max="5" width="6.85546875" style="15" bestFit="1" customWidth="1"/>
    <col min="6" max="6" width="10.42578125" style="16" bestFit="1" customWidth="1"/>
    <col min="7" max="7" width="8.140625" style="15" bestFit="1" customWidth="1"/>
    <col min="8" max="8" width="9.85546875" style="15" bestFit="1" customWidth="1"/>
    <col min="9" max="9" width="7.85546875" style="15" bestFit="1" customWidth="1"/>
    <col min="10" max="10" width="7.42578125" style="15" bestFit="1" customWidth="1"/>
    <col min="11" max="11" width="9.7109375" style="15" bestFit="1" customWidth="1"/>
    <col min="12" max="12" width="17.42578125" style="15" bestFit="1" customWidth="1"/>
    <col min="13" max="13" width="30" style="15" bestFit="1" customWidth="1"/>
    <col min="14" max="16384" width="9.140625" style="15"/>
  </cols>
  <sheetData>
    <row r="1" spans="1:13" ht="14.25" x14ac:dyDescent="0.25">
      <c r="A1" s="94" t="s">
        <v>515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4" t="s">
        <v>516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4" spans="1:13" x14ac:dyDescent="0.2">
      <c r="A4" s="49"/>
      <c r="B4" s="100" t="s">
        <v>253</v>
      </c>
      <c r="C4" s="100"/>
      <c r="D4" s="100"/>
      <c r="E4" s="100"/>
      <c r="F4" s="100" t="s">
        <v>172</v>
      </c>
      <c r="G4" s="100"/>
      <c r="H4" s="100"/>
      <c r="I4" s="43" t="s">
        <v>306</v>
      </c>
      <c r="J4" s="43" t="s">
        <v>312</v>
      </c>
      <c r="K4" s="43" t="s">
        <v>310</v>
      </c>
      <c r="L4" s="43" t="s">
        <v>308</v>
      </c>
      <c r="M4" s="43" t="s">
        <v>315</v>
      </c>
    </row>
    <row r="5" spans="1:13" x14ac:dyDescent="0.2">
      <c r="A5" s="54" t="s">
        <v>65</v>
      </c>
      <c r="B5" s="53" t="s">
        <v>173</v>
      </c>
      <c r="C5" s="53" t="s">
        <v>174</v>
      </c>
      <c r="D5" s="53" t="s">
        <v>175</v>
      </c>
      <c r="E5" s="53" t="s">
        <v>176</v>
      </c>
      <c r="F5" s="53" t="s">
        <v>191</v>
      </c>
      <c r="G5" s="53" t="s">
        <v>189</v>
      </c>
      <c r="H5" s="56" t="s">
        <v>187</v>
      </c>
      <c r="I5" s="43" t="s">
        <v>307</v>
      </c>
      <c r="J5" s="43" t="s">
        <v>313</v>
      </c>
      <c r="K5" s="43" t="s">
        <v>311</v>
      </c>
      <c r="L5" s="43" t="s">
        <v>309</v>
      </c>
      <c r="M5" s="43" t="s">
        <v>316</v>
      </c>
    </row>
    <row r="6" spans="1:13" x14ac:dyDescent="0.2">
      <c r="A6" s="17" t="s">
        <v>86</v>
      </c>
      <c r="B6" s="19">
        <v>0.106</v>
      </c>
      <c r="C6" s="19">
        <v>0.1</v>
      </c>
      <c r="D6" s="19">
        <v>0.09</v>
      </c>
      <c r="E6" s="19">
        <v>0.09</v>
      </c>
      <c r="F6" s="16">
        <v>0</v>
      </c>
      <c r="G6" s="16">
        <v>233</v>
      </c>
      <c r="H6" s="20">
        <f>G6/239</f>
        <v>0.97489539748953979</v>
      </c>
      <c r="I6" s="33" t="s">
        <v>247</v>
      </c>
      <c r="J6" s="37" t="s">
        <v>360</v>
      </c>
      <c r="K6" s="37" t="s">
        <v>249</v>
      </c>
      <c r="L6" s="33" t="s">
        <v>357</v>
      </c>
      <c r="M6" s="84" t="s">
        <v>500</v>
      </c>
    </row>
    <row r="7" spans="1:13" x14ac:dyDescent="0.2">
      <c r="A7" s="17" t="s">
        <v>83</v>
      </c>
      <c r="B7" s="19">
        <v>0.113</v>
      </c>
      <c r="C7" s="19">
        <v>0.10199999999999999</v>
      </c>
      <c r="D7" s="19">
        <v>9.5000000000000001E-2</v>
      </c>
      <c r="E7" s="19">
        <v>9.4E-2</v>
      </c>
      <c r="F7" s="16">
        <v>0</v>
      </c>
      <c r="G7" s="16">
        <v>231</v>
      </c>
      <c r="H7" s="20">
        <f>G7/236</f>
        <v>0.97881355932203384</v>
      </c>
      <c r="I7" s="33" t="s">
        <v>247</v>
      </c>
      <c r="J7" s="37" t="s">
        <v>353</v>
      </c>
      <c r="K7" s="37" t="s">
        <v>249</v>
      </c>
      <c r="L7" s="33" t="s">
        <v>357</v>
      </c>
      <c r="M7" s="84" t="s">
        <v>502</v>
      </c>
    </row>
    <row r="8" spans="1:13" x14ac:dyDescent="0.2">
      <c r="A8" s="17" t="s">
        <v>209</v>
      </c>
      <c r="B8" s="19">
        <v>9.6000000000000002E-2</v>
      </c>
      <c r="C8" s="19">
        <v>9.6000000000000002E-2</v>
      </c>
      <c r="D8" s="19">
        <v>9.5000000000000001E-2</v>
      </c>
      <c r="E8" s="19">
        <v>0.09</v>
      </c>
      <c r="F8" s="16">
        <v>0</v>
      </c>
      <c r="G8" s="16">
        <v>360</v>
      </c>
      <c r="H8" s="20">
        <f>G8/365</f>
        <v>0.98630136986301364</v>
      </c>
      <c r="I8" s="33" t="s">
        <v>250</v>
      </c>
      <c r="J8" s="37" t="s">
        <v>358</v>
      </c>
      <c r="K8" s="37" t="s">
        <v>249</v>
      </c>
      <c r="L8" s="33" t="s">
        <v>357</v>
      </c>
      <c r="M8" s="84" t="s">
        <v>500</v>
      </c>
    </row>
    <row r="9" spans="1:13" x14ac:dyDescent="0.2">
      <c r="A9" s="17" t="s">
        <v>89</v>
      </c>
      <c r="B9" s="19">
        <v>0.12</v>
      </c>
      <c r="C9" s="19">
        <v>0.1</v>
      </c>
      <c r="D9" s="19">
        <v>9.9000000000000005E-2</v>
      </c>
      <c r="E9" s="19">
        <v>9.9000000000000005E-2</v>
      </c>
      <c r="F9" s="16">
        <v>0</v>
      </c>
      <c r="G9" s="16">
        <v>232</v>
      </c>
      <c r="H9" s="20">
        <f>G9/235</f>
        <v>0.98723404255319147</v>
      </c>
      <c r="I9" s="33" t="s">
        <v>359</v>
      </c>
      <c r="J9" s="37" t="s">
        <v>248</v>
      </c>
      <c r="K9" s="37" t="s">
        <v>249</v>
      </c>
      <c r="L9" s="33" t="s">
        <v>357</v>
      </c>
      <c r="M9" s="84" t="s">
        <v>503</v>
      </c>
    </row>
    <row r="10" spans="1:13" x14ac:dyDescent="0.2">
      <c r="A10" s="17" t="s">
        <v>147</v>
      </c>
      <c r="B10" s="19">
        <v>0.106</v>
      </c>
      <c r="C10" s="19">
        <v>9.6000000000000002E-2</v>
      </c>
      <c r="D10" s="19">
        <v>8.8999999999999996E-2</v>
      </c>
      <c r="E10" s="19">
        <v>0.08</v>
      </c>
      <c r="F10" s="16">
        <v>0</v>
      </c>
      <c r="G10" s="16">
        <v>341</v>
      </c>
      <c r="H10" s="20">
        <f>G10/365</f>
        <v>0.9342465753424658</v>
      </c>
      <c r="I10" s="33" t="s">
        <v>247</v>
      </c>
      <c r="J10" s="37" t="s">
        <v>353</v>
      </c>
      <c r="K10" s="37" t="s">
        <v>249</v>
      </c>
      <c r="L10" s="33" t="s">
        <v>357</v>
      </c>
      <c r="M10" s="84" t="s">
        <v>502</v>
      </c>
    </row>
    <row r="11" spans="1:13" x14ac:dyDescent="0.2">
      <c r="A11" s="17" t="s">
        <v>92</v>
      </c>
      <c r="B11" s="19">
        <v>8.5999999999999993E-2</v>
      </c>
      <c r="C11" s="19">
        <v>8.5000000000000006E-2</v>
      </c>
      <c r="D11" s="19">
        <v>8.4000000000000005E-2</v>
      </c>
      <c r="E11" s="19">
        <v>8.2000000000000003E-2</v>
      </c>
      <c r="F11" s="16">
        <v>0</v>
      </c>
      <c r="G11" s="16">
        <v>331</v>
      </c>
      <c r="H11" s="20">
        <f>G11/365</f>
        <v>0.9068493150684932</v>
      </c>
      <c r="I11" s="33" t="s">
        <v>359</v>
      </c>
      <c r="J11" s="37" t="s">
        <v>358</v>
      </c>
      <c r="K11" s="37" t="s">
        <v>249</v>
      </c>
      <c r="L11" s="33" t="s">
        <v>357</v>
      </c>
      <c r="M11" s="84" t="s">
        <v>504</v>
      </c>
    </row>
    <row r="12" spans="1:13" x14ac:dyDescent="0.2">
      <c r="A12" s="17" t="s">
        <v>94</v>
      </c>
      <c r="B12" s="19">
        <v>8.7999999999999995E-2</v>
      </c>
      <c r="C12" s="19">
        <v>8.1000000000000003E-2</v>
      </c>
      <c r="D12" s="19">
        <v>0.08</v>
      </c>
      <c r="E12" s="19">
        <v>7.9000000000000001E-2</v>
      </c>
      <c r="F12" s="16">
        <v>0</v>
      </c>
      <c r="G12" s="16">
        <v>195</v>
      </c>
      <c r="H12" s="20">
        <f>G12/233</f>
        <v>0.83690987124463523</v>
      </c>
      <c r="I12" s="33" t="s">
        <v>359</v>
      </c>
      <c r="J12" s="37" t="s">
        <v>353</v>
      </c>
      <c r="K12" s="37" t="s">
        <v>249</v>
      </c>
      <c r="L12" s="33" t="s">
        <v>352</v>
      </c>
      <c r="M12" s="84" t="s">
        <v>503</v>
      </c>
    </row>
    <row r="13" spans="1:13" x14ac:dyDescent="0.2">
      <c r="A13" s="17" t="s">
        <v>16</v>
      </c>
      <c r="B13" s="19">
        <v>0.08</v>
      </c>
      <c r="C13" s="19">
        <v>7.8E-2</v>
      </c>
      <c r="D13" s="19">
        <v>7.8E-2</v>
      </c>
      <c r="E13" s="19">
        <v>7.6999999999999999E-2</v>
      </c>
      <c r="F13" s="16">
        <v>0</v>
      </c>
      <c r="G13" s="16">
        <v>306</v>
      </c>
      <c r="H13" s="20">
        <f>G13/365</f>
        <v>0.83835616438356164</v>
      </c>
      <c r="I13" s="33" t="s">
        <v>247</v>
      </c>
      <c r="J13" s="37" t="s">
        <v>353</v>
      </c>
      <c r="K13" s="37" t="s">
        <v>249</v>
      </c>
      <c r="L13" s="33" t="s">
        <v>354</v>
      </c>
      <c r="M13" s="84" t="s">
        <v>500</v>
      </c>
    </row>
    <row r="14" spans="1:13" x14ac:dyDescent="0.2">
      <c r="A14" s="17" t="s">
        <v>156</v>
      </c>
      <c r="B14" s="19">
        <v>0.111</v>
      </c>
      <c r="C14" s="19">
        <v>9.5000000000000001E-2</v>
      </c>
      <c r="D14" s="19">
        <v>9.5000000000000001E-2</v>
      </c>
      <c r="E14" s="19">
        <v>9.4E-2</v>
      </c>
      <c r="F14" s="16">
        <v>0</v>
      </c>
      <c r="G14" s="16">
        <v>255</v>
      </c>
      <c r="H14" s="20">
        <f>G14/295</f>
        <v>0.86440677966101698</v>
      </c>
      <c r="I14" s="33" t="s">
        <v>247</v>
      </c>
      <c r="J14" s="37" t="s">
        <v>358</v>
      </c>
      <c r="K14" s="37" t="s">
        <v>249</v>
      </c>
      <c r="L14" s="33" t="s">
        <v>357</v>
      </c>
      <c r="M14" s="84" t="s">
        <v>504</v>
      </c>
    </row>
    <row r="15" spans="1:13" x14ac:dyDescent="0.2">
      <c r="A15" s="17" t="s">
        <v>99</v>
      </c>
      <c r="B15" s="19">
        <v>9.9000000000000005E-2</v>
      </c>
      <c r="C15" s="19">
        <v>9.6000000000000002E-2</v>
      </c>
      <c r="D15" s="19">
        <v>9.6000000000000002E-2</v>
      </c>
      <c r="E15" s="19">
        <v>9.4E-2</v>
      </c>
      <c r="F15" s="16">
        <v>0</v>
      </c>
      <c r="G15" s="16">
        <v>234</v>
      </c>
      <c r="H15" s="20">
        <f>G15/237</f>
        <v>0.98734177215189878</v>
      </c>
      <c r="I15" s="33" t="s">
        <v>247</v>
      </c>
      <c r="J15" s="37" t="s">
        <v>358</v>
      </c>
      <c r="K15" s="37" t="s">
        <v>249</v>
      </c>
      <c r="L15" s="33" t="s">
        <v>357</v>
      </c>
      <c r="M15" s="84" t="s">
        <v>500</v>
      </c>
    </row>
    <row r="16" spans="1:13" x14ac:dyDescent="0.2">
      <c r="A16" s="17" t="s">
        <v>102</v>
      </c>
      <c r="B16" s="19">
        <v>8.8999999999999996E-2</v>
      </c>
      <c r="C16" s="19">
        <v>8.7999999999999995E-2</v>
      </c>
      <c r="D16" s="19">
        <v>8.5999999999999993E-2</v>
      </c>
      <c r="E16" s="19">
        <v>8.4000000000000005E-2</v>
      </c>
      <c r="F16" s="16">
        <v>0</v>
      </c>
      <c r="G16" s="16">
        <v>248</v>
      </c>
      <c r="H16" s="20">
        <f>G16/251</f>
        <v>0.98804780876494025</v>
      </c>
      <c r="I16" s="33" t="s">
        <v>250</v>
      </c>
      <c r="J16" s="37" t="s">
        <v>358</v>
      </c>
      <c r="K16" s="37" t="s">
        <v>249</v>
      </c>
      <c r="L16" s="33" t="s">
        <v>357</v>
      </c>
      <c r="M16" s="84" t="s">
        <v>500</v>
      </c>
    </row>
    <row r="17" spans="1:13" x14ac:dyDescent="0.2">
      <c r="A17" s="17" t="s">
        <v>157</v>
      </c>
      <c r="B17" s="19">
        <v>9.5000000000000001E-2</v>
      </c>
      <c r="C17" s="19">
        <v>9.2999999999999999E-2</v>
      </c>
      <c r="D17" s="19">
        <v>8.8999999999999996E-2</v>
      </c>
      <c r="E17" s="19">
        <v>8.7999999999999995E-2</v>
      </c>
      <c r="F17" s="16">
        <v>0</v>
      </c>
      <c r="G17" s="16">
        <v>362</v>
      </c>
      <c r="H17" s="20">
        <f>G17/365</f>
        <v>0.99178082191780825</v>
      </c>
      <c r="I17" s="33" t="s">
        <v>247</v>
      </c>
      <c r="J17" s="37" t="s">
        <v>358</v>
      </c>
      <c r="K17" s="37" t="s">
        <v>249</v>
      </c>
      <c r="L17" s="33" t="s">
        <v>357</v>
      </c>
      <c r="M17" s="84" t="s">
        <v>500</v>
      </c>
    </row>
    <row r="18" spans="1:13" x14ac:dyDescent="0.2">
      <c r="A18" s="17" t="s">
        <v>107</v>
      </c>
      <c r="B18" s="19">
        <v>8.5999999999999993E-2</v>
      </c>
      <c r="C18" s="19">
        <v>8.4000000000000005E-2</v>
      </c>
      <c r="D18" s="19">
        <v>8.3000000000000004E-2</v>
      </c>
      <c r="E18" s="19">
        <v>8.3000000000000004E-2</v>
      </c>
      <c r="F18" s="16">
        <v>0</v>
      </c>
      <c r="G18" s="16">
        <v>338</v>
      </c>
      <c r="H18" s="20">
        <f>G18/365</f>
        <v>0.92602739726027394</v>
      </c>
      <c r="I18" s="33" t="s">
        <v>359</v>
      </c>
      <c r="J18" s="37" t="s">
        <v>358</v>
      </c>
      <c r="K18" s="37" t="s">
        <v>249</v>
      </c>
      <c r="L18" s="33" t="s">
        <v>357</v>
      </c>
      <c r="M18" s="84" t="s">
        <v>504</v>
      </c>
    </row>
    <row r="19" spans="1:13" x14ac:dyDescent="0.2">
      <c r="A19" s="17" t="s">
        <v>158</v>
      </c>
      <c r="B19" s="19">
        <v>9.1999999999999998E-2</v>
      </c>
      <c r="C19" s="19">
        <v>8.8999999999999996E-2</v>
      </c>
      <c r="D19" s="19">
        <v>8.8999999999999996E-2</v>
      </c>
      <c r="E19" s="19">
        <v>8.7999999999999995E-2</v>
      </c>
      <c r="F19" s="16">
        <v>0</v>
      </c>
      <c r="G19" s="16">
        <v>363</v>
      </c>
      <c r="H19" s="20">
        <f>G19/365</f>
        <v>0.9945205479452055</v>
      </c>
      <c r="I19" s="33" t="s">
        <v>247</v>
      </c>
      <c r="J19" s="37" t="s">
        <v>358</v>
      </c>
      <c r="K19" s="37" t="s">
        <v>249</v>
      </c>
      <c r="L19" s="33" t="s">
        <v>354</v>
      </c>
      <c r="M19" s="84" t="s">
        <v>499</v>
      </c>
    </row>
    <row r="20" spans="1:13" x14ac:dyDescent="0.2">
      <c r="A20" s="17" t="s">
        <v>159</v>
      </c>
      <c r="B20" s="19">
        <v>0.105</v>
      </c>
      <c r="C20" s="19">
        <v>0.10100000000000001</v>
      </c>
      <c r="D20" s="19">
        <v>9.9000000000000005E-2</v>
      </c>
      <c r="E20" s="19">
        <v>9.4E-2</v>
      </c>
      <c r="F20" s="16">
        <v>0</v>
      </c>
      <c r="G20" s="16">
        <v>234</v>
      </c>
      <c r="H20" s="20">
        <f>G20/237</f>
        <v>0.98734177215189878</v>
      </c>
      <c r="I20" s="33" t="s">
        <v>247</v>
      </c>
      <c r="J20" s="37" t="s">
        <v>248</v>
      </c>
      <c r="K20" s="37" t="s">
        <v>249</v>
      </c>
      <c r="L20" s="33" t="s">
        <v>357</v>
      </c>
      <c r="M20" s="84" t="s">
        <v>500</v>
      </c>
    </row>
    <row r="21" spans="1:13" x14ac:dyDescent="0.2">
      <c r="A21" s="17" t="s">
        <v>278</v>
      </c>
      <c r="B21" s="19">
        <v>0.109</v>
      </c>
      <c r="C21" s="19">
        <v>0.104</v>
      </c>
      <c r="D21" s="19">
        <v>9.9000000000000005E-2</v>
      </c>
      <c r="E21" s="19">
        <v>9.7000000000000003E-2</v>
      </c>
      <c r="F21" s="16">
        <v>0</v>
      </c>
      <c r="G21" s="16">
        <v>267</v>
      </c>
      <c r="H21" s="20">
        <f>G21/302</f>
        <v>0.88410596026490063</v>
      </c>
      <c r="I21" s="33" t="s">
        <v>359</v>
      </c>
      <c r="J21" s="37" t="s">
        <v>248</v>
      </c>
      <c r="K21" s="37" t="s">
        <v>249</v>
      </c>
      <c r="L21" s="33" t="s">
        <v>352</v>
      </c>
      <c r="M21" s="84" t="s">
        <v>503</v>
      </c>
    </row>
    <row r="22" spans="1:13" x14ac:dyDescent="0.2">
      <c r="A22" s="17" t="s">
        <v>204</v>
      </c>
      <c r="B22" s="19">
        <v>0.11700000000000001</v>
      </c>
      <c r="C22" s="19">
        <v>9.1999999999999998E-2</v>
      </c>
      <c r="D22" s="19">
        <v>8.6999999999999994E-2</v>
      </c>
      <c r="E22" s="19">
        <v>8.5999999999999993E-2</v>
      </c>
      <c r="F22" s="16">
        <v>0</v>
      </c>
      <c r="G22" s="16">
        <v>357</v>
      </c>
      <c r="H22" s="20">
        <f>G22/365</f>
        <v>0.9780821917808219</v>
      </c>
      <c r="I22" s="33" t="s">
        <v>250</v>
      </c>
      <c r="J22" s="37" t="s">
        <v>358</v>
      </c>
      <c r="K22" s="37" t="s">
        <v>249</v>
      </c>
      <c r="L22" s="33" t="s">
        <v>351</v>
      </c>
      <c r="M22" s="84" t="s">
        <v>500</v>
      </c>
    </row>
    <row r="23" spans="1:13" x14ac:dyDescent="0.2">
      <c r="A23" s="17" t="s">
        <v>160</v>
      </c>
      <c r="B23" s="19">
        <v>0.115</v>
      </c>
      <c r="C23" s="19">
        <v>0.107</v>
      </c>
      <c r="D23" s="19">
        <v>0.106</v>
      </c>
      <c r="E23" s="19">
        <v>0.105</v>
      </c>
      <c r="F23" s="16">
        <v>0</v>
      </c>
      <c r="G23" s="16">
        <v>291</v>
      </c>
      <c r="H23" s="20">
        <f>G23/305</f>
        <v>0.95409836065573772</v>
      </c>
      <c r="I23" s="33" t="s">
        <v>359</v>
      </c>
      <c r="J23" s="37" t="s">
        <v>358</v>
      </c>
      <c r="K23" s="37" t="s">
        <v>249</v>
      </c>
      <c r="L23" s="33" t="s">
        <v>357</v>
      </c>
      <c r="M23" s="84" t="s">
        <v>504</v>
      </c>
    </row>
    <row r="24" spans="1:13" x14ac:dyDescent="0.2">
      <c r="A24" s="17" t="s">
        <v>69</v>
      </c>
      <c r="B24" s="19">
        <v>7.5999999999999998E-2</v>
      </c>
      <c r="C24" s="19">
        <v>7.0000000000000007E-2</v>
      </c>
      <c r="D24" s="19">
        <v>6.4000000000000001E-2</v>
      </c>
      <c r="E24" s="19">
        <v>5.8999999999999997E-2</v>
      </c>
      <c r="F24" s="16">
        <v>0</v>
      </c>
      <c r="G24" s="16">
        <v>75</v>
      </c>
      <c r="H24" s="20">
        <f>G24/87</f>
        <v>0.86206896551724133</v>
      </c>
      <c r="I24" s="33" t="s">
        <v>250</v>
      </c>
      <c r="J24" s="37" t="s">
        <v>358</v>
      </c>
      <c r="K24" s="37" t="s">
        <v>249</v>
      </c>
      <c r="L24" s="33" t="s">
        <v>361</v>
      </c>
      <c r="M24" s="84" t="s">
        <v>500</v>
      </c>
    </row>
    <row r="25" spans="1:13" x14ac:dyDescent="0.2">
      <c r="A25" s="17" t="s">
        <v>161</v>
      </c>
      <c r="B25" s="19">
        <v>0.113</v>
      </c>
      <c r="C25" s="19">
        <v>0.108</v>
      </c>
      <c r="D25" s="19">
        <v>0.105</v>
      </c>
      <c r="E25" s="19">
        <v>0.104</v>
      </c>
      <c r="F25" s="16">
        <v>0</v>
      </c>
      <c r="G25" s="16">
        <v>302</v>
      </c>
      <c r="H25" s="20">
        <f>G25/318</f>
        <v>0.94968553459119498</v>
      </c>
      <c r="I25" s="33" t="s">
        <v>359</v>
      </c>
      <c r="J25" s="37" t="s">
        <v>248</v>
      </c>
      <c r="K25" s="37" t="s">
        <v>249</v>
      </c>
      <c r="L25" s="33" t="s">
        <v>357</v>
      </c>
      <c r="M25" s="84" t="s">
        <v>503</v>
      </c>
    </row>
    <row r="26" spans="1:13" x14ac:dyDescent="0.2">
      <c r="A26" s="17" t="s">
        <v>115</v>
      </c>
      <c r="B26" s="19">
        <v>0.1</v>
      </c>
      <c r="C26" s="19">
        <v>9.5000000000000001E-2</v>
      </c>
      <c r="D26" s="19">
        <v>0.09</v>
      </c>
      <c r="E26" s="19">
        <v>8.8999999999999996E-2</v>
      </c>
      <c r="F26" s="16">
        <v>0</v>
      </c>
      <c r="G26" s="16">
        <v>297</v>
      </c>
      <c r="H26" s="20">
        <f>G26/309</f>
        <v>0.96116504854368934</v>
      </c>
      <c r="I26" s="33" t="s">
        <v>247</v>
      </c>
      <c r="J26" s="37" t="s">
        <v>360</v>
      </c>
      <c r="K26" s="37" t="s">
        <v>249</v>
      </c>
      <c r="L26" s="33" t="s">
        <v>357</v>
      </c>
      <c r="M26" s="84" t="s">
        <v>500</v>
      </c>
    </row>
    <row r="27" spans="1:13" x14ac:dyDescent="0.2">
      <c r="A27" s="17" t="s">
        <v>117</v>
      </c>
      <c r="B27" s="19">
        <v>8.3000000000000004E-2</v>
      </c>
      <c r="C27" s="19">
        <v>0.08</v>
      </c>
      <c r="D27" s="19">
        <v>7.6999999999999999E-2</v>
      </c>
      <c r="E27" s="19">
        <v>7.4999999999999997E-2</v>
      </c>
      <c r="F27" s="16">
        <v>0</v>
      </c>
      <c r="G27" s="16">
        <v>243</v>
      </c>
      <c r="H27" s="20">
        <f>G27/254</f>
        <v>0.95669291338582674</v>
      </c>
      <c r="I27" s="33" t="s">
        <v>250</v>
      </c>
      <c r="J27" s="37" t="s">
        <v>360</v>
      </c>
      <c r="K27" s="37" t="s">
        <v>249</v>
      </c>
      <c r="L27" s="33" t="s">
        <v>357</v>
      </c>
      <c r="M27" s="84" t="s">
        <v>500</v>
      </c>
    </row>
    <row r="28" spans="1:13" x14ac:dyDescent="0.2">
      <c r="A28" s="17" t="s">
        <v>162</v>
      </c>
      <c r="B28" s="19">
        <v>9.4E-2</v>
      </c>
      <c r="C28" s="19">
        <v>9.1999999999999998E-2</v>
      </c>
      <c r="D28" s="19">
        <v>8.8999999999999996E-2</v>
      </c>
      <c r="E28" s="19">
        <v>8.8999999999999996E-2</v>
      </c>
      <c r="F28" s="16">
        <v>0</v>
      </c>
      <c r="G28" s="16">
        <v>217</v>
      </c>
      <c r="H28" s="20">
        <f>G28/224</f>
        <v>0.96875</v>
      </c>
      <c r="I28" s="33" t="s">
        <v>247</v>
      </c>
      <c r="J28" s="37" t="s">
        <v>360</v>
      </c>
      <c r="K28" s="37" t="s">
        <v>249</v>
      </c>
      <c r="L28" s="33" t="s">
        <v>357</v>
      </c>
      <c r="M28" s="84" t="s">
        <v>505</v>
      </c>
    </row>
    <row r="29" spans="1:13" x14ac:dyDescent="0.2">
      <c r="A29" s="17"/>
      <c r="B29" s="19"/>
      <c r="C29" s="19"/>
      <c r="D29" s="19"/>
      <c r="E29" s="19"/>
      <c r="G29" s="16"/>
      <c r="H29" s="20"/>
    </row>
    <row r="30" spans="1:13" x14ac:dyDescent="0.2">
      <c r="A30" s="15" t="s">
        <v>245</v>
      </c>
      <c r="F30" s="23">
        <f>AVERAGE(F6:F28)</f>
        <v>0</v>
      </c>
      <c r="G30" s="23">
        <f>AVERAGE(G6:G28)</f>
        <v>274.43478260869563</v>
      </c>
      <c r="H30" s="21">
        <f>AVERAGE(H6:H28)</f>
        <v>0.94337922477649538</v>
      </c>
    </row>
    <row r="31" spans="1:13" x14ac:dyDescent="0.2">
      <c r="A31" s="15" t="s">
        <v>246</v>
      </c>
      <c r="B31" s="24">
        <f>MAX(B6:E28)</f>
        <v>0.12</v>
      </c>
      <c r="C31" s="19">
        <v>0.11700000000000001</v>
      </c>
      <c r="D31" s="19">
        <v>0.115</v>
      </c>
      <c r="E31" s="24">
        <v>0.113</v>
      </c>
    </row>
    <row r="33" spans="1:12" x14ac:dyDescent="0.2">
      <c r="A33" s="43" t="s">
        <v>261</v>
      </c>
      <c r="B33" s="103" t="s">
        <v>262</v>
      </c>
      <c r="C33" s="103"/>
      <c r="D33" s="103"/>
      <c r="E33" s="103"/>
      <c r="F33" s="103"/>
      <c r="G33" s="103" t="s">
        <v>263</v>
      </c>
      <c r="H33" s="103"/>
      <c r="I33" s="103"/>
      <c r="J33" s="103"/>
      <c r="K33" s="103" t="s">
        <v>264</v>
      </c>
      <c r="L33" s="103"/>
    </row>
    <row r="34" spans="1:12" x14ac:dyDescent="0.2">
      <c r="A34" s="37" t="s">
        <v>333</v>
      </c>
      <c r="B34" s="96" t="s">
        <v>266</v>
      </c>
      <c r="C34" s="96"/>
      <c r="D34" s="96"/>
      <c r="E34" s="96"/>
      <c r="F34" s="96"/>
      <c r="G34" s="96" t="s">
        <v>334</v>
      </c>
      <c r="H34" s="96"/>
      <c r="I34" s="96"/>
      <c r="J34" s="96"/>
      <c r="K34" s="96" t="s">
        <v>268</v>
      </c>
      <c r="L34" s="96"/>
    </row>
    <row r="36" spans="1:12" x14ac:dyDescent="0.2">
      <c r="A36" s="1" t="s">
        <v>469</v>
      </c>
      <c r="B36" s="8">
        <f>COUNTA(A6:A28)</f>
        <v>23</v>
      </c>
      <c r="C36" s="19"/>
      <c r="D36" s="19"/>
      <c r="E36" s="24"/>
    </row>
  </sheetData>
  <mergeCells count="10">
    <mergeCell ref="B4:E4"/>
    <mergeCell ref="F4:H4"/>
    <mergeCell ref="A1:M1"/>
    <mergeCell ref="A2:M2"/>
    <mergeCell ref="B33:F33"/>
    <mergeCell ref="G33:J33"/>
    <mergeCell ref="K33:L33"/>
    <mergeCell ref="B34:F34"/>
    <mergeCell ref="G34:J34"/>
    <mergeCell ref="K34:L34"/>
  </mergeCells>
  <phoneticPr fontId="0" type="noConversion"/>
  <printOptions horizontalCentered="1"/>
  <pageMargins left="0.1" right="0.1" top="0.25" bottom="0.5" header="0" footer="0"/>
  <pageSetup scale="81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Normal="100" workbookViewId="0">
      <selection activeCell="A3" sqref="A3"/>
    </sheetView>
  </sheetViews>
  <sheetFormatPr defaultRowHeight="12.75" x14ac:dyDescent="0.2"/>
  <cols>
    <col min="1" max="1" width="41.28515625" style="15" bestFit="1" customWidth="1"/>
    <col min="2" max="2" width="6.85546875" style="15" bestFit="1" customWidth="1"/>
    <col min="3" max="4" width="7" style="15" bestFit="1" customWidth="1"/>
    <col min="5" max="5" width="6.85546875" style="15" bestFit="1" customWidth="1"/>
    <col min="6" max="6" width="10.42578125" style="16" bestFit="1" customWidth="1"/>
    <col min="7" max="7" width="8.140625" style="15" bestFit="1" customWidth="1"/>
    <col min="8" max="8" width="9" style="15" bestFit="1" customWidth="1"/>
    <col min="9" max="9" width="9.28515625" style="15" bestFit="1" customWidth="1"/>
    <col min="10" max="10" width="7.85546875" style="15" bestFit="1" customWidth="1"/>
    <col min="11" max="11" width="7.42578125" style="15" bestFit="1" customWidth="1"/>
    <col min="12" max="12" width="9.7109375" style="15" bestFit="1" customWidth="1"/>
    <col min="13" max="13" width="17.42578125" style="15" bestFit="1" customWidth="1"/>
    <col min="14" max="14" width="30" style="15" bestFit="1" customWidth="1"/>
    <col min="15" max="16384" width="9.140625" style="15"/>
  </cols>
  <sheetData>
    <row r="1" spans="1:14" ht="14.25" x14ac:dyDescent="0.25">
      <c r="A1" s="94" t="s">
        <v>515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x14ac:dyDescent="0.2">
      <c r="A2" s="94" t="s">
        <v>517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4" spans="1:14" x14ac:dyDescent="0.2">
      <c r="A4" s="49"/>
      <c r="B4" s="100" t="s">
        <v>254</v>
      </c>
      <c r="C4" s="100"/>
      <c r="D4" s="100"/>
      <c r="E4" s="100"/>
      <c r="F4" s="100" t="s">
        <v>172</v>
      </c>
      <c r="G4" s="100"/>
      <c r="H4" s="100"/>
      <c r="I4" s="55" t="s">
        <v>295</v>
      </c>
      <c r="J4" s="43" t="s">
        <v>306</v>
      </c>
      <c r="K4" s="43" t="s">
        <v>312</v>
      </c>
      <c r="L4" s="43" t="s">
        <v>310</v>
      </c>
      <c r="M4" s="43" t="s">
        <v>308</v>
      </c>
      <c r="N4" s="43" t="s">
        <v>315</v>
      </c>
    </row>
    <row r="5" spans="1:14" x14ac:dyDescent="0.2">
      <c r="A5" s="54" t="s">
        <v>65</v>
      </c>
      <c r="B5" s="53" t="s">
        <v>173</v>
      </c>
      <c r="C5" s="53" t="s">
        <v>174</v>
      </c>
      <c r="D5" s="53" t="s">
        <v>175</v>
      </c>
      <c r="E5" s="53" t="s">
        <v>176</v>
      </c>
      <c r="F5" s="53" t="s">
        <v>190</v>
      </c>
      <c r="G5" s="53" t="s">
        <v>189</v>
      </c>
      <c r="H5" s="56" t="s">
        <v>187</v>
      </c>
      <c r="I5" s="53" t="s">
        <v>296</v>
      </c>
      <c r="J5" s="43" t="s">
        <v>307</v>
      </c>
      <c r="K5" s="43" t="s">
        <v>313</v>
      </c>
      <c r="L5" s="43" t="s">
        <v>311</v>
      </c>
      <c r="M5" s="43" t="s">
        <v>309</v>
      </c>
      <c r="N5" s="43" t="s">
        <v>316</v>
      </c>
    </row>
    <row r="6" spans="1:14" x14ac:dyDescent="0.2">
      <c r="A6" s="17" t="s">
        <v>86</v>
      </c>
      <c r="B6" s="19">
        <v>9.0999999999999998E-2</v>
      </c>
      <c r="C6" s="19">
        <v>8.3000000000000004E-2</v>
      </c>
      <c r="D6" s="19">
        <v>8.3000000000000004E-2</v>
      </c>
      <c r="E6" s="19">
        <v>8.2000000000000003E-2</v>
      </c>
      <c r="F6" s="16">
        <v>1</v>
      </c>
      <c r="G6" s="68">
        <v>5647</v>
      </c>
      <c r="H6" s="20">
        <f>G6/5712</f>
        <v>0.98862044817927175</v>
      </c>
      <c r="I6" s="69">
        <v>8.5999999999999993E-2</v>
      </c>
      <c r="J6" s="33" t="s">
        <v>247</v>
      </c>
      <c r="K6" s="37" t="s">
        <v>360</v>
      </c>
      <c r="L6" s="37" t="s">
        <v>249</v>
      </c>
      <c r="M6" s="33" t="s">
        <v>357</v>
      </c>
      <c r="N6" s="84" t="s">
        <v>500</v>
      </c>
    </row>
    <row r="7" spans="1:14" x14ac:dyDescent="0.2">
      <c r="A7" s="17" t="s">
        <v>83</v>
      </c>
      <c r="B7" s="19">
        <v>0.104</v>
      </c>
      <c r="C7" s="19">
        <v>9.0999999999999998E-2</v>
      </c>
      <c r="D7" s="19">
        <v>8.2000000000000003E-2</v>
      </c>
      <c r="E7" s="19">
        <v>8.1000000000000003E-2</v>
      </c>
      <c r="F7" s="16">
        <v>2</v>
      </c>
      <c r="G7" s="68">
        <v>5569</v>
      </c>
      <c r="H7" s="20">
        <f>G7/5640</f>
        <v>0.98741134751773052</v>
      </c>
      <c r="I7" s="69">
        <v>8.5999999999999993E-2</v>
      </c>
      <c r="J7" s="33" t="s">
        <v>247</v>
      </c>
      <c r="K7" s="37" t="s">
        <v>353</v>
      </c>
      <c r="L7" s="37" t="s">
        <v>249</v>
      </c>
      <c r="M7" s="33" t="s">
        <v>357</v>
      </c>
      <c r="N7" s="84" t="s">
        <v>502</v>
      </c>
    </row>
    <row r="8" spans="1:14" x14ac:dyDescent="0.2">
      <c r="A8" s="17" t="s">
        <v>209</v>
      </c>
      <c r="B8" s="19">
        <v>8.8999999999999996E-2</v>
      </c>
      <c r="C8" s="19">
        <v>8.5000000000000006E-2</v>
      </c>
      <c r="D8" s="19">
        <v>8.4000000000000005E-2</v>
      </c>
      <c r="E8" s="19">
        <v>7.9000000000000001E-2</v>
      </c>
      <c r="F8" s="16">
        <v>2</v>
      </c>
      <c r="G8" s="68">
        <v>8625</v>
      </c>
      <c r="H8" s="20">
        <f>G8/8760</f>
        <v>0.9845890410958904</v>
      </c>
      <c r="I8" s="69" t="s">
        <v>304</v>
      </c>
      <c r="J8" s="33" t="s">
        <v>250</v>
      </c>
      <c r="K8" s="37" t="s">
        <v>358</v>
      </c>
      <c r="L8" s="37" t="s">
        <v>249</v>
      </c>
      <c r="M8" s="33" t="s">
        <v>357</v>
      </c>
      <c r="N8" s="84" t="s">
        <v>500</v>
      </c>
    </row>
    <row r="9" spans="1:14" x14ac:dyDescent="0.2">
      <c r="A9" s="17" t="s">
        <v>89</v>
      </c>
      <c r="B9" s="19">
        <v>9.8000000000000004E-2</v>
      </c>
      <c r="C9" s="19">
        <v>9.1999999999999998E-2</v>
      </c>
      <c r="D9" s="19">
        <v>8.8999999999999996E-2</v>
      </c>
      <c r="E9" s="19">
        <v>8.7999999999999995E-2</v>
      </c>
      <c r="F9" s="16">
        <v>8</v>
      </c>
      <c r="G9" s="68">
        <v>5535</v>
      </c>
      <c r="H9" s="20">
        <f>G9/5616</f>
        <v>0.98557692307692313</v>
      </c>
      <c r="I9" s="69">
        <v>9.0999999999999998E-2</v>
      </c>
      <c r="J9" s="33" t="s">
        <v>359</v>
      </c>
      <c r="K9" s="37" t="s">
        <v>248</v>
      </c>
      <c r="L9" s="37" t="s">
        <v>249</v>
      </c>
      <c r="M9" s="33" t="s">
        <v>357</v>
      </c>
      <c r="N9" s="84" t="s">
        <v>503</v>
      </c>
    </row>
    <row r="10" spans="1:14" x14ac:dyDescent="0.2">
      <c r="A10" s="17" t="s">
        <v>147</v>
      </c>
      <c r="B10" s="19">
        <v>9.8000000000000004E-2</v>
      </c>
      <c r="C10" s="19">
        <v>8.8999999999999996E-2</v>
      </c>
      <c r="D10" s="19">
        <v>7.4999999999999997E-2</v>
      </c>
      <c r="E10" s="19">
        <v>7.3999999999999996E-2</v>
      </c>
      <c r="F10" s="16">
        <v>2</v>
      </c>
      <c r="G10" s="68">
        <v>8242</v>
      </c>
      <c r="H10" s="20">
        <f>G10/8760</f>
        <v>0.94086757990867576</v>
      </c>
      <c r="I10" s="69">
        <v>8.4000000000000005E-2</v>
      </c>
      <c r="J10" s="33" t="s">
        <v>247</v>
      </c>
      <c r="K10" s="37" t="s">
        <v>353</v>
      </c>
      <c r="L10" s="37" t="s">
        <v>249</v>
      </c>
      <c r="M10" s="33" t="s">
        <v>357</v>
      </c>
      <c r="N10" s="84" t="s">
        <v>502</v>
      </c>
    </row>
    <row r="11" spans="1:14" x14ac:dyDescent="0.2">
      <c r="A11" s="17" t="s">
        <v>92</v>
      </c>
      <c r="B11" s="19">
        <v>7.3999999999999996E-2</v>
      </c>
      <c r="C11" s="19">
        <v>7.1999999999999995E-2</v>
      </c>
      <c r="D11" s="19">
        <v>7.0999999999999994E-2</v>
      </c>
      <c r="E11" s="19">
        <v>7.0999999999999994E-2</v>
      </c>
      <c r="F11" s="16">
        <v>0</v>
      </c>
      <c r="G11" s="68">
        <v>7975</v>
      </c>
      <c r="H11" s="20">
        <f>G11/8760</f>
        <v>0.91038812785388123</v>
      </c>
      <c r="I11" s="69">
        <v>7.6999999999999999E-2</v>
      </c>
      <c r="J11" s="33" t="s">
        <v>359</v>
      </c>
      <c r="K11" s="37" t="s">
        <v>358</v>
      </c>
      <c r="L11" s="37" t="s">
        <v>249</v>
      </c>
      <c r="M11" s="33" t="s">
        <v>357</v>
      </c>
      <c r="N11" s="84" t="s">
        <v>504</v>
      </c>
    </row>
    <row r="12" spans="1:14" x14ac:dyDescent="0.2">
      <c r="A12" s="17" t="s">
        <v>94</v>
      </c>
      <c r="B12" s="19">
        <v>7.0999999999999994E-2</v>
      </c>
      <c r="C12" s="19">
        <v>6.9000000000000006E-2</v>
      </c>
      <c r="D12" s="19">
        <v>6.8000000000000005E-2</v>
      </c>
      <c r="E12" s="19">
        <v>6.8000000000000005E-2</v>
      </c>
      <c r="F12" s="16">
        <v>0</v>
      </c>
      <c r="G12" s="68">
        <v>4741</v>
      </c>
      <c r="H12" s="20">
        <f>G12/5563</f>
        <v>0.85223800107855474</v>
      </c>
      <c r="I12" s="69">
        <v>7.8E-2</v>
      </c>
      <c r="J12" s="33" t="s">
        <v>359</v>
      </c>
      <c r="K12" s="37" t="s">
        <v>353</v>
      </c>
      <c r="L12" s="37" t="s">
        <v>249</v>
      </c>
      <c r="M12" s="33" t="s">
        <v>352</v>
      </c>
      <c r="N12" s="84" t="s">
        <v>503</v>
      </c>
    </row>
    <row r="13" spans="1:14" x14ac:dyDescent="0.2">
      <c r="A13" s="17" t="s">
        <v>16</v>
      </c>
      <c r="B13" s="19">
        <v>7.2999999999999995E-2</v>
      </c>
      <c r="C13" s="19">
        <v>7.1999999999999995E-2</v>
      </c>
      <c r="D13" s="19">
        <v>7.0999999999999994E-2</v>
      </c>
      <c r="E13" s="19">
        <v>6.8000000000000005E-2</v>
      </c>
      <c r="F13" s="16">
        <v>0</v>
      </c>
      <c r="G13" s="68">
        <v>7766</v>
      </c>
      <c r="H13" s="20">
        <f>G13/8760</f>
        <v>0.88652968036529678</v>
      </c>
      <c r="I13" s="69">
        <v>7.4999999999999997E-2</v>
      </c>
      <c r="J13" s="33" t="s">
        <v>247</v>
      </c>
      <c r="K13" s="37" t="s">
        <v>353</v>
      </c>
      <c r="L13" s="37" t="s">
        <v>249</v>
      </c>
      <c r="M13" s="33" t="s">
        <v>354</v>
      </c>
      <c r="N13" s="84" t="s">
        <v>500</v>
      </c>
    </row>
    <row r="14" spans="1:14" x14ac:dyDescent="0.2">
      <c r="A14" s="17" t="s">
        <v>156</v>
      </c>
      <c r="B14" s="19">
        <v>9.6000000000000002E-2</v>
      </c>
      <c r="C14" s="19">
        <v>8.4000000000000005E-2</v>
      </c>
      <c r="D14" s="19">
        <v>8.3000000000000004E-2</v>
      </c>
      <c r="E14" s="19">
        <v>0.08</v>
      </c>
      <c r="F14" s="16">
        <v>1</v>
      </c>
      <c r="G14" s="68">
        <v>6816</v>
      </c>
      <c r="H14" s="20">
        <f>G14/7080</f>
        <v>0.96271186440677969</v>
      </c>
      <c r="I14" s="69">
        <v>8.6999999999999994E-2</v>
      </c>
      <c r="J14" s="33" t="s">
        <v>247</v>
      </c>
      <c r="K14" s="37" t="s">
        <v>358</v>
      </c>
      <c r="L14" s="37" t="s">
        <v>249</v>
      </c>
      <c r="M14" s="33" t="s">
        <v>357</v>
      </c>
      <c r="N14" s="84" t="s">
        <v>504</v>
      </c>
    </row>
    <row r="15" spans="1:14" x14ac:dyDescent="0.2">
      <c r="A15" s="17" t="s">
        <v>99</v>
      </c>
      <c r="B15" s="19">
        <v>9.0999999999999998E-2</v>
      </c>
      <c r="C15" s="19">
        <v>8.5000000000000006E-2</v>
      </c>
      <c r="D15" s="19">
        <v>8.3000000000000004E-2</v>
      </c>
      <c r="E15" s="19">
        <v>8.3000000000000004E-2</v>
      </c>
      <c r="F15" s="16">
        <v>2</v>
      </c>
      <c r="G15" s="68">
        <v>5632</v>
      </c>
      <c r="H15" s="20">
        <f>G15/5664</f>
        <v>0.99435028248587576</v>
      </c>
      <c r="I15" s="69">
        <v>8.5000000000000006E-2</v>
      </c>
      <c r="J15" s="33" t="s">
        <v>247</v>
      </c>
      <c r="K15" s="37" t="s">
        <v>358</v>
      </c>
      <c r="L15" s="37" t="s">
        <v>249</v>
      </c>
      <c r="M15" s="33" t="s">
        <v>357</v>
      </c>
      <c r="N15" s="84" t="s">
        <v>500</v>
      </c>
    </row>
    <row r="16" spans="1:14" x14ac:dyDescent="0.2">
      <c r="A16" s="17" t="s">
        <v>102</v>
      </c>
      <c r="B16" s="19">
        <v>8.3000000000000004E-2</v>
      </c>
      <c r="C16" s="19">
        <v>7.9000000000000001E-2</v>
      </c>
      <c r="D16" s="19">
        <v>7.8E-2</v>
      </c>
      <c r="E16" s="19">
        <v>7.5999999999999998E-2</v>
      </c>
      <c r="F16" s="16">
        <v>0</v>
      </c>
      <c r="G16" s="68">
        <v>5905</v>
      </c>
      <c r="H16" s="20">
        <f>G16/6000</f>
        <v>0.98416666666666663</v>
      </c>
      <c r="I16" s="69">
        <v>7.9000000000000001E-2</v>
      </c>
      <c r="J16" s="33" t="s">
        <v>250</v>
      </c>
      <c r="K16" s="37" t="s">
        <v>358</v>
      </c>
      <c r="L16" s="37" t="s">
        <v>249</v>
      </c>
      <c r="M16" s="33" t="s">
        <v>357</v>
      </c>
      <c r="N16" s="84" t="s">
        <v>500</v>
      </c>
    </row>
    <row r="17" spans="1:14" x14ac:dyDescent="0.2">
      <c r="A17" s="17" t="s">
        <v>157</v>
      </c>
      <c r="B17" s="19">
        <v>8.5000000000000006E-2</v>
      </c>
      <c r="C17" s="19">
        <v>8.4000000000000005E-2</v>
      </c>
      <c r="D17" s="19">
        <v>8.1000000000000003E-2</v>
      </c>
      <c r="E17" s="19">
        <v>8.1000000000000003E-2</v>
      </c>
      <c r="F17" s="16">
        <v>1</v>
      </c>
      <c r="G17" s="68">
        <v>8639</v>
      </c>
      <c r="H17" s="20">
        <f>G17/8760</f>
        <v>0.9861872146118722</v>
      </c>
      <c r="I17" s="69">
        <v>8.5999999999999993E-2</v>
      </c>
      <c r="J17" s="33" t="s">
        <v>247</v>
      </c>
      <c r="K17" s="37" t="s">
        <v>358</v>
      </c>
      <c r="L17" s="37" t="s">
        <v>249</v>
      </c>
      <c r="M17" s="33" t="s">
        <v>357</v>
      </c>
      <c r="N17" s="84" t="s">
        <v>500</v>
      </c>
    </row>
    <row r="18" spans="1:14" x14ac:dyDescent="0.2">
      <c r="A18" s="17" t="s">
        <v>107</v>
      </c>
      <c r="B18" s="19">
        <v>7.8E-2</v>
      </c>
      <c r="C18" s="19">
        <v>7.6999999999999999E-2</v>
      </c>
      <c r="D18" s="19">
        <v>7.6999999999999999E-2</v>
      </c>
      <c r="E18" s="19">
        <v>7.6999999999999999E-2</v>
      </c>
      <c r="F18" s="16">
        <v>0</v>
      </c>
      <c r="G18" s="68">
        <v>8170</v>
      </c>
      <c r="H18" s="20">
        <f>G18/8760</f>
        <v>0.93264840182648401</v>
      </c>
      <c r="I18" s="69">
        <v>8.1000000000000003E-2</v>
      </c>
      <c r="J18" s="33" t="s">
        <v>359</v>
      </c>
      <c r="K18" s="37" t="s">
        <v>358</v>
      </c>
      <c r="L18" s="37" t="s">
        <v>249</v>
      </c>
      <c r="M18" s="33" t="s">
        <v>357</v>
      </c>
      <c r="N18" s="84" t="s">
        <v>504</v>
      </c>
    </row>
    <row r="19" spans="1:14" x14ac:dyDescent="0.2">
      <c r="A19" s="17" t="s">
        <v>158</v>
      </c>
      <c r="B19" s="19">
        <v>8.5000000000000006E-2</v>
      </c>
      <c r="C19" s="19">
        <v>8.1000000000000003E-2</v>
      </c>
      <c r="D19" s="19">
        <v>7.9000000000000001E-2</v>
      </c>
      <c r="E19" s="19">
        <v>7.8E-2</v>
      </c>
      <c r="F19" s="16">
        <v>1</v>
      </c>
      <c r="G19" s="68">
        <v>8665</v>
      </c>
      <c r="H19" s="20">
        <f>G19/8760</f>
        <v>0.98915525114155256</v>
      </c>
      <c r="I19" s="69">
        <v>8.2000000000000003E-2</v>
      </c>
      <c r="J19" s="33" t="s">
        <v>247</v>
      </c>
      <c r="K19" s="37" t="s">
        <v>358</v>
      </c>
      <c r="L19" s="37" t="s">
        <v>249</v>
      </c>
      <c r="M19" s="33" t="s">
        <v>354</v>
      </c>
      <c r="N19" s="84" t="s">
        <v>499</v>
      </c>
    </row>
    <row r="20" spans="1:14" x14ac:dyDescent="0.2">
      <c r="A20" s="17" t="s">
        <v>159</v>
      </c>
      <c r="B20" s="19">
        <v>9.7000000000000003E-2</v>
      </c>
      <c r="C20" s="19">
        <v>0.09</v>
      </c>
      <c r="D20" s="19">
        <v>8.7999999999999995E-2</v>
      </c>
      <c r="E20" s="19">
        <v>8.7999999999999995E-2</v>
      </c>
      <c r="F20" s="16">
        <v>7</v>
      </c>
      <c r="G20" s="68">
        <v>5618</v>
      </c>
      <c r="H20" s="20">
        <f>G20/5664</f>
        <v>0.99187853107344637</v>
      </c>
      <c r="I20" s="69">
        <v>8.7999999999999995E-2</v>
      </c>
      <c r="J20" s="33" t="s">
        <v>247</v>
      </c>
      <c r="K20" s="37" t="s">
        <v>248</v>
      </c>
      <c r="L20" s="37" t="s">
        <v>249</v>
      </c>
      <c r="M20" s="33" t="s">
        <v>357</v>
      </c>
      <c r="N20" s="84" t="s">
        <v>500</v>
      </c>
    </row>
    <row r="21" spans="1:14" x14ac:dyDescent="0.2">
      <c r="A21" s="17" t="s">
        <v>278</v>
      </c>
      <c r="B21" s="19">
        <v>9.0999999999999998E-2</v>
      </c>
      <c r="C21" s="19">
        <v>0.09</v>
      </c>
      <c r="D21" s="19">
        <v>8.5999999999999993E-2</v>
      </c>
      <c r="E21" s="19">
        <v>8.2000000000000003E-2</v>
      </c>
      <c r="F21" s="16">
        <v>3</v>
      </c>
      <c r="G21" s="68">
        <v>7138</v>
      </c>
      <c r="H21" s="20">
        <f>G21/7248</f>
        <v>0.98482339955849885</v>
      </c>
      <c r="I21" s="69">
        <v>9.0999999999999998E-2</v>
      </c>
      <c r="J21" s="33" t="s">
        <v>359</v>
      </c>
      <c r="K21" s="37" t="s">
        <v>248</v>
      </c>
      <c r="L21" s="37" t="s">
        <v>249</v>
      </c>
      <c r="M21" s="33" t="s">
        <v>352</v>
      </c>
      <c r="N21" s="84" t="s">
        <v>503</v>
      </c>
    </row>
    <row r="22" spans="1:14" x14ac:dyDescent="0.2">
      <c r="A22" s="17" t="s">
        <v>204</v>
      </c>
      <c r="B22" s="19">
        <v>9.1999999999999998E-2</v>
      </c>
      <c r="C22" s="19">
        <v>7.6999999999999999E-2</v>
      </c>
      <c r="D22" s="19">
        <v>7.5999999999999998E-2</v>
      </c>
      <c r="E22" s="19">
        <v>7.5999999999999998E-2</v>
      </c>
      <c r="F22" s="16">
        <v>1</v>
      </c>
      <c r="G22" s="68">
        <v>8649</v>
      </c>
      <c r="H22" s="20">
        <f>G22/8760</f>
        <v>0.98732876712328765</v>
      </c>
      <c r="I22" s="69" t="s">
        <v>304</v>
      </c>
      <c r="J22" s="33" t="s">
        <v>250</v>
      </c>
      <c r="K22" s="37" t="s">
        <v>358</v>
      </c>
      <c r="L22" s="37" t="s">
        <v>249</v>
      </c>
      <c r="M22" s="33" t="s">
        <v>351</v>
      </c>
      <c r="N22" s="84" t="s">
        <v>500</v>
      </c>
    </row>
    <row r="23" spans="1:14" x14ac:dyDescent="0.2">
      <c r="A23" s="17" t="s">
        <v>160</v>
      </c>
      <c r="B23" s="19">
        <v>9.7000000000000003E-2</v>
      </c>
      <c r="C23" s="19">
        <v>9.2999999999999999E-2</v>
      </c>
      <c r="D23" s="19">
        <v>9.1999999999999998E-2</v>
      </c>
      <c r="E23" s="19">
        <v>9.0999999999999998E-2</v>
      </c>
      <c r="F23" s="16">
        <v>7</v>
      </c>
      <c r="G23" s="68">
        <v>7086</v>
      </c>
      <c r="H23" s="20">
        <f>G23/7320</f>
        <v>0.96803278688524586</v>
      </c>
      <c r="I23" s="69">
        <v>9.4E-2</v>
      </c>
      <c r="J23" s="33" t="s">
        <v>359</v>
      </c>
      <c r="K23" s="37" t="s">
        <v>358</v>
      </c>
      <c r="L23" s="37" t="s">
        <v>249</v>
      </c>
      <c r="M23" s="33" t="s">
        <v>357</v>
      </c>
      <c r="N23" s="84" t="s">
        <v>504</v>
      </c>
    </row>
    <row r="24" spans="1:14" x14ac:dyDescent="0.2">
      <c r="A24" s="17" t="s">
        <v>69</v>
      </c>
      <c r="B24" s="19">
        <v>6.6000000000000003E-2</v>
      </c>
      <c r="C24" s="19">
        <v>6.0999999999999999E-2</v>
      </c>
      <c r="D24" s="19">
        <v>5.3999999999999999E-2</v>
      </c>
      <c r="E24" s="19">
        <v>5.2999999999999999E-2</v>
      </c>
      <c r="F24" s="16">
        <v>0</v>
      </c>
      <c r="G24" s="68">
        <v>1790</v>
      </c>
      <c r="H24" s="20">
        <f>G24/2088</f>
        <v>0.85727969348659006</v>
      </c>
      <c r="I24" s="69">
        <v>6.9000000000000006E-2</v>
      </c>
      <c r="J24" s="33" t="s">
        <v>250</v>
      </c>
      <c r="K24" s="37" t="s">
        <v>358</v>
      </c>
      <c r="L24" s="37" t="s">
        <v>249</v>
      </c>
      <c r="M24" s="33" t="s">
        <v>361</v>
      </c>
      <c r="N24" s="84" t="s">
        <v>500</v>
      </c>
    </row>
    <row r="25" spans="1:14" x14ac:dyDescent="0.2">
      <c r="A25" s="17" t="s">
        <v>161</v>
      </c>
      <c r="B25" s="19">
        <v>9.4E-2</v>
      </c>
      <c r="C25" s="19">
        <v>9.2999999999999999E-2</v>
      </c>
      <c r="D25" s="19">
        <v>0.09</v>
      </c>
      <c r="E25" s="19">
        <v>0.09</v>
      </c>
      <c r="F25" s="16">
        <v>9</v>
      </c>
      <c r="G25" s="68">
        <v>7204</v>
      </c>
      <c r="H25" s="20">
        <f>G25/7632</f>
        <v>0.94392033542976939</v>
      </c>
      <c r="I25" s="69">
        <v>9.2999999999999999E-2</v>
      </c>
      <c r="J25" s="33" t="s">
        <v>359</v>
      </c>
      <c r="K25" s="37" t="s">
        <v>248</v>
      </c>
      <c r="L25" s="37" t="s">
        <v>249</v>
      </c>
      <c r="M25" s="33" t="s">
        <v>357</v>
      </c>
      <c r="N25" s="84" t="s">
        <v>503</v>
      </c>
    </row>
    <row r="26" spans="1:14" x14ac:dyDescent="0.2">
      <c r="A26" s="17" t="s">
        <v>115</v>
      </c>
      <c r="B26" s="19">
        <v>8.3000000000000004E-2</v>
      </c>
      <c r="C26" s="19">
        <v>7.9000000000000001E-2</v>
      </c>
      <c r="D26" s="19">
        <v>7.9000000000000001E-2</v>
      </c>
      <c r="E26" s="19">
        <v>7.9000000000000001E-2</v>
      </c>
      <c r="F26" s="16">
        <v>0</v>
      </c>
      <c r="G26" s="68">
        <v>7135</v>
      </c>
      <c r="H26" s="20">
        <f>G26/7416</f>
        <v>0.96210895361380799</v>
      </c>
      <c r="I26" s="69">
        <v>8.1000000000000003E-2</v>
      </c>
      <c r="J26" s="33" t="s">
        <v>247</v>
      </c>
      <c r="K26" s="37" t="s">
        <v>360</v>
      </c>
      <c r="L26" s="37" t="s">
        <v>249</v>
      </c>
      <c r="M26" s="33" t="s">
        <v>357</v>
      </c>
      <c r="N26" s="84" t="s">
        <v>500</v>
      </c>
    </row>
    <row r="27" spans="1:14" x14ac:dyDescent="0.2">
      <c r="A27" s="17" t="s">
        <v>117</v>
      </c>
      <c r="B27" s="19">
        <v>7.0999999999999994E-2</v>
      </c>
      <c r="C27" s="19">
        <v>6.8000000000000005E-2</v>
      </c>
      <c r="D27" s="19">
        <v>6.7000000000000004E-2</v>
      </c>
      <c r="E27" s="19">
        <v>6.7000000000000004E-2</v>
      </c>
      <c r="F27" s="16">
        <v>0</v>
      </c>
      <c r="G27" s="68">
        <v>5865</v>
      </c>
      <c r="H27" s="20">
        <f>G27/6072</f>
        <v>0.96590909090909094</v>
      </c>
      <c r="I27" s="69">
        <v>7.2999999999999995E-2</v>
      </c>
      <c r="J27" s="33" t="s">
        <v>250</v>
      </c>
      <c r="K27" s="37" t="s">
        <v>360</v>
      </c>
      <c r="L27" s="37" t="s">
        <v>249</v>
      </c>
      <c r="M27" s="33" t="s">
        <v>357</v>
      </c>
      <c r="N27" s="84" t="s">
        <v>500</v>
      </c>
    </row>
    <row r="28" spans="1:14" x14ac:dyDescent="0.2">
      <c r="A28" s="17" t="s">
        <v>162</v>
      </c>
      <c r="B28" s="19">
        <v>8.4000000000000005E-2</v>
      </c>
      <c r="C28" s="19">
        <v>8.1000000000000003E-2</v>
      </c>
      <c r="D28" s="19">
        <v>8.1000000000000003E-2</v>
      </c>
      <c r="E28" s="19">
        <v>0.08</v>
      </c>
      <c r="F28" s="16">
        <v>0</v>
      </c>
      <c r="G28" s="68">
        <v>5209</v>
      </c>
      <c r="H28" s="20">
        <f>G28/5352</f>
        <v>0.97328101644245146</v>
      </c>
      <c r="I28" s="69">
        <v>8.3000000000000004E-2</v>
      </c>
      <c r="J28" s="33" t="s">
        <v>247</v>
      </c>
      <c r="K28" s="37" t="s">
        <v>360</v>
      </c>
      <c r="L28" s="37" t="s">
        <v>249</v>
      </c>
      <c r="M28" s="33" t="s">
        <v>357</v>
      </c>
      <c r="N28" s="84" t="s">
        <v>505</v>
      </c>
    </row>
    <row r="29" spans="1:14" x14ac:dyDescent="0.2">
      <c r="A29" s="17"/>
      <c r="B29" s="19"/>
      <c r="C29" s="19"/>
      <c r="D29" s="19"/>
      <c r="E29" s="19"/>
      <c r="G29" s="16"/>
      <c r="H29" s="20"/>
    </row>
    <row r="30" spans="1:14" x14ac:dyDescent="0.2">
      <c r="A30" s="15" t="s">
        <v>245</v>
      </c>
      <c r="F30" s="23">
        <f>AVERAGE(F6:F28)</f>
        <v>2.0434782608695654</v>
      </c>
      <c r="G30" s="23">
        <f>AVERAGE(G6:G28)</f>
        <v>6679.173913043478</v>
      </c>
      <c r="H30" s="21">
        <f>SUM(G6:G28)/160147</f>
        <v>0.95924993911843492</v>
      </c>
    </row>
    <row r="31" spans="1:14" x14ac:dyDescent="0.2">
      <c r="A31" s="15" t="s">
        <v>246</v>
      </c>
      <c r="B31" s="24">
        <f>MAX(B6:E28)</f>
        <v>0.104</v>
      </c>
      <c r="C31" s="19">
        <v>9.8000000000000004E-2</v>
      </c>
      <c r="D31" s="19">
        <v>9.8000000000000004E-2</v>
      </c>
      <c r="E31" s="19">
        <v>9.7000000000000003E-2</v>
      </c>
    </row>
    <row r="33" spans="1:12" x14ac:dyDescent="0.2">
      <c r="A33" s="15" t="s">
        <v>305</v>
      </c>
    </row>
    <row r="35" spans="1:12" x14ac:dyDescent="0.2">
      <c r="A35" s="43" t="s">
        <v>261</v>
      </c>
      <c r="B35" s="103" t="s">
        <v>262</v>
      </c>
      <c r="C35" s="103"/>
      <c r="D35" s="103"/>
      <c r="E35" s="103"/>
      <c r="F35" s="103"/>
      <c r="G35" s="103" t="s">
        <v>263</v>
      </c>
      <c r="H35" s="103"/>
      <c r="I35" s="103"/>
      <c r="J35" s="103"/>
      <c r="K35" s="103" t="s">
        <v>264</v>
      </c>
      <c r="L35" s="103"/>
    </row>
    <row r="36" spans="1:12" x14ac:dyDescent="0.2">
      <c r="A36" s="37" t="s">
        <v>333</v>
      </c>
      <c r="B36" s="96" t="s">
        <v>266</v>
      </c>
      <c r="C36" s="96"/>
      <c r="D36" s="96"/>
      <c r="E36" s="96"/>
      <c r="F36" s="96"/>
      <c r="G36" s="96" t="s">
        <v>334</v>
      </c>
      <c r="H36" s="96"/>
      <c r="I36" s="96"/>
      <c r="J36" s="96"/>
      <c r="K36" s="96" t="s">
        <v>268</v>
      </c>
      <c r="L36" s="96"/>
    </row>
    <row r="38" spans="1:12" x14ac:dyDescent="0.2">
      <c r="A38" s="1" t="s">
        <v>469</v>
      </c>
      <c r="B38" s="8">
        <f>COUNTA(A6:A28)</f>
        <v>23</v>
      </c>
      <c r="C38" s="19"/>
      <c r="D38" s="19"/>
      <c r="E38" s="19"/>
    </row>
  </sheetData>
  <mergeCells count="10">
    <mergeCell ref="B4:E4"/>
    <mergeCell ref="F4:H4"/>
    <mergeCell ref="A1:N1"/>
    <mergeCell ref="A2:N2"/>
    <mergeCell ref="B35:F35"/>
    <mergeCell ref="G35:J35"/>
    <mergeCell ref="K35:L35"/>
    <mergeCell ref="B36:F36"/>
    <mergeCell ref="G36:J36"/>
    <mergeCell ref="K36:L36"/>
  </mergeCells>
  <phoneticPr fontId="0" type="noConversion"/>
  <printOptions horizontalCentered="1"/>
  <pageMargins left="0.1" right="0.1" top="0.25" bottom="0.5" header="0" footer="0"/>
  <pageSetup scale="77" fitToHeight="0" orientation="landscape" r:id="rId1"/>
  <headerFooter alignWithMargins="0">
    <oddFooter>&amp;C&amp;8For the year of 2001</oddFooter>
  </headerFooter>
  <rowBreaks count="1" manualBreakCount="1">
    <brk id="40" max="16383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DEFINE</vt:lpstr>
      <vt:lpstr>SITE INFO</vt:lpstr>
      <vt:lpstr>TSP</vt:lpstr>
      <vt:lpstr>Pb</vt:lpstr>
      <vt:lpstr>CO</vt:lpstr>
      <vt:lpstr>SO2</vt:lpstr>
      <vt:lpstr>NO2</vt:lpstr>
      <vt:lpstr>O3 1hr</vt:lpstr>
      <vt:lpstr>O3 8hr</vt:lpstr>
      <vt:lpstr>PM10</vt:lpstr>
      <vt:lpstr>PM2.5</vt:lpstr>
      <vt:lpstr>Rain</vt:lpstr>
      <vt:lpstr>SUM-1</vt:lpstr>
      <vt:lpstr>SUM-2</vt:lpstr>
      <vt:lpstr>SUM-3</vt:lpstr>
    </vt:vector>
  </TitlesOfParts>
  <Company>SC DHEC - DAQA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SUMMARY REPORT</dc:title>
  <dc:subject>SUMMARY FOR EACH DATA PARAMETER</dc:subject>
  <dc:creator>John L. Schrenk</dc:creator>
  <dc:description>For the year 2001</dc:description>
  <cp:lastModifiedBy>Ben Zorn</cp:lastModifiedBy>
  <cp:lastPrinted>2002-09-23T19:30:58Z</cp:lastPrinted>
  <dcterms:created xsi:type="dcterms:W3CDTF">2000-07-25T17:58:27Z</dcterms:created>
  <dcterms:modified xsi:type="dcterms:W3CDTF">2018-06-14T00:27:24Z</dcterms:modified>
</cp:coreProperties>
</file>