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F839E847-43BF-416D-B524-FA589FB5681B}" xr6:coauthVersionLast="34" xr6:coauthVersionMax="34" xr10:uidLastSave="{00000000-0000-0000-0000-000000000000}"/>
  <bookViews>
    <workbookView xWindow="32760" yWindow="32760" windowWidth="9690" windowHeight="7290" tabRatio="928" firstSheet="6" activeTab="7"/>
  </bookViews>
  <sheets>
    <sheet name="INCOME STATEMENT" sheetId="1" r:id="rId1"/>
    <sheet name="BALANCE SHEET" sheetId="2" r:id="rId2"/>
    <sheet name="CHANGES IN EQUITY" sheetId="3" r:id="rId3"/>
    <sheet name="CASH FLOW STATEMENT" sheetId="4" r:id="rId4"/>
    <sheet name="NOTES TO FS" sheetId="5" r:id="rId5"/>
    <sheet name="DISCLOSURE NOTES" sheetId="6" r:id="rId6"/>
    <sheet name="ANNEXURE 1D" sheetId="25" r:id="rId7"/>
    <sheet name="ANNEXURE 2A" sheetId="31" r:id="rId8"/>
    <sheet name="ANNEXURE 3" sheetId="26" r:id="rId9"/>
    <sheet name="ANNEXURE 4 " sheetId="27" r:id="rId10"/>
    <sheet name="APPROPRIATION STATEMENT" sheetId="32" r:id="rId11"/>
    <sheet name="NOTES TO APPR. STATEMENT" sheetId="9" r:id="rId12"/>
  </sheets>
  <definedNames>
    <definedName name="_xlnm.Print_Area" localSheetId="10">'APPROPRIATION STATEMENT'!$A$1:$J$413</definedName>
    <definedName name="_xlnm.Print_Area" localSheetId="3">'CASH FLOW STATEMENT'!$A$1:$D$22</definedName>
    <definedName name="_xlnm.Print_Area" localSheetId="5">'DISCLOSURE NOTES'!$A$1:$H$92</definedName>
    <definedName name="_xlnm.Print_Area" localSheetId="0">'INCOME STATEMENT'!$A$1:$D$43</definedName>
    <definedName name="_xlnm.Print_Area" localSheetId="4">'NOTES TO FS'!$A$1:$G$373</definedName>
    <definedName name="_xlnm.Print_Titles" localSheetId="6">'ANNEXURE 1D'!$1:$1</definedName>
  </definedNames>
  <calcPr calcId="179017"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25" l="1"/>
  <c r="F8" i="25"/>
  <c r="G8" i="25"/>
  <c r="I8" i="25" s="1"/>
  <c r="D9" i="25"/>
  <c r="D18" i="25" s="1"/>
  <c r="G9" i="25"/>
  <c r="F10" i="25"/>
  <c r="I10" i="25" s="1"/>
  <c r="D11" i="25"/>
  <c r="F11" i="25"/>
  <c r="G11" i="25"/>
  <c r="I11" i="25" s="1"/>
  <c r="D12" i="25"/>
  <c r="F12" i="25"/>
  <c r="G12" i="25"/>
  <c r="G18" i="25" s="1"/>
  <c r="I12" i="25"/>
  <c r="F13" i="25"/>
  <c r="I13" i="25"/>
  <c r="F14" i="25"/>
  <c r="I14" i="25" s="1"/>
  <c r="F15" i="25"/>
  <c r="I15" i="25" s="1"/>
  <c r="D16" i="25"/>
  <c r="F16" i="25" s="1"/>
  <c r="I16" i="25" s="1"/>
  <c r="G16" i="25"/>
  <c r="D17" i="25"/>
  <c r="F17" i="25" s="1"/>
  <c r="J18" i="25"/>
  <c r="K18" i="25"/>
  <c r="H11" i="26"/>
  <c r="H12" i="26"/>
  <c r="C13" i="26"/>
  <c r="D13" i="26"/>
  <c r="E13" i="26"/>
  <c r="H13" i="26"/>
  <c r="E14" i="26"/>
  <c r="F14" i="26"/>
  <c r="H14" i="26"/>
  <c r="H15" i="26"/>
  <c r="D16" i="26"/>
  <c r="H16" i="26" s="1"/>
  <c r="E16" i="26"/>
  <c r="H17" i="26"/>
  <c r="H18" i="26"/>
  <c r="H19" i="26"/>
  <c r="D20" i="26"/>
  <c r="H20" i="26" s="1"/>
  <c r="E21" i="26"/>
  <c r="H21" i="26" s="1"/>
  <c r="C23" i="26"/>
  <c r="D23" i="26"/>
  <c r="E23" i="26"/>
  <c r="F23" i="26"/>
  <c r="F28" i="26"/>
  <c r="H28" i="26" s="1"/>
  <c r="H29" i="26" s="1"/>
  <c r="C29" i="26"/>
  <c r="D29" i="26"/>
  <c r="C8" i="27"/>
  <c r="G8" i="27"/>
  <c r="G9" i="27"/>
  <c r="G12" i="27"/>
  <c r="C13" i="27"/>
  <c r="C11" i="27" s="1"/>
  <c r="C16" i="27" s="1"/>
  <c r="G13" i="27"/>
  <c r="G11" i="27" s="1"/>
  <c r="G16" i="27" s="1"/>
  <c r="G14" i="27"/>
  <c r="C21" i="27"/>
  <c r="G21" i="27"/>
  <c r="G29" i="27" s="1"/>
  <c r="G22" i="27"/>
  <c r="C24" i="27"/>
  <c r="G24" i="27"/>
  <c r="G25" i="27"/>
  <c r="G26" i="27"/>
  <c r="G27" i="27"/>
  <c r="C29" i="27"/>
  <c r="H8" i="32"/>
  <c r="L8" i="32"/>
  <c r="H9" i="32"/>
  <c r="L9" i="32"/>
  <c r="H11" i="32"/>
  <c r="I11" i="32"/>
  <c r="I30" i="32" s="1"/>
  <c r="L11" i="32"/>
  <c r="H12" i="32"/>
  <c r="H14" i="32"/>
  <c r="L14" i="32"/>
  <c r="H15" i="32"/>
  <c r="L15" i="32"/>
  <c r="H17" i="32"/>
  <c r="L17" i="32"/>
  <c r="H18" i="32"/>
  <c r="L18" i="32"/>
  <c r="H20" i="32"/>
  <c r="J20" i="32"/>
  <c r="J30" i="32" s="1"/>
  <c r="H21" i="32"/>
  <c r="J21" i="32"/>
  <c r="L20" i="32" s="1"/>
  <c r="L21" i="32"/>
  <c r="H23" i="32"/>
  <c r="L23" i="32"/>
  <c r="H24" i="32"/>
  <c r="L24" i="32"/>
  <c r="H26" i="32"/>
  <c r="L26" i="32"/>
  <c r="H27" i="32"/>
  <c r="L27" i="32"/>
  <c r="H29" i="32"/>
  <c r="L29" i="32"/>
  <c r="C30" i="32"/>
  <c r="E30" i="32"/>
  <c r="F30" i="32"/>
  <c r="G30" i="32"/>
  <c r="H30" i="32"/>
  <c r="H39" i="32"/>
  <c r="H40" i="32"/>
  <c r="H41" i="32"/>
  <c r="J41" i="32"/>
  <c r="H43" i="32"/>
  <c r="H44" i="32"/>
  <c r="J44" i="32"/>
  <c r="C45" i="32"/>
  <c r="E45" i="32"/>
  <c r="F45" i="32"/>
  <c r="G45" i="32"/>
  <c r="H45" i="32"/>
  <c r="I45" i="32"/>
  <c r="J45" i="32"/>
  <c r="H50" i="32"/>
  <c r="H51" i="32"/>
  <c r="H52" i="32"/>
  <c r="H53" i="32"/>
  <c r="H54" i="32"/>
  <c r="H55" i="32"/>
  <c r="H56" i="32"/>
  <c r="H57" i="32"/>
  <c r="H58" i="32"/>
  <c r="C59" i="32"/>
  <c r="E59" i="32"/>
  <c r="F59" i="32"/>
  <c r="G59" i="32"/>
  <c r="H59" i="32"/>
  <c r="I59" i="32"/>
  <c r="J59" i="32"/>
  <c r="E69" i="32"/>
  <c r="H69" i="32"/>
  <c r="E71" i="32"/>
  <c r="H71" i="32" s="1"/>
  <c r="E73" i="32"/>
  <c r="H73" i="32"/>
  <c r="E74" i="32"/>
  <c r="H74" i="32" s="1"/>
  <c r="E76" i="32"/>
  <c r="H76" i="32" s="1"/>
  <c r="E77" i="32"/>
  <c r="H77" i="32"/>
  <c r="C78" i="32"/>
  <c r="D78" i="32"/>
  <c r="E78" i="32"/>
  <c r="F78" i="32"/>
  <c r="H78" i="32"/>
  <c r="I78" i="32"/>
  <c r="J78" i="32"/>
  <c r="E85" i="32"/>
  <c r="H85" i="32" s="1"/>
  <c r="E86" i="32"/>
  <c r="H86" i="32" s="1"/>
  <c r="E88" i="32"/>
  <c r="H88" i="32" s="1"/>
  <c r="I88" i="32"/>
  <c r="I89" i="32" s="1"/>
  <c r="C89" i="32"/>
  <c r="D89" i="32"/>
  <c r="F89" i="32"/>
  <c r="J89" i="32"/>
  <c r="E95" i="32"/>
  <c r="H95" i="32" s="1"/>
  <c r="E96" i="32"/>
  <c r="H96" i="32" s="1"/>
  <c r="F96" i="32"/>
  <c r="E97" i="32"/>
  <c r="H97" i="32" s="1"/>
  <c r="E98" i="32"/>
  <c r="F98" i="32"/>
  <c r="H98" i="32"/>
  <c r="E99" i="32"/>
  <c r="H99" i="32" s="1"/>
  <c r="E100" i="32"/>
  <c r="H100" i="32"/>
  <c r="C101" i="32"/>
  <c r="D101" i="32"/>
  <c r="E101" i="32"/>
  <c r="F101" i="32"/>
  <c r="H101" i="32"/>
  <c r="I101" i="32"/>
  <c r="J101" i="32"/>
  <c r="E111" i="32"/>
  <c r="E127" i="32" s="1"/>
  <c r="H111" i="32"/>
  <c r="E112" i="32"/>
  <c r="H112" i="32"/>
  <c r="E114" i="32"/>
  <c r="H114" i="32"/>
  <c r="E115" i="32"/>
  <c r="H115" i="32"/>
  <c r="E117" i="32"/>
  <c r="H117" i="32" s="1"/>
  <c r="E118" i="32"/>
  <c r="H118" i="32"/>
  <c r="E120" i="32"/>
  <c r="H120" i="32" s="1"/>
  <c r="E121" i="32"/>
  <c r="H121" i="32"/>
  <c r="E123" i="32"/>
  <c r="H123" i="32" s="1"/>
  <c r="E124" i="32"/>
  <c r="H124" i="32" s="1"/>
  <c r="E126" i="32"/>
  <c r="G126" i="32"/>
  <c r="H126" i="32"/>
  <c r="C127" i="32"/>
  <c r="D127" i="32"/>
  <c r="F127" i="32"/>
  <c r="H127" i="32" s="1"/>
  <c r="G127" i="32"/>
  <c r="I127" i="32"/>
  <c r="J127" i="32"/>
  <c r="E134" i="32"/>
  <c r="E139" i="32" s="1"/>
  <c r="E135" i="32"/>
  <c r="G135" i="32" s="1"/>
  <c r="G139" i="32" s="1"/>
  <c r="E136" i="32"/>
  <c r="H136" i="32"/>
  <c r="E138" i="32"/>
  <c r="H138" i="32"/>
  <c r="C139" i="32"/>
  <c r="D139" i="32"/>
  <c r="F139" i="32"/>
  <c r="H139" i="32" s="1"/>
  <c r="I139" i="32"/>
  <c r="J139" i="32"/>
  <c r="E145" i="32"/>
  <c r="H145" i="32" s="1"/>
  <c r="E146" i="32"/>
  <c r="H146" i="32" s="1"/>
  <c r="E147" i="32"/>
  <c r="H147" i="32"/>
  <c r="E148" i="32"/>
  <c r="H148" i="32"/>
  <c r="E149" i="32"/>
  <c r="H149" i="32"/>
  <c r="E150" i="32"/>
  <c r="G150" i="32" s="1"/>
  <c r="G152" i="32" s="1"/>
  <c r="H150" i="32"/>
  <c r="E151" i="32"/>
  <c r="H151" i="32" s="1"/>
  <c r="C152" i="32"/>
  <c r="D152" i="32"/>
  <c r="E152" i="32"/>
  <c r="H152" i="32" s="1"/>
  <c r="F152" i="32"/>
  <c r="I152" i="32"/>
  <c r="J152" i="32"/>
  <c r="E162" i="32"/>
  <c r="E173" i="32" s="1"/>
  <c r="H173" i="32" s="1"/>
  <c r="H162" i="32"/>
  <c r="E164" i="32"/>
  <c r="H164" i="32" s="1"/>
  <c r="E166" i="32"/>
  <c r="H166" i="32" s="1"/>
  <c r="E168" i="32"/>
  <c r="H168" i="32" s="1"/>
  <c r="E169" i="32"/>
  <c r="H169" i="32"/>
  <c r="E171" i="32"/>
  <c r="H171" i="32" s="1"/>
  <c r="C173" i="32"/>
  <c r="D173" i="32"/>
  <c r="F173" i="32"/>
  <c r="I173" i="32"/>
  <c r="J173" i="32"/>
  <c r="D180" i="32"/>
  <c r="E180" i="32" s="1"/>
  <c r="F180" i="32"/>
  <c r="F185" i="32" s="1"/>
  <c r="E181" i="32"/>
  <c r="H181" i="32"/>
  <c r="D182" i="32"/>
  <c r="E182" i="32"/>
  <c r="H182" i="32" s="1"/>
  <c r="F182" i="32"/>
  <c r="E184" i="32"/>
  <c r="H184" i="32"/>
  <c r="C185" i="32"/>
  <c r="D185" i="32"/>
  <c r="I185" i="32"/>
  <c r="J185" i="32"/>
  <c r="E191" i="32"/>
  <c r="H191" i="32" s="1"/>
  <c r="E192" i="32"/>
  <c r="H192" i="32"/>
  <c r="E193" i="32"/>
  <c r="H193" i="32" s="1"/>
  <c r="E194" i="32"/>
  <c r="H194" i="32"/>
  <c r="E195" i="32"/>
  <c r="H195" i="32" s="1"/>
  <c r="E196" i="32"/>
  <c r="H196" i="32"/>
  <c r="C197" i="32"/>
  <c r="D197" i="32"/>
  <c r="E197" i="32"/>
  <c r="F197" i="32"/>
  <c r="H197" i="32"/>
  <c r="I197" i="32"/>
  <c r="J197" i="32"/>
  <c r="E207" i="32"/>
  <c r="H207" i="32"/>
  <c r="E208" i="32"/>
  <c r="H208" i="32"/>
  <c r="E210" i="32"/>
  <c r="E227" i="32" s="1"/>
  <c r="E211" i="32"/>
  <c r="H211" i="32"/>
  <c r="E213" i="32"/>
  <c r="H213" i="32" s="1"/>
  <c r="E214" i="32"/>
  <c r="H214" i="32"/>
  <c r="E216" i="32"/>
  <c r="H216" i="32" s="1"/>
  <c r="E217" i="32"/>
  <c r="H217" i="32"/>
  <c r="E219" i="32"/>
  <c r="H219" i="32" s="1"/>
  <c r="E220" i="32"/>
  <c r="H220" i="32" s="1"/>
  <c r="E222" i="32"/>
  <c r="H222" i="32"/>
  <c r="E224" i="32"/>
  <c r="H224" i="32"/>
  <c r="E226" i="32"/>
  <c r="H226" i="32"/>
  <c r="C227" i="32"/>
  <c r="D227" i="32"/>
  <c r="F227" i="32"/>
  <c r="H227" i="32" s="1"/>
  <c r="I227" i="32"/>
  <c r="J227" i="32"/>
  <c r="E234" i="32"/>
  <c r="E239" i="32" s="1"/>
  <c r="E235" i="32"/>
  <c r="H235" i="32"/>
  <c r="E236" i="32"/>
  <c r="H236" i="32" s="1"/>
  <c r="E238" i="32"/>
  <c r="H238" i="32"/>
  <c r="C239" i="32"/>
  <c r="D239" i="32"/>
  <c r="F239" i="32"/>
  <c r="H239" i="32" s="1"/>
  <c r="I239" i="32"/>
  <c r="J239" i="32"/>
  <c r="E245" i="32"/>
  <c r="H245" i="32" s="1"/>
  <c r="E246" i="32"/>
  <c r="H246" i="32" s="1"/>
  <c r="E247" i="32"/>
  <c r="H247" i="32"/>
  <c r="E248" i="32"/>
  <c r="H248" i="32"/>
  <c r="E249" i="32"/>
  <c r="H249" i="32"/>
  <c r="E250" i="32"/>
  <c r="H250" i="32"/>
  <c r="E251" i="32"/>
  <c r="H251" i="32"/>
  <c r="C252" i="32"/>
  <c r="D252" i="32"/>
  <c r="E252" i="32"/>
  <c r="F252" i="32"/>
  <c r="H252" i="32" s="1"/>
  <c r="I252" i="32"/>
  <c r="J252" i="32"/>
  <c r="E262" i="32"/>
  <c r="H262" i="32" s="1"/>
  <c r="E263" i="32"/>
  <c r="H263" i="32"/>
  <c r="E265" i="32"/>
  <c r="H265" i="32" s="1"/>
  <c r="E266" i="32"/>
  <c r="H266" i="32" s="1"/>
  <c r="E268" i="32"/>
  <c r="G268" i="32" s="1"/>
  <c r="E269" i="32"/>
  <c r="H269" i="32" s="1"/>
  <c r="E271" i="32"/>
  <c r="H271" i="32" s="1"/>
  <c r="E272" i="32"/>
  <c r="H272" i="32"/>
  <c r="E274" i="32"/>
  <c r="H274" i="32"/>
  <c r="E275" i="32"/>
  <c r="H275" i="32"/>
  <c r="E277" i="32"/>
  <c r="H277" i="32"/>
  <c r="E278" i="32"/>
  <c r="G278" i="32" s="1"/>
  <c r="E280" i="32"/>
  <c r="H280" i="32"/>
  <c r="E282" i="32"/>
  <c r="H282" i="32" s="1"/>
  <c r="J282" i="32"/>
  <c r="J284" i="32" s="1"/>
  <c r="J283" i="32"/>
  <c r="C284" i="32"/>
  <c r="D284" i="32"/>
  <c r="F284" i="32"/>
  <c r="I284" i="32"/>
  <c r="E291" i="32"/>
  <c r="H291" i="32" s="1"/>
  <c r="E292" i="32"/>
  <c r="H292" i="32"/>
  <c r="E293" i="32"/>
  <c r="G293" i="32" s="1"/>
  <c r="G296" i="32" s="1"/>
  <c r="J293" i="32"/>
  <c r="E295" i="32"/>
  <c r="G295" i="32"/>
  <c r="H295" i="32"/>
  <c r="J295" i="32"/>
  <c r="C296" i="32"/>
  <c r="D296" i="32"/>
  <c r="E296" i="32"/>
  <c r="F296" i="32"/>
  <c r="H296" i="32"/>
  <c r="I296" i="32"/>
  <c r="J296" i="32"/>
  <c r="E302" i="32"/>
  <c r="E310" i="32" s="1"/>
  <c r="E303" i="32"/>
  <c r="H303" i="32"/>
  <c r="E304" i="32"/>
  <c r="H304" i="32" s="1"/>
  <c r="E305" i="32"/>
  <c r="H305" i="32"/>
  <c r="E306" i="32"/>
  <c r="G306" i="32" s="1"/>
  <c r="G310" i="32" s="1"/>
  <c r="E307" i="32"/>
  <c r="G307" i="32"/>
  <c r="H307" i="32"/>
  <c r="E308" i="32"/>
  <c r="H308" i="32" s="1"/>
  <c r="C310" i="32"/>
  <c r="D310" i="32"/>
  <c r="F310" i="32"/>
  <c r="H310" i="32" s="1"/>
  <c r="I310" i="32"/>
  <c r="J310" i="32"/>
  <c r="E325" i="32"/>
  <c r="E344" i="32" s="1"/>
  <c r="H344" i="32" s="1"/>
  <c r="H325" i="32"/>
  <c r="E326" i="32"/>
  <c r="H326" i="32"/>
  <c r="E328" i="32"/>
  <c r="H328" i="32"/>
  <c r="E329" i="32"/>
  <c r="H329" i="32" s="1"/>
  <c r="E331" i="32"/>
  <c r="H331" i="32" s="1"/>
  <c r="E332" i="32"/>
  <c r="H332" i="32" s="1"/>
  <c r="E334" i="32"/>
  <c r="H334" i="32"/>
  <c r="E335" i="32"/>
  <c r="H335" i="32" s="1"/>
  <c r="E337" i="32"/>
  <c r="H337" i="32"/>
  <c r="E338" i="32"/>
  <c r="H338" i="32" s="1"/>
  <c r="E340" i="32"/>
  <c r="H340" i="32" s="1"/>
  <c r="G340" i="32"/>
  <c r="G344" i="32" s="1"/>
  <c r="E341" i="32"/>
  <c r="H341" i="32"/>
  <c r="E343" i="32"/>
  <c r="H343" i="32" s="1"/>
  <c r="C344" i="32"/>
  <c r="D344" i="32"/>
  <c r="F344" i="32"/>
  <c r="I344" i="32"/>
  <c r="J344" i="32"/>
  <c r="E351" i="32"/>
  <c r="H351" i="32"/>
  <c r="E352" i="32"/>
  <c r="G352" i="32"/>
  <c r="G357" i="32" s="1"/>
  <c r="H352" i="32"/>
  <c r="E353" i="32"/>
  <c r="H353" i="32" s="1"/>
  <c r="E355" i="32"/>
  <c r="H355" i="32" s="1"/>
  <c r="E356" i="32"/>
  <c r="H356" i="32"/>
  <c r="C357" i="32"/>
  <c r="D357" i="32"/>
  <c r="F357" i="32"/>
  <c r="I357" i="32"/>
  <c r="J357" i="32"/>
  <c r="E363" i="32"/>
  <c r="H363" i="32" s="1"/>
  <c r="E364" i="32"/>
  <c r="H364" i="32"/>
  <c r="E365" i="32"/>
  <c r="H365" i="32"/>
  <c r="E366" i="32"/>
  <c r="H366" i="32"/>
  <c r="E367" i="32"/>
  <c r="H367" i="32"/>
  <c r="E368" i="32"/>
  <c r="G368" i="32"/>
  <c r="H368" i="32"/>
  <c r="C370" i="32"/>
  <c r="D370" i="32"/>
  <c r="E370" i="32"/>
  <c r="F370" i="32"/>
  <c r="G370" i="32"/>
  <c r="H370" i="32"/>
  <c r="I370" i="32"/>
  <c r="J370" i="32"/>
  <c r="E380" i="32"/>
  <c r="E386" i="32" s="1"/>
  <c r="H386" i="32" s="1"/>
  <c r="H380" i="32"/>
  <c r="E381" i="32"/>
  <c r="G381" i="32" s="1"/>
  <c r="E383" i="32"/>
  <c r="G383" i="32"/>
  <c r="E385" i="32"/>
  <c r="G385" i="32" s="1"/>
  <c r="C386" i="32"/>
  <c r="D386" i="32"/>
  <c r="F386" i="32"/>
  <c r="I386" i="32"/>
  <c r="J386" i="32"/>
  <c r="E393" i="32"/>
  <c r="H393" i="32"/>
  <c r="E394" i="32"/>
  <c r="H394" i="32"/>
  <c r="E396" i="32"/>
  <c r="G396" i="32"/>
  <c r="E397" i="32"/>
  <c r="G397" i="32"/>
  <c r="H397" i="32"/>
  <c r="C398" i="32"/>
  <c r="D398" i="32"/>
  <c r="E398" i="32"/>
  <c r="F398" i="32"/>
  <c r="H398" i="32" s="1"/>
  <c r="G398" i="32"/>
  <c r="I398" i="32"/>
  <c r="J398" i="32"/>
  <c r="E404" i="32"/>
  <c r="E411" i="32" s="1"/>
  <c r="H411" i="32" s="1"/>
  <c r="H404" i="32"/>
  <c r="E405" i="32"/>
  <c r="H405" i="32"/>
  <c r="E406" i="32"/>
  <c r="H406" i="32" s="1"/>
  <c r="E407" i="32"/>
  <c r="H407" i="32"/>
  <c r="E408" i="32"/>
  <c r="G408" i="32" s="1"/>
  <c r="G411" i="32" s="1"/>
  <c r="E409" i="32"/>
  <c r="G409" i="32"/>
  <c r="H409" i="32"/>
  <c r="E410" i="32"/>
  <c r="G410" i="32" s="1"/>
  <c r="C411" i="32"/>
  <c r="D411" i="32"/>
  <c r="F411" i="32"/>
  <c r="I411" i="32"/>
  <c r="J411" i="32"/>
  <c r="C10" i="2"/>
  <c r="D10" i="2"/>
  <c r="C20" i="2"/>
  <c r="D29" i="2"/>
  <c r="D28" i="2" s="1"/>
  <c r="D32" i="2"/>
  <c r="D9" i="4"/>
  <c r="C15" i="4"/>
  <c r="D16" i="4"/>
  <c r="C9" i="3"/>
  <c r="C10" i="3"/>
  <c r="C11" i="3"/>
  <c r="C12" i="3" s="1"/>
  <c r="D12" i="3"/>
  <c r="D18" i="3"/>
  <c r="D20" i="3"/>
  <c r="F8" i="6"/>
  <c r="G8" i="6"/>
  <c r="F15" i="6"/>
  <c r="G15" i="6"/>
  <c r="F19" i="6"/>
  <c r="G19" i="6"/>
  <c r="F21" i="6"/>
  <c r="G21" i="6"/>
  <c r="F27" i="6"/>
  <c r="F31" i="6"/>
  <c r="G31" i="6"/>
  <c r="F34" i="6"/>
  <c r="F39" i="6"/>
  <c r="G39" i="6"/>
  <c r="F45" i="6"/>
  <c r="F46" i="6"/>
  <c r="F48" i="6"/>
  <c r="G48" i="6"/>
  <c r="E57" i="6"/>
  <c r="E60" i="6" s="1"/>
  <c r="E62" i="6" s="1"/>
  <c r="G57" i="6"/>
  <c r="G60" i="6" s="1"/>
  <c r="G62" i="6" s="1"/>
  <c r="E58" i="6"/>
  <c r="E59" i="6"/>
  <c r="F60" i="6"/>
  <c r="F62" i="6"/>
  <c r="F65" i="6"/>
  <c r="E65" i="6" s="1"/>
  <c r="E68" i="6" s="1"/>
  <c r="E70" i="6" s="1"/>
  <c r="G65" i="6"/>
  <c r="E66" i="6"/>
  <c r="E67" i="6"/>
  <c r="F68" i="6"/>
  <c r="G68" i="6"/>
  <c r="F70" i="6"/>
  <c r="G70" i="6"/>
  <c r="F73" i="6"/>
  <c r="E73" i="6" s="1"/>
  <c r="E76" i="6" s="1"/>
  <c r="E78" i="6" s="1"/>
  <c r="E74" i="6"/>
  <c r="F74" i="6"/>
  <c r="G74" i="6"/>
  <c r="E75" i="6"/>
  <c r="G75" i="6"/>
  <c r="G76" i="6"/>
  <c r="G78" i="6" s="1"/>
  <c r="F87" i="6"/>
  <c r="F89" i="6" s="1"/>
  <c r="G87" i="6"/>
  <c r="G89" i="6" s="1"/>
  <c r="F88" i="6"/>
  <c r="G88" i="6"/>
  <c r="E89" i="6"/>
  <c r="C9" i="1"/>
  <c r="C8" i="1" s="1"/>
  <c r="D9" i="1"/>
  <c r="D8" i="1" s="1"/>
  <c r="C12" i="1"/>
  <c r="C11" i="1" s="1"/>
  <c r="D12" i="1"/>
  <c r="D11" i="1" s="1"/>
  <c r="D13" i="1"/>
  <c r="F14" i="1"/>
  <c r="C19" i="1"/>
  <c r="D19" i="1"/>
  <c r="C20" i="1"/>
  <c r="D20" i="1"/>
  <c r="C22" i="1"/>
  <c r="F23" i="1"/>
  <c r="C24" i="1"/>
  <c r="D24" i="1"/>
  <c r="C30" i="1"/>
  <c r="C32" i="1"/>
  <c r="D33" i="1"/>
  <c r="C35" i="1"/>
  <c r="D35" i="1"/>
  <c r="D41" i="1"/>
  <c r="H36" i="9"/>
  <c r="F7" i="5"/>
  <c r="E10" i="5"/>
  <c r="F10" i="5"/>
  <c r="F14" i="5" s="1"/>
  <c r="F11" i="5"/>
  <c r="F12" i="5"/>
  <c r="C14" i="5"/>
  <c r="E14" i="5"/>
  <c r="G14" i="5"/>
  <c r="F30" i="5"/>
  <c r="F40" i="5"/>
  <c r="G40" i="5"/>
  <c r="D48" i="5"/>
  <c r="G51" i="5"/>
  <c r="G52" i="5"/>
  <c r="G53" i="5"/>
  <c r="G56" i="5"/>
  <c r="G58" i="5"/>
  <c r="C60" i="5"/>
  <c r="C15" i="3" s="1"/>
  <c r="D60" i="5"/>
  <c r="C13" i="1" s="1"/>
  <c r="E60" i="5"/>
  <c r="G35" i="9" s="1"/>
  <c r="G36" i="9" s="1"/>
  <c r="F60" i="5"/>
  <c r="C36" i="1" s="1"/>
  <c r="G60" i="5"/>
  <c r="F63" i="5" s="1"/>
  <c r="F65" i="5" s="1"/>
  <c r="G65" i="5"/>
  <c r="I72" i="5"/>
  <c r="I76" i="5" s="1"/>
  <c r="I73" i="5"/>
  <c r="I74" i="5"/>
  <c r="I75" i="5"/>
  <c r="F76" i="5"/>
  <c r="F80" i="5" s="1"/>
  <c r="G76" i="5"/>
  <c r="G80" i="5" s="1"/>
  <c r="G87" i="5"/>
  <c r="I87" i="5"/>
  <c r="G88" i="5"/>
  <c r="I88" i="5"/>
  <c r="F89" i="5"/>
  <c r="G89" i="5"/>
  <c r="I89" i="5"/>
  <c r="G90" i="5"/>
  <c r="I90" i="5"/>
  <c r="G91" i="5"/>
  <c r="I91" i="5"/>
  <c r="G92" i="5"/>
  <c r="I92" i="5"/>
  <c r="G93" i="5"/>
  <c r="G94" i="5" s="1"/>
  <c r="I93" i="5"/>
  <c r="F94" i="5"/>
  <c r="C21" i="1" s="1"/>
  <c r="I94" i="5"/>
  <c r="F102" i="5"/>
  <c r="C31" i="1" s="1"/>
  <c r="F104" i="5"/>
  <c r="G110" i="5"/>
  <c r="I110" i="5"/>
  <c r="F111" i="5"/>
  <c r="F112" i="5" s="1"/>
  <c r="G115" i="5"/>
  <c r="G118" i="5" s="1"/>
  <c r="I115" i="5"/>
  <c r="I118" i="5" s="1"/>
  <c r="F116" i="5"/>
  <c r="G116" i="5"/>
  <c r="I116" i="5"/>
  <c r="G117" i="5"/>
  <c r="I117" i="5"/>
  <c r="F118" i="5"/>
  <c r="F129" i="5"/>
  <c r="F124" i="5" s="1"/>
  <c r="G129" i="5"/>
  <c r="G124" i="5" s="1"/>
  <c r="G125" i="5" s="1"/>
  <c r="G137" i="5"/>
  <c r="I137" i="5"/>
  <c r="I141" i="5" s="1"/>
  <c r="G138" i="5"/>
  <c r="I138" i="5"/>
  <c r="G139" i="5"/>
  <c r="I139" i="5"/>
  <c r="G140" i="5"/>
  <c r="I140" i="5"/>
  <c r="F141" i="5"/>
  <c r="F147" i="5" s="1"/>
  <c r="G141" i="5"/>
  <c r="G147" i="5" s="1"/>
  <c r="F145" i="5"/>
  <c r="C34" i="1" s="1"/>
  <c r="G145" i="5"/>
  <c r="D34" i="1" s="1"/>
  <c r="F153" i="5"/>
  <c r="G153" i="5"/>
  <c r="G154" i="5" s="1"/>
  <c r="F154" i="5"/>
  <c r="G158" i="5"/>
  <c r="I158" i="5"/>
  <c r="F159" i="5"/>
  <c r="G159" i="5"/>
  <c r="G173" i="5"/>
  <c r="F176" i="5"/>
  <c r="F164" i="5" s="1"/>
  <c r="F167" i="5" s="1"/>
  <c r="G176" i="5"/>
  <c r="G164" i="5" s="1"/>
  <c r="F185" i="5"/>
  <c r="F165" i="5" s="1"/>
  <c r="G185" i="5"/>
  <c r="G165" i="5" s="1"/>
  <c r="G191" i="5"/>
  <c r="G194" i="5" s="1"/>
  <c r="D26" i="1" s="1"/>
  <c r="F192" i="5"/>
  <c r="G192" i="5"/>
  <c r="F193" i="5"/>
  <c r="G193" i="5"/>
  <c r="F199" i="5"/>
  <c r="F191" i="5" s="1"/>
  <c r="F194" i="5" s="1"/>
  <c r="C26" i="1" s="1"/>
  <c r="G199" i="5"/>
  <c r="F204" i="5"/>
  <c r="G204" i="5"/>
  <c r="F209" i="5"/>
  <c r="F213" i="5" s="1"/>
  <c r="F210" i="5"/>
  <c r="F211" i="5"/>
  <c r="F212" i="5"/>
  <c r="C213" i="5"/>
  <c r="G213" i="5"/>
  <c r="F218" i="5"/>
  <c r="G218" i="5"/>
  <c r="F223" i="5"/>
  <c r="G223" i="5"/>
  <c r="F235" i="5"/>
  <c r="G235" i="5"/>
  <c r="F242" i="5"/>
  <c r="F243" i="5"/>
  <c r="F229" i="5" s="1"/>
  <c r="F230" i="5" s="1"/>
  <c r="C9" i="2" s="1"/>
  <c r="G243" i="5"/>
  <c r="G229" i="5" s="1"/>
  <c r="G230" i="5" s="1"/>
  <c r="D9" i="2" s="1"/>
  <c r="D8" i="2" s="1"/>
  <c r="D14" i="2" s="1"/>
  <c r="G251" i="5"/>
  <c r="F253" i="5"/>
  <c r="F251" i="5" s="1"/>
  <c r="F255" i="5" s="1"/>
  <c r="G255" i="5"/>
  <c r="F263" i="5"/>
  <c r="G263" i="5"/>
  <c r="F271" i="5"/>
  <c r="F274" i="5" s="1"/>
  <c r="C11" i="2" s="1"/>
  <c r="G271" i="5"/>
  <c r="G274" i="5" s="1"/>
  <c r="D11" i="2" s="1"/>
  <c r="F272" i="5"/>
  <c r="G272" i="5"/>
  <c r="F273" i="5"/>
  <c r="G273" i="5"/>
  <c r="F284" i="5"/>
  <c r="G284" i="5"/>
  <c r="F291" i="5"/>
  <c r="G291" i="5"/>
  <c r="F302" i="5"/>
  <c r="G302" i="5"/>
  <c r="F311" i="5"/>
  <c r="G311" i="5"/>
  <c r="F318" i="5"/>
  <c r="F319" i="5"/>
  <c r="F320" i="5"/>
  <c r="F321" i="5"/>
  <c r="C19" i="2" s="1"/>
  <c r="G321" i="5"/>
  <c r="D19" i="2" s="1"/>
  <c r="F329" i="5"/>
  <c r="G329" i="5"/>
  <c r="F330" i="5"/>
  <c r="F331" i="5"/>
  <c r="C21" i="2" s="1"/>
  <c r="G331" i="5"/>
  <c r="D21" i="2" s="1"/>
  <c r="F337" i="5"/>
  <c r="G338" i="5"/>
  <c r="G339" i="5"/>
  <c r="D22" i="2" s="1"/>
  <c r="F344" i="5"/>
  <c r="F345" i="5"/>
  <c r="F346" i="5"/>
  <c r="F338" i="5" s="1"/>
  <c r="G346" i="5"/>
  <c r="I353" i="5"/>
  <c r="I355" i="5" s="1"/>
  <c r="F355" i="5"/>
  <c r="G355" i="5"/>
  <c r="F362" i="5"/>
  <c r="H362" i="5"/>
  <c r="F363" i="5"/>
  <c r="G364" i="5"/>
  <c r="H364" i="5"/>
  <c r="I364" i="5"/>
  <c r="F365" i="5"/>
  <c r="C9" i="4" s="1"/>
  <c r="G365" i="5"/>
  <c r="H365" i="5"/>
  <c r="H366" i="5"/>
  <c r="I369" i="5"/>
  <c r="F371" i="5"/>
  <c r="G371" i="5"/>
  <c r="G373" i="5" s="1"/>
  <c r="D10" i="4" s="1"/>
  <c r="F372" i="5"/>
  <c r="F373" i="5"/>
  <c r="C10" i="4" s="1"/>
  <c r="C15" i="1" l="1"/>
  <c r="D21" i="1"/>
  <c r="G104" i="5"/>
  <c r="H17" i="25"/>
  <c r="H18" i="25" s="1"/>
  <c r="I17" i="25"/>
  <c r="H357" i="32"/>
  <c r="D18" i="2"/>
  <c r="D24" i="2" s="1"/>
  <c r="D26" i="2" s="1"/>
  <c r="H180" i="32"/>
  <c r="E185" i="32"/>
  <c r="H185" i="32" s="1"/>
  <c r="G386" i="32"/>
  <c r="C33" i="1"/>
  <c r="F125" i="5"/>
  <c r="C20" i="3"/>
  <c r="C29" i="2"/>
  <c r="C28" i="2" s="1"/>
  <c r="C32" i="2" s="1"/>
  <c r="C22" i="2"/>
  <c r="F339" i="5"/>
  <c r="D15" i="1"/>
  <c r="C29" i="1"/>
  <c r="F357" i="5" s="1"/>
  <c r="C8" i="2"/>
  <c r="C14" i="2" s="1"/>
  <c r="G284" i="32"/>
  <c r="G111" i="5"/>
  <c r="D32" i="1"/>
  <c r="D29" i="1" s="1"/>
  <c r="G357" i="5" s="1"/>
  <c r="G112" i="5"/>
  <c r="C18" i="2"/>
  <c r="C24" i="2" s="1"/>
  <c r="C26" i="2" s="1"/>
  <c r="G167" i="5"/>
  <c r="G80" i="6"/>
  <c r="F169" i="5"/>
  <c r="C25" i="1"/>
  <c r="E80" i="6"/>
  <c r="H23" i="26"/>
  <c r="F76" i="6"/>
  <c r="F78" i="6" s="1"/>
  <c r="F80" i="6" s="1"/>
  <c r="E357" i="32"/>
  <c r="E284" i="32"/>
  <c r="H284" i="32" s="1"/>
  <c r="E89" i="32"/>
  <c r="H89" i="32" s="1"/>
  <c r="H210" i="32"/>
  <c r="C12" i="2"/>
  <c r="H135" i="32"/>
  <c r="H234" i="32"/>
  <c r="H302" i="32"/>
  <c r="H134" i="32"/>
  <c r="C27" i="1"/>
  <c r="C16" i="3"/>
  <c r="H293" i="32"/>
  <c r="H268" i="32"/>
  <c r="D23" i="1"/>
  <c r="H408" i="32"/>
  <c r="F9" i="25"/>
  <c r="C23" i="1"/>
  <c r="C18" i="1" s="1"/>
  <c r="C38" i="1" s="1"/>
  <c r="C39" i="1" s="1"/>
  <c r="C43" i="1" s="1"/>
  <c r="F352" i="5" s="1"/>
  <c r="D22" i="1"/>
  <c r="F29" i="26"/>
  <c r="L12" i="32"/>
  <c r="L30" i="32" s="1"/>
  <c r="H385" i="32"/>
  <c r="H357" i="5" l="1"/>
  <c r="D14" i="4"/>
  <c r="D13" i="4" s="1"/>
  <c r="F18" i="25"/>
  <c r="I9" i="25"/>
  <c r="G354" i="5"/>
  <c r="F354" i="5"/>
  <c r="F359" i="5" s="1"/>
  <c r="C8" i="4" s="1"/>
  <c r="C11" i="4" s="1"/>
  <c r="C18" i="4" s="1"/>
  <c r="C20" i="4" s="1"/>
  <c r="C22" i="4" s="1"/>
  <c r="C14" i="4"/>
  <c r="C13" i="4" s="1"/>
  <c r="D25" i="1"/>
  <c r="D18" i="1" s="1"/>
  <c r="D38" i="1" s="1"/>
  <c r="D39" i="1" s="1"/>
  <c r="D43" i="1" s="1"/>
  <c r="G352" i="5" s="1"/>
  <c r="G359" i="5" s="1"/>
  <c r="D8" i="4" s="1"/>
  <c r="D11" i="4" s="1"/>
  <c r="D18" i="4" s="1"/>
  <c r="D20" i="4" s="1"/>
  <c r="D22" i="4" s="1"/>
  <c r="G169" i="5"/>
</calcChain>
</file>

<file path=xl/comments1.xml><?xml version="1.0" encoding="utf-8"?>
<comments xmlns="http://schemas.openxmlformats.org/spreadsheetml/2006/main">
  <authors>
    <author>DEAT User</author>
  </authors>
  <commentList>
    <comment ref="F11" authorId="0" shapeId="0">
      <text>
        <r>
          <rPr>
            <b/>
            <sz val="10"/>
            <color indexed="81"/>
            <rFont val="Tahoma"/>
          </rPr>
          <t>DEAT User:</t>
        </r>
        <r>
          <rPr>
            <sz val="10"/>
            <color indexed="81"/>
            <rFont val="Tahoma"/>
          </rPr>
          <t xml:space="preserve">
Ek het hier 'n lyn ingesit, haal maar uit as dit nie reg lyk nie.</t>
        </r>
      </text>
    </comment>
  </commentList>
</comments>
</file>

<file path=xl/comments2.xml><?xml version="1.0" encoding="utf-8"?>
<comments xmlns="http://schemas.openxmlformats.org/spreadsheetml/2006/main">
  <authors>
    <author>DEAT User</author>
  </authors>
  <commentList>
    <comment ref="I72" authorId="0" shapeId="0">
      <text>
        <r>
          <rPr>
            <b/>
            <sz val="10"/>
            <color indexed="81"/>
            <rFont val="Tahoma"/>
          </rPr>
          <t>DEAT User:</t>
        </r>
        <r>
          <rPr>
            <sz val="10"/>
            <color indexed="81"/>
            <rFont val="Tahoma"/>
          </rPr>
          <t xml:space="preserve">
Total before Audit amend. 20/06/2003 (without W/S)
</t>
        </r>
      </text>
    </comment>
    <comment ref="I87" authorId="0" shapeId="0">
      <text>
        <r>
          <rPr>
            <b/>
            <sz val="10"/>
            <color indexed="81"/>
            <rFont val="Tahoma"/>
          </rPr>
          <t>DEAT User:</t>
        </r>
        <r>
          <rPr>
            <sz val="10"/>
            <color indexed="81"/>
            <rFont val="Tahoma"/>
          </rPr>
          <t xml:space="preserve">
Total before Audit amend. 20/06/2003 (without W/S)
</t>
        </r>
      </text>
    </comment>
    <comment ref="I110" authorId="0" shapeId="0">
      <text>
        <r>
          <rPr>
            <b/>
            <sz val="10"/>
            <color indexed="81"/>
            <rFont val="Tahoma"/>
          </rPr>
          <t>DEAT User:</t>
        </r>
        <r>
          <rPr>
            <sz val="10"/>
            <color indexed="81"/>
            <rFont val="Tahoma"/>
          </rPr>
          <t xml:space="preserve">
Total before Audit amend. 20/06/2003 (W/S)
</t>
        </r>
      </text>
    </comment>
    <comment ref="I115" authorId="0" shapeId="0">
      <text>
        <r>
          <rPr>
            <b/>
            <sz val="10"/>
            <color indexed="81"/>
            <rFont val="Tahoma"/>
          </rPr>
          <t>DEAT User:</t>
        </r>
        <r>
          <rPr>
            <sz val="10"/>
            <color indexed="81"/>
            <rFont val="Tahoma"/>
          </rPr>
          <t xml:space="preserve">
Total before Audit Amend. 20/6/2003 (with out W/S)
</t>
        </r>
      </text>
    </comment>
    <comment ref="I136" authorId="0" shapeId="0">
      <text>
        <r>
          <rPr>
            <b/>
            <sz val="10"/>
            <color indexed="81"/>
            <rFont val="Tahoma"/>
          </rPr>
          <t>DEAT User:</t>
        </r>
        <r>
          <rPr>
            <sz val="10"/>
            <color indexed="81"/>
            <rFont val="Tahoma"/>
          </rPr>
          <t xml:space="preserve">
Total before Audit amend. 20/06/2003 (without W/S)
</t>
        </r>
      </text>
    </comment>
    <comment ref="I153" authorId="0" shapeId="0">
      <text>
        <r>
          <rPr>
            <b/>
            <sz val="10"/>
            <color indexed="81"/>
            <rFont val="Tahoma"/>
          </rPr>
          <t>DEAT User:</t>
        </r>
        <r>
          <rPr>
            <sz val="10"/>
            <color indexed="81"/>
            <rFont val="Tahoma"/>
          </rPr>
          <t xml:space="preserve">
As die  analysis of note 9 moet terug kan jy net die lines unhide, want die totale gaan nog steeds na Income Statement. Kyk line no. 156+162</t>
        </r>
      </text>
    </comment>
    <comment ref="H357" authorId="0" shapeId="0">
      <text>
        <r>
          <rPr>
            <b/>
            <sz val="10"/>
            <color indexed="81"/>
            <rFont val="Tahoma"/>
          </rPr>
          <t>DEAT User:</t>
        </r>
        <r>
          <rPr>
            <sz val="10"/>
            <color indexed="81"/>
            <rFont val="Tahoma"/>
          </rPr>
          <t xml:space="preserve">
Ralph ek het die 514 geplus want as ons die 391 wat Oudit v.d. I/S uitgelos het aftrek kry ons hulle bedrag. 
 </t>
        </r>
      </text>
    </comment>
  </commentList>
</comments>
</file>

<file path=xl/sharedStrings.xml><?xml version="1.0" encoding="utf-8"?>
<sst xmlns="http://schemas.openxmlformats.org/spreadsheetml/2006/main" count="1956" uniqueCount="506">
  <si>
    <t>Note</t>
  </si>
  <si>
    <t>REVENUE</t>
  </si>
  <si>
    <t>Voted funds</t>
  </si>
  <si>
    <t>Non voted funds</t>
  </si>
  <si>
    <t>Other revenue to be surrendered to the revenue fund</t>
  </si>
  <si>
    <t>TOTAL REVENUE</t>
  </si>
  <si>
    <t>EXPENDITURE</t>
  </si>
  <si>
    <t>Current</t>
  </si>
  <si>
    <t>Personnel</t>
  </si>
  <si>
    <t>Administrative</t>
  </si>
  <si>
    <t>Inventories</t>
  </si>
  <si>
    <t>Equipment</t>
  </si>
  <si>
    <t>Land and buildings</t>
  </si>
  <si>
    <t>Professional and special services</t>
  </si>
  <si>
    <t>Transfer payments</t>
  </si>
  <si>
    <t>Miscellaneous</t>
  </si>
  <si>
    <t>Special functions: authorised losses</t>
  </si>
  <si>
    <t>Capital</t>
  </si>
  <si>
    <t>TOTAL EXPENDITURE</t>
  </si>
  <si>
    <t>NET SURPLUS /(DEFICIT)</t>
  </si>
  <si>
    <t>Add back unauthorised, and fruitless and wasteful expenditure disallowed</t>
  </si>
  <si>
    <t>NET SURPLUS /(DEFICIT) FOR THE YEAR</t>
  </si>
  <si>
    <t>ASSETS</t>
  </si>
  <si>
    <t>Current assets</t>
  </si>
  <si>
    <t>Cash and cash equivalents</t>
  </si>
  <si>
    <t>Receivables</t>
  </si>
  <si>
    <t>TOTAL ASSETS</t>
  </si>
  <si>
    <t>LIABILITIES</t>
  </si>
  <si>
    <t>Current liabilities</t>
  </si>
  <si>
    <t>Voted funds to be surrendered</t>
  </si>
  <si>
    <t>Revenue funds to be surrendered</t>
  </si>
  <si>
    <t>Payables</t>
  </si>
  <si>
    <t>TOTAL LIABILITIES</t>
  </si>
  <si>
    <t>NET ASSETS/LIABILITES</t>
  </si>
  <si>
    <t>EQUITY</t>
  </si>
  <si>
    <t>Recoverable revenue</t>
  </si>
  <si>
    <t>TOTAL EQUITY</t>
  </si>
  <si>
    <t>2002/03
R'000</t>
  </si>
  <si>
    <t>2001/02
R'000</t>
  </si>
  <si>
    <t>Opening balance</t>
  </si>
  <si>
    <t>Transfers</t>
  </si>
  <si>
    <t>Closing balance</t>
  </si>
  <si>
    <t>Transfer to Revenue Fund</t>
  </si>
  <si>
    <t>Debts written off</t>
  </si>
  <si>
    <t>Debts raised</t>
  </si>
  <si>
    <t>CASH FLOWS FROM OPERATING ACTIVITIES</t>
  </si>
  <si>
    <t>Net cash flow generated by operating activities</t>
  </si>
  <si>
    <t>Cash generated (utilised) to (increase)/decrease working capital</t>
  </si>
  <si>
    <t>Voted funds and Revenue funds surrendered</t>
  </si>
  <si>
    <t>Local and foreign aid assistance (including RDP funds)</t>
  </si>
  <si>
    <t>Net cash flow available from operating activities</t>
  </si>
  <si>
    <t>CASH FLOWS FROM INVESTING ACTIVITIES</t>
  </si>
  <si>
    <t>Proceeds from sale of equipment</t>
  </si>
  <si>
    <t>Net cash flows from operating and investing activities</t>
  </si>
  <si>
    <t>Net increase/(decrease) in cash and cash equivalents</t>
  </si>
  <si>
    <t>Cash and cash equivalents at beginning of period</t>
  </si>
  <si>
    <t>Cash and cash equivalents at end of period</t>
  </si>
  <si>
    <t>Programmes</t>
  </si>
  <si>
    <t xml:space="preserve">Actual </t>
  </si>
  <si>
    <t>Variance over/(under)</t>
  </si>
  <si>
    <t>TOTAL</t>
  </si>
  <si>
    <t>Explanation of material variances including whether or not application will be made for a rollover.</t>
  </si>
  <si>
    <t>Other revenue to be surrendered to revenue fund</t>
  </si>
  <si>
    <t>Description</t>
  </si>
  <si>
    <t>Cheques written back/stale cheques</t>
  </si>
  <si>
    <t>Interest received</t>
  </si>
  <si>
    <t>Other</t>
  </si>
  <si>
    <t>Name of Donor and purpose</t>
  </si>
  <si>
    <t>Opening Balance</t>
  </si>
  <si>
    <t>Revenue</t>
  </si>
  <si>
    <t>Expenditure</t>
  </si>
  <si>
    <t>Closing Balance</t>
  </si>
  <si>
    <t>Foreign</t>
  </si>
  <si>
    <t>Analysis of balance</t>
  </si>
  <si>
    <t>Amounts owing by donors</t>
  </si>
  <si>
    <t>Assistance rolled over</t>
  </si>
  <si>
    <t>Assistance received in cash</t>
  </si>
  <si>
    <t>Basic salary costs</t>
  </si>
  <si>
    <t>Pension contributions</t>
  </si>
  <si>
    <t>Medical aid contributions</t>
  </si>
  <si>
    <t>Other salary related costs</t>
  </si>
  <si>
    <t>Average number of employees</t>
  </si>
  <si>
    <t>Total Personnel Costs</t>
  </si>
  <si>
    <t>Current expenditure</t>
  </si>
  <si>
    <t>Capital expenditure</t>
  </si>
  <si>
    <t>Inventories purchased during the year</t>
  </si>
  <si>
    <t>Total cost of inventories</t>
  </si>
  <si>
    <t>Machinery and Equipment</t>
  </si>
  <si>
    <t>Computer equipment</t>
  </si>
  <si>
    <t>Furniture and office equipment</t>
  </si>
  <si>
    <t>Other machinery and equipment</t>
  </si>
  <si>
    <t>Capital land and building expenditure analysed as follows:</t>
  </si>
  <si>
    <t>Contractors</t>
  </si>
  <si>
    <t>Consultants and advisory services</t>
  </si>
  <si>
    <t>Computer services</t>
  </si>
  <si>
    <t>Auditors’ remuneration</t>
  </si>
  <si>
    <t>Total Professional and special services</t>
  </si>
  <si>
    <t xml:space="preserve">Remissions, refunds and payments made as an act of grace </t>
  </si>
  <si>
    <t xml:space="preserve">Gifts, donations and sponsorships made </t>
  </si>
  <si>
    <t>Total miscellaneous expenditure</t>
  </si>
  <si>
    <t xml:space="preserve">Nature of remissions, refunds and payments </t>
  </si>
  <si>
    <t>Gifts, donations and sponsorships paid in cash by the department (items expensed during the current year)</t>
  </si>
  <si>
    <t>Nature of gifts, donations and sponsorships</t>
  </si>
  <si>
    <t>Special functions: Authorised losses</t>
  </si>
  <si>
    <t>Material losses through criminal conduct</t>
  </si>
  <si>
    <t>Other material losses written off</t>
  </si>
  <si>
    <t>Nature of losses</t>
  </si>
  <si>
    <t>Other material losses written off in income statement in current period</t>
  </si>
  <si>
    <t>Other material losses of items expensed in previous periods (Total not included above)</t>
  </si>
  <si>
    <t xml:space="preserve">Debts written off </t>
  </si>
  <si>
    <t>Nature of debts written off</t>
  </si>
  <si>
    <t>Details of special functions (theft and losses)</t>
  </si>
  <si>
    <t>Per programme</t>
  </si>
  <si>
    <t>Unauthorised and fruitless and wasteful expenditure disallowed</t>
  </si>
  <si>
    <t>Unauthorised expenditure</t>
  </si>
  <si>
    <t>Transfer to income statement – authorised losses</t>
  </si>
  <si>
    <t>Incident</t>
  </si>
  <si>
    <t>Reconciliation of unauthorised expenditure balance</t>
  </si>
  <si>
    <t>Analysis of surplus</t>
  </si>
  <si>
    <t>Cash on hand</t>
  </si>
  <si>
    <t>Receivables - current</t>
  </si>
  <si>
    <t>Amounts owing by other departments</t>
  </si>
  <si>
    <t>Staff debtors</t>
  </si>
  <si>
    <t>Other debtors</t>
  </si>
  <si>
    <t>Advances</t>
  </si>
  <si>
    <t>Less than one year</t>
  </si>
  <si>
    <t>Nature of advances</t>
  </si>
  <si>
    <t>Age analysis – receivables current</t>
  </si>
  <si>
    <t>Transfer from income statement</t>
  </si>
  <si>
    <t>Paid during the year</t>
  </si>
  <si>
    <t>Transfer from income statement for revenue to be surrendered</t>
  </si>
  <si>
    <t>Payables - current</t>
  </si>
  <si>
    <t>Amounts owing to other departments</t>
  </si>
  <si>
    <t>Other payables</t>
  </si>
  <si>
    <t>Net surplus as per Income Statement</t>
  </si>
  <si>
    <t>Adjusted for items separately disclosed</t>
  </si>
  <si>
    <t>(Increase) / decrease in receivables – current</t>
  </si>
  <si>
    <t>(Increase) / decrease in prepayments and advances</t>
  </si>
  <si>
    <t>Voted funds surrendered</t>
  </si>
  <si>
    <t>Revenue funds surrendered</t>
  </si>
  <si>
    <t>Contingent liabilities</t>
  </si>
  <si>
    <t>Liable to</t>
  </si>
  <si>
    <t xml:space="preserve">Nature </t>
  </si>
  <si>
    <t>Motor vehicle guarantees</t>
  </si>
  <si>
    <t>Employees</t>
  </si>
  <si>
    <t>Housing loan guarantees</t>
  </si>
  <si>
    <t>Commitments</t>
  </si>
  <si>
    <t>Approved and contracted/ordered</t>
  </si>
  <si>
    <t>Total Commitments</t>
  </si>
  <si>
    <t>Accruals</t>
  </si>
  <si>
    <t>Listed by standard Item</t>
  </si>
  <si>
    <t>Listed by programme level</t>
  </si>
  <si>
    <t>Employee benefits</t>
  </si>
  <si>
    <t>Leave entitlement</t>
  </si>
  <si>
    <t>Thirteenth cheque</t>
  </si>
  <si>
    <t>Performance bonus</t>
  </si>
  <si>
    <t>Leases</t>
  </si>
  <si>
    <t>Total</t>
  </si>
  <si>
    <t>Future finance charges</t>
  </si>
  <si>
    <t>Present value of lease liabilities</t>
  </si>
  <si>
    <t>Total present value of lease liabilities</t>
  </si>
  <si>
    <t>Key management personnel</t>
  </si>
  <si>
    <t>Remuneration</t>
  </si>
  <si>
    <t>These amounts are not recognised in the financial statements, and are disclosed to enhance the usefulness of the financial statements and to comply with the statutory requirements of the Public Finance Management Act, Act 1 of 1999 (as amended by Act 29 of 1999), the Treasury Regulations for Departments and Constitutional Institutions issued in terms of the Act and the Division of Revenue Act, Act 5 of 2002.</t>
  </si>
  <si>
    <t>Operating leases</t>
  </si>
  <si>
    <t>Total
2002/03
R'000</t>
  </si>
  <si>
    <t>Total
2001/02
R'000</t>
  </si>
  <si>
    <t>STATEMENT OF FINANCIAL GUARANTEES ISSUED AS AT 31 MARCH 2003</t>
  </si>
  <si>
    <t>Guaranteed institution</t>
  </si>
  <si>
    <t>Guarantee in respect of</t>
  </si>
  <si>
    <t>Realised losses i.r.o. claims paid out</t>
  </si>
  <si>
    <t>Programme</t>
  </si>
  <si>
    <t>Adjusted</t>
  </si>
  <si>
    <t>Appropriation</t>
  </si>
  <si>
    <t>R'000</t>
  </si>
  <si>
    <t>Virement</t>
  </si>
  <si>
    <t>Revised</t>
  </si>
  <si>
    <t>Allocation</t>
  </si>
  <si>
    <t>Actual</t>
  </si>
  <si>
    <t>Savings</t>
  </si>
  <si>
    <t>(Excess)</t>
  </si>
  <si>
    <t>Expenditure as % of revised allocation</t>
  </si>
  <si>
    <t>Administration</t>
  </si>
  <si>
    <t>Adjusted
Appropriation</t>
  </si>
  <si>
    <t>Revised
Allocation</t>
  </si>
  <si>
    <t>Actual
Expenditure</t>
  </si>
  <si>
    <t>Savings
(Excess)</t>
  </si>
  <si>
    <t>APPROPRIATION STATEMENT</t>
  </si>
  <si>
    <t>2002/03</t>
  </si>
  <si>
    <t>2001/02</t>
  </si>
  <si>
    <t>Economic classification</t>
  </si>
  <si>
    <t>Acquisition of capital assets</t>
  </si>
  <si>
    <t>Standard item classification</t>
  </si>
  <si>
    <t>Special functions</t>
  </si>
  <si>
    <t>DETAIL PER PROGRAMME 1</t>
  </si>
  <si>
    <t>Programme per subprogramme</t>
  </si>
  <si>
    <t>DETAIL PER PROGRAMME 2</t>
  </si>
  <si>
    <t>DETAIL PER PROGRAMME 3</t>
  </si>
  <si>
    <t>DETAIL PER PROGRAMME 4</t>
  </si>
  <si>
    <t>DETAIL PER PROGRAMME 5</t>
  </si>
  <si>
    <t>DETAIL PER PROGRAMME 6</t>
  </si>
  <si>
    <t>DETAIL PER PROGRAMME 7</t>
  </si>
  <si>
    <t>Detail of current and capital transfers as per Appropriation Act (after Virement):</t>
  </si>
  <si>
    <t>Detail of specifically and exclusively appropriated amounts voted (after Virement):</t>
  </si>
  <si>
    <t>Detail of special functions (theft and losses)</t>
  </si>
  <si>
    <t>Explanations of material variances from Amount Voted (after virement):</t>
  </si>
  <si>
    <t>Per programme:</t>
  </si>
  <si>
    <t>Per standard item:</t>
  </si>
  <si>
    <t>Reconciliation of appropriation statement to income statement:</t>
  </si>
  <si>
    <t>Additions</t>
  </si>
  <si>
    <t>Disposals</t>
  </si>
  <si>
    <t>Transfers In</t>
  </si>
  <si>
    <t>Transfers Out</t>
  </si>
  <si>
    <t>Total current and capital expenditure</t>
  </si>
  <si>
    <t>Capital machinery and equipment analysed as follows:</t>
  </si>
  <si>
    <t>ANNEXURE 3</t>
  </si>
  <si>
    <t>PHYSICAL ASSET MOVEMENT SCHEDULE (Not including inventories)</t>
  </si>
  <si>
    <t>ANNEXURE 4</t>
  </si>
  <si>
    <t>Total Appropriation 2001/02</t>
  </si>
  <si>
    <t>Total Appropriation
2002/03</t>
  </si>
  <si>
    <t>Roll Overs</t>
  </si>
  <si>
    <t>GRANT ALLOCATION</t>
  </si>
  <si>
    <t>Other revenue to be surrendered to the Revenue Fund</t>
  </si>
  <si>
    <t>Annexure 3</t>
  </si>
  <si>
    <t>Later than 1 year and not later than 3 years</t>
  </si>
  <si>
    <t>Later than 3 years</t>
  </si>
  <si>
    <t>Total Available (1)</t>
  </si>
  <si>
    <t>PHYSICAL ASSETS ACQUIRED DURING FINANCIAL YEAR 2001/02</t>
  </si>
  <si>
    <t>PHYSICAL ASSETS ACQUIRED DURING FINANCIAL YEAR 2002/03</t>
  </si>
  <si>
    <t>LAND AND BUILDINGS</t>
  </si>
  <si>
    <t>Non-Residential Buildings</t>
  </si>
  <si>
    <t>MACHINERY AND EQUIPMENT</t>
  </si>
  <si>
    <t>.</t>
  </si>
  <si>
    <t>1  Administration</t>
  </si>
  <si>
    <t>3  Marine and Coastal Management</t>
  </si>
  <si>
    <t>Foreign aid assistance (including RDP)</t>
  </si>
  <si>
    <t>Foreign aid assistance (incl. RDP funds)</t>
  </si>
  <si>
    <t>Spain - Tourism Institute (SATI)</t>
  </si>
  <si>
    <t>United Nations - Biodiversity Programme</t>
  </si>
  <si>
    <t>European Union - Spatial Development Initiatives</t>
  </si>
  <si>
    <t>Norway - Environmental Co-operation Programme</t>
  </si>
  <si>
    <t>Norway - Marine Fisheries Co-operation Programme</t>
  </si>
  <si>
    <t>United Kingdom - Sustainable Coastal Livelihoods Programme</t>
  </si>
  <si>
    <t>Denmark - ECBU Programme</t>
  </si>
  <si>
    <t>United States of America - Marine Living Resources</t>
  </si>
  <si>
    <t xml:space="preserve">Vehicle losses </t>
  </si>
  <si>
    <t>Vehicle losses - damage due to collisions</t>
  </si>
  <si>
    <t>Equipment stolen (a Proxima Lite Pro)</t>
  </si>
  <si>
    <t xml:space="preserve">Irrecoverable debt </t>
  </si>
  <si>
    <t>Tender E553:-Aebivatuve 2000 (Pty) Ltd</t>
  </si>
  <si>
    <t>Tender E522:ACOPS Conference</t>
  </si>
  <si>
    <t>Services rendered by consultants:ARCON Services</t>
  </si>
  <si>
    <t>Foreign aid assistance (including RDP funds) rolled over</t>
  </si>
  <si>
    <t>Catogories</t>
  </si>
  <si>
    <t>Debt accounts</t>
  </si>
  <si>
    <t>Departmental suspense accounts</t>
  </si>
  <si>
    <t>Control accounts</t>
  </si>
  <si>
    <t>Persal deduction control accounts</t>
  </si>
  <si>
    <t>Amounts owing by trading and public entities</t>
  </si>
  <si>
    <t>Travel and subsistence</t>
  </si>
  <si>
    <t>Payment in suspense</t>
  </si>
  <si>
    <t>Salary related payables</t>
  </si>
  <si>
    <t>Lost Luggage and Equipment</t>
  </si>
  <si>
    <t>Contribution to the Kruger Fire Disaster Fund</t>
  </si>
  <si>
    <t>Claim against the state: Fish Hoek Land &amp; Estate (PTY) Limited</t>
  </si>
  <si>
    <t>Charge to National Revenue Fund</t>
  </si>
  <si>
    <t>Proceeds from sale of investments</t>
  </si>
  <si>
    <t xml:space="preserve">Included in the above are funds specifically and exclusively appropriated for National Departments (Voted funds) </t>
  </si>
  <si>
    <t>Non-residential buildings</t>
  </si>
  <si>
    <t>Broken spectacles</t>
  </si>
  <si>
    <t>Support for the SADC regional environmental education programme</t>
  </si>
  <si>
    <t>Sponsorship for South Africa global advantage 2003</t>
  </si>
  <si>
    <t>A-Class Items</t>
  </si>
  <si>
    <t>10 CD's and 1 Book</t>
  </si>
  <si>
    <t>2  Environmental Planning and Co-ordination</t>
  </si>
  <si>
    <t>4  Tourism</t>
  </si>
  <si>
    <t>5  Environmental Quality and Protection</t>
  </si>
  <si>
    <t>7  Auxiliary and Associated Services</t>
  </si>
  <si>
    <t>Amounts of  R 36 010.31 (2002:R147 011.64) included above may not be recoverable, but has not been written off in the income statement.</t>
  </si>
  <si>
    <t>United Nations - Marine and Coastal</t>
  </si>
  <si>
    <t>Youth Development -YDN</t>
  </si>
  <si>
    <t>Consumable goods</t>
  </si>
  <si>
    <t>Computer stores and stationary</t>
  </si>
  <si>
    <t>Printing</t>
  </si>
  <si>
    <t xml:space="preserve">Stationary </t>
  </si>
  <si>
    <t>Fuel and lubrication</t>
  </si>
  <si>
    <t>Library purchases</t>
  </si>
  <si>
    <t>Vehicles</t>
  </si>
  <si>
    <t>Kitchenware</t>
  </si>
  <si>
    <t>Adjustments Estimate</t>
  </si>
  <si>
    <t>Marine Living Resources Fund</t>
  </si>
  <si>
    <t>South African Weather Service</t>
  </si>
  <si>
    <t>South African Tourism</t>
  </si>
  <si>
    <t>South African National Parks</t>
  </si>
  <si>
    <t>National Botanical Institute</t>
  </si>
  <si>
    <t>Johannesburg World Summit Company</t>
  </si>
  <si>
    <t>Greater St Lucia Wetland Park Authority</t>
  </si>
  <si>
    <t>Poverty Relief Projects</t>
  </si>
  <si>
    <t>Other Transfers</t>
  </si>
  <si>
    <t>Stolen goods</t>
  </si>
  <si>
    <t xml:space="preserve">Gifts for speakers and delegates </t>
  </si>
  <si>
    <t>Environmental Planning and Coordination</t>
  </si>
  <si>
    <t>Marine and Coastal Management</t>
  </si>
  <si>
    <t>Tourism</t>
  </si>
  <si>
    <t>Environmental Quality and Protection</t>
  </si>
  <si>
    <t>Biodiversity and Heritage</t>
  </si>
  <si>
    <t>Auxiliary and Associated Services</t>
  </si>
  <si>
    <t>Minister</t>
  </si>
  <si>
    <t>Deputy Minister</t>
  </si>
  <si>
    <t>Management</t>
  </si>
  <si>
    <t>Corporate Services</t>
  </si>
  <si>
    <t>Environmental Monitoring and Reporting</t>
  </si>
  <si>
    <t>Law Reform Planning and Conciliation</t>
  </si>
  <si>
    <t>Environmental Impact Management</t>
  </si>
  <si>
    <t>Contributions</t>
  </si>
  <si>
    <t>Administrative Support Services</t>
  </si>
  <si>
    <t>Antarctic Supply Vessel</t>
  </si>
  <si>
    <t>Marine and Aquatic Pollution Control</t>
  </si>
  <si>
    <t>Financial Assistance</t>
  </si>
  <si>
    <t>Tourism Business Development</t>
  </si>
  <si>
    <t>Tourism Quality Assurance</t>
  </si>
  <si>
    <t>Tourism Research and Development</t>
  </si>
  <si>
    <t>Grant-in-aid</t>
  </si>
  <si>
    <t>Contribution</t>
  </si>
  <si>
    <t>Financial assistance</t>
  </si>
  <si>
    <t>Air Quality Management</t>
  </si>
  <si>
    <t>Waste Management</t>
  </si>
  <si>
    <t>Climate Change and Ozone Layer Protection</t>
  </si>
  <si>
    <t>Environmental Resource Economics</t>
  </si>
  <si>
    <t>Biodiversity Management</t>
  </si>
  <si>
    <t>Cultural and Local Natural Resources Management</t>
  </si>
  <si>
    <t>Transfrontier Conservation Areas</t>
  </si>
  <si>
    <t>Protected Areas</t>
  </si>
  <si>
    <t>Antarctic and Island Research</t>
  </si>
  <si>
    <t>Government Motor Transport</t>
  </si>
  <si>
    <t>Standard Bank</t>
  </si>
  <si>
    <t>Cape of Good Hoop Bank</t>
  </si>
  <si>
    <t>Nedbank Limited</t>
  </si>
  <si>
    <t>BOE Bank (Boland division)</t>
  </si>
  <si>
    <t>ABSA Bank</t>
  </si>
  <si>
    <t>Old Mutual Bank</t>
  </si>
  <si>
    <t>People's Bank</t>
  </si>
  <si>
    <t>BOE Bank (NBS division)</t>
  </si>
  <si>
    <t>Saambou Bank</t>
  </si>
  <si>
    <t>Permanent Bank</t>
  </si>
  <si>
    <t>Cash Bank</t>
  </si>
  <si>
    <t>Original Guaranteed capital amount</t>
  </si>
  <si>
    <t>Guarantees issued during the year</t>
  </si>
  <si>
    <t>Closing Balance 31/03/2003</t>
  </si>
  <si>
    <t>Programme 2: Environmental Planning and Co-ordination</t>
  </si>
  <si>
    <t>Programme 5: Environmental Quality and Protection</t>
  </si>
  <si>
    <t xml:space="preserve">  </t>
  </si>
  <si>
    <t>6  Biodiversity and Heritage</t>
  </si>
  <si>
    <t>Programme 6: Biodiversity and Heritage</t>
  </si>
  <si>
    <t xml:space="preserve"> </t>
  </si>
  <si>
    <t>Programme 7: Auxiliary and Associated Services</t>
  </si>
  <si>
    <t xml:space="preserve">  Marion Base building project</t>
  </si>
  <si>
    <t xml:space="preserve">  CSIR (transfer payment for Environmental Impact Assessments)</t>
  </si>
  <si>
    <t xml:space="preserve">  Government transport (nominal provision for capital transfer)</t>
  </si>
  <si>
    <t>Marine Living Resources Fund suspense accounts</t>
  </si>
  <si>
    <t>DOMESTIC</t>
  </si>
  <si>
    <t>Xerox</t>
  </si>
  <si>
    <t>Minolco</t>
  </si>
  <si>
    <t>8  Special functions: authorised losses</t>
  </si>
  <si>
    <t xml:space="preserve">  Public Works capital maintenance</t>
  </si>
  <si>
    <t xml:space="preserve">Cellphones missing or stolen  </t>
  </si>
  <si>
    <t>Special Functions</t>
  </si>
  <si>
    <t>Actual Transfer</t>
  </si>
  <si>
    <t>Amount not Transferred</t>
  </si>
  <si>
    <t>% of Available Transferred</t>
  </si>
  <si>
    <t>Increase / (decrease) in payables</t>
  </si>
  <si>
    <t>2001/2002</t>
  </si>
  <si>
    <t>2002/2003</t>
  </si>
  <si>
    <t>(advances)</t>
  </si>
  <si>
    <t>(advances2001/02)</t>
  </si>
  <si>
    <t>(advances2002/03)</t>
  </si>
  <si>
    <t>Transfer to other reserves</t>
  </si>
  <si>
    <t>Cash and cash equivalents/(Bank overdraft)</t>
  </si>
  <si>
    <t>Current (Rentals, maintenance and sundry net of cash discounts)</t>
  </si>
  <si>
    <t>Analysis of payments</t>
  </si>
  <si>
    <t>Annexure 1D</t>
  </si>
  <si>
    <t>Amount owing to Marine Living Resources Fund</t>
  </si>
  <si>
    <t>(receivables 2001/02</t>
  </si>
  <si>
    <t>The Minister and Deputy Minister</t>
  </si>
  <si>
    <t>Director-General</t>
  </si>
  <si>
    <t>Other members of key management</t>
  </si>
  <si>
    <t>Local and foreign aid assistance (incl. RDP funds)</t>
  </si>
  <si>
    <t xml:space="preserve">     </t>
  </si>
  <si>
    <t>Unauthorised and fruitless and wasteful expenditure</t>
  </si>
  <si>
    <t>Foreign aid assistance (including RDP funds) receivable from donors</t>
  </si>
  <si>
    <t>ANNEXURE 1D</t>
  </si>
  <si>
    <t>Appropriations Act</t>
  </si>
  <si>
    <t>STATEMENT OF TRANSFERS TO PUBLIC ENTITIES AND INSTITUTIONS BY NATIONAL DEPARTMENTS AS AT 31 MARCH 2003</t>
  </si>
  <si>
    <t>Guarantees Released during the year</t>
  </si>
  <si>
    <t xml:space="preserve">Stannic </t>
  </si>
  <si>
    <t xml:space="preserve">Loss of  laptops </t>
  </si>
  <si>
    <t xml:space="preserve">One to two years </t>
  </si>
  <si>
    <t xml:space="preserve">More than two years </t>
  </si>
  <si>
    <t xml:space="preserve">                                                                                                                                                                                                                                                                                                                                                                 </t>
  </si>
  <si>
    <t>Detail of these transactions can be viewed in note 9 (Transfer payments) to the annual financial statements.</t>
  </si>
  <si>
    <t>Detail of these transactions can be viewed in note 1 (Charge to National Revenue Fund) to the annual financial statements.</t>
  </si>
  <si>
    <t>Detail of these transactions per programme can be viewed in note 11.5 (Details of special functions) to the annual financial statements.</t>
  </si>
  <si>
    <t>Total expenditure per Appropriation Statement</t>
  </si>
  <si>
    <t>Add:</t>
  </si>
  <si>
    <t>Actual Expenditure per Income Statement</t>
  </si>
  <si>
    <t>1.</t>
  </si>
  <si>
    <t>2.</t>
  </si>
  <si>
    <t>5.</t>
  </si>
  <si>
    <t>4.</t>
  </si>
  <si>
    <t>3.</t>
  </si>
  <si>
    <t>Total capital expenditure</t>
  </si>
  <si>
    <t>6.</t>
  </si>
  <si>
    <t>7.</t>
  </si>
  <si>
    <t>8.</t>
  </si>
  <si>
    <t>9.</t>
  </si>
  <si>
    <t>10.</t>
  </si>
  <si>
    <t>11.</t>
  </si>
  <si>
    <t>12.</t>
  </si>
  <si>
    <t>13.</t>
  </si>
  <si>
    <t>14.</t>
  </si>
  <si>
    <t>15.</t>
  </si>
  <si>
    <t>16.</t>
  </si>
  <si>
    <t>17.</t>
  </si>
  <si>
    <t>18.</t>
  </si>
  <si>
    <t>19.</t>
  </si>
  <si>
    <t xml:space="preserve">Proceeds from sale of equipment </t>
  </si>
  <si>
    <t xml:space="preserve">Proceeds on sale of investments </t>
  </si>
  <si>
    <t>20.</t>
  </si>
  <si>
    <t>21.</t>
  </si>
  <si>
    <t>Environmental Planning and Co-ordination</t>
  </si>
  <si>
    <t>22.</t>
  </si>
  <si>
    <t>23.</t>
  </si>
  <si>
    <t>24.</t>
  </si>
  <si>
    <t>25.</t>
  </si>
  <si>
    <t>26.</t>
  </si>
  <si>
    <t>27.</t>
  </si>
  <si>
    <t>Public Entity / Institution</t>
  </si>
  <si>
    <t>-</t>
  </si>
  <si>
    <t>International Tourism Marketing (SA Tourism)</t>
  </si>
  <si>
    <t>Nashua</t>
  </si>
  <si>
    <t>Not later than 1 year</t>
  </si>
  <si>
    <t>Bank overdraft</t>
  </si>
  <si>
    <t>Paymaster General Account (Bank overdraft)</t>
  </si>
  <si>
    <t>ANNEXURE 2A</t>
  </si>
  <si>
    <t>STATEMENT OF CONTROLLED/PUBLIC ENTITIES AS AT 31 MARCH 2003</t>
  </si>
  <si>
    <t>Name of public Entity</t>
  </si>
  <si>
    <t>Nature of public entities business</t>
  </si>
  <si>
    <t>Relevant Act</t>
  </si>
  <si>
    <t>Entity’s PFMA Schedule type (State year end if not 31 March)</t>
  </si>
  <si>
    <t>Audit Report Status</t>
  </si>
  <si>
    <t>U/Q/A/D</t>
  </si>
  <si>
    <t>1. South African National Parks</t>
  </si>
  <si>
    <t>Acquire and manage a system of national parks that represent the indigenous wildlife, vegetation, landscapes and associated cultural assets of South Africa, for the benefit of the nation.</t>
  </si>
  <si>
    <t>3A</t>
  </si>
  <si>
    <t>U</t>
  </si>
  <si>
    <t>2. South African Tourism</t>
  </si>
  <si>
    <t>Develop and implement a world-class international tourism marketing strategy for South Africa.</t>
  </si>
  <si>
    <t>3. South African Weather Service</t>
  </si>
  <si>
    <t xml:space="preserve">Maintain, extend and improve the quality of meteorological service for the benefit of all South Africans. </t>
  </si>
  <si>
    <t>Auditor-General to report</t>
  </si>
  <si>
    <t>4. Marine Living Resources Fund</t>
  </si>
  <si>
    <t>Management of sustainable utilisation and conservation of Marine Living Resources as well as the preservation of marine biodiversity and minimisation of marine pollution.</t>
  </si>
  <si>
    <t>Marine Living Resources Act, 1998 (Act No 18 of 1998)</t>
  </si>
  <si>
    <t>5. National Botanical Institute</t>
  </si>
  <si>
    <t>Promote the sustainable use, conservation, appreciation and enjoyment of the exceptionally rich plant life of South Africa for the benefit of all people.</t>
  </si>
  <si>
    <t>6. Johannesburg World Summit Company</t>
  </si>
  <si>
    <t>Hosting of the World Summit on Sustainable Development.</t>
  </si>
  <si>
    <t>7. Greater St Lucia Wetland Park Authority</t>
  </si>
  <si>
    <t>Conservation of the Greater St Lucia Wetland Area</t>
  </si>
  <si>
    <t>Opening balance 01/04/2002</t>
  </si>
  <si>
    <t>included in Programme 5: Environmental Quality and Protection</t>
  </si>
  <si>
    <t xml:space="preserve">Allocation and expenditure for 2001/02 with regard to South African Weather Service (previously Programme 4: Weather Services) are </t>
  </si>
  <si>
    <t>for the year ended 31 MARCH 2003</t>
  </si>
  <si>
    <t>Total transfer payments made</t>
  </si>
  <si>
    <t>Voted funds to be surrendered to the Revenue Fund</t>
  </si>
  <si>
    <t xml:space="preserve">Netherlands </t>
  </si>
  <si>
    <t>UNESCO</t>
  </si>
  <si>
    <t>Number of individuals</t>
  </si>
  <si>
    <t xml:space="preserve">Under expenditure mainly due to late procurement on capital projects undertaken by the Department of Public Works. </t>
  </si>
  <si>
    <t>of the Department of Public Works with regard to the Marion base building project.</t>
  </si>
  <si>
    <t xml:space="preserve">Under expenditure mainly due to the awarding process of tenders through the procurement procedure  </t>
  </si>
  <si>
    <t>Ralph take note</t>
  </si>
  <si>
    <t>Prize for a photographic competition</t>
  </si>
  <si>
    <t>Guaranteed interest outstanding as at 31/03/2003</t>
  </si>
  <si>
    <t>Firstrand Bank: FNB</t>
  </si>
  <si>
    <t>Ralph note</t>
  </si>
  <si>
    <t>Deputy Directors-General</t>
  </si>
  <si>
    <t xml:space="preserve">  Thor Chemicals</t>
  </si>
  <si>
    <t xml:space="preserve">  Green building project</t>
  </si>
  <si>
    <t xml:space="preserve">  University of Potchefstroom (transfer payment for desertification project)</t>
  </si>
  <si>
    <t xml:space="preserve">  University of Pretoria (transfer payment for desertification project)</t>
  </si>
  <si>
    <t>Q</t>
  </si>
  <si>
    <t xml:space="preserve">(Included in the Departmental suspense accounts is an amount of R67 866 743.18 with regard to a loan to </t>
  </si>
  <si>
    <t>Johannesburg World Summit Company (Jowsco) for hosting the World Summit on Sustainable Development)</t>
  </si>
  <si>
    <t>Environmental Capacity Building</t>
  </si>
  <si>
    <t>International Tourism Liaison and Inter- governmental Coordination</t>
  </si>
  <si>
    <t>Chemicals and Hazardous Waste Management</t>
  </si>
  <si>
    <t>Land, Buildings and Structures</t>
  </si>
  <si>
    <t>1)   Research projects awarded to CSIR, University of Pretoria and University of Potchefstroom were cancelled. The amount R635 000 is part of the departmental saving which was surrendered.</t>
  </si>
  <si>
    <t>World Heritage Convention Act, 1999 (Act No. 49 of 1999)</t>
  </si>
  <si>
    <t>Companies Act, 1973 (Act No. 61 of 1973) as amended</t>
  </si>
  <si>
    <t>Forest Act, 1984 (Act No. 122 of 1984)</t>
  </si>
  <si>
    <t>South African Weather Service Act, 2001 (Act No. 8 of 2001)</t>
  </si>
  <si>
    <t>Tourism Act, 1993 (Act No. 72 of 1993) as amended</t>
  </si>
  <si>
    <t>National Parks Act, 1976 (Act No. 57 of 1976)</t>
  </si>
  <si>
    <t>First report 2002/03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</si>
</sst>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9" formatCode="_ * #,##0.00_ ;_ * \-#,##0.00_ ;_ * &quot;-&quot;??_ ;_ @_ "/>
    <numFmt numFmtId="184" formatCode="0.0"/>
    <numFmt numFmtId="188" formatCode="\ #\ ###\ ##0,"/>
    <numFmt numFmtId="189" formatCode="#\ ###\ ##0;\(#\ ###\ ##0\)"/>
    <numFmt numFmtId="190" formatCode="#\ ###\ ##0.00;\(#\ ###\ ##0.00\)"/>
    <numFmt numFmtId="191" formatCode="#\ ###\ ###\ ##0.00;\(#\ ###\ ###\ ##0.00\)"/>
    <numFmt numFmtId="203" formatCode="#\ ###\ ##0;\(#\ ###\ ##0,\)"/>
  </numFmts>
  <fonts count="19" x14ac:knownFonts="1">
    <font>
      <sz val="10"/>
      <name val="Arial"/>
    </font>
    <font>
      <sz val="10"/>
      <name val="Arial"/>
    </font>
    <font>
      <b/>
      <sz val="10"/>
      <name val="Arial"/>
      <family val="2"/>
    </font>
    <font>
      <sz val="10"/>
      <name val="Arial"/>
      <family val="2"/>
    </font>
    <font>
      <b/>
      <sz val="12"/>
      <name val="Arial"/>
      <family val="2"/>
    </font>
    <font>
      <b/>
      <sz val="11"/>
      <name val="Arial"/>
      <family val="2"/>
    </font>
    <font>
      <b/>
      <sz val="8"/>
      <name val="Arial"/>
      <family val="2"/>
    </font>
    <font>
      <sz val="8"/>
      <name val="Arial"/>
      <family val="2"/>
    </font>
    <font>
      <sz val="12"/>
      <name val="Arial"/>
      <family val="2"/>
    </font>
    <font>
      <b/>
      <sz val="10"/>
      <color indexed="12"/>
      <name val="Arial"/>
      <family val="2"/>
    </font>
    <font>
      <sz val="10"/>
      <color indexed="12"/>
      <name val="Arial"/>
      <family val="2"/>
    </font>
    <font>
      <sz val="10"/>
      <color indexed="10"/>
      <name val="Arial"/>
      <family val="2"/>
    </font>
    <font>
      <sz val="10"/>
      <color indexed="8"/>
      <name val="Arial"/>
      <family val="2"/>
    </font>
    <font>
      <b/>
      <sz val="10"/>
      <color indexed="8"/>
      <name val="Arial"/>
      <family val="2"/>
    </font>
    <font>
      <sz val="10"/>
      <color indexed="81"/>
      <name val="Tahoma"/>
    </font>
    <font>
      <b/>
      <sz val="10"/>
      <color indexed="81"/>
      <name val="Tahoma"/>
    </font>
    <font>
      <b/>
      <sz val="9"/>
      <name val="Arial"/>
      <family val="2"/>
    </font>
    <font>
      <u/>
      <sz val="10"/>
      <color indexed="12"/>
      <name val="Arial"/>
      <family val="2"/>
    </font>
    <font>
      <sz val="10"/>
      <color indexed="8"/>
      <name val="Arial Narrow"/>
      <family val="2"/>
    </font>
  </fonts>
  <fills count="2">
    <fill>
      <patternFill patternType="none"/>
    </fill>
    <fill>
      <patternFill patternType="gray125"/>
    </fill>
  </fills>
  <borders count="21">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s>
  <cellStyleXfs count="2">
    <xf numFmtId="0" fontId="0" fillId="0" borderId="0"/>
    <xf numFmtId="179" fontId="1" fillId="0" borderId="0" applyFont="0" applyFill="0" applyBorder="0" applyAlignment="0" applyProtection="0"/>
  </cellStyleXfs>
  <cellXfs count="595">
    <xf numFmtId="0" fontId="0" fillId="0" borderId="0" xfId="0"/>
    <xf numFmtId="0" fontId="2" fillId="0" borderId="0" xfId="0" applyFont="1"/>
    <xf numFmtId="0" fontId="2" fillId="0" borderId="0" xfId="0" applyFont="1" applyAlignment="1">
      <alignment horizontal="justify" vertical="top" wrapText="1"/>
    </xf>
    <xf numFmtId="0" fontId="2" fillId="0" borderId="0" xfId="0" applyFont="1" applyAlignment="1">
      <alignment horizontal="center" vertical="top" wrapText="1"/>
    </xf>
    <xf numFmtId="17" fontId="2" fillId="0" borderId="0" xfId="0" applyNumberFormat="1" applyFont="1" applyAlignment="1">
      <alignment horizontal="right" vertical="top" wrapText="1"/>
    </xf>
    <xf numFmtId="0" fontId="3" fillId="0" borderId="0" xfId="0" applyFont="1"/>
    <xf numFmtId="0" fontId="3" fillId="0" borderId="0" xfId="0" applyFont="1" applyAlignment="1">
      <alignment horizontal="justify" vertical="top" wrapText="1"/>
    </xf>
    <xf numFmtId="0" fontId="2" fillId="0" borderId="0" xfId="0" applyFont="1" applyAlignment="1">
      <alignment horizontal="right" vertical="top" wrapText="1"/>
    </xf>
    <xf numFmtId="0" fontId="2" fillId="0" borderId="0" xfId="0"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0" fontId="0" fillId="0" borderId="0" xfId="0" applyAlignment="1">
      <alignment horizontal="right"/>
    </xf>
    <xf numFmtId="0" fontId="2" fillId="0" borderId="0"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4" fillId="0" borderId="0" xfId="0" applyFont="1" applyAlignment="1">
      <alignment horizontal="justify"/>
    </xf>
    <xf numFmtId="0" fontId="2" fillId="0" borderId="0" xfId="0" applyFont="1" applyAlignment="1">
      <alignment horizontal="justify"/>
    </xf>
    <xf numFmtId="0" fontId="3" fillId="0" borderId="0" xfId="0" applyFont="1" applyAlignment="1">
      <alignment horizontal="center" vertical="top" wrapText="1"/>
    </xf>
    <xf numFmtId="0" fontId="4"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top"/>
    </xf>
    <xf numFmtId="0" fontId="4" fillId="0" borderId="0" xfId="0" applyFont="1" applyAlignment="1">
      <alignment horizontal="center"/>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xf>
    <xf numFmtId="0" fontId="2" fillId="0" borderId="0" xfId="0" applyFont="1" applyAlignment="1">
      <alignment horizontal="left" vertical="top" wrapText="1"/>
    </xf>
    <xf numFmtId="0" fontId="2" fillId="0" borderId="1" xfId="0" applyFont="1" applyBorder="1" applyAlignment="1">
      <alignment wrapText="1"/>
    </xf>
    <xf numFmtId="0" fontId="2" fillId="0" borderId="5" xfId="0" applyFont="1" applyBorder="1" applyAlignment="1">
      <alignmen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indent="3"/>
    </xf>
    <xf numFmtId="0" fontId="0" fillId="0" borderId="0" xfId="0" applyAlignment="1"/>
    <xf numFmtId="0" fontId="0" fillId="0" borderId="0" xfId="0" applyAlignment="1">
      <alignment wrapText="1"/>
    </xf>
    <xf numFmtId="0" fontId="3" fillId="0" borderId="7" xfId="0" applyFont="1" applyBorder="1" applyAlignment="1">
      <alignment horizontal="center" vertical="top" wrapText="1"/>
    </xf>
    <xf numFmtId="0" fontId="2" fillId="0" borderId="0" xfId="0" applyFont="1" applyAlignment="1"/>
    <xf numFmtId="0" fontId="3" fillId="0" borderId="0" xfId="0" applyFont="1" applyBorder="1" applyAlignment="1">
      <alignment horizontal="justify" vertical="top" wrapText="1"/>
    </xf>
    <xf numFmtId="0" fontId="4" fillId="0" borderId="0" xfId="0" applyFont="1" applyAlignment="1"/>
    <xf numFmtId="0" fontId="2" fillId="0" borderId="0" xfId="0" applyFont="1" applyAlignment="1">
      <alignment vertical="top"/>
    </xf>
    <xf numFmtId="0" fontId="2" fillId="0" borderId="0" xfId="0" applyFont="1" applyAlignment="1">
      <alignment horizontal="left"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justify" wrapText="1"/>
    </xf>
    <xf numFmtId="0" fontId="2" fillId="0" borderId="0" xfId="0" applyFont="1" applyBorder="1" applyAlignment="1">
      <alignment horizontal="justify" vertical="top" wrapText="1"/>
    </xf>
    <xf numFmtId="0" fontId="3" fillId="0" borderId="0" xfId="0" applyFont="1" applyAlignment="1">
      <alignment horizontal="left" vertical="top"/>
    </xf>
    <xf numFmtId="0" fontId="4" fillId="0" borderId="0" xfId="0" applyFont="1" applyAlignment="1">
      <alignment horizontal="right"/>
    </xf>
    <xf numFmtId="0" fontId="2" fillId="0" borderId="0" xfId="0" applyFont="1" applyAlignment="1">
      <alignment horizontal="right" vertical="top"/>
    </xf>
    <xf numFmtId="0" fontId="2" fillId="0" borderId="0" xfId="0" applyFont="1" applyAlignment="1">
      <alignment horizontal="right" wrapText="1"/>
    </xf>
    <xf numFmtId="0" fontId="0" fillId="0" borderId="0" xfId="0" applyAlignment="1">
      <alignment horizontal="right" wrapText="1"/>
    </xf>
    <xf numFmtId="0" fontId="2" fillId="0" borderId="0" xfId="0" applyFont="1" applyAlignment="1">
      <alignment horizontal="right"/>
    </xf>
    <xf numFmtId="0" fontId="3" fillId="0" borderId="0" xfId="0" applyFont="1" applyAlignment="1">
      <alignment vertical="top"/>
    </xf>
    <xf numFmtId="0" fontId="2" fillId="0" borderId="0" xfId="0" applyFont="1" applyAlignment="1">
      <alignment horizontal="left" vertical="top" wrapText="1" indent="4"/>
    </xf>
    <xf numFmtId="0" fontId="5" fillId="0" borderId="0" xfId="0" applyFont="1" applyAlignment="1">
      <alignment horizontal="justify" vertical="top" wrapText="1"/>
    </xf>
    <xf numFmtId="184" fontId="2" fillId="0" borderId="0" xfId="0" applyNumberFormat="1" applyFont="1" applyAlignment="1">
      <alignment horizontal="left"/>
    </xf>
    <xf numFmtId="0" fontId="2" fillId="0" borderId="8" xfId="0" applyFont="1" applyBorder="1" applyAlignment="1">
      <alignment horizontal="left" wrapText="1"/>
    </xf>
    <xf numFmtId="184" fontId="2" fillId="0" borderId="0" xfId="0" applyNumberFormat="1" applyFont="1" applyAlignment="1">
      <alignment horizontal="right"/>
    </xf>
    <xf numFmtId="0" fontId="2" fillId="0" borderId="9" xfId="0" applyFont="1" applyBorder="1" applyAlignment="1">
      <alignment horizontal="right" vertical="top" wrapText="1"/>
    </xf>
    <xf numFmtId="0" fontId="2" fillId="0" borderId="2" xfId="0" applyFont="1" applyBorder="1" applyAlignment="1">
      <alignment horizontal="left" vertical="top" wrapText="1"/>
    </xf>
    <xf numFmtId="184" fontId="2" fillId="0" borderId="0" xfId="0" applyNumberFormat="1" applyFont="1" applyAlignment="1">
      <alignment horizontal="left" vertical="top"/>
    </xf>
    <xf numFmtId="184" fontId="2" fillId="0" borderId="0" xfId="0" applyNumberFormat="1" applyFont="1" applyAlignment="1">
      <alignment horizontal="right" vertical="top"/>
    </xf>
    <xf numFmtId="0" fontId="3" fillId="0" borderId="0" xfId="0" applyFont="1" applyAlignment="1">
      <alignment horizontal="center" vertical="top"/>
    </xf>
    <xf numFmtId="184" fontId="2" fillId="0" borderId="0" xfId="0" applyNumberFormat="1" applyFont="1" applyAlignment="1"/>
    <xf numFmtId="184" fontId="2" fillId="0" borderId="0" xfId="0" applyNumberFormat="1" applyFont="1" applyAlignment="1">
      <alignment vertical="top"/>
    </xf>
    <xf numFmtId="0" fontId="2" fillId="0" borderId="0" xfId="0" applyFont="1" applyAlignment="1">
      <alignment horizontal="left" indent="3"/>
    </xf>
    <xf numFmtId="0" fontId="4" fillId="0" borderId="0" xfId="0" applyFont="1" applyAlignment="1">
      <alignment horizontal="left" wrapText="1"/>
    </xf>
    <xf numFmtId="1" fontId="4" fillId="0" borderId="0" xfId="0" applyNumberFormat="1" applyFont="1" applyAlignment="1">
      <alignment horizontal="left" vertical="top"/>
    </xf>
    <xf numFmtId="0" fontId="3" fillId="0" borderId="0" xfId="0" applyFont="1" applyBorder="1" applyAlignment="1">
      <alignment horizontal="left" vertical="top" wrapText="1" indent="2"/>
    </xf>
    <xf numFmtId="0" fontId="0" fillId="0" borderId="0" xfId="0" applyBorder="1"/>
    <xf numFmtId="0" fontId="3" fillId="0" borderId="0" xfId="0" applyFont="1" applyAlignment="1">
      <alignment horizontal="left" wrapText="1"/>
    </xf>
    <xf numFmtId="0" fontId="2" fillId="0" borderId="0" xfId="0" applyFont="1" applyAlignment="1">
      <alignment horizontal="justify" vertical="top"/>
    </xf>
    <xf numFmtId="0" fontId="2" fillId="0" borderId="0" xfId="0" applyFont="1" applyBorder="1" applyAlignment="1">
      <alignment horizontal="center" vertical="top" wrapText="1"/>
    </xf>
    <xf numFmtId="0" fontId="3" fillId="0" borderId="0" xfId="0" applyFont="1" applyAlignment="1"/>
    <xf numFmtId="0" fontId="3" fillId="0" borderId="0" xfId="0" applyFont="1" applyBorder="1" applyAlignment="1">
      <alignment vertical="top" wrapText="1"/>
    </xf>
    <xf numFmtId="0" fontId="2" fillId="0" borderId="0" xfId="0" applyFont="1" applyAlignment="1">
      <alignment horizontal="center" vertical="center"/>
    </xf>
    <xf numFmtId="0" fontId="2" fillId="0" borderId="0" xfId="0" applyFont="1" applyBorder="1" applyAlignment="1">
      <alignment vertical="top"/>
    </xf>
    <xf numFmtId="0" fontId="3" fillId="0" borderId="0" xfId="0" applyFont="1" applyBorder="1" applyAlignment="1">
      <alignment horizontal="center" vertical="top" wrapText="1"/>
    </xf>
    <xf numFmtId="0" fontId="0" fillId="0" borderId="0" xfId="0" applyBorder="1" applyAlignment="1"/>
    <xf numFmtId="0" fontId="2" fillId="0" borderId="0" xfId="0" applyFont="1" applyBorder="1" applyAlignment="1">
      <alignment wrapText="1"/>
    </xf>
    <xf numFmtId="0" fontId="3" fillId="0" borderId="0" xfId="0" applyFont="1" applyBorder="1" applyAlignment="1">
      <alignment vertical="top"/>
    </xf>
    <xf numFmtId="0" fontId="3" fillId="0" borderId="0" xfId="0" applyFont="1" applyBorder="1" applyAlignment="1">
      <alignment horizontal="left" vertical="top"/>
    </xf>
    <xf numFmtId="0" fontId="4" fillId="0" borderId="0" xfId="0" applyFont="1" applyBorder="1" applyAlignment="1"/>
    <xf numFmtId="0" fontId="2" fillId="0" borderId="0" xfId="0" applyFont="1" applyBorder="1" applyAlignment="1">
      <alignment horizontal="right" vertical="top" wrapText="1"/>
    </xf>
    <xf numFmtId="17" fontId="2"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2" fillId="0" borderId="0" xfId="0" applyFont="1" applyBorder="1" applyAlignment="1">
      <alignment horizontal="right"/>
    </xf>
    <xf numFmtId="0" fontId="2" fillId="0" borderId="0" xfId="0" applyFont="1" applyBorder="1" applyAlignment="1">
      <alignment horizontal="left" vertical="top" wrapText="1" indent="4"/>
    </xf>
    <xf numFmtId="0" fontId="0" fillId="0" borderId="0" xfId="0" applyBorder="1" applyAlignment="1">
      <alignment horizontal="right"/>
    </xf>
    <xf numFmtId="0" fontId="0" fillId="0" borderId="0" xfId="0" applyBorder="1" applyAlignment="1">
      <alignment wrapText="1"/>
    </xf>
    <xf numFmtId="0" fontId="0" fillId="0" borderId="0" xfId="0" applyBorder="1" applyAlignment="1">
      <alignment horizontal="right" wrapText="1"/>
    </xf>
    <xf numFmtId="0" fontId="5" fillId="0" borderId="0" xfId="0" applyFont="1" applyBorder="1" applyAlignment="1">
      <alignment horizontal="justify" vertical="top" wrapText="1"/>
    </xf>
    <xf numFmtId="0" fontId="2" fillId="0" borderId="0" xfId="0" applyFont="1" applyBorder="1" applyAlignment="1"/>
    <xf numFmtId="0" fontId="0" fillId="0" borderId="0" xfId="0" applyBorder="1" applyAlignment="1">
      <alignment horizontal="left"/>
    </xf>
    <xf numFmtId="0" fontId="2" fillId="0" borderId="0" xfId="0" applyFont="1" applyBorder="1" applyAlignment="1">
      <alignment horizontal="left" vertical="top" wrapText="1"/>
    </xf>
    <xf numFmtId="184" fontId="2" fillId="0" borderId="0" xfId="0" applyNumberFormat="1" applyFont="1" applyBorder="1" applyAlignment="1">
      <alignment vertical="top"/>
    </xf>
    <xf numFmtId="0" fontId="2" fillId="0" borderId="0" xfId="0" applyFont="1" applyBorder="1" applyAlignment="1">
      <alignment horizontal="left" wrapText="1"/>
    </xf>
    <xf numFmtId="0" fontId="0" fillId="0" borderId="0" xfId="0" applyBorder="1" applyAlignment="1">
      <alignment horizontal="left" wrapText="1"/>
    </xf>
    <xf numFmtId="0" fontId="0" fillId="0" borderId="0" xfId="0" applyBorder="1" applyAlignment="1">
      <alignment horizontal="center"/>
    </xf>
    <xf numFmtId="0" fontId="4" fillId="0" borderId="0" xfId="0" applyFont="1" applyBorder="1" applyAlignment="1">
      <alignment horizontal="left" wrapText="1"/>
    </xf>
    <xf numFmtId="0" fontId="2" fillId="0" borderId="0" xfId="0" applyFont="1" applyBorder="1" applyAlignment="1">
      <alignment horizontal="left"/>
    </xf>
    <xf numFmtId="0" fontId="2" fillId="0" borderId="0" xfId="0" applyFont="1" applyBorder="1" applyAlignment="1">
      <alignment horizontal="right" wrapText="1"/>
    </xf>
    <xf numFmtId="0" fontId="2" fillId="0" borderId="2"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13" xfId="0" applyFont="1" applyBorder="1" applyAlignment="1">
      <alignment horizontal="center" wrapText="1"/>
    </xf>
    <xf numFmtId="0" fontId="2" fillId="0" borderId="11" xfId="0" applyFont="1" applyBorder="1" applyAlignment="1">
      <alignment horizontal="center" vertical="center" wrapText="1"/>
    </xf>
    <xf numFmtId="0" fontId="3" fillId="0" borderId="0" xfId="0" applyFont="1" applyAlignment="1">
      <alignment vertical="center"/>
    </xf>
    <xf numFmtId="0" fontId="2" fillId="0" borderId="14" xfId="0" applyFont="1" applyBorder="1" applyAlignment="1">
      <alignment horizontal="center" wrapText="1"/>
    </xf>
    <xf numFmtId="0" fontId="2" fillId="0" borderId="1" xfId="0" applyFont="1" applyBorder="1" applyAlignment="1">
      <alignment horizontal="left" wrapText="1"/>
    </xf>
    <xf numFmtId="0" fontId="6" fillId="0" borderId="8" xfId="0" applyFont="1" applyBorder="1" applyAlignment="1">
      <alignment wrapText="1"/>
    </xf>
    <xf numFmtId="0" fontId="3" fillId="0" borderId="0" xfId="0" applyFont="1" applyAlignment="1">
      <alignment wrapText="1"/>
    </xf>
    <xf numFmtId="0" fontId="2" fillId="0" borderId="15" xfId="0" applyFont="1" applyBorder="1" applyAlignment="1">
      <alignment wrapText="1"/>
    </xf>
    <xf numFmtId="0" fontId="2" fillId="0" borderId="5" xfId="0" applyFont="1" applyBorder="1" applyAlignment="1">
      <alignmen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6" xfId="0" applyFont="1" applyBorder="1" applyAlignment="1">
      <alignment horizontal="center" wrapText="1"/>
    </xf>
    <xf numFmtId="0" fontId="3" fillId="0" borderId="6" xfId="0" applyFont="1" applyBorder="1" applyAlignment="1">
      <alignment wrapText="1"/>
    </xf>
    <xf numFmtId="0" fontId="3" fillId="0" borderId="2" xfId="0" applyFont="1" applyBorder="1" applyAlignment="1">
      <alignment wrapText="1"/>
    </xf>
    <xf numFmtId="0" fontId="2" fillId="0" borderId="12" xfId="0" applyFont="1" applyBorder="1" applyAlignment="1">
      <alignment wrapText="1"/>
    </xf>
    <xf numFmtId="0" fontId="3" fillId="0" borderId="0" xfId="0" applyFont="1" applyBorder="1" applyAlignment="1">
      <alignment wrapText="1"/>
    </xf>
    <xf numFmtId="0" fontId="2" fillId="0" borderId="0" xfId="0" applyFont="1" applyBorder="1" applyAlignment="1">
      <alignment horizontal="center" wrapText="1"/>
    </xf>
    <xf numFmtId="0" fontId="2" fillId="0" borderId="15" xfId="0" applyFont="1" applyBorder="1" applyAlignment="1">
      <alignment horizontal="center" wrapText="1"/>
    </xf>
    <xf numFmtId="0" fontId="3" fillId="0" borderId="12" xfId="0" applyFont="1" applyBorder="1" applyAlignment="1"/>
    <xf numFmtId="0" fontId="6" fillId="0" borderId="0" xfId="0" applyFont="1" applyBorder="1" applyAlignment="1">
      <alignment wrapText="1"/>
    </xf>
    <xf numFmtId="0" fontId="3" fillId="0" borderId="0" xfId="0" applyFont="1" applyBorder="1" applyAlignment="1"/>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15" xfId="0" applyFont="1" applyBorder="1" applyAlignment="1">
      <alignment horizontal="left" wrapText="1"/>
    </xf>
    <xf numFmtId="0" fontId="2" fillId="0" borderId="1" xfId="0" applyFont="1" applyBorder="1" applyAlignment="1">
      <alignment horizontal="left" vertical="top" wrapText="1"/>
    </xf>
    <xf numFmtId="0" fontId="2" fillId="0" borderId="5" xfId="0" applyFont="1" applyBorder="1" applyAlignment="1">
      <alignment horizontal="left" wrapText="1"/>
    </xf>
    <xf numFmtId="0" fontId="4" fillId="0" borderId="0" xfId="0" applyFont="1" applyAlignment="1">
      <alignment horizontal="left" vertical="top"/>
    </xf>
    <xf numFmtId="0" fontId="3" fillId="0" borderId="0" xfId="0" applyFont="1" applyBorder="1" applyAlignment="1">
      <alignment horizontal="left" vertical="top" wrapText="1"/>
    </xf>
    <xf numFmtId="0" fontId="2" fillId="0" borderId="0" xfId="0" applyFont="1" applyBorder="1" applyAlignment="1">
      <alignment horizontal="left" vertical="top" wrapText="1" indent="3"/>
    </xf>
    <xf numFmtId="0" fontId="2" fillId="0" borderId="0" xfId="0" applyFont="1" applyBorder="1" applyAlignment="1">
      <alignment horizontal="left" vertical="top"/>
    </xf>
    <xf numFmtId="0" fontId="2" fillId="0" borderId="0" xfId="0" applyFont="1" applyBorder="1" applyAlignment="1">
      <alignment horizontal="center" vertical="center" wrapText="1"/>
    </xf>
    <xf numFmtId="184" fontId="0" fillId="0" borderId="0" xfId="0" applyNumberFormat="1" applyAlignment="1">
      <alignment horizontal="left"/>
    </xf>
    <xf numFmtId="184" fontId="2" fillId="0" borderId="0" xfId="0" applyNumberFormat="1" applyFont="1" applyAlignment="1">
      <alignment horizontal="left" vertical="top" wrapText="1"/>
    </xf>
    <xf numFmtId="184" fontId="3" fillId="0" borderId="0" xfId="0" applyNumberFormat="1" applyFont="1" applyAlignment="1">
      <alignment horizontal="left" vertical="top" wrapText="1"/>
    </xf>
    <xf numFmtId="184" fontId="2" fillId="0" borderId="0" xfId="0" applyNumberFormat="1" applyFont="1" applyAlignment="1">
      <alignment horizontal="left" wrapText="1"/>
    </xf>
    <xf numFmtId="1" fontId="4" fillId="0" borderId="0" xfId="0" applyNumberFormat="1" applyFont="1" applyAlignment="1">
      <alignment horizontal="left"/>
    </xf>
    <xf numFmtId="0" fontId="0" fillId="0" borderId="0" xfId="0" applyAlignment="1">
      <alignment horizontal="center"/>
    </xf>
    <xf numFmtId="0" fontId="3" fillId="0" borderId="2" xfId="0" applyFont="1" applyBorder="1" applyAlignment="1">
      <alignment horizontal="right" vertical="top" wrapText="1"/>
    </xf>
    <xf numFmtId="0" fontId="2" fillId="0" borderId="16" xfId="0" applyFont="1" applyBorder="1" applyAlignment="1">
      <alignment horizontal="right" vertical="top" wrapText="1"/>
    </xf>
    <xf numFmtId="1" fontId="3" fillId="0" borderId="0" xfId="0" applyNumberFormat="1" applyFont="1" applyAlignment="1">
      <alignment vertical="top" wrapText="1"/>
    </xf>
    <xf numFmtId="1" fontId="2" fillId="0" borderId="0" xfId="0" applyNumberFormat="1" applyFont="1" applyAlignment="1">
      <alignment horizontal="left"/>
    </xf>
    <xf numFmtId="184" fontId="3" fillId="0" borderId="0" xfId="0" applyNumberFormat="1" applyFont="1" applyAlignment="1">
      <alignment horizontal="left"/>
    </xf>
    <xf numFmtId="0" fontId="2" fillId="0" borderId="0" xfId="0" applyFont="1" applyBorder="1" applyAlignment="1">
      <alignment horizontal="left" vertical="center" wrapText="1"/>
    </xf>
    <xf numFmtId="0" fontId="3" fillId="0" borderId="0" xfId="0" applyFont="1" applyFill="1" applyAlignment="1">
      <alignment vertical="top" wrapText="1"/>
    </xf>
    <xf numFmtId="0" fontId="0" fillId="0" borderId="0" xfId="0" applyFill="1"/>
    <xf numFmtId="0" fontId="3" fillId="0" borderId="0" xfId="0" applyFont="1" applyFill="1" applyBorder="1" applyAlignment="1">
      <alignment horizontal="right" vertical="top" wrapText="1"/>
    </xf>
    <xf numFmtId="0" fontId="3" fillId="0" borderId="0" xfId="0" applyFont="1" applyBorder="1"/>
    <xf numFmtId="0" fontId="3" fillId="0" borderId="0" xfId="0" applyFont="1" applyBorder="1" applyAlignment="1">
      <alignment horizontal="right"/>
    </xf>
    <xf numFmtId="0" fontId="3" fillId="0" borderId="0" xfId="0" applyFont="1" applyBorder="1" applyAlignment="1">
      <alignment horizontal="right" wrapText="1"/>
    </xf>
    <xf numFmtId="0" fontId="2" fillId="0" borderId="0" xfId="0" applyFont="1" applyBorder="1"/>
    <xf numFmtId="0" fontId="8" fillId="0" borderId="0" xfId="0" applyFont="1" applyAlignment="1"/>
    <xf numFmtId="0" fontId="2" fillId="0" borderId="0" xfId="0" applyFont="1" applyBorder="1" applyAlignment="1">
      <alignment horizontal="left" indent="1"/>
    </xf>
    <xf numFmtId="0" fontId="8" fillId="0" borderId="0" xfId="0" applyFont="1" applyBorder="1" applyAlignment="1"/>
    <xf numFmtId="0" fontId="4" fillId="0" borderId="0" xfId="0" applyFont="1" applyFill="1" applyAlignment="1">
      <alignment horizontal="left"/>
    </xf>
    <xf numFmtId="0" fontId="0" fillId="0" borderId="0" xfId="0" applyFill="1" applyAlignment="1"/>
    <xf numFmtId="0" fontId="2" fillId="0" borderId="0" xfId="0" applyFont="1" applyAlignment="1">
      <alignment vertical="center" wrapText="1"/>
    </xf>
    <xf numFmtId="0" fontId="2" fillId="0" borderId="0" xfId="0" applyFont="1" applyAlignment="1">
      <alignment horizontal="center"/>
    </xf>
    <xf numFmtId="184" fontId="2" fillId="0" borderId="0" xfId="0" applyNumberFormat="1" applyFont="1" applyFill="1" applyAlignment="1">
      <alignment horizontal="left"/>
    </xf>
    <xf numFmtId="0" fontId="2" fillId="0" borderId="0" xfId="0" applyFont="1" applyFill="1" applyAlignment="1"/>
    <xf numFmtId="17" fontId="2" fillId="0" borderId="0" xfId="0" applyNumberFormat="1" applyFont="1" applyFill="1" applyAlignment="1">
      <alignment horizontal="right" vertical="top" wrapText="1"/>
    </xf>
    <xf numFmtId="0" fontId="3" fillId="0" borderId="0" xfId="0" applyFont="1" applyBorder="1" applyAlignment="1">
      <alignment horizontal="left" vertical="top" indent="2"/>
    </xf>
    <xf numFmtId="0" fontId="2" fillId="0" borderId="0" xfId="0" quotePrefix="1" applyFont="1" applyAlignment="1">
      <alignment horizontal="left" vertical="top"/>
    </xf>
    <xf numFmtId="0" fontId="3" fillId="0" borderId="0" xfId="0" applyFont="1" applyFill="1" applyBorder="1" applyAlignment="1">
      <alignment horizontal="left" vertical="top" wrapText="1" indent="2"/>
    </xf>
    <xf numFmtId="188" fontId="3" fillId="0" borderId="0" xfId="0" applyNumberFormat="1" applyFont="1"/>
    <xf numFmtId="0" fontId="3" fillId="0" borderId="0" xfId="0" applyFont="1" applyAlignment="1">
      <alignment vertical="center" wrapText="1"/>
    </xf>
    <xf numFmtId="0" fontId="10" fillId="0" borderId="0" xfId="0" applyFont="1"/>
    <xf numFmtId="0" fontId="11" fillId="0" borderId="0" xfId="0" applyFont="1" applyAlignment="1">
      <alignment horizontal="left" vertical="top"/>
    </xf>
    <xf numFmtId="0" fontId="10" fillId="0" borderId="0" xfId="0" applyFont="1" applyAlignment="1">
      <alignment horizontal="justify" vertical="top" wrapText="1"/>
    </xf>
    <xf numFmtId="189" fontId="2" fillId="0" borderId="16" xfId="0" applyNumberFormat="1" applyFont="1" applyBorder="1" applyAlignment="1">
      <alignment horizontal="right" vertical="top" wrapText="1"/>
    </xf>
    <xf numFmtId="189" fontId="3" fillId="0" borderId="2" xfId="1" applyNumberFormat="1" applyFont="1" applyBorder="1" applyAlignment="1">
      <alignment horizontal="right" vertical="top" wrapText="1"/>
    </xf>
    <xf numFmtId="189" fontId="3" fillId="0" borderId="2" xfId="0" applyNumberFormat="1" applyFont="1" applyBorder="1" applyAlignment="1">
      <alignment horizontal="justify" vertical="top" wrapText="1"/>
    </xf>
    <xf numFmtId="189" fontId="2" fillId="0" borderId="0" xfId="0" applyNumberFormat="1" applyFont="1"/>
    <xf numFmtId="189" fontId="3" fillId="0" borderId="0" xfId="0" applyNumberFormat="1" applyFont="1" applyAlignment="1">
      <alignment horizontal="right" vertical="top" wrapText="1"/>
    </xf>
    <xf numFmtId="189" fontId="2" fillId="0" borderId="9" xfId="0" applyNumberFormat="1" applyFont="1" applyBorder="1" applyAlignment="1">
      <alignment horizontal="right" vertical="top" wrapText="1"/>
    </xf>
    <xf numFmtId="189" fontId="2" fillId="0" borderId="0" xfId="0" applyNumberFormat="1" applyFont="1" applyBorder="1" applyAlignment="1">
      <alignment vertical="top" wrapText="1"/>
    </xf>
    <xf numFmtId="0" fontId="10" fillId="0" borderId="0" xfId="0" applyFont="1" applyAlignment="1"/>
    <xf numFmtId="0" fontId="9" fillId="0" borderId="0" xfId="0" applyFont="1" applyAlignment="1">
      <alignment horizontal="right" vertical="top" wrapText="1"/>
    </xf>
    <xf numFmtId="189" fontId="2" fillId="0" borderId="16" xfId="0" applyNumberFormat="1" applyFont="1" applyBorder="1"/>
    <xf numFmtId="189" fontId="3" fillId="0" borderId="2" xfId="0" applyNumberFormat="1" applyFont="1" applyBorder="1" applyAlignment="1">
      <alignment horizontal="right" vertical="top" wrapText="1"/>
    </xf>
    <xf numFmtId="189" fontId="3" fillId="0" borderId="8" xfId="0" applyNumberFormat="1" applyFont="1" applyBorder="1" applyAlignment="1">
      <alignment horizontal="right" vertical="top" wrapText="1"/>
    </xf>
    <xf numFmtId="189" fontId="3" fillId="0" borderId="11" xfId="0" applyNumberFormat="1" applyFont="1" applyBorder="1" applyAlignment="1">
      <alignment horizontal="right" vertical="top" wrapText="1"/>
    </xf>
    <xf numFmtId="189" fontId="3" fillId="0" borderId="14" xfId="0" applyNumberFormat="1" applyFont="1" applyBorder="1" applyAlignment="1">
      <alignment horizontal="right" vertical="top" wrapText="1"/>
    </xf>
    <xf numFmtId="189" fontId="2" fillId="0" borderId="0" xfId="0" applyNumberFormat="1" applyFont="1" applyBorder="1" applyAlignment="1">
      <alignment horizontal="right" vertical="top" wrapText="1"/>
    </xf>
    <xf numFmtId="0" fontId="11" fillId="0" borderId="0" xfId="0" applyFont="1"/>
    <xf numFmtId="184" fontId="11" fillId="0" borderId="0" xfId="0" applyNumberFormat="1" applyFont="1" applyAlignment="1">
      <alignment horizontal="left"/>
    </xf>
    <xf numFmtId="0" fontId="11" fillId="0" borderId="0" xfId="0" applyFont="1" applyAlignment="1"/>
    <xf numFmtId="189" fontId="2" fillId="0" borderId="15" xfId="0" applyNumberFormat="1" applyFont="1" applyBorder="1" applyAlignment="1">
      <alignment horizontal="right" vertical="top" wrapText="1"/>
    </xf>
    <xf numFmtId="189" fontId="2" fillId="0" borderId="0" xfId="0" applyNumberFormat="1" applyFont="1" applyAlignment="1">
      <alignment horizontal="right" vertical="top" wrapText="1"/>
    </xf>
    <xf numFmtId="189" fontId="3" fillId="0" borderId="0" xfId="0" applyNumberFormat="1" applyFont="1"/>
    <xf numFmtId="189" fontId="3" fillId="0" borderId="0" xfId="0" applyNumberFormat="1" applyFont="1" applyAlignment="1"/>
    <xf numFmtId="189" fontId="3" fillId="0" borderId="0" xfId="0" applyNumberFormat="1" applyFont="1" applyBorder="1"/>
    <xf numFmtId="189" fontId="3" fillId="0" borderId="0" xfId="1" applyNumberFormat="1" applyFont="1" applyBorder="1" applyAlignment="1">
      <alignment vertical="top" wrapText="1"/>
    </xf>
    <xf numFmtId="184" fontId="3" fillId="0" borderId="0" xfId="0" applyNumberFormat="1" applyFont="1" applyAlignment="1">
      <alignment horizontal="left" wrapText="1"/>
    </xf>
    <xf numFmtId="0" fontId="3" fillId="0" borderId="0" xfId="0" applyFont="1" applyAlignment="1">
      <alignment horizontal="right"/>
    </xf>
    <xf numFmtId="0" fontId="3" fillId="0" borderId="0" xfId="0" applyFont="1" applyAlignment="1">
      <alignment horizontal="right" wrapText="1"/>
    </xf>
    <xf numFmtId="0" fontId="3" fillId="0" borderId="0" xfId="0" applyFont="1" applyFill="1"/>
    <xf numFmtId="4" fontId="3" fillId="0" borderId="0" xfId="0" applyNumberFormat="1" applyFont="1"/>
    <xf numFmtId="4" fontId="3" fillId="0" borderId="0" xfId="0" applyNumberFormat="1" applyFont="1" applyAlignment="1">
      <alignment horizontal="right" vertical="top" wrapText="1"/>
    </xf>
    <xf numFmtId="4" fontId="0" fillId="0" borderId="0" xfId="0" applyNumberFormat="1"/>
    <xf numFmtId="4" fontId="2" fillId="0" borderId="0" xfId="0" applyNumberFormat="1" applyFont="1" applyBorder="1"/>
    <xf numFmtId="189" fontId="2" fillId="0" borderId="0" xfId="0" applyNumberFormat="1" applyFont="1" applyBorder="1"/>
    <xf numFmtId="4" fontId="2" fillId="0" borderId="0" xfId="0" applyNumberFormat="1" applyFont="1" applyBorder="1" applyAlignment="1">
      <alignment horizontal="right" vertical="top" wrapText="1"/>
    </xf>
    <xf numFmtId="191" fontId="3" fillId="0" borderId="0" xfId="0" applyNumberFormat="1" applyFont="1" applyAlignment="1">
      <alignment horizontal="right" vertical="top" wrapText="1"/>
    </xf>
    <xf numFmtId="191" fontId="3" fillId="0" borderId="0" xfId="0" applyNumberFormat="1" applyFont="1" applyBorder="1" applyAlignment="1">
      <alignment horizontal="right" vertical="top" wrapText="1"/>
    </xf>
    <xf numFmtId="191" fontId="2" fillId="0" borderId="0" xfId="0" applyNumberFormat="1" applyFont="1" applyBorder="1" applyAlignment="1">
      <alignment horizontal="right" vertical="top" wrapText="1"/>
    </xf>
    <xf numFmtId="191" fontId="0" fillId="0" borderId="0" xfId="0" applyNumberFormat="1"/>
    <xf numFmtId="189" fontId="3" fillId="0" borderId="11" xfId="0" applyNumberFormat="1" applyFont="1" applyBorder="1" applyAlignment="1">
      <alignment wrapText="1"/>
    </xf>
    <xf numFmtId="189" fontId="2" fillId="0" borderId="17" xfId="0" applyNumberFormat="1" applyFont="1" applyBorder="1" applyAlignment="1">
      <alignment wrapText="1"/>
    </xf>
    <xf numFmtId="189" fontId="3" fillId="0" borderId="10" xfId="0" applyNumberFormat="1" applyFont="1" applyBorder="1" applyAlignment="1">
      <alignment wrapText="1"/>
    </xf>
    <xf numFmtId="190" fontId="2" fillId="0" borderId="3" xfId="0" applyNumberFormat="1" applyFont="1" applyBorder="1" applyAlignment="1">
      <alignment wrapText="1"/>
    </xf>
    <xf numFmtId="190" fontId="2" fillId="0" borderId="12" xfId="0" applyNumberFormat="1" applyFont="1" applyBorder="1" applyAlignment="1">
      <alignment wrapText="1"/>
    </xf>
    <xf numFmtId="190" fontId="2" fillId="0" borderId="10" xfId="0" applyNumberFormat="1" applyFont="1" applyBorder="1" applyAlignment="1">
      <alignment wrapText="1"/>
    </xf>
    <xf numFmtId="190" fontId="2" fillId="0" borderId="0" xfId="0" applyNumberFormat="1" applyFont="1" applyBorder="1" applyAlignment="1">
      <alignment wrapText="1"/>
    </xf>
    <xf numFmtId="189" fontId="2" fillId="0" borderId="0" xfId="0" applyNumberFormat="1" applyFont="1" applyBorder="1" applyAlignment="1">
      <alignment wrapText="1"/>
    </xf>
    <xf numFmtId="189" fontId="2" fillId="0" borderId="12" xfId="0" applyNumberFormat="1" applyFont="1" applyBorder="1" applyAlignment="1">
      <alignment wrapText="1"/>
    </xf>
    <xf numFmtId="189" fontId="3" fillId="0" borderId="0" xfId="0" applyNumberFormat="1" applyFont="1" applyBorder="1" applyAlignment="1">
      <alignment wrapText="1"/>
    </xf>
    <xf numFmtId="189" fontId="7" fillId="0" borderId="8" xfId="0" applyNumberFormat="1" applyFont="1" applyBorder="1" applyAlignment="1">
      <alignment wrapText="1"/>
    </xf>
    <xf numFmtId="189" fontId="3" fillId="0" borderId="3" xfId="0" applyNumberFormat="1" applyFont="1" applyBorder="1" applyAlignment="1">
      <alignment wrapText="1"/>
    </xf>
    <xf numFmtId="189" fontId="3" fillId="0" borderId="12" xfId="0" applyNumberFormat="1" applyFont="1" applyBorder="1" applyAlignment="1">
      <alignment wrapText="1"/>
    </xf>
    <xf numFmtId="0" fontId="3" fillId="0" borderId="12" xfId="0" applyFont="1" applyBorder="1" applyAlignment="1">
      <alignment vertical="top" wrapText="1"/>
    </xf>
    <xf numFmtId="0" fontId="3" fillId="0" borderId="12" xfId="0" applyFont="1" applyBorder="1" applyAlignment="1">
      <alignment wrapText="1"/>
    </xf>
    <xf numFmtId="0" fontId="3" fillId="0" borderId="3" xfId="0" applyFont="1" applyBorder="1" applyAlignment="1">
      <alignment wrapText="1"/>
    </xf>
    <xf numFmtId="189" fontId="6" fillId="0" borderId="8" xfId="0" applyNumberFormat="1" applyFont="1" applyBorder="1" applyAlignment="1">
      <alignment wrapText="1"/>
    </xf>
    <xf numFmtId="189" fontId="2" fillId="0" borderId="3" xfId="0" applyNumberFormat="1" applyFont="1" applyBorder="1" applyAlignment="1">
      <alignment wrapText="1"/>
    </xf>
    <xf numFmtId="0" fontId="7" fillId="0" borderId="8" xfId="0" applyFont="1" applyBorder="1" applyAlignment="1">
      <alignment wrapText="1"/>
    </xf>
    <xf numFmtId="189" fontId="2" fillId="0" borderId="12" xfId="0" applyNumberFormat="1" applyFont="1" applyBorder="1" applyAlignment="1"/>
    <xf numFmtId="189" fontId="2" fillId="0" borderId="15" xfId="0" applyNumberFormat="1" applyFont="1" applyBorder="1" applyAlignment="1">
      <alignment wrapText="1"/>
    </xf>
    <xf numFmtId="0" fontId="2" fillId="0" borderId="13" xfId="0" applyFont="1" applyBorder="1" applyAlignment="1">
      <alignment horizontal="center" vertical="top" wrapText="1"/>
    </xf>
    <xf numFmtId="0" fontId="2" fillId="0" borderId="17" xfId="0" applyFont="1" applyBorder="1" applyAlignment="1">
      <alignment horizontal="center" vertical="top" wrapText="1"/>
    </xf>
    <xf numFmtId="0" fontId="4" fillId="0" borderId="0" xfId="0" applyFont="1" applyAlignment="1">
      <alignment horizontal="centerContinuous"/>
    </xf>
    <xf numFmtId="0" fontId="0" fillId="0" borderId="0" xfId="0" applyAlignment="1">
      <alignment horizontal="centerContinuous"/>
    </xf>
    <xf numFmtId="0" fontId="2" fillId="0" borderId="0" xfId="0" quotePrefix="1" applyFont="1" applyAlignment="1">
      <alignment horizontal="left"/>
    </xf>
    <xf numFmtId="184" fontId="13" fillId="0" borderId="0" xfId="0" applyNumberFormat="1" applyFont="1" applyAlignment="1">
      <alignment horizontal="left" vertical="top"/>
    </xf>
    <xf numFmtId="0" fontId="12" fillId="0" borderId="0" xfId="0" applyFont="1" applyAlignment="1">
      <alignment horizontal="left" vertical="top" wrapText="1"/>
    </xf>
    <xf numFmtId="0" fontId="12" fillId="0" borderId="0" xfId="0" applyFont="1" applyAlignment="1">
      <alignment horizontal="left" vertical="top"/>
    </xf>
    <xf numFmtId="0" fontId="13" fillId="0" borderId="0" xfId="0" applyFont="1" applyAlignment="1">
      <alignment horizontal="left"/>
    </xf>
    <xf numFmtId="184" fontId="12" fillId="0" borderId="0" xfId="0" applyNumberFormat="1" applyFont="1" applyAlignment="1">
      <alignment horizontal="left"/>
    </xf>
    <xf numFmtId="0" fontId="13" fillId="0" borderId="0" xfId="0" applyFont="1" applyAlignment="1">
      <alignment horizontal="justify" vertical="top" wrapText="1"/>
    </xf>
    <xf numFmtId="189" fontId="0" fillId="0" borderId="0" xfId="0" applyNumberFormat="1"/>
    <xf numFmtId="191" fontId="0" fillId="0" borderId="0" xfId="0" applyNumberFormat="1" applyBorder="1"/>
    <xf numFmtId="0" fontId="3" fillId="0" borderId="0" xfId="0" applyFont="1" applyAlignment="1">
      <alignment horizontal="center" vertical="center"/>
    </xf>
    <xf numFmtId="190" fontId="3" fillId="0" borderId="0" xfId="0" applyNumberFormat="1" applyFont="1" applyAlignment="1"/>
    <xf numFmtId="190" fontId="3" fillId="0" borderId="12" xfId="0" applyNumberFormat="1" applyFont="1" applyBorder="1" applyAlignment="1"/>
    <xf numFmtId="190" fontId="3" fillId="0" borderId="3" xfId="0" applyNumberFormat="1" applyFont="1" applyBorder="1" applyAlignment="1">
      <alignment wrapText="1"/>
    </xf>
    <xf numFmtId="190" fontId="3" fillId="0" borderId="12" xfId="0" applyNumberFormat="1" applyFont="1" applyBorder="1" applyAlignment="1">
      <alignment wrapText="1"/>
    </xf>
    <xf numFmtId="189" fontId="3" fillId="0" borderId="8" xfId="1" applyNumberFormat="1" applyFont="1" applyFill="1" applyBorder="1" applyAlignment="1">
      <alignment horizontal="right" vertical="top" wrapText="1"/>
    </xf>
    <xf numFmtId="191" fontId="2" fillId="0" borderId="0" xfId="0" applyNumberFormat="1" applyFont="1" applyBorder="1"/>
    <xf numFmtId="191" fontId="2" fillId="0" borderId="0" xfId="0" applyNumberFormat="1" applyFont="1" applyFill="1" applyBorder="1"/>
    <xf numFmtId="189" fontId="2" fillId="0" borderId="0" xfId="0" applyNumberFormat="1" applyFont="1" applyFill="1" applyBorder="1"/>
    <xf numFmtId="189" fontId="3" fillId="0" borderId="15" xfId="0" applyNumberFormat="1" applyFont="1" applyBorder="1" applyAlignment="1">
      <alignment horizontal="right" vertical="top" wrapText="1"/>
    </xf>
    <xf numFmtId="191" fontId="2" fillId="0" borderId="0" xfId="0" applyNumberFormat="1" applyFont="1" applyBorder="1" applyAlignment="1">
      <alignment vertical="top"/>
    </xf>
    <xf numFmtId="189" fontId="2" fillId="0" borderId="0" xfId="0" applyNumberFormat="1" applyFont="1" applyBorder="1" applyAlignment="1">
      <alignment vertical="top"/>
    </xf>
    <xf numFmtId="0" fontId="2" fillId="0" borderId="0" xfId="0" applyFont="1" applyBorder="1" applyAlignment="1">
      <alignment horizontal="center" vertical="center"/>
    </xf>
    <xf numFmtId="0" fontId="2" fillId="0" borderId="0" xfId="0" applyFont="1" applyAlignment="1">
      <alignment horizontal="center" wrapText="1"/>
    </xf>
    <xf numFmtId="0" fontId="10" fillId="0" borderId="0" xfId="0" applyFont="1" applyAlignment="1">
      <alignment horizontal="center"/>
    </xf>
    <xf numFmtId="0" fontId="16" fillId="0" borderId="0" xfId="0" applyFont="1" applyFill="1" applyBorder="1"/>
    <xf numFmtId="191" fontId="0" fillId="0" borderId="0" xfId="0" applyNumberFormat="1" applyBorder="1" applyAlignment="1">
      <alignment horizontal="center" vertical="top"/>
    </xf>
    <xf numFmtId="0" fontId="2" fillId="0" borderId="0" xfId="0" applyFont="1" applyFill="1" applyAlignment="1">
      <alignment horizontal="center" vertical="top" wrapText="1"/>
    </xf>
    <xf numFmtId="4" fontId="3" fillId="0" borderId="0" xfId="0" applyNumberFormat="1" applyFont="1" applyAlignment="1">
      <alignment horizontal="right"/>
    </xf>
    <xf numFmtId="0" fontId="3" fillId="0" borderId="0" xfId="0" applyFont="1" applyAlignment="1">
      <alignment horizontal="left" vertical="top" wrapText="1" indent="2"/>
    </xf>
    <xf numFmtId="0" fontId="3" fillId="0" borderId="0" xfId="0" quotePrefix="1" applyFont="1" applyAlignment="1">
      <alignment horizontal="left" vertical="top"/>
    </xf>
    <xf numFmtId="17" fontId="9" fillId="0" borderId="0" xfId="0" applyNumberFormat="1" applyFont="1" applyAlignment="1">
      <alignment horizontal="right" vertical="top" wrapText="1"/>
    </xf>
    <xf numFmtId="189" fontId="3" fillId="0" borderId="11" xfId="1" applyNumberFormat="1" applyFont="1" applyFill="1" applyBorder="1" applyAlignment="1">
      <alignment horizontal="right" vertical="top" wrapText="1"/>
    </xf>
    <xf numFmtId="189" fontId="3" fillId="0" borderId="14" xfId="1" applyNumberFormat="1" applyFont="1" applyFill="1" applyBorder="1" applyAlignment="1">
      <alignment horizontal="right" vertical="top" wrapText="1"/>
    </xf>
    <xf numFmtId="4" fontId="0" fillId="0" borderId="0" xfId="0" applyNumberFormat="1" applyAlignment="1"/>
    <xf numFmtId="4" fontId="3" fillId="0" borderId="0" xfId="0" applyNumberFormat="1" applyFont="1" applyBorder="1" applyAlignment="1">
      <alignment horizontal="justify" vertical="top" wrapText="1"/>
    </xf>
    <xf numFmtId="4" fontId="0" fillId="0" borderId="0" xfId="0" applyNumberFormat="1" applyBorder="1"/>
    <xf numFmtId="4" fontId="3" fillId="0" borderId="0" xfId="0" applyNumberFormat="1" applyFont="1" applyAlignment="1">
      <alignment horizontal="justify" vertical="top" wrapText="1"/>
    </xf>
    <xf numFmtId="4" fontId="3" fillId="0" borderId="0" xfId="0" applyNumberFormat="1" applyFont="1" applyAlignment="1">
      <alignment wrapText="1"/>
    </xf>
    <xf numFmtId="4" fontId="2" fillId="0" borderId="0" xfId="0" applyNumberFormat="1" applyFont="1" applyAlignment="1">
      <alignment vertical="top" wrapText="1"/>
    </xf>
    <xf numFmtId="4" fontId="3" fillId="0" borderId="0" xfId="0" applyNumberFormat="1" applyFont="1" applyAlignment="1">
      <alignment vertical="top" wrapText="1"/>
    </xf>
    <xf numFmtId="0" fontId="17" fillId="0" borderId="0" xfId="0" applyFont="1" applyAlignment="1">
      <alignment horizontal="center"/>
    </xf>
    <xf numFmtId="4" fontId="10" fillId="0" borderId="0" xfId="0" applyNumberFormat="1" applyFont="1" applyAlignment="1"/>
    <xf numFmtId="4" fontId="10" fillId="0" borderId="0" xfId="0" applyNumberFormat="1" applyFont="1"/>
    <xf numFmtId="4" fontId="10" fillId="0" borderId="1" xfId="0" applyNumberFormat="1" applyFont="1" applyBorder="1"/>
    <xf numFmtId="191" fontId="10" fillId="0" borderId="1" xfId="0" applyNumberFormat="1" applyFont="1" applyBorder="1"/>
    <xf numFmtId="191" fontId="10" fillId="0" borderId="0" xfId="0" applyNumberFormat="1" applyFont="1"/>
    <xf numFmtId="4" fontId="3" fillId="0" borderId="15" xfId="0" applyNumberFormat="1" applyFont="1" applyBorder="1"/>
    <xf numFmtId="4" fontId="7" fillId="0" borderId="0" xfId="0" applyNumberFormat="1" applyFont="1" applyAlignment="1">
      <alignment vertical="top" wrapText="1"/>
    </xf>
    <xf numFmtId="191" fontId="3" fillId="0" borderId="0" xfId="0" applyNumberFormat="1" applyFont="1" applyFill="1" applyBorder="1" applyAlignment="1">
      <alignment horizontal="right" vertical="top" wrapText="1"/>
    </xf>
    <xf numFmtId="4" fontId="3" fillId="0" borderId="0" xfId="0" applyNumberFormat="1" applyFont="1" applyFill="1" applyBorder="1" applyAlignment="1">
      <alignment horizontal="right" vertical="top" wrapText="1"/>
    </xf>
    <xf numFmtId="4" fontId="10" fillId="0" borderId="2" xfId="0" applyNumberFormat="1" applyFont="1" applyBorder="1"/>
    <xf numFmtId="17" fontId="2" fillId="0" borderId="0" xfId="0" applyNumberFormat="1" applyFont="1" applyAlignment="1">
      <alignment horizontal="center" vertical="top" wrapText="1"/>
    </xf>
    <xf numFmtId="0" fontId="3" fillId="0" borderId="0" xfId="0" applyFont="1" applyFill="1" applyAlignment="1">
      <alignment horizontal="left" vertical="top" wrapText="1" indent="2"/>
    </xf>
    <xf numFmtId="0" fontId="3" fillId="0" borderId="0" xfId="0" applyFont="1" applyAlignment="1">
      <alignment horizontal="center"/>
    </xf>
    <xf numFmtId="0" fontId="3" fillId="0" borderId="0" xfId="0" quotePrefix="1" applyFont="1" applyFill="1" applyAlignment="1">
      <alignment horizontal="left" vertical="top" wrapText="1" indent="2"/>
    </xf>
    <xf numFmtId="0" fontId="2" fillId="0" borderId="12" xfId="0" applyFont="1" applyFill="1" applyBorder="1" applyAlignment="1">
      <alignment horizontal="center" vertical="center" wrapText="1"/>
    </xf>
    <xf numFmtId="0" fontId="2" fillId="0" borderId="12" xfId="0" quotePrefix="1" applyFont="1" applyFill="1" applyBorder="1" applyAlignment="1">
      <alignment horizontal="center" vertical="center" wrapText="1"/>
    </xf>
    <xf numFmtId="0" fontId="2" fillId="0" borderId="13" xfId="0" applyFont="1" applyFill="1" applyBorder="1" applyAlignment="1">
      <alignment horizontal="center" vertical="center"/>
    </xf>
    <xf numFmtId="0" fontId="1" fillId="0" borderId="0" xfId="0" applyFont="1" applyAlignment="1">
      <alignment horizontal="centerContinuous"/>
    </xf>
    <xf numFmtId="0" fontId="1" fillId="0" borderId="0" xfId="0" applyFont="1" applyBorder="1"/>
    <xf numFmtId="0" fontId="1" fillId="0" borderId="0" xfId="0" applyFont="1"/>
    <xf numFmtId="0" fontId="8" fillId="0" borderId="0" xfId="0" applyFont="1" applyAlignment="1">
      <alignment horizontal="centerContinuous"/>
    </xf>
    <xf numFmtId="0" fontId="1" fillId="0" borderId="0" xfId="0" applyFont="1" applyBorder="1" applyAlignment="1">
      <alignment vertical="center"/>
    </xf>
    <xf numFmtId="0" fontId="1" fillId="0" borderId="0" xfId="0" applyFont="1" applyAlignment="1">
      <alignment vertical="center"/>
    </xf>
    <xf numFmtId="189" fontId="3" fillId="0" borderId="5" xfId="0" applyNumberFormat="1" applyFont="1" applyBorder="1" applyAlignment="1">
      <alignment horizontal="right" vertical="top" wrapText="1"/>
    </xf>
    <xf numFmtId="189" fontId="3" fillId="0" borderId="1" xfId="0" applyNumberFormat="1" applyFont="1" applyBorder="1" applyAlignment="1">
      <alignment horizontal="right" vertical="top" wrapText="1"/>
    </xf>
    <xf numFmtId="189" fontId="3" fillId="0" borderId="18" xfId="0" applyNumberFormat="1" applyFont="1" applyBorder="1" applyAlignment="1">
      <alignment horizontal="right" vertical="top" wrapText="1"/>
    </xf>
    <xf numFmtId="189" fontId="3" fillId="0" borderId="3" xfId="0" applyNumberFormat="1" applyFont="1" applyBorder="1" applyAlignment="1">
      <alignment horizontal="right" vertical="top" wrapText="1"/>
    </xf>
    <xf numFmtId="189" fontId="3" fillId="0" borderId="4" xfId="0" applyNumberFormat="1" applyFont="1" applyBorder="1" applyAlignment="1">
      <alignment horizontal="right" vertical="top" wrapText="1"/>
    </xf>
    <xf numFmtId="189" fontId="3" fillId="0" borderId="0" xfId="0" applyNumberFormat="1" applyFont="1" applyBorder="1" applyAlignment="1">
      <alignment horizontal="right" vertical="top" wrapText="1"/>
    </xf>
    <xf numFmtId="189" fontId="3" fillId="0" borderId="6" xfId="0" applyNumberFormat="1" applyFont="1" applyBorder="1" applyAlignment="1">
      <alignment horizontal="right" vertical="top" wrapText="1"/>
    </xf>
    <xf numFmtId="0" fontId="0" fillId="0" borderId="0" xfId="0" quotePrefix="1" applyAlignment="1">
      <alignment horizontal="center"/>
    </xf>
    <xf numFmtId="0" fontId="0" fillId="0" borderId="0" xfId="0" applyFill="1" applyAlignment="1">
      <alignment horizontal="center"/>
    </xf>
    <xf numFmtId="188" fontId="2" fillId="0" borderId="0" xfId="0" applyNumberFormat="1" applyFont="1" applyBorder="1" applyAlignment="1">
      <alignment vertical="top" wrapText="1"/>
    </xf>
    <xf numFmtId="188" fontId="3" fillId="0" borderId="0" xfId="0" applyNumberFormat="1" applyFont="1" applyAlignment="1">
      <alignment horizontal="right" vertical="top" wrapText="1"/>
    </xf>
    <xf numFmtId="188" fontId="2" fillId="0" borderId="16" xfId="0" applyNumberFormat="1" applyFont="1" applyBorder="1" applyAlignment="1">
      <alignment vertical="top" wrapText="1"/>
    </xf>
    <xf numFmtId="188" fontId="2" fillId="0" borderId="16" xfId="0" applyNumberFormat="1" applyFont="1" applyBorder="1" applyAlignment="1">
      <alignment horizontal="right" vertical="top" wrapText="1"/>
    </xf>
    <xf numFmtId="188" fontId="3" fillId="0" borderId="0" xfId="0" applyNumberFormat="1" applyFont="1" applyAlignment="1">
      <alignment vertical="top" wrapText="1"/>
    </xf>
    <xf numFmtId="188" fontId="0" fillId="0" borderId="0" xfId="0" applyNumberFormat="1"/>
    <xf numFmtId="188" fontId="2" fillId="0" borderId="16" xfId="0" applyNumberFormat="1" applyFont="1" applyBorder="1"/>
    <xf numFmtId="188" fontId="3" fillId="0" borderId="0" xfId="0" applyNumberFormat="1" applyFont="1" applyBorder="1" applyAlignment="1">
      <alignment horizontal="right" vertical="top" wrapText="1"/>
    </xf>
    <xf numFmtId="188" fontId="2" fillId="0" borderId="9" xfId="0" applyNumberFormat="1" applyFont="1" applyBorder="1" applyAlignment="1">
      <alignment horizontal="right" vertical="top" wrapText="1"/>
    </xf>
    <xf numFmtId="188" fontId="3" fillId="0" borderId="2" xfId="0" applyNumberFormat="1" applyFont="1" applyBorder="1" applyAlignment="1">
      <alignment horizontal="right" vertical="top" wrapText="1"/>
    </xf>
    <xf numFmtId="188" fontId="2" fillId="0" borderId="0" xfId="0" applyNumberFormat="1" applyFont="1" applyAlignment="1">
      <alignment horizontal="right"/>
    </xf>
    <xf numFmtId="188" fontId="2" fillId="0" borderId="0" xfId="0" applyNumberFormat="1" applyFont="1" applyBorder="1" applyAlignment="1">
      <alignment horizontal="right" vertical="top" wrapText="1"/>
    </xf>
    <xf numFmtId="188" fontId="2" fillId="0" borderId="0" xfId="0" applyNumberFormat="1" applyFont="1" applyAlignment="1">
      <alignment horizontal="right" vertical="top" wrapText="1"/>
    </xf>
    <xf numFmtId="188" fontId="3" fillId="0" borderId="2" xfId="1" applyNumberFormat="1" applyFont="1" applyBorder="1" applyAlignment="1">
      <alignment horizontal="right" vertical="top" wrapText="1"/>
    </xf>
    <xf numFmtId="188" fontId="3" fillId="0" borderId="15" xfId="0" applyNumberFormat="1" applyFont="1" applyBorder="1" applyAlignment="1">
      <alignment horizontal="right" vertical="top" wrapText="1"/>
    </xf>
    <xf numFmtId="188" fontId="2" fillId="0" borderId="15" xfId="0" applyNumberFormat="1" applyFont="1" applyBorder="1" applyAlignment="1">
      <alignment horizontal="right" vertical="top" wrapText="1"/>
    </xf>
    <xf numFmtId="188" fontId="3" fillId="0" borderId="2" xfId="0" applyNumberFormat="1" applyFont="1" applyBorder="1" applyAlignment="1">
      <alignment horizontal="justify" vertical="top" wrapText="1"/>
    </xf>
    <xf numFmtId="188" fontId="2" fillId="0" borderId="0" xfId="0" applyNumberFormat="1" applyFont="1" applyBorder="1"/>
    <xf numFmtId="188" fontId="2" fillId="0" borderId="0" xfId="0" applyNumberFormat="1" applyFont="1" applyFill="1" applyAlignment="1">
      <alignment horizontal="right" vertical="top" wrapText="1"/>
    </xf>
    <xf numFmtId="188" fontId="3" fillId="0" borderId="0" xfId="0" applyNumberFormat="1" applyFont="1" applyAlignment="1"/>
    <xf numFmtId="188" fontId="3" fillId="0" borderId="2" xfId="0" applyNumberFormat="1" applyFont="1" applyBorder="1" applyAlignment="1">
      <alignment vertical="top" wrapText="1"/>
    </xf>
    <xf numFmtId="188" fontId="3" fillId="0" borderId="0" xfId="0" applyNumberFormat="1" applyFont="1" applyBorder="1" applyAlignment="1">
      <alignment vertical="top" wrapText="1"/>
    </xf>
    <xf numFmtId="188" fontId="3" fillId="0" borderId="0" xfId="0" applyNumberFormat="1" applyFont="1" applyAlignment="1">
      <alignment horizontal="justify" vertical="top" wrapText="1"/>
    </xf>
    <xf numFmtId="188" fontId="3" fillId="0" borderId="16" xfId="0" applyNumberFormat="1" applyFont="1" applyBorder="1" applyAlignment="1">
      <alignment horizontal="right" vertical="top" wrapText="1"/>
    </xf>
    <xf numFmtId="188" fontId="3" fillId="0" borderId="5" xfId="0" applyNumberFormat="1" applyFont="1" applyBorder="1" applyAlignment="1">
      <alignment horizontal="right" vertical="top" wrapText="1"/>
    </xf>
    <xf numFmtId="188" fontId="3" fillId="0" borderId="1" xfId="0" applyNumberFormat="1" applyFont="1" applyBorder="1" applyAlignment="1">
      <alignment vertical="top" wrapText="1"/>
    </xf>
    <xf numFmtId="188" fontId="3" fillId="0" borderId="3" xfId="0" applyNumberFormat="1" applyFont="1" applyBorder="1" applyAlignment="1">
      <alignment horizontal="right" vertical="top" wrapText="1"/>
    </xf>
    <xf numFmtId="188" fontId="3" fillId="0" borderId="15" xfId="0" applyNumberFormat="1" applyFont="1" applyBorder="1" applyAlignment="1">
      <alignment vertical="top" wrapText="1"/>
    </xf>
    <xf numFmtId="188" fontId="3" fillId="0" borderId="4" xfId="0" applyNumberFormat="1" applyFont="1" applyBorder="1" applyAlignment="1">
      <alignment horizontal="right" vertical="top" wrapText="1"/>
    </xf>
    <xf numFmtId="188" fontId="3" fillId="0" borderId="6" xfId="0" applyNumberFormat="1" applyFont="1" applyBorder="1" applyAlignment="1">
      <alignment horizontal="right" vertical="top" wrapText="1"/>
    </xf>
    <xf numFmtId="203" fontId="3" fillId="0" borderId="0" xfId="0" applyNumberFormat="1" applyFont="1" applyAlignment="1">
      <alignment horizontal="right" vertical="top" wrapText="1"/>
    </xf>
    <xf numFmtId="203" fontId="3" fillId="0" borderId="3" xfId="0" applyNumberFormat="1" applyFont="1" applyBorder="1" applyAlignment="1">
      <alignment horizontal="right" vertical="top" wrapText="1"/>
    </xf>
    <xf numFmtId="203" fontId="3" fillId="0" borderId="6" xfId="0" applyNumberFormat="1" applyFont="1" applyBorder="1" applyAlignment="1">
      <alignment horizontal="right" vertical="top" wrapText="1"/>
    </xf>
    <xf numFmtId="203" fontId="2" fillId="0" borderId="16" xfId="0" applyNumberFormat="1" applyFont="1" applyBorder="1" applyAlignment="1">
      <alignment horizontal="right" vertical="top" wrapText="1"/>
    </xf>
    <xf numFmtId="188" fontId="3" fillId="0" borderId="4" xfId="1" applyNumberFormat="1" applyFont="1" applyFill="1" applyBorder="1" applyAlignment="1">
      <alignment horizontal="right" vertical="top" wrapText="1"/>
    </xf>
    <xf numFmtId="189" fontId="0" fillId="0" borderId="0" xfId="0" applyNumberFormat="1" applyBorder="1" applyAlignment="1"/>
    <xf numFmtId="189" fontId="0" fillId="0" borderId="16" xfId="0" applyNumberFormat="1" applyBorder="1" applyAlignment="1"/>
    <xf numFmtId="0" fontId="4" fillId="0" borderId="0" xfId="0" quotePrefix="1" applyFont="1" applyAlignment="1">
      <alignment horizontal="left" vertical="top"/>
    </xf>
    <xf numFmtId="188" fontId="3" fillId="0" borderId="0" xfId="0" applyNumberFormat="1" applyFont="1" applyAlignment="1">
      <alignment horizontal="right" vertical="top"/>
    </xf>
    <xf numFmtId="188" fontId="3" fillId="0" borderId="16" xfId="0" applyNumberFormat="1" applyFont="1" applyBorder="1" applyAlignment="1">
      <alignment horizontal="right" vertical="top"/>
    </xf>
    <xf numFmtId="189" fontId="0" fillId="0" borderId="0" xfId="0" applyNumberFormat="1" applyBorder="1" applyAlignment="1">
      <alignment horizontal="right" vertical="top"/>
    </xf>
    <xf numFmtId="189" fontId="0" fillId="0" borderId="0" xfId="0" applyNumberFormat="1" applyBorder="1" applyAlignment="1">
      <alignment horizontal="center" vertical="top"/>
    </xf>
    <xf numFmtId="189" fontId="0" fillId="0" borderId="0" xfId="0" applyNumberFormat="1" applyBorder="1" applyAlignment="1">
      <alignment horizontal="right"/>
    </xf>
    <xf numFmtId="189" fontId="0" fillId="0" borderId="16" xfId="0" applyNumberFormat="1" applyBorder="1"/>
    <xf numFmtId="1" fontId="4" fillId="0" borderId="0" xfId="0" quotePrefix="1" applyNumberFormat="1" applyFont="1" applyAlignment="1">
      <alignment horizontal="left"/>
    </xf>
    <xf numFmtId="1" fontId="4" fillId="0" borderId="0" xfId="0" quotePrefix="1" applyNumberFormat="1" applyFont="1" applyFill="1" applyAlignment="1">
      <alignment horizontal="left"/>
    </xf>
    <xf numFmtId="0" fontId="4" fillId="0" borderId="0" xfId="0" quotePrefix="1" applyFont="1" applyAlignment="1">
      <alignment horizontal="left"/>
    </xf>
    <xf numFmtId="189" fontId="3" fillId="0" borderId="12" xfId="0" applyNumberFormat="1" applyFont="1" applyBorder="1" applyAlignment="1"/>
    <xf numFmtId="189" fontId="3" fillId="0" borderId="14" xfId="1" applyNumberFormat="1" applyFont="1" applyBorder="1" applyAlignment="1">
      <alignment horizontal="right" vertical="top" wrapText="1"/>
    </xf>
    <xf numFmtId="191" fontId="0" fillId="0" borderId="0" xfId="0" applyNumberFormat="1" applyBorder="1" applyAlignment="1">
      <alignment horizontal="center"/>
    </xf>
    <xf numFmtId="191" fontId="0" fillId="0" borderId="16" xfId="0" applyNumberFormat="1" applyBorder="1" applyAlignment="1">
      <alignment horizontal="center"/>
    </xf>
    <xf numFmtId="189" fontId="0" fillId="0" borderId="0" xfId="0" applyNumberFormat="1" applyBorder="1" applyAlignment="1">
      <alignment horizontal="center"/>
    </xf>
    <xf numFmtId="189" fontId="0" fillId="0" borderId="16" xfId="0" applyNumberFormat="1" applyBorder="1" applyAlignment="1">
      <alignment horizontal="center"/>
    </xf>
    <xf numFmtId="188" fontId="3" fillId="0" borderId="1" xfId="0" applyNumberFormat="1" applyFont="1" applyBorder="1" applyAlignment="1">
      <alignment horizontal="right" vertical="top" wrapText="1"/>
    </xf>
    <xf numFmtId="4" fontId="10" fillId="0" borderId="0" xfId="0" applyNumberFormat="1" applyFont="1" applyBorder="1"/>
    <xf numFmtId="191" fontId="10" fillId="0" borderId="0" xfId="0" applyNumberFormat="1" applyFont="1" applyBorder="1"/>
    <xf numFmtId="189" fontId="0" fillId="0" borderId="0" xfId="0" applyNumberFormat="1" applyFill="1"/>
    <xf numFmtId="188" fontId="2" fillId="0" borderId="16" xfId="0" applyNumberFormat="1" applyFont="1" applyBorder="1" applyAlignment="1"/>
    <xf numFmtId="188" fontId="3" fillId="0" borderId="2" xfId="0" applyNumberFormat="1" applyFont="1" applyBorder="1" applyAlignment="1">
      <alignment horizontal="right" vertical="top"/>
    </xf>
    <xf numFmtId="188" fontId="2" fillId="0" borderId="9" xfId="0" applyNumberFormat="1" applyFont="1" applyBorder="1" applyAlignment="1">
      <alignment horizontal="right" vertical="top"/>
    </xf>
    <xf numFmtId="190" fontId="3" fillId="0" borderId="0" xfId="0" applyNumberFormat="1" applyFont="1" applyAlignment="1">
      <alignment horizontal="right" vertical="top" wrapText="1"/>
    </xf>
    <xf numFmtId="190" fontId="0" fillId="0" borderId="0" xfId="0" applyNumberFormat="1"/>
    <xf numFmtId="0" fontId="3" fillId="0" borderId="0" xfId="0" applyFont="1" applyAlignment="1">
      <alignment horizontal="centerContinuous"/>
    </xf>
    <xf numFmtId="0" fontId="8" fillId="0" borderId="0" xfId="0" applyFont="1"/>
    <xf numFmtId="0" fontId="4" fillId="0" borderId="17" xfId="0" applyFont="1" applyBorder="1" applyAlignment="1">
      <alignment horizontal="center" vertical="center" wrapText="1"/>
    </xf>
    <xf numFmtId="0" fontId="4" fillId="0" borderId="17" xfId="0" applyFont="1" applyBorder="1" applyAlignment="1">
      <alignment horizontal="center" vertical="center"/>
    </xf>
    <xf numFmtId="0" fontId="8" fillId="0" borderId="12" xfId="0" applyFont="1" applyBorder="1" applyAlignment="1">
      <alignment vertical="top"/>
    </xf>
    <xf numFmtId="0" fontId="8" fillId="0" borderId="3" xfId="0" applyFont="1" applyBorder="1" applyAlignment="1">
      <alignment vertical="top" wrapText="1"/>
    </xf>
    <xf numFmtId="0" fontId="8" fillId="0" borderId="12" xfId="0" applyFont="1" applyBorder="1" applyAlignment="1">
      <alignment horizontal="center" vertical="top"/>
    </xf>
    <xf numFmtId="0" fontId="8" fillId="0" borderId="10" xfId="0" applyFont="1" applyBorder="1" applyAlignment="1">
      <alignment vertical="top"/>
    </xf>
    <xf numFmtId="0" fontId="8" fillId="0" borderId="4" xfId="0" applyFont="1" applyBorder="1" applyAlignment="1">
      <alignment vertical="top" wrapText="1"/>
    </xf>
    <xf numFmtId="0" fontId="8" fillId="0" borderId="10" xfId="0" applyFont="1" applyBorder="1" applyAlignment="1">
      <alignment horizontal="center" vertical="top"/>
    </xf>
    <xf numFmtId="0" fontId="8" fillId="0" borderId="13" xfId="0" applyFont="1" applyBorder="1" applyAlignment="1">
      <alignment vertical="top"/>
    </xf>
    <xf numFmtId="0" fontId="8" fillId="0" borderId="6" xfId="0" applyFont="1" applyBorder="1" applyAlignment="1">
      <alignment vertical="top"/>
    </xf>
    <xf numFmtId="0" fontId="8" fillId="0" borderId="13" xfId="0" applyFont="1" applyBorder="1"/>
    <xf numFmtId="184" fontId="2" fillId="0" borderId="4" xfId="0" applyNumberFormat="1" applyFont="1" applyBorder="1" applyAlignment="1">
      <alignment horizontal="left" vertical="top" wrapText="1"/>
    </xf>
    <xf numFmtId="0" fontId="2" fillId="0" borderId="18" xfId="0" applyFont="1" applyBorder="1" applyAlignment="1">
      <alignment wrapText="1"/>
    </xf>
    <xf numFmtId="184" fontId="2" fillId="0" borderId="3" xfId="0" applyNumberFormat="1" applyFont="1" applyBorder="1" applyAlignment="1">
      <alignment horizontal="left" vertical="top" wrapText="1"/>
    </xf>
    <xf numFmtId="0" fontId="3" fillId="0" borderId="11" xfId="0" applyFont="1" applyBorder="1" applyAlignment="1">
      <alignment wrapText="1"/>
    </xf>
    <xf numFmtId="0" fontId="2" fillId="0" borderId="0" xfId="0" applyFont="1" applyBorder="1" applyAlignment="1">
      <alignment horizontal="right" vertical="center" wrapText="1"/>
    </xf>
    <xf numFmtId="188" fontId="3" fillId="0" borderId="18" xfId="0" applyNumberFormat="1" applyFont="1" applyBorder="1" applyAlignment="1">
      <alignment vertical="top" wrapText="1"/>
    </xf>
    <xf numFmtId="188" fontId="3" fillId="0" borderId="8" xfId="0" applyNumberFormat="1" applyFont="1" applyBorder="1" applyAlignment="1">
      <alignment vertical="top" wrapText="1"/>
    </xf>
    <xf numFmtId="188" fontId="3" fillId="0" borderId="11" xfId="0" applyNumberFormat="1" applyFont="1" applyBorder="1" applyAlignment="1">
      <alignment vertical="top" wrapText="1"/>
    </xf>
    <xf numFmtId="188" fontId="3" fillId="0" borderId="14" xfId="0" applyNumberFormat="1" applyFont="1" applyBorder="1" applyAlignment="1">
      <alignment vertical="top" wrapText="1"/>
    </xf>
    <xf numFmtId="188" fontId="3" fillId="0" borderId="0" xfId="0" applyNumberFormat="1" applyFont="1" applyBorder="1" applyAlignment="1">
      <alignment horizontal="center" vertical="top" wrapText="1"/>
    </xf>
    <xf numFmtId="188" fontId="2" fillId="0" borderId="16" xfId="0" applyNumberFormat="1" applyFont="1" applyBorder="1" applyAlignment="1">
      <alignment wrapText="1"/>
    </xf>
    <xf numFmtId="188" fontId="2" fillId="0" borderId="16" xfId="0" applyNumberFormat="1" applyFont="1" applyBorder="1" applyAlignment="1">
      <alignment horizontal="center" wrapText="1"/>
    </xf>
    <xf numFmtId="188" fontId="0" fillId="0" borderId="0" xfId="0" applyNumberFormat="1" applyBorder="1"/>
    <xf numFmtId="188" fontId="0" fillId="0" borderId="0" xfId="0" applyNumberFormat="1" applyBorder="1" applyAlignment="1">
      <alignment horizontal="center"/>
    </xf>
    <xf numFmtId="188" fontId="0" fillId="0" borderId="0" xfId="0" applyNumberFormat="1" applyAlignment="1">
      <alignment horizontal="center"/>
    </xf>
    <xf numFmtId="188" fontId="2" fillId="0" borderId="16" xfId="0" applyNumberFormat="1" applyFont="1" applyBorder="1" applyAlignment="1">
      <alignment horizontal="center"/>
    </xf>
    <xf numFmtId="188" fontId="2" fillId="0" borderId="16" xfId="0" applyNumberFormat="1" applyFont="1" applyBorder="1" applyAlignment="1">
      <alignment horizontal="right" wrapText="1"/>
    </xf>
    <xf numFmtId="0" fontId="2" fillId="0" borderId="0" xfId="0" applyFont="1" applyFill="1" applyBorder="1" applyAlignment="1">
      <alignment horizontal="right" vertical="center"/>
    </xf>
    <xf numFmtId="0" fontId="2" fillId="0" borderId="0" xfId="0" applyFont="1" applyAlignment="1">
      <alignment horizontal="right" vertical="center" wrapText="1"/>
    </xf>
    <xf numFmtId="0" fontId="3" fillId="0" borderId="0" xfId="0" applyFont="1" applyBorder="1" applyAlignment="1">
      <alignment horizontal="left"/>
    </xf>
    <xf numFmtId="184" fontId="6" fillId="0" borderId="0" xfId="0" applyNumberFormat="1" applyFont="1" applyBorder="1" applyAlignment="1">
      <alignment horizontal="left" vertical="top" wrapText="1"/>
    </xf>
    <xf numFmtId="190" fontId="3" fillId="0" borderId="0" xfId="0" applyNumberFormat="1" applyFont="1" applyBorder="1" applyAlignment="1"/>
    <xf numFmtId="190" fontId="3" fillId="0" borderId="0" xfId="0" applyNumberFormat="1" applyFont="1" applyBorder="1" applyAlignment="1">
      <alignment wrapText="1"/>
    </xf>
    <xf numFmtId="189" fontId="0" fillId="0" borderId="15" xfId="0" applyNumberFormat="1" applyBorder="1"/>
    <xf numFmtId="189" fontId="0" fillId="0" borderId="15" xfId="0" applyNumberFormat="1" applyBorder="1" applyAlignment="1"/>
    <xf numFmtId="4" fontId="3" fillId="0" borderId="0" xfId="0" applyNumberFormat="1" applyFont="1" applyBorder="1" applyAlignment="1">
      <alignment vertical="top" wrapText="1"/>
    </xf>
    <xf numFmtId="4" fontId="3" fillId="0" borderId="0" xfId="0" applyNumberFormat="1" applyFont="1" applyBorder="1"/>
    <xf numFmtId="189" fontId="3" fillId="0" borderId="0" xfId="1" applyNumberFormat="1" applyFont="1" applyFill="1" applyBorder="1" applyAlignment="1">
      <alignment horizontal="right" vertical="top" wrapText="1"/>
    </xf>
    <xf numFmtId="189" fontId="2" fillId="0" borderId="0" xfId="0" applyNumberFormat="1" applyFont="1" applyFill="1" applyAlignment="1">
      <alignment horizontal="right" vertical="top" wrapText="1"/>
    </xf>
    <xf numFmtId="189" fontId="2" fillId="0" borderId="0" xfId="0" applyNumberFormat="1" applyFont="1" applyFill="1" applyBorder="1" applyAlignment="1">
      <alignment horizontal="right" vertical="top" wrapText="1"/>
    </xf>
    <xf numFmtId="203" fontId="2" fillId="0" borderId="0" xfId="0" applyNumberFormat="1" applyFont="1" applyFill="1" applyBorder="1" applyAlignment="1">
      <alignment horizontal="right" vertical="top"/>
    </xf>
    <xf numFmtId="203" fontId="3" fillId="0" borderId="3" xfId="1" applyNumberFormat="1" applyFont="1" applyFill="1" applyBorder="1" applyAlignment="1">
      <alignment horizontal="right" vertical="top"/>
    </xf>
    <xf numFmtId="188" fontId="3" fillId="0" borderId="4" xfId="1" applyNumberFormat="1" applyFont="1" applyFill="1" applyBorder="1" applyAlignment="1">
      <alignment horizontal="right" vertical="top"/>
    </xf>
    <xf numFmtId="188" fontId="3" fillId="0" borderId="6" xfId="1" applyNumberFormat="1" applyFont="1" applyFill="1" applyBorder="1" applyAlignment="1">
      <alignment horizontal="right" vertical="top"/>
    </xf>
    <xf numFmtId="0" fontId="2" fillId="0" borderId="0" xfId="0" applyFont="1" applyFill="1" applyAlignment="1">
      <alignment horizontal="right" vertical="top"/>
    </xf>
    <xf numFmtId="203" fontId="2" fillId="0" borderId="15" xfId="0" applyNumberFormat="1" applyFont="1" applyFill="1" applyBorder="1" applyAlignment="1">
      <alignment horizontal="right" vertical="top"/>
    </xf>
    <xf numFmtId="203" fontId="2" fillId="0" borderId="0" xfId="0" applyNumberFormat="1" applyFont="1" applyFill="1" applyAlignment="1">
      <alignment horizontal="right" vertical="top"/>
    </xf>
    <xf numFmtId="203" fontId="3" fillId="0" borderId="15" xfId="0" applyNumberFormat="1" applyFont="1" applyBorder="1" applyAlignment="1">
      <alignment horizontal="right" vertical="top"/>
    </xf>
    <xf numFmtId="203" fontId="2" fillId="0" borderId="16" xfId="0" applyNumberFormat="1" applyFont="1" applyBorder="1" applyAlignment="1">
      <alignment horizontal="right" vertical="top"/>
    </xf>
    <xf numFmtId="189" fontId="2" fillId="0" borderId="0" xfId="0" applyNumberFormat="1" applyFont="1" applyFill="1" applyBorder="1" applyAlignment="1">
      <alignment horizontal="right" vertical="top"/>
    </xf>
    <xf numFmtId="189" fontId="3" fillId="0" borderId="8" xfId="1" applyNumberFormat="1" applyFont="1" applyFill="1" applyBorder="1" applyAlignment="1">
      <alignment horizontal="right" vertical="top"/>
    </xf>
    <xf numFmtId="189" fontId="3" fillId="0" borderId="11" xfId="1" applyNumberFormat="1" applyFont="1" applyFill="1" applyBorder="1" applyAlignment="1">
      <alignment horizontal="right" vertical="top"/>
    </xf>
    <xf numFmtId="189" fontId="3" fillId="0" borderId="14" xfId="1" applyNumberFormat="1" applyFont="1" applyFill="1" applyBorder="1" applyAlignment="1">
      <alignment horizontal="right" vertical="top"/>
    </xf>
    <xf numFmtId="189" fontId="2" fillId="0" borderId="0" xfId="0" applyNumberFormat="1" applyFont="1" applyFill="1" applyAlignment="1">
      <alignment horizontal="right" vertical="top"/>
    </xf>
    <xf numFmtId="189" fontId="2" fillId="0" borderId="15" xfId="0" applyNumberFormat="1" applyFont="1" applyFill="1" applyBorder="1" applyAlignment="1">
      <alignment horizontal="right" vertical="top"/>
    </xf>
    <xf numFmtId="189" fontId="3" fillId="0" borderId="15" xfId="0" applyNumberFormat="1" applyFont="1" applyBorder="1" applyAlignment="1">
      <alignment horizontal="right" vertical="top"/>
    </xf>
    <xf numFmtId="189" fontId="3" fillId="0" borderId="0" xfId="0" applyNumberFormat="1" applyFont="1" applyAlignment="1">
      <alignment horizontal="right" vertical="top"/>
    </xf>
    <xf numFmtId="189" fontId="2" fillId="0" borderId="16" xfId="0" applyNumberFormat="1" applyFont="1" applyBorder="1" applyAlignment="1">
      <alignment horizontal="right" vertical="top"/>
    </xf>
    <xf numFmtId="188" fontId="3" fillId="0" borderId="0" xfId="1" applyNumberFormat="1" applyFont="1" applyFill="1" applyBorder="1" applyAlignment="1">
      <alignment horizontal="right" vertical="top"/>
    </xf>
    <xf numFmtId="189" fontId="3" fillId="0" borderId="0" xfId="1" applyNumberFormat="1" applyFont="1" applyFill="1" applyBorder="1" applyAlignment="1">
      <alignment horizontal="right" vertical="top"/>
    </xf>
    <xf numFmtId="203" fontId="3" fillId="0" borderId="0" xfId="1" applyNumberFormat="1" applyFont="1" applyFill="1" applyBorder="1" applyAlignment="1">
      <alignment horizontal="right" vertical="top"/>
    </xf>
    <xf numFmtId="188" fontId="2" fillId="0" borderId="15" xfId="0" applyNumberFormat="1" applyFont="1" applyFill="1" applyBorder="1" applyAlignment="1">
      <alignment horizontal="right" vertical="top"/>
    </xf>
    <xf numFmtId="191" fontId="2" fillId="0" borderId="0" xfId="0" applyNumberFormat="1" applyFont="1" applyFill="1" applyAlignment="1">
      <alignment horizontal="right" vertical="top"/>
    </xf>
    <xf numFmtId="188" fontId="2" fillId="0" borderId="0" xfId="0" applyNumberFormat="1" applyFont="1" applyBorder="1" applyAlignment="1">
      <alignment horizontal="right" vertical="top"/>
    </xf>
    <xf numFmtId="189" fontId="2" fillId="0" borderId="0" xfId="0" applyNumberFormat="1" applyFont="1" applyBorder="1" applyAlignment="1">
      <alignment horizontal="right" vertical="top"/>
    </xf>
    <xf numFmtId="188" fontId="3" fillId="0" borderId="3" xfId="1" applyNumberFormat="1" applyFont="1" applyFill="1" applyBorder="1" applyAlignment="1">
      <alignment horizontal="right" vertical="top"/>
    </xf>
    <xf numFmtId="188" fontId="3" fillId="0" borderId="4" xfId="1" applyNumberFormat="1" applyFont="1" applyBorder="1" applyAlignment="1">
      <alignment horizontal="right" vertical="top"/>
    </xf>
    <xf numFmtId="189" fontId="3" fillId="0" borderId="11" xfId="1" applyNumberFormat="1" applyFont="1" applyBorder="1" applyAlignment="1">
      <alignment horizontal="right" vertical="top"/>
    </xf>
    <xf numFmtId="188" fontId="3" fillId="0" borderId="6" xfId="1" applyNumberFormat="1" applyFont="1" applyBorder="1" applyAlignment="1">
      <alignment horizontal="right" vertical="top"/>
    </xf>
    <xf numFmtId="189" fontId="3" fillId="0" borderId="14" xfId="1" applyNumberFormat="1" applyFont="1" applyBorder="1" applyAlignment="1">
      <alignment horizontal="right" vertical="top"/>
    </xf>
    <xf numFmtId="190" fontId="2" fillId="0" borderId="0" xfId="0" applyNumberFormat="1" applyFont="1" applyAlignment="1">
      <alignment horizontal="right" vertical="top"/>
    </xf>
    <xf numFmtId="189" fontId="2" fillId="0" borderId="0" xfId="0" applyNumberFormat="1" applyFont="1" applyAlignment="1">
      <alignment horizontal="right" vertical="top"/>
    </xf>
    <xf numFmtId="188" fontId="2" fillId="0" borderId="15" xfId="0" applyNumberFormat="1" applyFont="1" applyBorder="1" applyAlignment="1">
      <alignment horizontal="right" vertical="top"/>
    </xf>
    <xf numFmtId="189" fontId="2" fillId="0" borderId="15" xfId="0" applyNumberFormat="1" applyFont="1" applyBorder="1" applyAlignment="1">
      <alignment horizontal="right" vertical="top"/>
    </xf>
    <xf numFmtId="188" fontId="2" fillId="0" borderId="0" xfId="0" applyNumberFormat="1" applyFont="1" applyAlignment="1">
      <alignment horizontal="right" vertical="top"/>
    </xf>
    <xf numFmtId="188" fontId="2" fillId="0" borderId="2" xfId="0" applyNumberFormat="1" applyFont="1" applyBorder="1" applyAlignment="1">
      <alignment horizontal="right" vertical="top"/>
    </xf>
    <xf numFmtId="189" fontId="2" fillId="0" borderId="2" xfId="0" applyNumberFormat="1" applyFont="1" applyBorder="1" applyAlignment="1">
      <alignment horizontal="right" vertical="top"/>
    </xf>
    <xf numFmtId="189" fontId="2" fillId="0" borderId="9" xfId="0" applyNumberFormat="1" applyFont="1" applyBorder="1" applyAlignment="1">
      <alignment horizontal="right" vertical="top"/>
    </xf>
    <xf numFmtId="188" fontId="3" fillId="0" borderId="6" xfId="0" applyNumberFormat="1" applyFont="1" applyBorder="1" applyAlignment="1">
      <alignment horizontal="right" vertical="top"/>
    </xf>
    <xf numFmtId="189" fontId="3" fillId="0" borderId="14" xfId="0" applyNumberFormat="1" applyFont="1" applyBorder="1" applyAlignment="1">
      <alignment horizontal="right" vertical="top"/>
    </xf>
    <xf numFmtId="188" fontId="3" fillId="0" borderId="0" xfId="0" applyNumberFormat="1" applyFont="1" applyBorder="1" applyAlignment="1">
      <alignment horizontal="right" vertical="top"/>
    </xf>
    <xf numFmtId="189" fontId="3" fillId="0" borderId="0" xfId="0" applyNumberFormat="1" applyFont="1" applyBorder="1" applyAlignment="1">
      <alignment horizontal="right" vertical="top"/>
    </xf>
    <xf numFmtId="188" fontId="2" fillId="0" borderId="16" xfId="0" applyNumberFormat="1" applyFont="1" applyBorder="1" applyAlignment="1">
      <alignment horizontal="right" vertical="top"/>
    </xf>
    <xf numFmtId="188" fontId="3" fillId="0" borderId="5" xfId="1" applyNumberFormat="1" applyFont="1" applyBorder="1" applyAlignment="1">
      <alignment horizontal="right" vertical="top" wrapText="1"/>
    </xf>
    <xf numFmtId="189" fontId="3" fillId="0" borderId="18" xfId="1" applyNumberFormat="1" applyFont="1" applyFill="1" applyBorder="1" applyAlignment="1">
      <alignment horizontal="right" vertical="top" wrapText="1"/>
    </xf>
    <xf numFmtId="188" fontId="3" fillId="0" borderId="3" xfId="1" applyNumberFormat="1" applyFont="1" applyBorder="1" applyAlignment="1">
      <alignment horizontal="right" vertical="top" wrapText="1"/>
    </xf>
    <xf numFmtId="189" fontId="3" fillId="0" borderId="8" xfId="1" applyNumberFormat="1" applyFont="1" applyBorder="1" applyAlignment="1">
      <alignment horizontal="right" vertical="top" wrapText="1"/>
    </xf>
    <xf numFmtId="188" fontId="3" fillId="0" borderId="6" xfId="1" applyNumberFormat="1" applyFont="1" applyBorder="1" applyAlignment="1">
      <alignment horizontal="right" vertical="top" wrapText="1"/>
    </xf>
    <xf numFmtId="0" fontId="3" fillId="0" borderId="0" xfId="0" applyFont="1" applyAlignment="1">
      <alignment horizontal="right" vertical="top"/>
    </xf>
    <xf numFmtId="188" fontId="3" fillId="0" borderId="4" xfId="1" applyNumberFormat="1" applyFont="1" applyBorder="1" applyAlignment="1">
      <alignment horizontal="right" vertical="top" wrapText="1"/>
    </xf>
    <xf numFmtId="188" fontId="3" fillId="0" borderId="15" xfId="1" applyNumberFormat="1" applyFont="1" applyBorder="1" applyAlignment="1">
      <alignment horizontal="right" vertical="top" wrapText="1"/>
    </xf>
    <xf numFmtId="189" fontId="3" fillId="0" borderId="15" xfId="1" applyNumberFormat="1" applyFont="1" applyFill="1" applyBorder="1" applyAlignment="1">
      <alignment horizontal="right" vertical="top" wrapText="1"/>
    </xf>
    <xf numFmtId="188" fontId="3" fillId="0" borderId="0" xfId="1" applyNumberFormat="1" applyFont="1" applyBorder="1" applyAlignment="1">
      <alignment horizontal="right" vertical="top" wrapText="1"/>
    </xf>
    <xf numFmtId="188" fontId="3" fillId="0" borderId="0" xfId="1" applyNumberFormat="1" applyFont="1" applyAlignment="1">
      <alignment horizontal="right" vertical="top"/>
    </xf>
    <xf numFmtId="189" fontId="3" fillId="0" borderId="0" xfId="1" applyNumberFormat="1" applyFont="1" applyBorder="1" applyAlignment="1">
      <alignment horizontal="right" vertical="top" wrapText="1"/>
    </xf>
    <xf numFmtId="188" fontId="3" fillId="0" borderId="0" xfId="0" applyNumberFormat="1" applyFont="1" applyFill="1" applyAlignment="1">
      <alignment horizontal="right" vertical="top"/>
    </xf>
    <xf numFmtId="203" fontId="3" fillId="0" borderId="2" xfId="0" applyNumberFormat="1" applyFont="1" applyFill="1" applyBorder="1" applyAlignment="1">
      <alignment horizontal="right" vertical="top"/>
    </xf>
    <xf numFmtId="189" fontId="3" fillId="0" borderId="2" xfId="0" applyNumberFormat="1" applyFont="1" applyBorder="1" applyAlignment="1">
      <alignment horizontal="right" vertical="top"/>
    </xf>
    <xf numFmtId="188" fontId="2" fillId="0" borderId="16" xfId="0" applyNumberFormat="1" applyFont="1" applyFill="1" applyBorder="1" applyAlignment="1">
      <alignment horizontal="right" vertical="top"/>
    </xf>
    <xf numFmtId="189" fontId="2" fillId="0" borderId="16" xfId="0" applyNumberFormat="1" applyFont="1" applyFill="1" applyBorder="1" applyAlignment="1">
      <alignment horizontal="right" vertical="top"/>
    </xf>
    <xf numFmtId="189" fontId="12" fillId="0" borderId="0" xfId="0" applyNumberFormat="1" applyFont="1" applyBorder="1" applyAlignment="1">
      <alignment horizontal="right" vertical="top"/>
    </xf>
    <xf numFmtId="189" fontId="13" fillId="0" borderId="16" xfId="0" applyNumberFormat="1" applyFont="1" applyBorder="1" applyAlignment="1">
      <alignment horizontal="right" vertical="top" wrapText="1"/>
    </xf>
    <xf numFmtId="188" fontId="0" fillId="0" borderId="0" xfId="0" applyNumberFormat="1" applyAlignment="1">
      <alignment horizontal="right" vertical="top"/>
    </xf>
    <xf numFmtId="191" fontId="3" fillId="0" borderId="2" xfId="0" applyNumberFormat="1" applyFont="1" applyBorder="1" applyAlignment="1">
      <alignment horizontal="right" vertical="top" wrapText="1"/>
    </xf>
    <xf numFmtId="189" fontId="0" fillId="0" borderId="0" xfId="0" applyNumberFormat="1" applyAlignment="1">
      <alignment horizontal="right" vertical="top"/>
    </xf>
    <xf numFmtId="0" fontId="0" fillId="0" borderId="0" xfId="0" applyAlignment="1">
      <alignment horizontal="right" vertical="top"/>
    </xf>
    <xf numFmtId="203" fontId="3" fillId="0" borderId="0" xfId="0" applyNumberFormat="1" applyFont="1" applyAlignment="1">
      <alignment horizontal="right" vertical="top"/>
    </xf>
    <xf numFmtId="188" fontId="3" fillId="0" borderId="3" xfId="0" applyNumberFormat="1" applyFont="1" applyBorder="1" applyAlignment="1">
      <alignment horizontal="right" vertical="top"/>
    </xf>
    <xf numFmtId="189" fontId="3" fillId="0" borderId="8" xfId="0" applyNumberFormat="1" applyFont="1" applyBorder="1" applyAlignment="1">
      <alignment horizontal="right" vertical="top"/>
    </xf>
    <xf numFmtId="191" fontId="3" fillId="0" borderId="0" xfId="0" applyNumberFormat="1" applyFont="1" applyAlignment="1">
      <alignment horizontal="right" vertical="top"/>
    </xf>
    <xf numFmtId="203" fontId="0" fillId="0" borderId="0" xfId="0" applyNumberFormat="1" applyAlignment="1">
      <alignment horizontal="right" vertical="top"/>
    </xf>
    <xf numFmtId="191" fontId="0" fillId="0" borderId="0" xfId="0" applyNumberFormat="1" applyAlignment="1">
      <alignment horizontal="right" vertical="top"/>
    </xf>
    <xf numFmtId="188" fontId="0" fillId="0" borderId="0" xfId="0" applyNumberFormat="1" applyBorder="1" applyAlignment="1">
      <alignment horizontal="right" vertical="top"/>
    </xf>
    <xf numFmtId="203" fontId="18" fillId="0" borderId="0" xfId="0" applyNumberFormat="1" applyFont="1" applyBorder="1" applyAlignment="1">
      <alignment horizontal="right" vertical="top"/>
    </xf>
    <xf numFmtId="189" fontId="3" fillId="0" borderId="11" xfId="0" applyNumberFormat="1" applyFont="1" applyBorder="1" applyAlignment="1">
      <alignment horizontal="right" wrapText="1"/>
    </xf>
    <xf numFmtId="189" fontId="3" fillId="0" borderId="10" xfId="0" applyNumberFormat="1" applyFont="1" applyBorder="1" applyAlignment="1">
      <alignment horizontal="right" wrapText="1"/>
    </xf>
    <xf numFmtId="189" fontId="2" fillId="0" borderId="17" xfId="0" applyNumberFormat="1" applyFont="1" applyBorder="1" applyAlignment="1">
      <alignment horizontal="right" wrapText="1"/>
    </xf>
    <xf numFmtId="189" fontId="3" fillId="0" borderId="13" xfId="0" applyNumberFormat="1" applyFont="1" applyBorder="1" applyAlignment="1">
      <alignment horizontal="right" wrapText="1"/>
    </xf>
    <xf numFmtId="189" fontId="3" fillId="0" borderId="14" xfId="0" applyNumberFormat="1" applyFont="1" applyBorder="1" applyAlignment="1">
      <alignment horizontal="right" wrapText="1"/>
    </xf>
    <xf numFmtId="189" fontId="2" fillId="0" borderId="13" xfId="0" applyNumberFormat="1" applyFont="1" applyBorder="1" applyAlignment="1">
      <alignment horizontal="right" wrapText="1"/>
    </xf>
    <xf numFmtId="189" fontId="3" fillId="0" borderId="4" xfId="0" applyNumberFormat="1" applyFont="1" applyBorder="1" applyAlignment="1">
      <alignment horizontal="right" wrapText="1"/>
    </xf>
    <xf numFmtId="189" fontId="2" fillId="0" borderId="5" xfId="0" applyNumberFormat="1" applyFont="1" applyBorder="1" applyAlignment="1">
      <alignment horizontal="right" wrapText="1"/>
    </xf>
    <xf numFmtId="189" fontId="3" fillId="0" borderId="0" xfId="0" applyNumberFormat="1" applyFont="1" applyBorder="1" applyAlignment="1">
      <alignment horizontal="right" wrapText="1"/>
    </xf>
    <xf numFmtId="0" fontId="2" fillId="0" borderId="15" xfId="0" applyFont="1" applyBorder="1" applyAlignment="1">
      <alignment vertical="top" wrapText="1"/>
    </xf>
    <xf numFmtId="0" fontId="2" fillId="0" borderId="12" xfId="0" applyFont="1" applyBorder="1" applyAlignment="1">
      <alignment horizontal="right" vertical="top" wrapText="1"/>
    </xf>
    <xf numFmtId="0" fontId="2" fillId="0" borderId="12" xfId="0" applyFont="1" applyBorder="1" applyAlignment="1">
      <alignment horizontal="right" wrapText="1"/>
    </xf>
    <xf numFmtId="0" fontId="2" fillId="0" borderId="3" xfId="0" applyFont="1" applyBorder="1" applyAlignment="1">
      <alignment horizontal="right" wrapText="1"/>
    </xf>
    <xf numFmtId="189" fontId="2" fillId="0" borderId="12" xfId="0" applyNumberFormat="1" applyFont="1" applyBorder="1" applyAlignment="1">
      <alignment horizontal="right" wrapText="1"/>
    </xf>
    <xf numFmtId="189" fontId="3" fillId="0" borderId="10" xfId="0" applyNumberFormat="1" applyFont="1" applyBorder="1" applyAlignment="1">
      <alignment horizontal="right" vertical="top" wrapText="1"/>
    </xf>
    <xf numFmtId="189" fontId="3" fillId="0" borderId="0" xfId="0" applyNumberFormat="1" applyFont="1" applyAlignment="1">
      <alignment horizontal="right"/>
    </xf>
    <xf numFmtId="0" fontId="2" fillId="0" borderId="11" xfId="0" applyFont="1" applyBorder="1" applyAlignment="1">
      <alignment vertical="top" wrapText="1"/>
    </xf>
    <xf numFmtId="189" fontId="2" fillId="0" borderId="17" xfId="0" applyNumberFormat="1" applyFont="1" applyBorder="1" applyAlignment="1">
      <alignment horizontal="right" vertical="top" wrapText="1"/>
    </xf>
    <xf numFmtId="0" fontId="3" fillId="0" borderId="12" xfId="0" applyFont="1" applyBorder="1" applyAlignment="1">
      <alignment horizontal="right"/>
    </xf>
    <xf numFmtId="0" fontId="6" fillId="0" borderId="8" xfId="0" applyFont="1" applyBorder="1" applyAlignment="1">
      <alignment horizontal="right" wrapText="1"/>
    </xf>
    <xf numFmtId="0" fontId="2" fillId="0" borderId="8" xfId="0" applyFont="1" applyBorder="1" applyAlignment="1">
      <alignment horizontal="right" wrapText="1"/>
    </xf>
    <xf numFmtId="189" fontId="3" fillId="0" borderId="10" xfId="0" applyNumberFormat="1" applyFont="1" applyBorder="1" applyAlignment="1">
      <alignment horizontal="right"/>
    </xf>
    <xf numFmtId="189" fontId="3" fillId="0" borderId="13" xfId="0" applyNumberFormat="1" applyFont="1" applyBorder="1" applyAlignment="1">
      <alignment horizontal="right"/>
    </xf>
    <xf numFmtId="189" fontId="2" fillId="0" borderId="17" xfId="0" applyNumberFormat="1" applyFont="1" applyBorder="1" applyAlignment="1">
      <alignment horizontal="right"/>
    </xf>
    <xf numFmtId="0" fontId="6" fillId="0" borderId="0" xfId="0" applyFont="1" applyBorder="1" applyAlignment="1">
      <alignment horizontal="right" wrapText="1"/>
    </xf>
    <xf numFmtId="189" fontId="2" fillId="0" borderId="0" xfId="0" applyNumberFormat="1" applyFont="1" applyBorder="1" applyAlignment="1">
      <alignment horizontal="right"/>
    </xf>
    <xf numFmtId="189" fontId="2" fillId="0" borderId="0" xfId="0" applyNumberFormat="1" applyFont="1" applyBorder="1" applyAlignment="1">
      <alignment horizontal="right" wrapText="1"/>
    </xf>
    <xf numFmtId="189" fontId="2" fillId="0" borderId="18" xfId="0" applyNumberFormat="1" applyFont="1" applyBorder="1" applyAlignment="1">
      <alignment horizontal="right"/>
    </xf>
    <xf numFmtId="0" fontId="7" fillId="0" borderId="0" xfId="0" applyFont="1" applyBorder="1" applyAlignment="1">
      <alignment wrapText="1"/>
    </xf>
    <xf numFmtId="189" fontId="3" fillId="0" borderId="0" xfId="0" applyNumberFormat="1" applyFont="1" applyBorder="1" applyAlignment="1">
      <alignment horizontal="right"/>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2" fillId="0" borderId="0" xfId="0" applyFont="1" applyAlignment="1">
      <alignment horizontal="left" wrapText="1"/>
    </xf>
    <xf numFmtId="0" fontId="3" fillId="0" borderId="0" xfId="0" applyFont="1" applyAlignment="1">
      <alignment horizontal="left" wrapText="1"/>
    </xf>
    <xf numFmtId="0" fontId="12" fillId="0" borderId="0" xfId="0" applyFont="1" applyAlignment="1">
      <alignment horizontal="left" vertical="top" wrapText="1"/>
    </xf>
    <xf numFmtId="0" fontId="2" fillId="0" borderId="0" xfId="0" applyFont="1" applyAlignment="1">
      <alignment horizontal="right" vertical="center" wrapText="1"/>
    </xf>
    <xf numFmtId="188" fontId="3" fillId="0" borderId="0" xfId="0" applyNumberFormat="1" applyFont="1" applyAlignment="1">
      <alignment horizontal="right" vertical="top"/>
    </xf>
    <xf numFmtId="188" fontId="2" fillId="0" borderId="16" xfId="0" applyNumberFormat="1" applyFont="1" applyBorder="1" applyAlignment="1">
      <alignment horizontal="right" vertical="top" wrapText="1"/>
    </xf>
    <xf numFmtId="0" fontId="2" fillId="0" borderId="0" xfId="0" applyFont="1" applyAlignment="1">
      <alignment horizontal="right" vertical="top" wrapText="1"/>
    </xf>
    <xf numFmtId="0" fontId="3" fillId="0" borderId="0" xfId="0" applyFont="1" applyAlignment="1">
      <alignment horizontal="justify" vertical="top" wrapText="1"/>
    </xf>
    <xf numFmtId="0" fontId="5" fillId="0" borderId="0" xfId="0" applyFont="1" applyAlignment="1">
      <alignment horizontal="justify" vertical="top" wrapText="1"/>
    </xf>
    <xf numFmtId="0" fontId="2" fillId="0" borderId="0" xfId="0" applyFont="1" applyAlignment="1">
      <alignment horizontal="center" vertical="center" wrapText="1"/>
    </xf>
    <xf numFmtId="188" fontId="3" fillId="0" borderId="2" xfId="0" applyNumberFormat="1" applyFont="1" applyBorder="1" applyAlignment="1">
      <alignment horizontal="right" vertical="top"/>
    </xf>
    <xf numFmtId="0" fontId="4" fillId="0" borderId="0" xfId="0" applyFont="1" applyFill="1" applyAlignment="1">
      <alignment horizontal="left" wrapText="1"/>
    </xf>
    <xf numFmtId="188" fontId="2" fillId="0" borderId="16" xfId="0" applyNumberFormat="1" applyFont="1" applyBorder="1" applyAlignment="1">
      <alignment horizontal="right" vertical="top"/>
    </xf>
    <xf numFmtId="0" fontId="2"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left" vertical="top" wrapText="1"/>
    </xf>
    <xf numFmtId="0" fontId="0" fillId="0" borderId="0" xfId="0" applyBorder="1" applyAlignment="1">
      <alignment horizontal="left"/>
    </xf>
    <xf numFmtId="0" fontId="2" fillId="0" borderId="3" xfId="0" quotePrefix="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8" xfId="0" applyFont="1" applyFill="1" applyBorder="1" applyAlignment="1"/>
    <xf numFmtId="0" fontId="2" fillId="0" borderId="18" xfId="0" applyFont="1" applyFill="1" applyBorder="1" applyAlignment="1">
      <alignment horizontal="center" vertical="center"/>
    </xf>
    <xf numFmtId="0" fontId="2" fillId="0" borderId="0" xfId="0" quotePrefix="1" applyFont="1" applyAlignment="1">
      <alignment horizontal="left" wrapText="1"/>
    </xf>
    <xf numFmtId="0" fontId="0" fillId="0" borderId="0" xfId="0" applyAlignment="1">
      <alignment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2" xfId="0" quotePrefix="1" applyFont="1" applyBorder="1" applyAlignment="1">
      <alignment horizontal="center" vertical="top" wrapText="1"/>
    </xf>
    <xf numFmtId="0" fontId="4" fillId="0" borderId="13"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6" xfId="0" applyFont="1" applyBorder="1" applyAlignment="1">
      <alignment horizontal="center" vertical="top" wrapText="1"/>
    </xf>
    <xf numFmtId="0" fontId="2" fillId="0" borderId="12" xfId="0" applyFont="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4" fillId="0" borderId="0" xfId="0" applyFont="1" applyAlignment="1">
      <alignment horizontal="left"/>
    </xf>
    <xf numFmtId="0" fontId="2" fillId="0" borderId="17" xfId="0" applyFont="1" applyBorder="1" applyAlignment="1">
      <alignment horizontal="center" vertical="top" wrapText="1"/>
    </xf>
    <xf numFmtId="0" fontId="0" fillId="0" borderId="17" xfId="0" applyBorder="1" applyAlignment="1">
      <alignment horizontal="center" vertical="top" wrapText="1"/>
    </xf>
    <xf numFmtId="0" fontId="0" fillId="0" borderId="13" xfId="0" applyBorder="1" applyAlignment="1">
      <alignment horizontal="center" vertical="top" wrapText="1"/>
    </xf>
    <xf numFmtId="17" fontId="2" fillId="0" borderId="1" xfId="0" quotePrefix="1" applyNumberFormat="1" applyFont="1" applyBorder="1" applyAlignment="1">
      <alignment horizontal="center" wrapText="1"/>
    </xf>
    <xf numFmtId="17" fontId="2" fillId="0" borderId="20" xfId="0" applyNumberFormat="1" applyFont="1" applyBorder="1" applyAlignment="1">
      <alignment horizontal="center" wrapText="1"/>
    </xf>
    <xf numFmtId="0" fontId="2" fillId="0" borderId="11" xfId="0" applyFont="1" applyBorder="1" applyAlignment="1">
      <alignment horizontal="left" wrapText="1"/>
    </xf>
    <xf numFmtId="0" fontId="2" fillId="0" borderId="2" xfId="0" applyFont="1" applyBorder="1" applyAlignment="1">
      <alignment horizontal="left" wrapText="1"/>
    </xf>
    <xf numFmtId="0" fontId="2" fillId="0" borderId="12" xfId="0" applyFont="1" applyBorder="1" applyAlignment="1">
      <alignment horizontal="center" wrapText="1"/>
    </xf>
    <xf numFmtId="0" fontId="2" fillId="0" borderId="10" xfId="0" applyFont="1" applyBorder="1" applyAlignment="1">
      <alignment horizontal="center" wrapText="1"/>
    </xf>
    <xf numFmtId="0" fontId="2" fillId="0" borderId="13" xfId="0" applyFont="1" applyBorder="1" applyAlignment="1">
      <alignment horizontal="center" wrapText="1"/>
    </xf>
    <xf numFmtId="17" fontId="2" fillId="0" borderId="5" xfId="0" quotePrefix="1" applyNumberFormat="1" applyFont="1" applyBorder="1" applyAlignment="1">
      <alignment horizontal="center" wrapText="1"/>
    </xf>
    <xf numFmtId="17" fontId="2" fillId="0" borderId="1" xfId="0" applyNumberFormat="1" applyFont="1" applyBorder="1" applyAlignment="1">
      <alignment horizontal="center" wrapText="1"/>
    </xf>
    <xf numFmtId="17" fontId="2" fillId="0" borderId="18" xfId="0" applyNumberFormat="1" applyFont="1" applyBorder="1" applyAlignment="1">
      <alignment horizontal="center" wrapText="1"/>
    </xf>
    <xf numFmtId="0" fontId="2" fillId="0" borderId="0" xfId="0" applyFont="1" applyBorder="1" applyAlignment="1">
      <alignment horizontal="left" wrapText="1"/>
    </xf>
    <xf numFmtId="0" fontId="2" fillId="0" borderId="14" xfId="0" applyFont="1" applyBorder="1" applyAlignment="1">
      <alignment horizontal="left" wrapText="1"/>
    </xf>
    <xf numFmtId="17" fontId="2" fillId="0" borderId="0" xfId="0" quotePrefix="1" applyNumberFormat="1" applyFont="1" applyBorder="1" applyAlignment="1">
      <alignment horizontal="center" wrapText="1"/>
    </xf>
    <xf numFmtId="17" fontId="2" fillId="0" borderId="0" xfId="0" applyNumberFormat="1" applyFont="1" applyBorder="1" applyAlignment="1">
      <alignment horizont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8" xfId="0" applyFont="1" applyBorder="1" applyAlignment="1">
      <alignment horizontal="left" wrapText="1"/>
    </xf>
    <xf numFmtId="17" fontId="2" fillId="0" borderId="20" xfId="0" quotePrefix="1" applyNumberFormat="1" applyFont="1" applyBorder="1" applyAlignment="1">
      <alignment horizontal="center" wrapText="1"/>
    </xf>
    <xf numFmtId="17" fontId="2" fillId="0" borderId="19" xfId="0" quotePrefix="1" applyNumberFormat="1" applyFont="1" applyBorder="1" applyAlignment="1">
      <alignment horizontal="center"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Border="1" applyAlignment="1">
      <alignment horizontal="center" wrapText="1"/>
    </xf>
    <xf numFmtId="0" fontId="2" fillId="0" borderId="0" xfId="0" applyFont="1" applyBorder="1" applyAlignment="1">
      <alignment horizontal="center"/>
    </xf>
    <xf numFmtId="0" fontId="2" fillId="0" borderId="1" xfId="0" applyFont="1" applyBorder="1" applyAlignment="1">
      <alignment vertical="top" wrapText="1"/>
    </xf>
    <xf numFmtId="0" fontId="4" fillId="0" borderId="0" xfId="0" applyFont="1" applyAlignment="1">
      <alignment horizontal="left" vertical="top"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B11" zoomScaleNormal="100" workbookViewId="0">
      <selection activeCell="D22" sqref="D22"/>
    </sheetView>
  </sheetViews>
  <sheetFormatPr defaultRowHeight="12.75" x14ac:dyDescent="0.2"/>
  <cols>
    <col min="1" max="1" width="60.7109375" customWidth="1"/>
    <col min="2" max="2" width="5.28515625" style="34" bestFit="1" customWidth="1"/>
    <col min="3" max="4" width="15.7109375" customWidth="1"/>
    <col min="5" max="5" width="12.7109375" customWidth="1"/>
    <col min="6" max="6" width="15.7109375" customWidth="1"/>
  </cols>
  <sheetData>
    <row r="1" spans="1:6" x14ac:dyDescent="0.2">
      <c r="A1" s="523"/>
      <c r="B1" s="523"/>
      <c r="C1" s="523"/>
      <c r="D1" s="523"/>
    </row>
    <row r="3" spans="1:6" x14ac:dyDescent="0.2">
      <c r="A3" s="523"/>
      <c r="B3" s="523"/>
      <c r="C3" s="523"/>
      <c r="D3" s="523"/>
    </row>
    <row r="4" spans="1:6" x14ac:dyDescent="0.2">
      <c r="A4" s="5"/>
      <c r="B4" s="5"/>
      <c r="C4" s="173"/>
      <c r="D4" s="5"/>
    </row>
    <row r="5" spans="1:6" x14ac:dyDescent="0.2">
      <c r="A5" s="166"/>
      <c r="B5" s="166"/>
      <c r="C5" s="166"/>
      <c r="D5" s="166"/>
    </row>
    <row r="6" spans="1:6" ht="25.5" x14ac:dyDescent="0.2">
      <c r="A6" s="2"/>
      <c r="B6" s="8" t="s">
        <v>0</v>
      </c>
      <c r="C6" s="4" t="s">
        <v>37</v>
      </c>
      <c r="D6" s="4" t="s">
        <v>38</v>
      </c>
    </row>
    <row r="7" spans="1:6" x14ac:dyDescent="0.2">
      <c r="A7" s="2" t="s">
        <v>1</v>
      </c>
      <c r="B7" s="11"/>
      <c r="C7" s="7"/>
      <c r="D7" s="7"/>
    </row>
    <row r="8" spans="1:6" x14ac:dyDescent="0.2">
      <c r="A8" s="2" t="s">
        <v>2</v>
      </c>
      <c r="B8" s="11"/>
      <c r="C8" s="326">
        <f>SUM(C9:C9)</f>
        <v>1400586000</v>
      </c>
      <c r="D8" s="197">
        <f>SUM(D9:D9)</f>
        <v>1078454</v>
      </c>
      <c r="E8" s="319"/>
      <c r="F8" s="375"/>
    </row>
    <row r="9" spans="1:6" x14ac:dyDescent="0.2">
      <c r="A9" s="269" t="s">
        <v>265</v>
      </c>
      <c r="B9" s="149">
        <v>1</v>
      </c>
      <c r="C9" s="462">
        <f>'NOTES TO FS'!C14</f>
        <v>1400586000</v>
      </c>
      <c r="D9" s="463">
        <f>'NOTES TO FS'!G14</f>
        <v>1078454</v>
      </c>
      <c r="E9" s="319"/>
      <c r="F9" s="375">
        <v>6883449.9400000004</v>
      </c>
    </row>
    <row r="10" spans="1:6" x14ac:dyDescent="0.2">
      <c r="A10" s="6"/>
      <c r="B10" s="73"/>
      <c r="C10" s="325"/>
      <c r="D10" s="83"/>
      <c r="E10" s="319"/>
      <c r="F10" s="375">
        <v>1722552.45</v>
      </c>
    </row>
    <row r="11" spans="1:6" x14ac:dyDescent="0.2">
      <c r="A11" s="2" t="s">
        <v>3</v>
      </c>
      <c r="B11" s="11"/>
      <c r="C11" s="326">
        <f>SUM(C12:C13)</f>
        <v>28136683.329999998</v>
      </c>
      <c r="D11" s="197">
        <f>SUM(D12:D13)</f>
        <v>51514</v>
      </c>
      <c r="E11" s="319"/>
      <c r="F11" s="375">
        <v>-262642.87</v>
      </c>
    </row>
    <row r="12" spans="1:6" x14ac:dyDescent="0.2">
      <c r="A12" s="269" t="s">
        <v>4</v>
      </c>
      <c r="B12" s="149">
        <v>2</v>
      </c>
      <c r="C12" s="464">
        <f>'NOTES TO FS'!F40</f>
        <v>2057777.5999999999</v>
      </c>
      <c r="D12" s="465">
        <f>'NOTES TO FS'!G40</f>
        <v>2380</v>
      </c>
      <c r="E12" s="319"/>
      <c r="F12" s="375">
        <v>-27910.82</v>
      </c>
    </row>
    <row r="13" spans="1:6" x14ac:dyDescent="0.2">
      <c r="A13" s="269" t="s">
        <v>386</v>
      </c>
      <c r="B13" s="149">
        <v>3</v>
      </c>
      <c r="C13" s="466">
        <f>'NOTES TO FS'!D60</f>
        <v>26078905.729999997</v>
      </c>
      <c r="D13" s="362">
        <f>43153+5981</f>
        <v>49134</v>
      </c>
      <c r="E13" s="319"/>
      <c r="F13" s="375">
        <v>-121023.32</v>
      </c>
    </row>
    <row r="14" spans="1:6" x14ac:dyDescent="0.2">
      <c r="A14" s="6"/>
      <c r="B14" s="149"/>
      <c r="C14" s="325"/>
      <c r="D14" s="83"/>
      <c r="E14" s="319"/>
      <c r="F14" s="375">
        <f>SUM(F9:F13)</f>
        <v>8194425.3799999999</v>
      </c>
    </row>
    <row r="15" spans="1:6" x14ac:dyDescent="0.2">
      <c r="A15" s="2" t="s">
        <v>5</v>
      </c>
      <c r="B15" s="11"/>
      <c r="C15" s="329">
        <f>SUM(C8,C11)</f>
        <v>1428722683.3299999</v>
      </c>
      <c r="D15" s="196">
        <f>SUM(D8,D11)</f>
        <v>1129968</v>
      </c>
      <c r="E15" s="319"/>
      <c r="F15" s="375"/>
    </row>
    <row r="16" spans="1:6" x14ac:dyDescent="0.2">
      <c r="A16" s="8"/>
      <c r="B16" s="11"/>
      <c r="C16" s="325"/>
      <c r="D16" s="83"/>
      <c r="E16" s="319"/>
      <c r="F16" s="375"/>
    </row>
    <row r="17" spans="1:6" x14ac:dyDescent="0.2">
      <c r="A17" s="2" t="s">
        <v>6</v>
      </c>
      <c r="B17" s="5"/>
      <c r="C17" s="352"/>
      <c r="D17" s="467"/>
      <c r="E17" s="319"/>
      <c r="F17" s="375"/>
    </row>
    <row r="18" spans="1:6" x14ac:dyDescent="0.2">
      <c r="A18" s="2" t="s">
        <v>7</v>
      </c>
      <c r="B18" s="5"/>
      <c r="C18" s="453">
        <f>SUM(C19:C27)</f>
        <v>1179211293.1699998</v>
      </c>
      <c r="D18" s="450">
        <f>SUM(D19:D27)</f>
        <v>915381</v>
      </c>
      <c r="E18" s="319"/>
      <c r="F18" s="319"/>
    </row>
    <row r="19" spans="1:6" x14ac:dyDescent="0.2">
      <c r="A19" s="269" t="s">
        <v>8</v>
      </c>
      <c r="B19" s="11">
        <v>4</v>
      </c>
      <c r="C19" s="464">
        <f>'NOTES TO FS'!F76</f>
        <v>129503501.83999999</v>
      </c>
      <c r="D19" s="465">
        <f>'NOTES TO FS'!G76</f>
        <v>126466</v>
      </c>
      <c r="E19" s="248"/>
      <c r="F19" s="248"/>
    </row>
    <row r="20" spans="1:6" x14ac:dyDescent="0.2">
      <c r="A20" s="269" t="s">
        <v>9</v>
      </c>
      <c r="B20" s="11"/>
      <c r="C20" s="348">
        <f>41243167.25+800</f>
        <v>41243967.25</v>
      </c>
      <c r="D20" s="272">
        <f>36629</f>
        <v>36629</v>
      </c>
      <c r="E20" s="248"/>
      <c r="F20" s="248">
        <v>915004</v>
      </c>
    </row>
    <row r="21" spans="1:6" x14ac:dyDescent="0.2">
      <c r="A21" s="269" t="s">
        <v>10</v>
      </c>
      <c r="B21" s="11">
        <v>5</v>
      </c>
      <c r="C21" s="468">
        <f>'NOTES TO FS'!F94</f>
        <v>9569950.8399999999</v>
      </c>
      <c r="D21" s="272">
        <f>'NOTES TO FS'!G94</f>
        <v>11482</v>
      </c>
      <c r="E21" s="248"/>
      <c r="F21" s="248">
        <v>-29525</v>
      </c>
    </row>
    <row r="22" spans="1:6" x14ac:dyDescent="0.2">
      <c r="A22" s="269" t="s">
        <v>87</v>
      </c>
      <c r="B22" s="11">
        <v>6</v>
      </c>
      <c r="C22" s="468">
        <f>'NOTES TO FS'!F110</f>
        <v>2114232.04</v>
      </c>
      <c r="D22" s="272">
        <f>'NOTES TO FS'!G110</f>
        <v>2138</v>
      </c>
      <c r="E22" s="248"/>
      <c r="F22" s="248">
        <v>182086</v>
      </c>
    </row>
    <row r="23" spans="1:6" x14ac:dyDescent="0.2">
      <c r="A23" s="269" t="s">
        <v>13</v>
      </c>
      <c r="B23" s="11">
        <v>8</v>
      </c>
      <c r="C23" s="468">
        <f>'NOTES TO FS'!F141</f>
        <v>75213085.640000015</v>
      </c>
      <c r="D23" s="272">
        <f>'NOTES TO FS'!G141</f>
        <v>78161</v>
      </c>
      <c r="E23" s="248"/>
      <c r="F23" s="248">
        <f>SUM(F20:F22)</f>
        <v>1067565</v>
      </c>
    </row>
    <row r="24" spans="1:6" s="154" customFormat="1" x14ac:dyDescent="0.2">
      <c r="A24" s="293" t="s">
        <v>14</v>
      </c>
      <c r="B24" s="153">
        <v>9</v>
      </c>
      <c r="C24" s="468">
        <f>'NOTES TO FS'!F158</f>
        <v>867895000</v>
      </c>
      <c r="D24" s="272">
        <f>'NOTES TO FS'!G158</f>
        <v>628771</v>
      </c>
      <c r="E24" s="248"/>
      <c r="F24" s="370"/>
    </row>
    <row r="25" spans="1:6" x14ac:dyDescent="0.2">
      <c r="A25" s="293" t="s">
        <v>15</v>
      </c>
      <c r="B25" s="153">
        <v>10</v>
      </c>
      <c r="C25" s="348">
        <f>'NOTES TO FS'!F167</f>
        <v>211282.29</v>
      </c>
      <c r="D25" s="272">
        <f>'NOTES TO FS'!G167</f>
        <v>2134</v>
      </c>
      <c r="E25" s="248"/>
      <c r="F25" s="248"/>
    </row>
    <row r="26" spans="1:6" x14ac:dyDescent="0.2">
      <c r="A26" s="293" t="s">
        <v>16</v>
      </c>
      <c r="B26" s="153">
        <v>11</v>
      </c>
      <c r="C26" s="348">
        <f>'NOTES TO FS'!F194</f>
        <v>140422.22</v>
      </c>
      <c r="D26" s="272">
        <f>'NOTES TO FS'!G194</f>
        <v>75</v>
      </c>
      <c r="E26" s="248"/>
      <c r="F26" s="248"/>
    </row>
    <row r="27" spans="1:6" x14ac:dyDescent="0.2">
      <c r="A27" s="269" t="s">
        <v>236</v>
      </c>
      <c r="B27" s="11">
        <v>3</v>
      </c>
      <c r="C27" s="466">
        <f>'NOTES TO FS'!E60</f>
        <v>53319851.049999997</v>
      </c>
      <c r="D27" s="273">
        <v>29525</v>
      </c>
      <c r="E27" s="248"/>
      <c r="F27" s="248"/>
    </row>
    <row r="28" spans="1:6" x14ac:dyDescent="0.2">
      <c r="A28" s="6"/>
      <c r="B28" s="11"/>
      <c r="C28" s="469"/>
      <c r="D28" s="470"/>
      <c r="E28" s="248"/>
      <c r="F28" s="248"/>
    </row>
    <row r="29" spans="1:6" x14ac:dyDescent="0.2">
      <c r="A29" s="2" t="s">
        <v>17</v>
      </c>
      <c r="B29" s="11"/>
      <c r="C29" s="326">
        <f>SUM(C30:C36)</f>
        <v>241256664.91</v>
      </c>
      <c r="D29" s="417">
        <f>SUM(D30:D36)</f>
        <v>181709</v>
      </c>
      <c r="E29" s="248"/>
      <c r="F29" s="248"/>
    </row>
    <row r="30" spans="1:6" x14ac:dyDescent="0.2">
      <c r="A30" s="269" t="s">
        <v>9</v>
      </c>
      <c r="B30" s="11"/>
      <c r="C30" s="464">
        <f>5175.03+300</f>
        <v>5475.03</v>
      </c>
      <c r="D30" s="255" t="s">
        <v>437</v>
      </c>
      <c r="E30" s="248"/>
      <c r="F30" s="248"/>
    </row>
    <row r="31" spans="1:6" x14ac:dyDescent="0.2">
      <c r="A31" s="269" t="s">
        <v>10</v>
      </c>
      <c r="B31" s="11">
        <v>5</v>
      </c>
      <c r="C31" s="348">
        <f>'NOTES TO FS'!F102+200</f>
        <v>238451.18</v>
      </c>
      <c r="D31" s="272" t="s">
        <v>437</v>
      </c>
      <c r="E31" s="248"/>
      <c r="F31" s="248"/>
    </row>
    <row r="32" spans="1:6" x14ac:dyDescent="0.2">
      <c r="A32" s="269" t="s">
        <v>87</v>
      </c>
      <c r="B32" s="11">
        <v>6</v>
      </c>
      <c r="C32" s="468">
        <f>'NOTES TO FS'!F118</f>
        <v>4385514.41</v>
      </c>
      <c r="D32" s="272">
        <f>'NOTES TO FS'!G118</f>
        <v>7550</v>
      </c>
      <c r="E32" s="248"/>
      <c r="F32" s="201"/>
    </row>
    <row r="33" spans="1:6" x14ac:dyDescent="0.2">
      <c r="A33" s="269" t="s">
        <v>12</v>
      </c>
      <c r="B33" s="11">
        <v>7</v>
      </c>
      <c r="C33" s="468">
        <f>'NOTES TO FS'!F124</f>
        <v>5169002.09</v>
      </c>
      <c r="D33" s="272">
        <f>'NOTES TO FS'!G129</f>
        <v>800</v>
      </c>
      <c r="E33" s="248"/>
      <c r="F33" s="201"/>
    </row>
    <row r="34" spans="1:6" x14ac:dyDescent="0.2">
      <c r="A34" s="269" t="s">
        <v>13</v>
      </c>
      <c r="B34" s="11">
        <v>8</v>
      </c>
      <c r="C34" s="468">
        <f>'NOTES TO FS'!F145</f>
        <v>396642.25</v>
      </c>
      <c r="D34" s="272">
        <f>'NOTES TO FS'!G145</f>
        <v>1359</v>
      </c>
      <c r="E34" s="248"/>
      <c r="F34" s="201" t="s">
        <v>354</v>
      </c>
    </row>
    <row r="35" spans="1:6" s="154" customFormat="1" x14ac:dyDescent="0.2">
      <c r="A35" s="293" t="s">
        <v>14</v>
      </c>
      <c r="B35" s="153">
        <v>9</v>
      </c>
      <c r="C35" s="468">
        <f>'NOTES TO FS'!F157</f>
        <v>230500000</v>
      </c>
      <c r="D35" s="272">
        <f>'NOTES TO FS'!G157</f>
        <v>172000</v>
      </c>
      <c r="E35" s="248"/>
      <c r="F35" s="201"/>
    </row>
    <row r="36" spans="1:6" x14ac:dyDescent="0.2">
      <c r="A36" s="269" t="s">
        <v>236</v>
      </c>
      <c r="B36" s="11">
        <v>3</v>
      </c>
      <c r="C36" s="466">
        <f>'NOTES TO FS'!F60</f>
        <v>561579.94999999995</v>
      </c>
      <c r="D36" s="273" t="s">
        <v>437</v>
      </c>
      <c r="E36" s="248"/>
      <c r="F36" s="248"/>
    </row>
    <row r="37" spans="1:6" x14ac:dyDescent="0.2">
      <c r="A37" s="269" t="s">
        <v>387</v>
      </c>
      <c r="B37" s="11"/>
      <c r="C37" s="471"/>
      <c r="D37" s="416"/>
      <c r="E37" s="248"/>
      <c r="F37" s="248"/>
    </row>
    <row r="38" spans="1:6" x14ac:dyDescent="0.2">
      <c r="A38" s="2" t="s">
        <v>18</v>
      </c>
      <c r="B38" s="11"/>
      <c r="C38" s="325">
        <f>SUM(C18,C29)</f>
        <v>1420467958.0799999</v>
      </c>
      <c r="D38" s="418">
        <f>SUM(D18,D29)</f>
        <v>1097090</v>
      </c>
      <c r="E38" s="248"/>
      <c r="F38" s="248"/>
    </row>
    <row r="39" spans="1:6" x14ac:dyDescent="0.2">
      <c r="A39" s="2" t="s">
        <v>19</v>
      </c>
      <c r="B39" s="11"/>
      <c r="C39" s="329">
        <f>SUM(C15,-C38)</f>
        <v>8254725.25</v>
      </c>
      <c r="D39" s="196">
        <f>SUM(D15,-D38)</f>
        <v>32878</v>
      </c>
      <c r="E39" s="248"/>
      <c r="F39" s="248"/>
    </row>
    <row r="40" spans="1:6" x14ac:dyDescent="0.2">
      <c r="A40" s="8"/>
      <c r="B40" s="11"/>
      <c r="C40" s="315"/>
      <c r="D40" s="182"/>
      <c r="E40" s="248"/>
      <c r="F40" s="248"/>
    </row>
    <row r="41" spans="1:6" ht="12.75" customHeight="1" x14ac:dyDescent="0.2">
      <c r="A41" s="5" t="s">
        <v>20</v>
      </c>
      <c r="B41" s="5">
        <v>12</v>
      </c>
      <c r="C41" s="472" t="s">
        <v>437</v>
      </c>
      <c r="D41" s="473">
        <f>'NOTES TO FS'!G234</f>
        <v>673</v>
      </c>
      <c r="E41" s="248"/>
      <c r="F41" s="248"/>
    </row>
    <row r="42" spans="1:6" x14ac:dyDescent="0.2">
      <c r="A42" s="5"/>
      <c r="B42" s="5"/>
      <c r="C42" s="352"/>
      <c r="D42" s="435"/>
      <c r="E42" s="248"/>
      <c r="F42" s="248"/>
    </row>
    <row r="43" spans="1:6" ht="13.5" thickBot="1" x14ac:dyDescent="0.25">
      <c r="A43" s="2" t="s">
        <v>21</v>
      </c>
      <c r="B43" s="11">
        <v>13</v>
      </c>
      <c r="C43" s="317">
        <f>SUM(C41,C39)</f>
        <v>8254725.25</v>
      </c>
      <c r="D43" s="178">
        <f>SUM(D41,D39)</f>
        <v>33551</v>
      </c>
      <c r="E43" s="248"/>
      <c r="F43" s="248"/>
    </row>
    <row r="44" spans="1:6" ht="13.5" thickTop="1" x14ac:dyDescent="0.2"/>
  </sheetData>
  <mergeCells count="2">
    <mergeCell ref="A1:D1"/>
    <mergeCell ref="A3:D3"/>
  </mergeCells>
  <phoneticPr fontId="0" type="noConversion"/>
  <pageMargins left="0.75" right="0.75" top="1" bottom="1" header="0.5" footer="0.5"/>
  <pageSetup scale="85" orientation="portrait" verticalDpi="300" r:id="rId1"/>
  <headerFooter alignWithMargins="0">
    <oddHeader>&amp;C&amp;"Arial,Bold"DEPARTMENT OF ENVIRONMENTAL AFFAIRS AND TOURISM
VOTE 27
INCOME STATEMENT (STATEMENT OF FINANCIAL PERFORMANCE)
for the year ended 31 MARCH 2003</oddHeader>
  </headerFooter>
  <colBreaks count="1" manualBreakCount="1">
    <brk id="5"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zoomScale="90" zoomScaleNormal="90" workbookViewId="0"/>
  </sheetViews>
  <sheetFormatPr defaultRowHeight="12.75" x14ac:dyDescent="0.2"/>
  <cols>
    <col min="1" max="1" width="38.5703125" style="301" customWidth="1"/>
    <col min="2" max="2" width="8.85546875" style="301" bestFit="1" customWidth="1"/>
    <col min="3" max="3" width="11.7109375" style="301" customWidth="1"/>
    <col min="4" max="4" width="10.28515625" style="301" bestFit="1" customWidth="1"/>
    <col min="5" max="6" width="10.42578125" style="301" bestFit="1" customWidth="1"/>
    <col min="7" max="7" width="12.7109375" style="301" customWidth="1"/>
    <col min="8" max="8" width="9.140625" style="300"/>
    <col min="9" max="16384" width="9.140625" style="301"/>
  </cols>
  <sheetData>
    <row r="1" spans="1:8" ht="15.75" x14ac:dyDescent="0.25">
      <c r="A1" s="20" t="s">
        <v>217</v>
      </c>
      <c r="B1" s="299"/>
      <c r="C1" s="299"/>
      <c r="D1" s="299"/>
      <c r="E1" s="299"/>
      <c r="F1" s="299"/>
      <c r="G1" s="299"/>
    </row>
    <row r="2" spans="1:8" x14ac:dyDescent="0.2">
      <c r="A2" s="299"/>
      <c r="B2" s="299"/>
      <c r="C2" s="299"/>
      <c r="D2" s="299"/>
      <c r="E2" s="299"/>
      <c r="F2" s="299"/>
      <c r="G2" s="299"/>
    </row>
    <row r="3" spans="1:8" s="160" customFormat="1" ht="15.75" x14ac:dyDescent="0.25">
      <c r="A3" s="20" t="s">
        <v>216</v>
      </c>
      <c r="B3" s="239"/>
      <c r="C3" s="239"/>
      <c r="D3" s="239"/>
      <c r="E3" s="239"/>
      <c r="F3" s="239"/>
      <c r="G3" s="302"/>
      <c r="H3" s="162"/>
    </row>
    <row r="4" spans="1:8" s="156" customFormat="1" x14ac:dyDescent="0.2">
      <c r="A4" s="161"/>
    </row>
    <row r="5" spans="1:8" s="304" customFormat="1" ht="25.5" x14ac:dyDescent="0.2">
      <c r="A5" s="152" t="s">
        <v>228</v>
      </c>
      <c r="B5" s="393" t="s">
        <v>68</v>
      </c>
      <c r="C5" s="393" t="s">
        <v>209</v>
      </c>
      <c r="D5" s="393" t="s">
        <v>210</v>
      </c>
      <c r="E5" s="393" t="s">
        <v>211</v>
      </c>
      <c r="F5" s="393" t="s">
        <v>212</v>
      </c>
      <c r="G5" s="393" t="s">
        <v>71</v>
      </c>
      <c r="H5" s="303"/>
    </row>
    <row r="6" spans="1:8" s="304" customFormat="1" x14ac:dyDescent="0.2">
      <c r="A6" s="152"/>
      <c r="B6" s="393" t="s">
        <v>174</v>
      </c>
      <c r="C6" s="393" t="s">
        <v>174</v>
      </c>
      <c r="D6" s="393" t="s">
        <v>174</v>
      </c>
      <c r="E6" s="393" t="s">
        <v>174</v>
      </c>
      <c r="F6" s="393" t="s">
        <v>174</v>
      </c>
      <c r="G6" s="393" t="s">
        <v>174</v>
      </c>
      <c r="H6" s="303"/>
    </row>
    <row r="7" spans="1:8" x14ac:dyDescent="0.2">
      <c r="B7" s="6"/>
      <c r="C7" s="6"/>
      <c r="D7" s="6"/>
      <c r="E7" s="6"/>
      <c r="F7" s="6"/>
      <c r="G7" s="38"/>
    </row>
    <row r="8" spans="1:8" s="1" customFormat="1" x14ac:dyDescent="0.2">
      <c r="A8" s="94" t="s">
        <v>229</v>
      </c>
      <c r="B8" s="325" t="s">
        <v>437</v>
      </c>
      <c r="C8" s="314">
        <f>SUM(C9:C9)</f>
        <v>5169002.09</v>
      </c>
      <c r="D8" s="325" t="s">
        <v>437</v>
      </c>
      <c r="E8" s="325" t="s">
        <v>437</v>
      </c>
      <c r="F8" s="325" t="s">
        <v>437</v>
      </c>
      <c r="G8" s="314">
        <f>SUM(C8)</f>
        <v>5169002.09</v>
      </c>
      <c r="H8" s="159"/>
    </row>
    <row r="9" spans="1:8" x14ac:dyDescent="0.2">
      <c r="A9" s="68" t="s">
        <v>230</v>
      </c>
      <c r="B9" s="338" t="s">
        <v>437</v>
      </c>
      <c r="C9" s="339">
        <v>5169002.09</v>
      </c>
      <c r="D9" s="367" t="s">
        <v>437</v>
      </c>
      <c r="E9" s="367" t="s">
        <v>437</v>
      </c>
      <c r="F9" s="367" t="s">
        <v>437</v>
      </c>
      <c r="G9" s="394">
        <f>C9</f>
        <v>5169002.09</v>
      </c>
    </row>
    <row r="10" spans="1:8" x14ac:dyDescent="0.2">
      <c r="B10" s="321"/>
      <c r="C10" s="336"/>
      <c r="D10" s="336"/>
      <c r="E10" s="336"/>
      <c r="F10" s="336"/>
      <c r="G10" s="335"/>
    </row>
    <row r="11" spans="1:8" x14ac:dyDescent="0.2">
      <c r="A11" s="94" t="s">
        <v>231</v>
      </c>
      <c r="B11" s="325" t="s">
        <v>437</v>
      </c>
      <c r="C11" s="325">
        <f>SUM(C12:C14)</f>
        <v>4385514.41</v>
      </c>
      <c r="D11" s="325" t="s">
        <v>437</v>
      </c>
      <c r="E11" s="325" t="s">
        <v>437</v>
      </c>
      <c r="F11" s="325" t="s">
        <v>437</v>
      </c>
      <c r="G11" s="314">
        <f>SUM(G12:G14)</f>
        <v>4385514.41</v>
      </c>
    </row>
    <row r="12" spans="1:8" x14ac:dyDescent="0.2">
      <c r="A12" s="172" t="s">
        <v>88</v>
      </c>
      <c r="B12" s="340" t="s">
        <v>437</v>
      </c>
      <c r="C12" s="341">
        <v>3242856.77</v>
      </c>
      <c r="D12" s="328" t="s">
        <v>437</v>
      </c>
      <c r="E12" s="328" t="s">
        <v>437</v>
      </c>
      <c r="F12" s="328" t="s">
        <v>437</v>
      </c>
      <c r="G12" s="395">
        <f>C12</f>
        <v>3242856.77</v>
      </c>
    </row>
    <row r="13" spans="1:8" x14ac:dyDescent="0.2">
      <c r="A13" s="172" t="s">
        <v>89</v>
      </c>
      <c r="B13" s="342" t="s">
        <v>437</v>
      </c>
      <c r="C13" s="335">
        <f>488576.85-500</f>
        <v>488076.85</v>
      </c>
      <c r="D13" s="321" t="s">
        <v>437</v>
      </c>
      <c r="E13" s="321" t="s">
        <v>437</v>
      </c>
      <c r="F13" s="321" t="s">
        <v>437</v>
      </c>
      <c r="G13" s="396">
        <f>C13</f>
        <v>488076.85</v>
      </c>
    </row>
    <row r="14" spans="1:8" x14ac:dyDescent="0.2">
      <c r="A14" s="172" t="s">
        <v>90</v>
      </c>
      <c r="B14" s="343" t="s">
        <v>437</v>
      </c>
      <c r="C14" s="334">
        <v>654580.79</v>
      </c>
      <c r="D14" s="323" t="s">
        <v>437</v>
      </c>
      <c r="E14" s="323" t="s">
        <v>437</v>
      </c>
      <c r="F14" s="323" t="s">
        <v>437</v>
      </c>
      <c r="G14" s="397">
        <f>C14</f>
        <v>654580.79</v>
      </c>
    </row>
    <row r="15" spans="1:8" x14ac:dyDescent="0.2">
      <c r="B15" s="321"/>
      <c r="C15" s="330"/>
      <c r="D15" s="323"/>
      <c r="E15" s="323"/>
      <c r="F15" s="323"/>
      <c r="G15" s="335"/>
    </row>
    <row r="16" spans="1:8" ht="13.5" thickBot="1" x14ac:dyDescent="0.25">
      <c r="A16" s="137"/>
      <c r="B16" s="317" t="s">
        <v>437</v>
      </c>
      <c r="C16" s="317">
        <f>SUM(C8,C11)</f>
        <v>9554516.5</v>
      </c>
      <c r="D16" s="317" t="s">
        <v>437</v>
      </c>
      <c r="E16" s="317" t="s">
        <v>437</v>
      </c>
      <c r="F16" s="317" t="s">
        <v>437</v>
      </c>
      <c r="G16" s="316">
        <f>SUM(G8,G11)</f>
        <v>9554516.5</v>
      </c>
    </row>
    <row r="17" spans="1:8" ht="13.5" thickTop="1" x14ac:dyDescent="0.2">
      <c r="A17" s="137"/>
      <c r="B17" s="38"/>
      <c r="C17" s="38"/>
      <c r="D17" s="38"/>
      <c r="E17" s="38"/>
      <c r="F17" s="38"/>
      <c r="G17" s="38"/>
    </row>
    <row r="18" spans="1:8" s="304" customFormat="1" ht="25.5" x14ac:dyDescent="0.2">
      <c r="A18" s="152" t="s">
        <v>227</v>
      </c>
      <c r="B18" s="393" t="s">
        <v>68</v>
      </c>
      <c r="C18" s="393" t="s">
        <v>209</v>
      </c>
      <c r="D18" s="393" t="s">
        <v>210</v>
      </c>
      <c r="E18" s="393" t="s">
        <v>211</v>
      </c>
      <c r="F18" s="393" t="s">
        <v>212</v>
      </c>
      <c r="G18" s="393" t="s">
        <v>71</v>
      </c>
      <c r="H18" s="303"/>
    </row>
    <row r="19" spans="1:8" s="304" customFormat="1" x14ac:dyDescent="0.2">
      <c r="A19" s="152"/>
      <c r="B19" s="393" t="s">
        <v>174</v>
      </c>
      <c r="C19" s="393" t="s">
        <v>174</v>
      </c>
      <c r="D19" s="393" t="s">
        <v>174</v>
      </c>
      <c r="E19" s="393" t="s">
        <v>174</v>
      </c>
      <c r="F19" s="393" t="s">
        <v>174</v>
      </c>
      <c r="G19" s="393" t="s">
        <v>174</v>
      </c>
      <c r="H19" s="303"/>
    </row>
    <row r="20" spans="1:8" s="304" customFormat="1" x14ac:dyDescent="0.2">
      <c r="A20" s="152"/>
      <c r="B20" s="140"/>
      <c r="C20" s="140"/>
      <c r="D20" s="140"/>
      <c r="E20" s="140"/>
      <c r="F20" s="140"/>
      <c r="G20" s="140"/>
      <c r="H20" s="303"/>
    </row>
    <row r="21" spans="1:8" s="1" customFormat="1" x14ac:dyDescent="0.2">
      <c r="A21" s="94" t="s">
        <v>229</v>
      </c>
      <c r="B21" s="192" t="s">
        <v>437</v>
      </c>
      <c r="C21" s="192">
        <f>SUM(C22:C22)</f>
        <v>800</v>
      </c>
      <c r="D21" s="192" t="s">
        <v>437</v>
      </c>
      <c r="E21" s="192" t="s">
        <v>437</v>
      </c>
      <c r="F21" s="192" t="s">
        <v>437</v>
      </c>
      <c r="G21" s="192">
        <f>SUM(G22:G22)</f>
        <v>800</v>
      </c>
      <c r="H21" s="159"/>
    </row>
    <row r="22" spans="1:8" x14ac:dyDescent="0.2">
      <c r="A22" s="68" t="s">
        <v>230</v>
      </c>
      <c r="B22" s="305" t="s">
        <v>437</v>
      </c>
      <c r="C22" s="306">
        <v>800</v>
      </c>
      <c r="D22" s="306" t="s">
        <v>437</v>
      </c>
      <c r="E22" s="306"/>
      <c r="F22" s="306" t="s">
        <v>437</v>
      </c>
      <c r="G22" s="307">
        <f>C22</f>
        <v>800</v>
      </c>
    </row>
    <row r="23" spans="1:8" x14ac:dyDescent="0.2">
      <c r="B23" s="85"/>
      <c r="C23" s="6"/>
      <c r="D23" s="12"/>
      <c r="E23" s="12" t="s">
        <v>437</v>
      </c>
      <c r="F23" s="12"/>
      <c r="G23" s="85"/>
    </row>
    <row r="24" spans="1:8" x14ac:dyDescent="0.2">
      <c r="A24" s="94" t="s">
        <v>231</v>
      </c>
      <c r="B24" s="192" t="s">
        <v>437</v>
      </c>
      <c r="C24" s="192">
        <f>SUM(C25:C27)</f>
        <v>7550</v>
      </c>
      <c r="D24" s="192" t="s">
        <v>437</v>
      </c>
      <c r="E24" s="192" t="s">
        <v>437</v>
      </c>
      <c r="F24" s="192" t="s">
        <v>437</v>
      </c>
      <c r="G24" s="192">
        <f>SUM(G25:G27)</f>
        <v>7550</v>
      </c>
    </row>
    <row r="25" spans="1:8" x14ac:dyDescent="0.2">
      <c r="A25" s="172" t="s">
        <v>88</v>
      </c>
      <c r="B25" s="308" t="s">
        <v>437</v>
      </c>
      <c r="C25" s="259">
        <v>5345</v>
      </c>
      <c r="D25" s="259" t="s">
        <v>437</v>
      </c>
      <c r="E25" s="259" t="s">
        <v>437</v>
      </c>
      <c r="F25" s="259" t="s">
        <v>437</v>
      </c>
      <c r="G25" s="189">
        <f>C25</f>
        <v>5345</v>
      </c>
    </row>
    <row r="26" spans="1:8" x14ac:dyDescent="0.2">
      <c r="A26" s="172" t="s">
        <v>89</v>
      </c>
      <c r="B26" s="309" t="s">
        <v>437</v>
      </c>
      <c r="C26" s="310">
        <v>1465</v>
      </c>
      <c r="D26" s="310" t="s">
        <v>437</v>
      </c>
      <c r="E26" s="310" t="s">
        <v>437</v>
      </c>
      <c r="F26" s="310" t="s">
        <v>437</v>
      </c>
      <c r="G26" s="190">
        <f>C26</f>
        <v>1465</v>
      </c>
    </row>
    <row r="27" spans="1:8" x14ac:dyDescent="0.2">
      <c r="A27" s="172" t="s">
        <v>90</v>
      </c>
      <c r="B27" s="311" t="s">
        <v>437</v>
      </c>
      <c r="C27" s="188">
        <v>740</v>
      </c>
      <c r="D27" s="188" t="s">
        <v>437</v>
      </c>
      <c r="E27" s="188" t="s">
        <v>437</v>
      </c>
      <c r="F27" s="188" t="s">
        <v>437</v>
      </c>
      <c r="G27" s="191">
        <f>C27</f>
        <v>740</v>
      </c>
    </row>
    <row r="28" spans="1:8" x14ac:dyDescent="0.2">
      <c r="B28" s="310"/>
      <c r="C28" s="180"/>
      <c r="D28" s="188"/>
      <c r="E28" s="188"/>
      <c r="F28" s="188"/>
      <c r="G28" s="310"/>
    </row>
    <row r="29" spans="1:8" ht="13.5" thickBot="1" x14ac:dyDescent="0.25">
      <c r="A29" s="137"/>
      <c r="B29" s="178" t="s">
        <v>437</v>
      </c>
      <c r="C29" s="178">
        <f>SUM(C21,C24)</f>
        <v>8350</v>
      </c>
      <c r="D29" s="178" t="s">
        <v>437</v>
      </c>
      <c r="E29" s="178" t="s">
        <v>437</v>
      </c>
      <c r="F29" s="178" t="s">
        <v>437</v>
      </c>
      <c r="G29" s="178">
        <f>SUM(G21,G24)</f>
        <v>8350</v>
      </c>
    </row>
    <row r="30" spans="1:8" ht="13.5" thickTop="1" x14ac:dyDescent="0.2"/>
  </sheetData>
  <phoneticPr fontId="0" type="noConversion"/>
  <pageMargins left="0.47244094488188981" right="0.39370078740157483" top="1.59" bottom="0.59055118110236227" header="0.51181102362204722" footer="0.51181102362204722"/>
  <pageSetup paperSize="9" scale="93" orientation="portrait" r:id="rId1"/>
  <headerFooter alignWithMargins="0">
    <oddHeader>&amp;C&amp;"Arial,Bold"DEPARTMENT OF ENVIRONMENTAL AFFAIRS AND TOURISM
VOTE 27
ANNEXURES TO THE ANNUAL FINANCIAL STATEMENTS
for the year ended 31 MARCH 2003</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3"/>
  <sheetViews>
    <sheetView view="pageBreakPreview" topLeftCell="A375" zoomScale="75" zoomScaleNormal="75" zoomScaleSheetLayoutView="75" workbookViewId="0">
      <selection activeCell="B393" sqref="B393"/>
    </sheetView>
  </sheetViews>
  <sheetFormatPr defaultRowHeight="12.75" x14ac:dyDescent="0.2"/>
  <cols>
    <col min="1" max="1" width="4.5703125" style="26" bestFit="1" customWidth="1"/>
    <col min="2" max="2" width="24.140625" style="26" customWidth="1"/>
    <col min="3" max="3" width="17.42578125" style="5" customWidth="1"/>
    <col min="4" max="4" width="16.5703125" style="5" bestFit="1" customWidth="1"/>
    <col min="5" max="6" width="16.5703125" style="5" customWidth="1"/>
    <col min="7" max="7" width="17.28515625" style="5" customWidth="1"/>
    <col min="8" max="8" width="14.7109375" style="5" customWidth="1"/>
    <col min="9" max="10" width="14" style="5" customWidth="1"/>
    <col min="11" max="16384" width="9.140625" style="5"/>
  </cols>
  <sheetData>
    <row r="1" spans="1:12" s="1" customFormat="1" x14ac:dyDescent="0.2">
      <c r="A1" s="523" t="s">
        <v>187</v>
      </c>
      <c r="B1" s="523"/>
      <c r="C1" s="523"/>
      <c r="D1" s="523"/>
      <c r="E1" s="523"/>
      <c r="F1" s="523"/>
      <c r="G1" s="523"/>
      <c r="H1" s="523"/>
      <c r="I1" s="523"/>
      <c r="J1" s="523"/>
    </row>
    <row r="2" spans="1:12" s="1" customFormat="1" x14ac:dyDescent="0.2">
      <c r="A2" s="523" t="s">
        <v>472</v>
      </c>
      <c r="B2" s="523"/>
      <c r="C2" s="523"/>
      <c r="D2" s="523"/>
      <c r="E2" s="523"/>
      <c r="F2" s="523"/>
      <c r="G2" s="523"/>
      <c r="H2" s="523"/>
      <c r="I2" s="523"/>
      <c r="J2" s="523"/>
    </row>
    <row r="3" spans="1:12" s="1" customFormat="1" x14ac:dyDescent="0.2">
      <c r="A3" s="166"/>
      <c r="B3" s="166"/>
      <c r="C3" s="166"/>
      <c r="D3" s="166"/>
      <c r="E3" s="166"/>
      <c r="F3" s="166"/>
      <c r="G3" s="166"/>
      <c r="H3" s="166"/>
      <c r="I3" s="166"/>
      <c r="J3" s="166"/>
    </row>
    <row r="4" spans="1:12" x14ac:dyDescent="0.2">
      <c r="A4" s="129"/>
      <c r="B4" s="56"/>
      <c r="C4" s="576" t="s">
        <v>188</v>
      </c>
      <c r="D4" s="569"/>
      <c r="E4" s="569"/>
      <c r="F4" s="569"/>
      <c r="G4" s="569"/>
      <c r="H4" s="586"/>
      <c r="I4" s="587" t="s">
        <v>189</v>
      </c>
      <c r="J4" s="586"/>
    </row>
    <row r="5" spans="1:12" s="109" customFormat="1" ht="25.5" x14ac:dyDescent="0.2">
      <c r="A5" s="588"/>
      <c r="B5" s="571" t="s">
        <v>171</v>
      </c>
      <c r="C5" s="108" t="s">
        <v>183</v>
      </c>
      <c r="D5" s="108" t="s">
        <v>175</v>
      </c>
      <c r="E5" s="108" t="s">
        <v>184</v>
      </c>
      <c r="F5" s="108" t="s">
        <v>185</v>
      </c>
      <c r="G5" s="108" t="s">
        <v>186</v>
      </c>
      <c r="H5" s="583" t="s">
        <v>181</v>
      </c>
      <c r="I5" s="108" t="s">
        <v>184</v>
      </c>
      <c r="J5" s="108" t="s">
        <v>185</v>
      </c>
    </row>
    <row r="6" spans="1:12" x14ac:dyDescent="0.2">
      <c r="A6" s="589"/>
      <c r="B6" s="580"/>
      <c r="C6" s="110" t="s">
        <v>174</v>
      </c>
      <c r="D6" s="110" t="s">
        <v>174</v>
      </c>
      <c r="E6" s="110" t="s">
        <v>174</v>
      </c>
      <c r="F6" s="110" t="s">
        <v>174</v>
      </c>
      <c r="G6" s="110" t="s">
        <v>174</v>
      </c>
      <c r="H6" s="584"/>
      <c r="I6" s="110" t="s">
        <v>174</v>
      </c>
      <c r="J6" s="110" t="s">
        <v>174</v>
      </c>
    </row>
    <row r="7" spans="1:12" x14ac:dyDescent="0.2">
      <c r="A7" s="30">
        <v>1</v>
      </c>
      <c r="B7" s="41" t="s">
        <v>182</v>
      </c>
      <c r="C7" s="103"/>
      <c r="D7" s="104"/>
      <c r="E7" s="104"/>
      <c r="F7" s="104"/>
      <c r="G7" s="104"/>
      <c r="H7" s="104"/>
      <c r="I7" s="104"/>
      <c r="J7" s="104"/>
    </row>
    <row r="8" spans="1:12" x14ac:dyDescent="0.2">
      <c r="A8" s="30"/>
      <c r="B8" s="70" t="s">
        <v>7</v>
      </c>
      <c r="C8" s="218">
        <v>55806</v>
      </c>
      <c r="D8" s="218">
        <v>10411</v>
      </c>
      <c r="E8" s="216">
        <v>66217</v>
      </c>
      <c r="F8" s="218">
        <v>66217</v>
      </c>
      <c r="G8" s="493" t="s">
        <v>437</v>
      </c>
      <c r="H8" s="216">
        <f>+F8/E8*100</f>
        <v>100</v>
      </c>
      <c r="I8" s="218">
        <v>69338</v>
      </c>
      <c r="J8" s="218">
        <v>69338</v>
      </c>
      <c r="K8" s="198"/>
      <c r="L8" s="198">
        <f>SUM(J8:J9)</f>
        <v>73744</v>
      </c>
    </row>
    <row r="9" spans="1:12" x14ac:dyDescent="0.2">
      <c r="A9" s="30"/>
      <c r="B9" s="70" t="s">
        <v>17</v>
      </c>
      <c r="C9" s="218">
        <v>1803</v>
      </c>
      <c r="D9" s="218">
        <v>339</v>
      </c>
      <c r="E9" s="216">
        <v>2142</v>
      </c>
      <c r="F9" s="218">
        <v>2142</v>
      </c>
      <c r="G9" s="493" t="s">
        <v>437</v>
      </c>
      <c r="H9" s="216">
        <f>+F9/E9*100</f>
        <v>100</v>
      </c>
      <c r="I9" s="218">
        <v>4406</v>
      </c>
      <c r="J9" s="218">
        <v>4406</v>
      </c>
      <c r="K9" s="198"/>
      <c r="L9" s="198">
        <f>SUM(I8:I9)</f>
        <v>73744</v>
      </c>
    </row>
    <row r="10" spans="1:12" ht="25.5" x14ac:dyDescent="0.2">
      <c r="A10" s="30">
        <v>2</v>
      </c>
      <c r="B10" s="41" t="s">
        <v>301</v>
      </c>
      <c r="C10" s="218"/>
      <c r="D10" s="216"/>
      <c r="E10" s="216"/>
      <c r="F10" s="216"/>
      <c r="G10" s="216"/>
      <c r="H10" s="216"/>
      <c r="I10" s="216"/>
      <c r="J10" s="216"/>
      <c r="K10" s="198"/>
    </row>
    <row r="11" spans="1:12" x14ac:dyDescent="0.2">
      <c r="A11" s="30"/>
      <c r="B11" s="70" t="s">
        <v>7</v>
      </c>
      <c r="C11" s="218">
        <v>274003</v>
      </c>
      <c r="D11" s="218">
        <v>-7453</v>
      </c>
      <c r="E11" s="216">
        <v>266550</v>
      </c>
      <c r="F11" s="218">
        <v>266196</v>
      </c>
      <c r="G11" s="216">
        <v>354</v>
      </c>
      <c r="H11" s="216">
        <f>+F11/E11*100</f>
        <v>99.867191896454699</v>
      </c>
      <c r="I11" s="218">
        <f>8651+36354+11935</f>
        <v>56940</v>
      </c>
      <c r="J11" s="218">
        <v>56726</v>
      </c>
      <c r="K11" s="198"/>
      <c r="L11" s="198">
        <f>SUM(J11:J12)</f>
        <v>57674</v>
      </c>
    </row>
    <row r="12" spans="1:12" x14ac:dyDescent="0.2">
      <c r="A12" s="30"/>
      <c r="B12" s="70" t="s">
        <v>17</v>
      </c>
      <c r="C12" s="218">
        <v>969</v>
      </c>
      <c r="D12" s="218">
        <v>23</v>
      </c>
      <c r="E12" s="216">
        <v>992</v>
      </c>
      <c r="F12" s="218">
        <v>992</v>
      </c>
      <c r="G12" s="493" t="s">
        <v>437</v>
      </c>
      <c r="H12" s="216">
        <f>+F12/E12*100</f>
        <v>100</v>
      </c>
      <c r="I12" s="218">
        <v>887</v>
      </c>
      <c r="J12" s="218">
        <v>948</v>
      </c>
      <c r="K12" s="198"/>
      <c r="L12" s="198">
        <f>SUM(I11:I12)</f>
        <v>57827</v>
      </c>
    </row>
    <row r="13" spans="1:12" ht="25.5" x14ac:dyDescent="0.2">
      <c r="A13" s="30">
        <v>3</v>
      </c>
      <c r="B13" s="41" t="s">
        <v>302</v>
      </c>
      <c r="C13" s="218"/>
      <c r="D13" s="216"/>
      <c r="E13" s="216"/>
      <c r="F13" s="216"/>
      <c r="G13" s="493"/>
      <c r="H13" s="216"/>
      <c r="I13" s="216"/>
      <c r="J13" s="216"/>
      <c r="K13" s="198"/>
    </row>
    <row r="14" spans="1:12" x14ac:dyDescent="0.2">
      <c r="A14" s="30"/>
      <c r="B14" s="70" t="s">
        <v>7</v>
      </c>
      <c r="C14" s="218">
        <v>111159</v>
      </c>
      <c r="D14" s="494">
        <v>-5106</v>
      </c>
      <c r="E14" s="216">
        <v>106053</v>
      </c>
      <c r="F14" s="218">
        <v>106053</v>
      </c>
      <c r="G14" s="493" t="s">
        <v>437</v>
      </c>
      <c r="H14" s="216">
        <f>+F14/E14*100</f>
        <v>100</v>
      </c>
      <c r="I14" s="218">
        <v>110446</v>
      </c>
      <c r="J14" s="218">
        <v>110446</v>
      </c>
      <c r="K14" s="198"/>
      <c r="L14" s="198">
        <f>SUM(J14:J15)</f>
        <v>257446</v>
      </c>
    </row>
    <row r="15" spans="1:12" x14ac:dyDescent="0.2">
      <c r="A15" s="30"/>
      <c r="B15" s="70" t="s">
        <v>17</v>
      </c>
      <c r="C15" s="218">
        <v>147000</v>
      </c>
      <c r="D15" s="494" t="s">
        <v>437</v>
      </c>
      <c r="E15" s="216">
        <v>147000</v>
      </c>
      <c r="F15" s="218">
        <v>147000</v>
      </c>
      <c r="G15" s="493" t="s">
        <v>437</v>
      </c>
      <c r="H15" s="216">
        <f>+F15/E15*100</f>
        <v>100</v>
      </c>
      <c r="I15" s="218">
        <v>147000</v>
      </c>
      <c r="J15" s="218">
        <v>147000</v>
      </c>
      <c r="K15" s="198"/>
      <c r="L15" s="198">
        <f>SUM(I14:I15)</f>
        <v>257446</v>
      </c>
    </row>
    <row r="16" spans="1:12" x14ac:dyDescent="0.2">
      <c r="A16" s="30">
        <v>4</v>
      </c>
      <c r="B16" s="41" t="s">
        <v>303</v>
      </c>
      <c r="C16" s="218"/>
      <c r="D16" s="216"/>
      <c r="E16" s="216"/>
      <c r="F16" s="216"/>
      <c r="G16" s="493"/>
      <c r="H16" s="216"/>
      <c r="I16" s="216"/>
      <c r="J16" s="216"/>
      <c r="K16" s="198"/>
    </row>
    <row r="17" spans="1:12" x14ac:dyDescent="0.2">
      <c r="A17" s="30"/>
      <c r="B17" s="70" t="s">
        <v>7</v>
      </c>
      <c r="C17" s="218">
        <v>304296</v>
      </c>
      <c r="D17" s="218">
        <v>29644</v>
      </c>
      <c r="E17" s="216">
        <v>333940</v>
      </c>
      <c r="F17" s="218">
        <v>333940</v>
      </c>
      <c r="G17" s="493" t="s">
        <v>437</v>
      </c>
      <c r="H17" s="216">
        <f>+F17/E17*100</f>
        <v>100</v>
      </c>
      <c r="I17" s="218">
        <v>327595</v>
      </c>
      <c r="J17" s="218">
        <v>327433</v>
      </c>
      <c r="K17" s="198"/>
      <c r="L17" s="198">
        <f>SUM(J17:J18)</f>
        <v>328202</v>
      </c>
    </row>
    <row r="18" spans="1:12" x14ac:dyDescent="0.2">
      <c r="A18" s="30"/>
      <c r="B18" s="70" t="s">
        <v>17</v>
      </c>
      <c r="C18" s="218">
        <v>317</v>
      </c>
      <c r="D18" s="218">
        <v>76</v>
      </c>
      <c r="E18" s="216">
        <v>393</v>
      </c>
      <c r="F18" s="218">
        <v>393</v>
      </c>
      <c r="G18" s="493" t="s">
        <v>437</v>
      </c>
      <c r="H18" s="216">
        <f>+F18/E18*100</f>
        <v>100</v>
      </c>
      <c r="I18" s="218">
        <v>607</v>
      </c>
      <c r="J18" s="218">
        <v>769</v>
      </c>
      <c r="K18" s="198"/>
      <c r="L18" s="198">
        <f>SUM(I17:I18)</f>
        <v>328202</v>
      </c>
    </row>
    <row r="19" spans="1:12" ht="25.5" x14ac:dyDescent="0.2">
      <c r="A19" s="30">
        <v>5</v>
      </c>
      <c r="B19" s="41" t="s">
        <v>304</v>
      </c>
      <c r="C19" s="218"/>
      <c r="D19" s="216"/>
      <c r="E19" s="216"/>
      <c r="F19" s="216"/>
      <c r="G19" s="216"/>
      <c r="H19" s="216"/>
      <c r="I19" s="216"/>
      <c r="J19" s="216"/>
      <c r="K19" s="198"/>
    </row>
    <row r="20" spans="1:12" x14ac:dyDescent="0.2">
      <c r="A20" s="30"/>
      <c r="B20" s="70" t="s">
        <v>7</v>
      </c>
      <c r="C20" s="218">
        <v>130022</v>
      </c>
      <c r="D20" s="218">
        <v>-11483</v>
      </c>
      <c r="E20" s="216">
        <v>118539</v>
      </c>
      <c r="F20" s="218">
        <v>117632</v>
      </c>
      <c r="G20" s="216">
        <v>907</v>
      </c>
      <c r="H20" s="216">
        <f>+F20/E20*100</f>
        <v>99.234850977315475</v>
      </c>
      <c r="I20" s="218">
        <v>132328</v>
      </c>
      <c r="J20" s="218">
        <f>126621+33+358</f>
        <v>127012</v>
      </c>
      <c r="K20" s="198"/>
      <c r="L20" s="198">
        <f>SUM(J20:J21)</f>
        <v>128180</v>
      </c>
    </row>
    <row r="21" spans="1:12" x14ac:dyDescent="0.2">
      <c r="A21" s="30"/>
      <c r="B21" s="70" t="s">
        <v>17</v>
      </c>
      <c r="C21" s="218">
        <v>760</v>
      </c>
      <c r="D21" s="218">
        <v>2123</v>
      </c>
      <c r="E21" s="216">
        <v>2883</v>
      </c>
      <c r="F21" s="218">
        <v>383</v>
      </c>
      <c r="G21" s="216">
        <v>2500</v>
      </c>
      <c r="H21" s="216">
        <f>+F21/E21*100</f>
        <v>13.284772806104753</v>
      </c>
      <c r="I21" s="218">
        <v>4998</v>
      </c>
      <c r="J21" s="218">
        <f>1559-33-358</f>
        <v>1168</v>
      </c>
      <c r="K21" s="198"/>
      <c r="L21" s="198">
        <f>SUM(I20:I21)</f>
        <v>137326</v>
      </c>
    </row>
    <row r="22" spans="1:12" ht="25.5" x14ac:dyDescent="0.2">
      <c r="A22" s="131">
        <v>6</v>
      </c>
      <c r="B22" s="41" t="s">
        <v>305</v>
      </c>
      <c r="C22" s="218"/>
      <c r="D22" s="216"/>
      <c r="E22" s="216"/>
      <c r="F22" s="216"/>
      <c r="G22" s="216"/>
      <c r="H22" s="216"/>
      <c r="I22" s="216"/>
      <c r="J22" s="216"/>
      <c r="K22" s="198"/>
    </row>
    <row r="23" spans="1:12" x14ac:dyDescent="0.2">
      <c r="A23" s="30"/>
      <c r="B23" s="70" t="s">
        <v>7</v>
      </c>
      <c r="C23" s="218">
        <v>231951</v>
      </c>
      <c r="D23" s="218">
        <v>-21038</v>
      </c>
      <c r="E23" s="216">
        <v>210913</v>
      </c>
      <c r="F23" s="218">
        <v>210633</v>
      </c>
      <c r="G23" s="216">
        <v>280</v>
      </c>
      <c r="H23" s="216">
        <f>+F23/E23*100</f>
        <v>99.867243839877105</v>
      </c>
      <c r="I23" s="218">
        <v>171558</v>
      </c>
      <c r="J23" s="218">
        <v>171126</v>
      </c>
      <c r="K23" s="198"/>
      <c r="L23" s="198">
        <f>SUM(J23:J24)</f>
        <v>196937</v>
      </c>
    </row>
    <row r="24" spans="1:12" x14ac:dyDescent="0.2">
      <c r="A24" s="30"/>
      <c r="B24" s="70" t="s">
        <v>17</v>
      </c>
      <c r="C24" s="218">
        <v>84502</v>
      </c>
      <c r="D24" s="218">
        <v>-141</v>
      </c>
      <c r="E24" s="216">
        <v>84361</v>
      </c>
      <c r="F24" s="218">
        <v>84361</v>
      </c>
      <c r="G24" s="493" t="s">
        <v>437</v>
      </c>
      <c r="H24" s="216">
        <f>+F24/E24*100</f>
        <v>100</v>
      </c>
      <c r="I24" s="218">
        <v>25660</v>
      </c>
      <c r="J24" s="218">
        <v>25811</v>
      </c>
      <c r="K24" s="198"/>
      <c r="L24" s="198">
        <f>SUM(I23:I24)</f>
        <v>197218</v>
      </c>
    </row>
    <row r="25" spans="1:12" ht="25.5" x14ac:dyDescent="0.2">
      <c r="A25" s="30">
        <v>7</v>
      </c>
      <c r="B25" s="41" t="s">
        <v>306</v>
      </c>
      <c r="C25" s="218"/>
      <c r="D25" s="216"/>
      <c r="E25" s="216"/>
      <c r="F25" s="216"/>
      <c r="G25" s="216"/>
      <c r="H25" s="216"/>
      <c r="I25" s="216"/>
      <c r="J25" s="216"/>
      <c r="K25" s="198"/>
    </row>
    <row r="26" spans="1:12" x14ac:dyDescent="0.2">
      <c r="A26" s="30"/>
      <c r="B26" s="70" t="s">
        <v>7</v>
      </c>
      <c r="C26" s="218">
        <v>19027</v>
      </c>
      <c r="D26" s="218">
        <v>6053</v>
      </c>
      <c r="E26" s="216">
        <v>25080</v>
      </c>
      <c r="F26" s="218">
        <v>25080</v>
      </c>
      <c r="G26" s="493" t="s">
        <v>437</v>
      </c>
      <c r="H26" s="216">
        <f>+F26/E26*100</f>
        <v>100</v>
      </c>
      <c r="I26" s="218">
        <v>24216</v>
      </c>
      <c r="J26" s="218">
        <v>23700</v>
      </c>
      <c r="K26" s="198"/>
      <c r="L26" s="198">
        <f>SUM(J26:J27)</f>
        <v>25307</v>
      </c>
    </row>
    <row r="27" spans="1:12" x14ac:dyDescent="0.2">
      <c r="A27" s="30"/>
      <c r="B27" s="70" t="s">
        <v>17</v>
      </c>
      <c r="C27" s="218">
        <v>38971</v>
      </c>
      <c r="D27" s="218">
        <v>-3588</v>
      </c>
      <c r="E27" s="216">
        <v>35383</v>
      </c>
      <c r="F27" s="218">
        <v>5424</v>
      </c>
      <c r="G27" s="216">
        <v>29959</v>
      </c>
      <c r="H27" s="216">
        <f>+F27/E27*100</f>
        <v>15.329395472402002</v>
      </c>
      <c r="I27" s="218">
        <v>2400</v>
      </c>
      <c r="J27" s="218">
        <v>1607</v>
      </c>
      <c r="K27" s="198"/>
      <c r="L27" s="198">
        <f>SUM(I26:I27)</f>
        <v>26616</v>
      </c>
    </row>
    <row r="28" spans="1:12" x14ac:dyDescent="0.2">
      <c r="A28" s="30"/>
      <c r="B28" s="41" t="s">
        <v>366</v>
      </c>
      <c r="C28" s="218"/>
      <c r="D28" s="216"/>
      <c r="E28" s="216"/>
      <c r="F28" s="216"/>
      <c r="G28" s="216"/>
      <c r="H28" s="216"/>
      <c r="I28" s="216"/>
      <c r="J28" s="216"/>
      <c r="K28" s="198"/>
    </row>
    <row r="29" spans="1:12" x14ac:dyDescent="0.2">
      <c r="A29" s="30"/>
      <c r="B29" s="70" t="s">
        <v>7</v>
      </c>
      <c r="C29" s="494" t="s">
        <v>437</v>
      </c>
      <c r="D29" s="494">
        <v>140</v>
      </c>
      <c r="E29" s="216">
        <v>140</v>
      </c>
      <c r="F29" s="218">
        <v>140</v>
      </c>
      <c r="G29" s="493" t="s">
        <v>437</v>
      </c>
      <c r="H29" s="216">
        <f>+F29/E29*100</f>
        <v>100</v>
      </c>
      <c r="I29" s="218">
        <v>75</v>
      </c>
      <c r="J29" s="218">
        <v>75</v>
      </c>
      <c r="K29" s="198"/>
      <c r="L29" s="198">
        <f>SUM(J29:J29)</f>
        <v>75</v>
      </c>
    </row>
    <row r="30" spans="1:12" x14ac:dyDescent="0.2">
      <c r="A30" s="130"/>
      <c r="B30" s="111" t="s">
        <v>157</v>
      </c>
      <c r="C30" s="217">
        <f>SUM(C7:C29)</f>
        <v>1400586</v>
      </c>
      <c r="D30" s="495" t="s">
        <v>437</v>
      </c>
      <c r="E30" s="217">
        <f>SUM(E7:E29)</f>
        <v>1400586</v>
      </c>
      <c r="F30" s="217">
        <f>SUM(F7:F29)</f>
        <v>1366586</v>
      </c>
      <c r="G30" s="217">
        <f>SUM(G7:G29)</f>
        <v>34000</v>
      </c>
      <c r="H30" s="217">
        <f>+F30/E30*100</f>
        <v>97.572444676728168</v>
      </c>
      <c r="I30" s="217">
        <f>SUM(I7:I29)</f>
        <v>1078454</v>
      </c>
      <c r="J30" s="217">
        <f>SUM(J7:J29)</f>
        <v>1067565</v>
      </c>
      <c r="K30" s="198"/>
      <c r="L30" s="198">
        <f>SUM(L8:L29)</f>
        <v>2145944</v>
      </c>
    </row>
    <row r="32" spans="1:12" s="1" customFormat="1" x14ac:dyDescent="0.2">
      <c r="A32" s="523" t="s">
        <v>187</v>
      </c>
      <c r="B32" s="523"/>
      <c r="C32" s="523"/>
      <c r="D32" s="523"/>
      <c r="E32" s="523"/>
      <c r="F32" s="523"/>
      <c r="G32" s="523"/>
      <c r="H32" s="523"/>
      <c r="I32" s="523"/>
      <c r="J32" s="523"/>
    </row>
    <row r="33" spans="1:11" s="1" customFormat="1" x14ac:dyDescent="0.2">
      <c r="A33" s="523" t="s">
        <v>472</v>
      </c>
      <c r="B33" s="523"/>
      <c r="C33" s="523"/>
      <c r="D33" s="523"/>
      <c r="E33" s="523"/>
      <c r="F33" s="523"/>
      <c r="G33" s="523"/>
      <c r="H33" s="523"/>
      <c r="I33" s="523"/>
      <c r="J33" s="523"/>
    </row>
    <row r="34" spans="1:11" s="1" customFormat="1" x14ac:dyDescent="0.2">
      <c r="A34" s="166"/>
      <c r="B34" s="166"/>
      <c r="C34" s="166"/>
      <c r="D34" s="166"/>
      <c r="E34" s="166"/>
      <c r="F34" s="166"/>
      <c r="G34" s="166"/>
      <c r="H34" s="166"/>
      <c r="I34" s="166"/>
      <c r="J34" s="166"/>
    </row>
    <row r="35" spans="1:11" x14ac:dyDescent="0.2">
      <c r="A35" s="129"/>
      <c r="B35" s="585" t="s">
        <v>190</v>
      </c>
      <c r="C35" s="569" t="s">
        <v>188</v>
      </c>
      <c r="D35" s="577"/>
      <c r="E35" s="577"/>
      <c r="F35" s="577"/>
      <c r="G35" s="577"/>
      <c r="H35" s="570"/>
      <c r="I35" s="587" t="s">
        <v>189</v>
      </c>
      <c r="J35" s="570"/>
    </row>
    <row r="36" spans="1:11" ht="25.5" x14ac:dyDescent="0.2">
      <c r="A36" s="30"/>
      <c r="B36" s="571"/>
      <c r="C36" s="108" t="s">
        <v>183</v>
      </c>
      <c r="D36" s="108" t="s">
        <v>175</v>
      </c>
      <c r="E36" s="108" t="s">
        <v>184</v>
      </c>
      <c r="F36" s="108" t="s">
        <v>185</v>
      </c>
      <c r="G36" s="108" t="s">
        <v>186</v>
      </c>
      <c r="H36" s="583" t="s">
        <v>181</v>
      </c>
      <c r="I36" s="108" t="s">
        <v>184</v>
      </c>
      <c r="J36" s="108" t="s">
        <v>185</v>
      </c>
    </row>
    <row r="37" spans="1:11" x14ac:dyDescent="0.2">
      <c r="A37" s="31"/>
      <c r="B37" s="580"/>
      <c r="C37" s="110" t="s">
        <v>174</v>
      </c>
      <c r="D37" s="110" t="s">
        <v>174</v>
      </c>
      <c r="E37" s="110" t="s">
        <v>174</v>
      </c>
      <c r="F37" s="110" t="s">
        <v>174</v>
      </c>
      <c r="G37" s="110" t="s">
        <v>174</v>
      </c>
      <c r="H37" s="584"/>
      <c r="I37" s="110" t="s">
        <v>174</v>
      </c>
      <c r="J37" s="110" t="s">
        <v>174</v>
      </c>
    </row>
    <row r="38" spans="1:11" x14ac:dyDescent="0.2">
      <c r="A38" s="30"/>
      <c r="B38" s="32" t="s">
        <v>7</v>
      </c>
      <c r="C38" s="103"/>
      <c r="D38" s="104"/>
      <c r="E38" s="104"/>
      <c r="F38" s="104"/>
      <c r="G38" s="104"/>
      <c r="H38" s="104"/>
      <c r="I38" s="104"/>
      <c r="J38" s="104"/>
    </row>
    <row r="39" spans="1:11" x14ac:dyDescent="0.2">
      <c r="A39" s="30"/>
      <c r="B39" s="113" t="s">
        <v>8</v>
      </c>
      <c r="C39" s="494">
        <v>132282</v>
      </c>
      <c r="D39" s="494">
        <v>-2778</v>
      </c>
      <c r="E39" s="493">
        <v>129504</v>
      </c>
      <c r="F39" s="494">
        <v>129504</v>
      </c>
      <c r="G39" s="493" t="s">
        <v>437</v>
      </c>
      <c r="H39" s="493">
        <f>+F39/E39*100</f>
        <v>100</v>
      </c>
      <c r="I39" s="493">
        <v>126466</v>
      </c>
      <c r="J39" s="493">
        <v>126466</v>
      </c>
      <c r="K39" s="198"/>
    </row>
    <row r="40" spans="1:11" x14ac:dyDescent="0.2">
      <c r="A40" s="30"/>
      <c r="B40" s="113" t="s">
        <v>14</v>
      </c>
      <c r="C40" s="494">
        <v>864515</v>
      </c>
      <c r="D40" s="494">
        <v>4014</v>
      </c>
      <c r="E40" s="493">
        <v>868529</v>
      </c>
      <c r="F40" s="494">
        <v>867895</v>
      </c>
      <c r="G40" s="493">
        <v>634</v>
      </c>
      <c r="H40" s="493">
        <f>+F40/E40*100</f>
        <v>99.92700301314062</v>
      </c>
      <c r="I40" s="493">
        <v>629206</v>
      </c>
      <c r="J40" s="493">
        <v>628771</v>
      </c>
      <c r="K40" s="198"/>
    </row>
    <row r="41" spans="1:11" x14ac:dyDescent="0.2">
      <c r="A41" s="30"/>
      <c r="B41" s="113" t="s">
        <v>66</v>
      </c>
      <c r="C41" s="494">
        <v>129467</v>
      </c>
      <c r="D41" s="494">
        <v>-68</v>
      </c>
      <c r="E41" s="493">
        <v>129399</v>
      </c>
      <c r="F41" s="494">
        <v>128492</v>
      </c>
      <c r="G41" s="493">
        <v>907</v>
      </c>
      <c r="H41" s="493">
        <f>+F41/E41*100</f>
        <v>99.29906722617639</v>
      </c>
      <c r="I41" s="493">
        <v>136824</v>
      </c>
      <c r="J41" s="493">
        <f>130228+33+358</f>
        <v>130619</v>
      </c>
      <c r="K41" s="198"/>
    </row>
    <row r="42" spans="1:11" ht="13.5" customHeight="1" x14ac:dyDescent="0.2">
      <c r="A42" s="30"/>
      <c r="B42" s="32" t="s">
        <v>17</v>
      </c>
      <c r="C42" s="494"/>
      <c r="D42" s="493"/>
      <c r="E42" s="493"/>
      <c r="F42" s="493"/>
      <c r="G42" s="493"/>
      <c r="H42" s="493"/>
      <c r="I42" s="493"/>
      <c r="J42" s="493"/>
      <c r="K42" s="198"/>
    </row>
    <row r="43" spans="1:11" x14ac:dyDescent="0.2">
      <c r="A43" s="30"/>
      <c r="B43" s="113" t="s">
        <v>14</v>
      </c>
      <c r="C43" s="494">
        <v>230501</v>
      </c>
      <c r="D43" s="493" t="s">
        <v>437</v>
      </c>
      <c r="E43" s="493">
        <v>230501</v>
      </c>
      <c r="F43" s="494">
        <v>230500</v>
      </c>
      <c r="G43" s="493">
        <v>1</v>
      </c>
      <c r="H43" s="493">
        <f>+F43/E43*100</f>
        <v>99.999566162402758</v>
      </c>
      <c r="I43" s="493">
        <v>172001</v>
      </c>
      <c r="J43" s="493">
        <v>172000</v>
      </c>
      <c r="K43" s="198"/>
    </row>
    <row r="44" spans="1:11" ht="12.75" customHeight="1" x14ac:dyDescent="0.2">
      <c r="A44" s="30"/>
      <c r="B44" s="113" t="s">
        <v>191</v>
      </c>
      <c r="C44" s="494">
        <v>43821</v>
      </c>
      <c r="D44" s="494">
        <v>-1168</v>
      </c>
      <c r="E44" s="493">
        <v>42653</v>
      </c>
      <c r="F44" s="494">
        <v>10195</v>
      </c>
      <c r="G44" s="493">
        <v>32458</v>
      </c>
      <c r="H44" s="493">
        <f>+F44/E44*100</f>
        <v>23.902187419407777</v>
      </c>
      <c r="I44" s="493">
        <v>13957</v>
      </c>
      <c r="J44" s="493">
        <f>10100-33-358</f>
        <v>9709</v>
      </c>
      <c r="K44" s="198"/>
    </row>
    <row r="45" spans="1:11" x14ac:dyDescent="0.2">
      <c r="A45" s="130"/>
      <c r="B45" s="28" t="s">
        <v>157</v>
      </c>
      <c r="C45" s="495">
        <f>SUM(C38:C44)</f>
        <v>1400586</v>
      </c>
      <c r="D45" s="495" t="s">
        <v>437</v>
      </c>
      <c r="E45" s="495">
        <f>SUM(E38:E44)</f>
        <v>1400586</v>
      </c>
      <c r="F45" s="495">
        <f>SUM(F38:F44)</f>
        <v>1366586</v>
      </c>
      <c r="G45" s="495">
        <f>SUM(G38:G44)</f>
        <v>34000</v>
      </c>
      <c r="H45" s="495">
        <f>+F45/E45*100</f>
        <v>97.572444676728168</v>
      </c>
      <c r="I45" s="495">
        <f>SUM(I38:I44)</f>
        <v>1078454</v>
      </c>
      <c r="J45" s="495">
        <f>SUM(J38:J44)</f>
        <v>1067565</v>
      </c>
      <c r="K45" s="198"/>
    </row>
    <row r="46" spans="1:11" x14ac:dyDescent="0.2">
      <c r="A46" s="592" t="s">
        <v>232</v>
      </c>
      <c r="B46" s="592"/>
      <c r="C46" s="592"/>
      <c r="D46" s="592"/>
      <c r="E46" s="592"/>
      <c r="F46" s="592"/>
      <c r="G46" s="592"/>
      <c r="H46" s="592"/>
      <c r="I46" s="592"/>
      <c r="J46" s="592"/>
    </row>
    <row r="47" spans="1:11" x14ac:dyDescent="0.2">
      <c r="A47" s="129"/>
      <c r="B47" s="585" t="s">
        <v>192</v>
      </c>
      <c r="C47" s="569" t="s">
        <v>188</v>
      </c>
      <c r="D47" s="577"/>
      <c r="E47" s="577"/>
      <c r="F47" s="577"/>
      <c r="G47" s="577"/>
      <c r="H47" s="570"/>
      <c r="I47" s="587" t="s">
        <v>189</v>
      </c>
      <c r="J47" s="570"/>
    </row>
    <row r="48" spans="1:11" ht="25.5" x14ac:dyDescent="0.2">
      <c r="A48" s="30"/>
      <c r="B48" s="571"/>
      <c r="C48" s="108" t="s">
        <v>183</v>
      </c>
      <c r="D48" s="108" t="s">
        <v>175</v>
      </c>
      <c r="E48" s="108" t="s">
        <v>184</v>
      </c>
      <c r="F48" s="108" t="s">
        <v>185</v>
      </c>
      <c r="G48" s="108" t="s">
        <v>186</v>
      </c>
      <c r="H48" s="583" t="s">
        <v>181</v>
      </c>
      <c r="I48" s="108" t="s">
        <v>184</v>
      </c>
      <c r="J48" s="108" t="s">
        <v>185</v>
      </c>
    </row>
    <row r="49" spans="1:11" x14ac:dyDescent="0.2">
      <c r="A49" s="31"/>
      <c r="B49" s="580"/>
      <c r="C49" s="110" t="s">
        <v>174</v>
      </c>
      <c r="D49" s="110" t="s">
        <v>174</v>
      </c>
      <c r="E49" s="110" t="s">
        <v>174</v>
      </c>
      <c r="F49" s="110" t="s">
        <v>174</v>
      </c>
      <c r="G49" s="110" t="s">
        <v>174</v>
      </c>
      <c r="H49" s="584"/>
      <c r="I49" s="110" t="s">
        <v>174</v>
      </c>
      <c r="J49" s="110" t="s">
        <v>174</v>
      </c>
    </row>
    <row r="50" spans="1:11" x14ac:dyDescent="0.2">
      <c r="A50" s="30"/>
      <c r="B50" s="32" t="s">
        <v>8</v>
      </c>
      <c r="C50" s="494">
        <v>132282</v>
      </c>
      <c r="D50" s="494">
        <v>-2778</v>
      </c>
      <c r="E50" s="493">
        <v>129504</v>
      </c>
      <c r="F50" s="494">
        <v>129504</v>
      </c>
      <c r="G50" s="493" t="s">
        <v>437</v>
      </c>
      <c r="H50" s="493">
        <f t="shared" ref="H50:H59" si="0">+F50/E50*100</f>
        <v>100</v>
      </c>
      <c r="I50" s="493">
        <v>126466</v>
      </c>
      <c r="J50" s="493">
        <v>126466</v>
      </c>
      <c r="K50" s="198"/>
    </row>
    <row r="51" spans="1:11" x14ac:dyDescent="0.2">
      <c r="A51" s="30"/>
      <c r="B51" s="32" t="s">
        <v>9</v>
      </c>
      <c r="C51" s="494">
        <v>36704</v>
      </c>
      <c r="D51" s="494">
        <v>4545</v>
      </c>
      <c r="E51" s="493">
        <v>41249</v>
      </c>
      <c r="F51" s="494">
        <v>41249</v>
      </c>
      <c r="G51" s="493" t="s">
        <v>437</v>
      </c>
      <c r="H51" s="493">
        <f t="shared" si="0"/>
        <v>100</v>
      </c>
      <c r="I51" s="493">
        <v>36629</v>
      </c>
      <c r="J51" s="493">
        <v>36629</v>
      </c>
      <c r="K51" s="198"/>
    </row>
    <row r="52" spans="1:11" x14ac:dyDescent="0.2">
      <c r="A52" s="30"/>
      <c r="B52" s="32" t="s">
        <v>10</v>
      </c>
      <c r="C52" s="494">
        <v>6717</v>
      </c>
      <c r="D52" s="494">
        <v>3091</v>
      </c>
      <c r="E52" s="493">
        <v>9808</v>
      </c>
      <c r="F52" s="494">
        <v>9808</v>
      </c>
      <c r="G52" s="493" t="s">
        <v>437</v>
      </c>
      <c r="H52" s="493">
        <f>+F52/E52*100</f>
        <v>100</v>
      </c>
      <c r="I52" s="493">
        <v>11482</v>
      </c>
      <c r="J52" s="493">
        <v>11482</v>
      </c>
      <c r="K52" s="198"/>
    </row>
    <row r="53" spans="1:11" x14ac:dyDescent="0.2">
      <c r="A53" s="30"/>
      <c r="B53" s="32" t="s">
        <v>11</v>
      </c>
      <c r="C53" s="494">
        <v>7420</v>
      </c>
      <c r="D53" s="494">
        <v>-920</v>
      </c>
      <c r="E53" s="493">
        <v>6500</v>
      </c>
      <c r="F53" s="494">
        <v>6500</v>
      </c>
      <c r="G53" s="493" t="s">
        <v>437</v>
      </c>
      <c r="H53" s="493">
        <f t="shared" si="0"/>
        <v>100</v>
      </c>
      <c r="I53" s="493">
        <v>9688</v>
      </c>
      <c r="J53" s="493">
        <v>9688</v>
      </c>
      <c r="K53" s="198"/>
    </row>
    <row r="54" spans="1:11" x14ac:dyDescent="0.2">
      <c r="A54" s="30"/>
      <c r="B54" s="32" t="s">
        <v>12</v>
      </c>
      <c r="C54" s="494">
        <v>7764</v>
      </c>
      <c r="D54" s="494" t="s">
        <v>437</v>
      </c>
      <c r="E54" s="493">
        <v>7764</v>
      </c>
      <c r="F54" s="494">
        <v>5169</v>
      </c>
      <c r="G54" s="493">
        <v>2595</v>
      </c>
      <c r="H54" s="493">
        <f t="shared" si="0"/>
        <v>66.576506955177734</v>
      </c>
      <c r="I54" s="493">
        <v>4658</v>
      </c>
      <c r="J54" s="493">
        <v>800</v>
      </c>
      <c r="K54" s="198"/>
    </row>
    <row r="55" spans="1:11" ht="25.5" x14ac:dyDescent="0.2">
      <c r="A55" s="30"/>
      <c r="B55" s="32" t="s">
        <v>13</v>
      </c>
      <c r="C55" s="494">
        <v>114683</v>
      </c>
      <c r="D55" s="494">
        <v>-8303</v>
      </c>
      <c r="E55" s="493">
        <v>106380</v>
      </c>
      <c r="F55" s="494">
        <v>75610</v>
      </c>
      <c r="G55" s="493">
        <v>30770</v>
      </c>
      <c r="H55" s="493">
        <f t="shared" si="0"/>
        <v>71.075390110923109</v>
      </c>
      <c r="I55" s="493">
        <v>86115</v>
      </c>
      <c r="J55" s="493">
        <v>79520</v>
      </c>
      <c r="K55" s="198"/>
    </row>
    <row r="56" spans="1:11" x14ac:dyDescent="0.2">
      <c r="A56" s="30"/>
      <c r="B56" s="32" t="s">
        <v>14</v>
      </c>
      <c r="C56" s="494">
        <v>1095016</v>
      </c>
      <c r="D56" s="494">
        <v>4014</v>
      </c>
      <c r="E56" s="493">
        <v>1099030</v>
      </c>
      <c r="F56" s="494">
        <v>1098395</v>
      </c>
      <c r="G56" s="493">
        <v>635</v>
      </c>
      <c r="H56" s="493">
        <f t="shared" si="0"/>
        <v>99.942221777385512</v>
      </c>
      <c r="I56" s="493">
        <v>801207</v>
      </c>
      <c r="J56" s="493">
        <v>800771</v>
      </c>
      <c r="K56" s="198"/>
    </row>
    <row r="57" spans="1:11" x14ac:dyDescent="0.2">
      <c r="A57" s="30"/>
      <c r="B57" s="32" t="s">
        <v>15</v>
      </c>
      <c r="C57" s="494" t="s">
        <v>437</v>
      </c>
      <c r="D57" s="494">
        <v>211</v>
      </c>
      <c r="E57" s="493">
        <v>211</v>
      </c>
      <c r="F57" s="494">
        <v>211</v>
      </c>
      <c r="G57" s="493" t="s">
        <v>437</v>
      </c>
      <c r="H57" s="493">
        <f t="shared" si="0"/>
        <v>100</v>
      </c>
      <c r="I57" s="493">
        <v>2134</v>
      </c>
      <c r="J57" s="493">
        <v>2134</v>
      </c>
      <c r="K57" s="198"/>
    </row>
    <row r="58" spans="1:11" x14ac:dyDescent="0.2">
      <c r="A58" s="31"/>
      <c r="B58" s="102" t="s">
        <v>193</v>
      </c>
      <c r="C58" s="496" t="s">
        <v>437</v>
      </c>
      <c r="D58" s="496">
        <v>140</v>
      </c>
      <c r="E58" s="497">
        <v>140</v>
      </c>
      <c r="F58" s="496">
        <v>140</v>
      </c>
      <c r="G58" s="497" t="s">
        <v>437</v>
      </c>
      <c r="H58" s="493">
        <f t="shared" si="0"/>
        <v>100</v>
      </c>
      <c r="I58" s="497">
        <v>75</v>
      </c>
      <c r="J58" s="497">
        <v>75</v>
      </c>
      <c r="K58" s="198"/>
    </row>
    <row r="59" spans="1:11" x14ac:dyDescent="0.2">
      <c r="A59" s="31"/>
      <c r="B59" s="102" t="s">
        <v>157</v>
      </c>
      <c r="C59" s="498">
        <f>SUM(C50:C58)</f>
        <v>1400586</v>
      </c>
      <c r="D59" s="498" t="s">
        <v>437</v>
      </c>
      <c r="E59" s="498">
        <f>SUM(E50:E58)</f>
        <v>1400586</v>
      </c>
      <c r="F59" s="498">
        <f>SUM(F50:F58)</f>
        <v>1366586</v>
      </c>
      <c r="G59" s="498">
        <f>SUM(G50:G58)</f>
        <v>34000</v>
      </c>
      <c r="H59" s="495">
        <f t="shared" si="0"/>
        <v>97.572444676728168</v>
      </c>
      <c r="I59" s="498">
        <f>SUM(I50:I58)</f>
        <v>1078454</v>
      </c>
      <c r="J59" s="498">
        <f>SUM(J50:J58)</f>
        <v>1067565</v>
      </c>
      <c r="K59" s="198"/>
    </row>
    <row r="61" spans="1:11" x14ac:dyDescent="0.2">
      <c r="A61" s="523" t="s">
        <v>194</v>
      </c>
      <c r="B61" s="523"/>
      <c r="C61" s="523"/>
      <c r="D61" s="523"/>
      <c r="E61" s="523"/>
      <c r="F61" s="523"/>
      <c r="G61" s="523"/>
      <c r="H61" s="523"/>
      <c r="I61" s="523"/>
      <c r="J61" s="523"/>
    </row>
    <row r="62" spans="1:11" s="1" customFormat="1" x14ac:dyDescent="0.2">
      <c r="A62" s="523" t="s">
        <v>472</v>
      </c>
      <c r="B62" s="523"/>
      <c r="C62" s="523"/>
      <c r="D62" s="523"/>
      <c r="E62" s="523"/>
      <c r="F62" s="523"/>
      <c r="G62" s="523"/>
      <c r="H62" s="523"/>
      <c r="I62" s="523"/>
      <c r="J62" s="523"/>
    </row>
    <row r="63" spans="1:11" s="73" customFormat="1" x14ac:dyDescent="0.2">
      <c r="A63" s="26"/>
    </row>
    <row r="64" spans="1:11" s="73" customFormat="1" x14ac:dyDescent="0.2">
      <c r="A64" s="129"/>
      <c r="B64" s="114"/>
      <c r="C64" s="576" t="s">
        <v>188</v>
      </c>
      <c r="D64" s="577"/>
      <c r="E64" s="577"/>
      <c r="F64" s="577"/>
      <c r="G64" s="577"/>
      <c r="H64" s="578"/>
      <c r="I64" s="569" t="s">
        <v>189</v>
      </c>
      <c r="J64" s="570"/>
    </row>
    <row r="65" spans="1:10" s="73" customFormat="1" ht="12.75" customHeight="1" x14ac:dyDescent="0.2">
      <c r="A65" s="131"/>
      <c r="B65" s="571" t="s">
        <v>195</v>
      </c>
      <c r="C65" s="117" t="s">
        <v>172</v>
      </c>
      <c r="D65" s="117" t="s">
        <v>175</v>
      </c>
      <c r="E65" s="117" t="s">
        <v>176</v>
      </c>
      <c r="F65" s="117" t="s">
        <v>178</v>
      </c>
      <c r="G65" s="117" t="s">
        <v>179</v>
      </c>
      <c r="H65" s="573" t="s">
        <v>181</v>
      </c>
      <c r="I65" s="117" t="s">
        <v>176</v>
      </c>
      <c r="J65" s="105" t="s">
        <v>178</v>
      </c>
    </row>
    <row r="66" spans="1:10" s="73" customFormat="1" ht="12.75" customHeight="1" x14ac:dyDescent="0.2">
      <c r="A66" s="131"/>
      <c r="B66" s="571"/>
      <c r="C66" s="118" t="s">
        <v>173</v>
      </c>
      <c r="D66" s="118" t="s">
        <v>174</v>
      </c>
      <c r="E66" s="118" t="s">
        <v>177</v>
      </c>
      <c r="F66" s="118" t="s">
        <v>70</v>
      </c>
      <c r="G66" s="118" t="s">
        <v>180</v>
      </c>
      <c r="H66" s="574"/>
      <c r="I66" s="118" t="s">
        <v>177</v>
      </c>
      <c r="J66" s="106" t="s">
        <v>70</v>
      </c>
    </row>
    <row r="67" spans="1:10" s="73" customFormat="1" x14ac:dyDescent="0.2">
      <c r="A67" s="132"/>
      <c r="B67" s="580"/>
      <c r="C67" s="119" t="s">
        <v>174</v>
      </c>
      <c r="D67" s="120"/>
      <c r="E67" s="119" t="s">
        <v>174</v>
      </c>
      <c r="F67" s="119" t="s">
        <v>174</v>
      </c>
      <c r="G67" s="119" t="s">
        <v>174</v>
      </c>
      <c r="H67" s="575"/>
      <c r="I67" s="119" t="s">
        <v>174</v>
      </c>
      <c r="J67" s="107" t="s">
        <v>174</v>
      </c>
    </row>
    <row r="68" spans="1:10" s="73" customFormat="1" ht="12.75" customHeight="1" x14ac:dyDescent="0.2">
      <c r="A68" s="389">
        <v>1.1000000000000001</v>
      </c>
      <c r="B68" s="114" t="s">
        <v>307</v>
      </c>
      <c r="C68" s="219"/>
      <c r="D68" s="219"/>
      <c r="E68" s="220"/>
      <c r="F68" s="219"/>
      <c r="G68" s="219"/>
      <c r="H68" s="116"/>
      <c r="I68" s="116"/>
      <c r="J68" s="122"/>
    </row>
    <row r="69" spans="1:10" s="73" customFormat="1" x14ac:dyDescent="0.2">
      <c r="A69" s="30"/>
      <c r="B69" s="123" t="s">
        <v>7</v>
      </c>
      <c r="C69" s="499">
        <v>764</v>
      </c>
      <c r="D69" s="499">
        <v>123</v>
      </c>
      <c r="E69" s="494">
        <f>+D69+C69</f>
        <v>887</v>
      </c>
      <c r="F69" s="499">
        <v>887</v>
      </c>
      <c r="G69" s="494" t="s">
        <v>437</v>
      </c>
      <c r="H69" s="493">
        <f>+F69/E69*100</f>
        <v>100</v>
      </c>
      <c r="I69" s="499">
        <v>782</v>
      </c>
      <c r="J69" s="494">
        <v>782</v>
      </c>
    </row>
    <row r="70" spans="1:10" s="73" customFormat="1" ht="12.75" customHeight="1" x14ac:dyDescent="0.2">
      <c r="A70" s="389">
        <v>1.2</v>
      </c>
      <c r="B70" s="79" t="s">
        <v>308</v>
      </c>
      <c r="C70" s="499"/>
      <c r="D70" s="499"/>
      <c r="E70" s="494"/>
      <c r="F70" s="499"/>
      <c r="G70" s="499"/>
      <c r="H70" s="499"/>
      <c r="I70" s="499"/>
      <c r="J70" s="494"/>
    </row>
    <row r="71" spans="1:10" s="73" customFormat="1" x14ac:dyDescent="0.2">
      <c r="A71" s="30"/>
      <c r="B71" s="123" t="s">
        <v>7</v>
      </c>
      <c r="C71" s="499">
        <v>618</v>
      </c>
      <c r="D71" s="499">
        <v>110</v>
      </c>
      <c r="E71" s="494">
        <f>+D71+C71</f>
        <v>728</v>
      </c>
      <c r="F71" s="499">
        <v>728</v>
      </c>
      <c r="G71" s="494" t="s">
        <v>437</v>
      </c>
      <c r="H71" s="493">
        <f>+F71/E71*100</f>
        <v>100</v>
      </c>
      <c r="I71" s="499">
        <v>670</v>
      </c>
      <c r="J71" s="494">
        <v>670</v>
      </c>
    </row>
    <row r="72" spans="1:10" s="73" customFormat="1" x14ac:dyDescent="0.2">
      <c r="A72" s="30">
        <v>1.3</v>
      </c>
      <c r="B72" s="79" t="s">
        <v>309</v>
      </c>
      <c r="C72" s="499"/>
      <c r="D72" s="499"/>
      <c r="E72" s="494"/>
      <c r="F72" s="499"/>
      <c r="G72" s="499"/>
      <c r="H72" s="499"/>
      <c r="I72" s="499"/>
      <c r="J72" s="494"/>
    </row>
    <row r="73" spans="1:10" s="73" customFormat="1" x14ac:dyDescent="0.2">
      <c r="A73" s="30"/>
      <c r="B73" s="123" t="s">
        <v>7</v>
      </c>
      <c r="C73" s="499">
        <v>2108</v>
      </c>
      <c r="D73" s="499">
        <v>1365</v>
      </c>
      <c r="E73" s="494">
        <f>+D73+C73</f>
        <v>3473</v>
      </c>
      <c r="F73" s="499">
        <v>3473</v>
      </c>
      <c r="G73" s="494" t="s">
        <v>437</v>
      </c>
      <c r="H73" s="493">
        <f>+F73/E73*100</f>
        <v>100</v>
      </c>
      <c r="I73" s="499">
        <v>6228</v>
      </c>
      <c r="J73" s="494">
        <v>6228</v>
      </c>
    </row>
    <row r="74" spans="1:10" s="73" customFormat="1" x14ac:dyDescent="0.2">
      <c r="A74" s="30"/>
      <c r="B74" s="123" t="s">
        <v>17</v>
      </c>
      <c r="C74" s="499">
        <v>80</v>
      </c>
      <c r="D74" s="499">
        <v>-59</v>
      </c>
      <c r="E74" s="494">
        <f>+D74+C74</f>
        <v>21</v>
      </c>
      <c r="F74" s="499">
        <v>21</v>
      </c>
      <c r="G74" s="494" t="s">
        <v>437</v>
      </c>
      <c r="H74" s="493">
        <f>+F74/E74*100</f>
        <v>100</v>
      </c>
      <c r="I74" s="499">
        <v>76</v>
      </c>
      <c r="J74" s="494">
        <v>76</v>
      </c>
    </row>
    <row r="75" spans="1:10" s="73" customFormat="1" x14ac:dyDescent="0.2">
      <c r="A75" s="30">
        <v>1.4</v>
      </c>
      <c r="B75" s="79" t="s">
        <v>310</v>
      </c>
      <c r="C75" s="499"/>
      <c r="D75" s="499"/>
      <c r="E75" s="494"/>
      <c r="F75" s="499"/>
      <c r="G75" s="499"/>
      <c r="H75" s="499"/>
      <c r="I75" s="499"/>
      <c r="J75" s="494"/>
    </row>
    <row r="76" spans="1:10" s="73" customFormat="1" x14ac:dyDescent="0.2">
      <c r="A76" s="30"/>
      <c r="B76" s="123" t="s">
        <v>7</v>
      </c>
      <c r="C76" s="499">
        <v>52316</v>
      </c>
      <c r="D76" s="499">
        <v>8813</v>
      </c>
      <c r="E76" s="494">
        <f>+D76+C76</f>
        <v>61129</v>
      </c>
      <c r="F76" s="499">
        <v>61129</v>
      </c>
      <c r="G76" s="494" t="s">
        <v>437</v>
      </c>
      <c r="H76" s="493">
        <f>+F76/E76*100</f>
        <v>100</v>
      </c>
      <c r="I76" s="499">
        <v>61658</v>
      </c>
      <c r="J76" s="494">
        <v>61658</v>
      </c>
    </row>
    <row r="77" spans="1:10" s="73" customFormat="1" x14ac:dyDescent="0.2">
      <c r="A77" s="30"/>
      <c r="B77" s="123" t="s">
        <v>17</v>
      </c>
      <c r="C77" s="499">
        <v>1723</v>
      </c>
      <c r="D77" s="499">
        <v>398</v>
      </c>
      <c r="E77" s="496">
        <f>+D77+C77</f>
        <v>2121</v>
      </c>
      <c r="F77" s="499">
        <v>2121</v>
      </c>
      <c r="G77" s="494" t="s">
        <v>437</v>
      </c>
      <c r="H77" s="493">
        <f>+F77/E77*100</f>
        <v>100</v>
      </c>
      <c r="I77" s="499">
        <v>4330</v>
      </c>
      <c r="J77" s="494">
        <v>4330</v>
      </c>
    </row>
    <row r="78" spans="1:10" s="73" customFormat="1" x14ac:dyDescent="0.2">
      <c r="A78" s="135"/>
      <c r="B78" s="390" t="s">
        <v>157</v>
      </c>
      <c r="C78" s="500">
        <f>SUM(C68:C77)</f>
        <v>57609</v>
      </c>
      <c r="D78" s="500">
        <f>SUM(D68:D77)</f>
        <v>10750</v>
      </c>
      <c r="E78" s="500">
        <f>SUM(E68:E77)</f>
        <v>68359</v>
      </c>
      <c r="F78" s="500">
        <f>SUM(F68:F77)</f>
        <v>68359</v>
      </c>
      <c r="G78" s="500" t="s">
        <v>437</v>
      </c>
      <c r="H78" s="495">
        <f>+F78/E78*100</f>
        <v>100</v>
      </c>
      <c r="I78" s="500">
        <f>SUM(I68:I77)</f>
        <v>73744</v>
      </c>
      <c r="J78" s="495">
        <f>SUM(J68:J77)</f>
        <v>73744</v>
      </c>
    </row>
    <row r="79" spans="1:10" s="73" customFormat="1" x14ac:dyDescent="0.2">
      <c r="A79" s="133"/>
      <c r="B79" s="114"/>
      <c r="C79" s="114"/>
      <c r="D79" s="114"/>
      <c r="E79" s="114"/>
      <c r="F79" s="114"/>
      <c r="G79" s="114"/>
      <c r="H79" s="114"/>
      <c r="I79" s="114"/>
      <c r="J79" s="114"/>
    </row>
    <row r="80" spans="1:10" s="73" customFormat="1" x14ac:dyDescent="0.2">
      <c r="A80" s="129"/>
      <c r="B80" s="114"/>
      <c r="C80" s="576" t="s">
        <v>188</v>
      </c>
      <c r="D80" s="577"/>
      <c r="E80" s="577"/>
      <c r="F80" s="577"/>
      <c r="G80" s="577"/>
      <c r="H80" s="578"/>
      <c r="I80" s="569" t="s">
        <v>189</v>
      </c>
      <c r="J80" s="570"/>
    </row>
    <row r="81" spans="1:10" s="73" customFormat="1" ht="12.75" customHeight="1" x14ac:dyDescent="0.2">
      <c r="A81" s="131"/>
      <c r="B81" s="579" t="s">
        <v>190</v>
      </c>
      <c r="C81" s="105" t="s">
        <v>172</v>
      </c>
      <c r="D81" s="125" t="s">
        <v>175</v>
      </c>
      <c r="E81" s="117" t="s">
        <v>176</v>
      </c>
      <c r="F81" s="117" t="s">
        <v>178</v>
      </c>
      <c r="G81" s="117" t="s">
        <v>179</v>
      </c>
      <c r="H81" s="573" t="s">
        <v>181</v>
      </c>
      <c r="I81" s="117" t="s">
        <v>176</v>
      </c>
      <c r="J81" s="105" t="s">
        <v>178</v>
      </c>
    </row>
    <row r="82" spans="1:10" s="73" customFormat="1" ht="12.75" customHeight="1" x14ac:dyDescent="0.2">
      <c r="A82" s="131"/>
      <c r="B82" s="579"/>
      <c r="C82" s="106" t="s">
        <v>173</v>
      </c>
      <c r="D82" s="124" t="s">
        <v>174</v>
      </c>
      <c r="E82" s="118" t="s">
        <v>177</v>
      </c>
      <c r="F82" s="118" t="s">
        <v>70</v>
      </c>
      <c r="G82" s="118" t="s">
        <v>180</v>
      </c>
      <c r="H82" s="574"/>
      <c r="I82" s="118" t="s">
        <v>177</v>
      </c>
      <c r="J82" s="106" t="s">
        <v>70</v>
      </c>
    </row>
    <row r="83" spans="1:10" s="73" customFormat="1" x14ac:dyDescent="0.2">
      <c r="A83" s="132"/>
      <c r="B83" s="572"/>
      <c r="C83" s="107" t="s">
        <v>174</v>
      </c>
      <c r="D83" s="121"/>
      <c r="E83" s="119" t="s">
        <v>174</v>
      </c>
      <c r="F83" s="119" t="s">
        <v>174</v>
      </c>
      <c r="G83" s="119" t="s">
        <v>174</v>
      </c>
      <c r="H83" s="575"/>
      <c r="I83" s="119" t="s">
        <v>174</v>
      </c>
      <c r="J83" s="107" t="s">
        <v>174</v>
      </c>
    </row>
    <row r="84" spans="1:10" s="73" customFormat="1" x14ac:dyDescent="0.2">
      <c r="A84" s="30"/>
      <c r="B84" s="79" t="s">
        <v>7</v>
      </c>
      <c r="C84" s="221"/>
      <c r="D84" s="222"/>
      <c r="E84" s="220"/>
      <c r="F84" s="222"/>
      <c r="G84" s="220"/>
      <c r="H84" s="223"/>
      <c r="I84" s="224"/>
      <c r="J84" s="224"/>
    </row>
    <row r="85" spans="1:10" s="73" customFormat="1" x14ac:dyDescent="0.2">
      <c r="A85" s="30"/>
      <c r="B85" s="123" t="s">
        <v>8</v>
      </c>
      <c r="C85" s="494">
        <v>27529</v>
      </c>
      <c r="D85" s="501">
        <v>4117</v>
      </c>
      <c r="E85" s="494">
        <f>+D85+C85</f>
        <v>31646</v>
      </c>
      <c r="F85" s="501">
        <v>31646</v>
      </c>
      <c r="G85" s="494" t="s">
        <v>437</v>
      </c>
      <c r="H85" s="493">
        <f>+F85/E85*100</f>
        <v>100</v>
      </c>
      <c r="I85" s="494">
        <v>28553</v>
      </c>
      <c r="J85" s="494">
        <v>28553</v>
      </c>
    </row>
    <row r="86" spans="1:10" s="73" customFormat="1" x14ac:dyDescent="0.2">
      <c r="A86" s="30"/>
      <c r="B86" s="123" t="s">
        <v>66</v>
      </c>
      <c r="C86" s="494">
        <v>28277</v>
      </c>
      <c r="D86" s="501">
        <v>6294</v>
      </c>
      <c r="E86" s="494">
        <f>+D86+C86</f>
        <v>34571</v>
      </c>
      <c r="F86" s="501">
        <v>34571</v>
      </c>
      <c r="G86" s="494" t="s">
        <v>437</v>
      </c>
      <c r="H86" s="493">
        <f>+F86/E86*100</f>
        <v>100</v>
      </c>
      <c r="I86" s="494">
        <v>40785</v>
      </c>
      <c r="J86" s="494">
        <v>40785</v>
      </c>
    </row>
    <row r="87" spans="1:10" s="73" customFormat="1" x14ac:dyDescent="0.2">
      <c r="A87" s="30"/>
      <c r="B87" s="79" t="s">
        <v>17</v>
      </c>
      <c r="C87" s="494"/>
      <c r="D87" s="501"/>
      <c r="E87" s="494"/>
      <c r="F87" s="501"/>
      <c r="G87" s="494"/>
      <c r="H87" s="501"/>
      <c r="I87" s="494"/>
      <c r="J87" s="494"/>
    </row>
    <row r="88" spans="1:10" s="73" customFormat="1" ht="12.75" customHeight="1" x14ac:dyDescent="0.2">
      <c r="A88" s="30"/>
      <c r="B88" s="123" t="s">
        <v>191</v>
      </c>
      <c r="C88" s="494">
        <v>1803</v>
      </c>
      <c r="D88" s="501">
        <v>339</v>
      </c>
      <c r="E88" s="494">
        <f>+D88+C88</f>
        <v>2142</v>
      </c>
      <c r="F88" s="501">
        <v>2142</v>
      </c>
      <c r="G88" s="494" t="s">
        <v>437</v>
      </c>
      <c r="H88" s="493">
        <f>+F88/E88*100</f>
        <v>100</v>
      </c>
      <c r="I88" s="494">
        <f>4330+76</f>
        <v>4406</v>
      </c>
      <c r="J88" s="494">
        <v>4406</v>
      </c>
    </row>
    <row r="89" spans="1:10" s="73" customFormat="1" x14ac:dyDescent="0.2">
      <c r="A89" s="130"/>
      <c r="B89" s="28" t="s">
        <v>157</v>
      </c>
      <c r="C89" s="495">
        <f>SUM(C84:C88)</f>
        <v>57609</v>
      </c>
      <c r="D89" s="495">
        <f>SUM(D84:D88)</f>
        <v>10750</v>
      </c>
      <c r="E89" s="495">
        <f>SUM(E84:E88)</f>
        <v>68359</v>
      </c>
      <c r="F89" s="495">
        <f>SUM(F84:F88)</f>
        <v>68359</v>
      </c>
      <c r="G89" s="495" t="s">
        <v>437</v>
      </c>
      <c r="H89" s="495">
        <f>+F89/E89*100</f>
        <v>100</v>
      </c>
      <c r="I89" s="495">
        <f>SUM(I84:I88)</f>
        <v>73744</v>
      </c>
      <c r="J89" s="495">
        <f>SUM(J84:J88)</f>
        <v>73744</v>
      </c>
    </row>
    <row r="90" spans="1:10" s="73" customFormat="1" x14ac:dyDescent="0.2">
      <c r="A90" s="59"/>
      <c r="B90" s="10"/>
      <c r="C90" s="10"/>
      <c r="D90" s="10"/>
      <c r="E90" s="10"/>
      <c r="F90" s="10"/>
      <c r="G90" s="10"/>
      <c r="H90" s="10"/>
      <c r="I90" s="10"/>
      <c r="J90" s="10"/>
    </row>
    <row r="91" spans="1:10" s="73" customFormat="1" x14ac:dyDescent="0.2">
      <c r="A91" s="129"/>
      <c r="B91" s="114"/>
      <c r="C91" s="576" t="s">
        <v>188</v>
      </c>
      <c r="D91" s="577"/>
      <c r="E91" s="577"/>
      <c r="F91" s="577"/>
      <c r="G91" s="577"/>
      <c r="H91" s="578"/>
      <c r="I91" s="569" t="s">
        <v>189</v>
      </c>
      <c r="J91" s="570"/>
    </row>
    <row r="92" spans="1:10" s="73" customFormat="1" ht="12.75" customHeight="1" x14ac:dyDescent="0.2">
      <c r="A92" s="131"/>
      <c r="B92" s="571" t="s">
        <v>192</v>
      </c>
      <c r="C92" s="105" t="s">
        <v>172</v>
      </c>
      <c r="D92" s="117" t="s">
        <v>175</v>
      </c>
      <c r="E92" s="117" t="s">
        <v>176</v>
      </c>
      <c r="F92" s="117" t="s">
        <v>178</v>
      </c>
      <c r="G92" s="117" t="s">
        <v>179</v>
      </c>
      <c r="H92" s="573" t="s">
        <v>181</v>
      </c>
      <c r="I92" s="117" t="s">
        <v>176</v>
      </c>
      <c r="J92" s="105" t="s">
        <v>178</v>
      </c>
    </row>
    <row r="93" spans="1:10" s="73" customFormat="1" ht="12.75" customHeight="1" x14ac:dyDescent="0.2">
      <c r="A93" s="131"/>
      <c r="B93" s="571"/>
      <c r="C93" s="106" t="s">
        <v>173</v>
      </c>
      <c r="D93" s="118" t="s">
        <v>174</v>
      </c>
      <c r="E93" s="118" t="s">
        <v>177</v>
      </c>
      <c r="F93" s="118" t="s">
        <v>70</v>
      </c>
      <c r="G93" s="118" t="s">
        <v>180</v>
      </c>
      <c r="H93" s="574"/>
      <c r="I93" s="118" t="s">
        <v>177</v>
      </c>
      <c r="J93" s="106" t="s">
        <v>70</v>
      </c>
    </row>
    <row r="94" spans="1:10" s="73" customFormat="1" x14ac:dyDescent="0.2">
      <c r="A94" s="132"/>
      <c r="B94" s="572"/>
      <c r="C94" s="107" t="s">
        <v>174</v>
      </c>
      <c r="D94" s="121"/>
      <c r="E94" s="119" t="s">
        <v>174</v>
      </c>
      <c r="F94" s="119" t="s">
        <v>174</v>
      </c>
      <c r="G94" s="119" t="s">
        <v>174</v>
      </c>
      <c r="H94" s="575"/>
      <c r="I94" s="119" t="s">
        <v>174</v>
      </c>
      <c r="J94" s="107" t="s">
        <v>174</v>
      </c>
    </row>
    <row r="95" spans="1:10" s="73" customFormat="1" x14ac:dyDescent="0.2">
      <c r="A95" s="30"/>
      <c r="B95" s="79" t="s">
        <v>8</v>
      </c>
      <c r="C95" s="494">
        <v>27529</v>
      </c>
      <c r="D95" s="501">
        <v>4117</v>
      </c>
      <c r="E95" s="494">
        <f>+D95+C95</f>
        <v>31646</v>
      </c>
      <c r="F95" s="501">
        <v>31646</v>
      </c>
      <c r="G95" s="494" t="s">
        <v>437</v>
      </c>
      <c r="H95" s="493">
        <f t="shared" ref="H95:H101" si="1">+F95/E95*100</f>
        <v>100</v>
      </c>
      <c r="I95" s="494">
        <v>28553</v>
      </c>
      <c r="J95" s="494">
        <v>28553</v>
      </c>
    </row>
    <row r="96" spans="1:10" s="73" customFormat="1" x14ac:dyDescent="0.2">
      <c r="A96" s="30"/>
      <c r="B96" s="79" t="s">
        <v>9</v>
      </c>
      <c r="C96" s="494">
        <v>12919</v>
      </c>
      <c r="D96" s="501">
        <v>7168</v>
      </c>
      <c r="E96" s="494">
        <f>+D96+C96</f>
        <v>20087</v>
      </c>
      <c r="F96" s="501">
        <f>20088-1</f>
        <v>20087</v>
      </c>
      <c r="G96" s="494" t="s">
        <v>437</v>
      </c>
      <c r="H96" s="493">
        <f t="shared" si="1"/>
        <v>100</v>
      </c>
      <c r="I96" s="494">
        <v>17462</v>
      </c>
      <c r="J96" s="494">
        <v>17462</v>
      </c>
    </row>
    <row r="97" spans="1:10" s="73" customFormat="1" x14ac:dyDescent="0.2">
      <c r="A97" s="30"/>
      <c r="B97" s="79" t="s">
        <v>10</v>
      </c>
      <c r="C97" s="494">
        <v>2466</v>
      </c>
      <c r="D97" s="501">
        <v>1629</v>
      </c>
      <c r="E97" s="494">
        <f>+C97+D97</f>
        <v>4095</v>
      </c>
      <c r="F97" s="501">
        <v>4095</v>
      </c>
      <c r="G97" s="494" t="s">
        <v>437</v>
      </c>
      <c r="H97" s="493">
        <f>+F97/E97*100</f>
        <v>100</v>
      </c>
      <c r="I97" s="494">
        <v>3574</v>
      </c>
      <c r="J97" s="494">
        <v>3574</v>
      </c>
    </row>
    <row r="98" spans="1:10" s="73" customFormat="1" x14ac:dyDescent="0.2">
      <c r="A98" s="30"/>
      <c r="B98" s="79" t="s">
        <v>11</v>
      </c>
      <c r="C98" s="494">
        <v>2376</v>
      </c>
      <c r="D98" s="501">
        <v>471</v>
      </c>
      <c r="E98" s="494">
        <f>+D98+C98</f>
        <v>2847</v>
      </c>
      <c r="F98" s="501">
        <f>2846+1</f>
        <v>2847</v>
      </c>
      <c r="G98" s="494" t="s">
        <v>437</v>
      </c>
      <c r="H98" s="493">
        <f t="shared" si="1"/>
        <v>100</v>
      </c>
      <c r="I98" s="494">
        <v>4190</v>
      </c>
      <c r="J98" s="494">
        <v>4190</v>
      </c>
    </row>
    <row r="99" spans="1:10" s="73" customFormat="1" ht="25.5" x14ac:dyDescent="0.2">
      <c r="A99" s="30"/>
      <c r="B99" s="79" t="s">
        <v>13</v>
      </c>
      <c r="C99" s="494">
        <v>12319</v>
      </c>
      <c r="D99" s="501">
        <v>-2640</v>
      </c>
      <c r="E99" s="494">
        <f>+D99+C99</f>
        <v>9679</v>
      </c>
      <c r="F99" s="501">
        <v>9679</v>
      </c>
      <c r="G99" s="494" t="s">
        <v>437</v>
      </c>
      <c r="H99" s="493">
        <f t="shared" si="1"/>
        <v>100</v>
      </c>
      <c r="I99" s="494">
        <v>19947</v>
      </c>
      <c r="J99" s="494">
        <v>19947</v>
      </c>
    </row>
    <row r="100" spans="1:10" s="73" customFormat="1" x14ac:dyDescent="0.2">
      <c r="A100" s="30"/>
      <c r="B100" s="79" t="s">
        <v>15</v>
      </c>
      <c r="C100" s="494" t="s">
        <v>437</v>
      </c>
      <c r="D100" s="501">
        <v>5</v>
      </c>
      <c r="E100" s="494">
        <f>+D100</f>
        <v>5</v>
      </c>
      <c r="F100" s="501">
        <v>5</v>
      </c>
      <c r="G100" s="494" t="s">
        <v>437</v>
      </c>
      <c r="H100" s="493">
        <f t="shared" si="1"/>
        <v>100</v>
      </c>
      <c r="I100" s="494">
        <v>18</v>
      </c>
      <c r="J100" s="494">
        <v>18</v>
      </c>
    </row>
    <row r="101" spans="1:10" s="73" customFormat="1" x14ac:dyDescent="0.2">
      <c r="A101" s="130"/>
      <c r="B101" s="28" t="s">
        <v>157</v>
      </c>
      <c r="C101" s="495">
        <f>SUM(C95:C100)</f>
        <v>57609</v>
      </c>
      <c r="D101" s="495">
        <f>SUM(D95:D100)</f>
        <v>10750</v>
      </c>
      <c r="E101" s="495">
        <f>SUM(E95:E100)</f>
        <v>68359</v>
      </c>
      <c r="F101" s="495">
        <f>SUM(F95:F100)</f>
        <v>68359</v>
      </c>
      <c r="G101" s="495" t="s">
        <v>437</v>
      </c>
      <c r="H101" s="495">
        <f t="shared" si="1"/>
        <v>100</v>
      </c>
      <c r="I101" s="495">
        <f>SUM(I95:I100)</f>
        <v>73744</v>
      </c>
      <c r="J101" s="495">
        <f>SUM(J95:J100)</f>
        <v>73744</v>
      </c>
    </row>
    <row r="102" spans="1:10" s="73" customFormat="1" x14ac:dyDescent="0.2">
      <c r="A102" s="26"/>
      <c r="B102" s="26"/>
    </row>
    <row r="103" spans="1:10" s="73" customFormat="1" x14ac:dyDescent="0.2">
      <c r="A103" s="523" t="s">
        <v>196</v>
      </c>
      <c r="B103" s="523"/>
      <c r="C103" s="523"/>
      <c r="D103" s="523"/>
      <c r="E103" s="523"/>
      <c r="F103" s="523"/>
      <c r="G103" s="523"/>
      <c r="H103" s="523"/>
      <c r="I103" s="523"/>
      <c r="J103" s="523"/>
    </row>
    <row r="104" spans="1:10" s="1" customFormat="1" x14ac:dyDescent="0.2">
      <c r="A104" s="523" t="s">
        <v>472</v>
      </c>
      <c r="B104" s="523"/>
      <c r="C104" s="523"/>
      <c r="D104" s="523"/>
      <c r="E104" s="523"/>
      <c r="F104" s="523"/>
      <c r="G104" s="523"/>
      <c r="H104" s="523"/>
      <c r="I104" s="523"/>
      <c r="J104" s="523"/>
    </row>
    <row r="105" spans="1:10" s="73" customFormat="1" x14ac:dyDescent="0.2">
      <c r="A105" s="26"/>
      <c r="B105" s="26"/>
    </row>
    <row r="106" spans="1:10" s="73" customFormat="1" x14ac:dyDescent="0.2">
      <c r="A106" s="129"/>
      <c r="B106" s="114"/>
      <c r="C106" s="576" t="s">
        <v>188</v>
      </c>
      <c r="D106" s="577"/>
      <c r="E106" s="577"/>
      <c r="F106" s="577"/>
      <c r="G106" s="577"/>
      <c r="H106" s="578"/>
      <c r="I106" s="569" t="s">
        <v>189</v>
      </c>
      <c r="J106" s="570"/>
    </row>
    <row r="107" spans="1:10" s="73" customFormat="1" ht="12.75" customHeight="1" x14ac:dyDescent="0.2">
      <c r="A107" s="131"/>
      <c r="B107" s="571" t="s">
        <v>195</v>
      </c>
      <c r="C107" s="117" t="s">
        <v>172</v>
      </c>
      <c r="D107" s="117" t="s">
        <v>175</v>
      </c>
      <c r="E107" s="117" t="s">
        <v>176</v>
      </c>
      <c r="F107" s="117" t="s">
        <v>178</v>
      </c>
      <c r="G107" s="117" t="s">
        <v>179</v>
      </c>
      <c r="H107" s="573" t="s">
        <v>181</v>
      </c>
      <c r="I107" s="117" t="s">
        <v>176</v>
      </c>
      <c r="J107" s="105" t="s">
        <v>178</v>
      </c>
    </row>
    <row r="108" spans="1:10" s="73" customFormat="1" ht="12.75" customHeight="1" x14ac:dyDescent="0.2">
      <c r="A108" s="131"/>
      <c r="B108" s="571"/>
      <c r="C108" s="118" t="s">
        <v>173</v>
      </c>
      <c r="D108" s="118" t="s">
        <v>174</v>
      </c>
      <c r="E108" s="118" t="s">
        <v>177</v>
      </c>
      <c r="F108" s="118" t="s">
        <v>70</v>
      </c>
      <c r="G108" s="118" t="s">
        <v>180</v>
      </c>
      <c r="H108" s="574"/>
      <c r="I108" s="118" t="s">
        <v>177</v>
      </c>
      <c r="J108" s="106" t="s">
        <v>70</v>
      </c>
    </row>
    <row r="109" spans="1:10" s="73" customFormat="1" x14ac:dyDescent="0.2">
      <c r="A109" s="132"/>
      <c r="B109" s="580"/>
      <c r="C109" s="119" t="s">
        <v>174</v>
      </c>
      <c r="D109" s="120"/>
      <c r="E109" s="119" t="s">
        <v>174</v>
      </c>
      <c r="F109" s="119" t="s">
        <v>174</v>
      </c>
      <c r="G109" s="119" t="s">
        <v>174</v>
      </c>
      <c r="H109" s="575"/>
      <c r="I109" s="119" t="s">
        <v>174</v>
      </c>
      <c r="J109" s="107" t="s">
        <v>174</v>
      </c>
    </row>
    <row r="110" spans="1:10" s="73" customFormat="1" ht="15" customHeight="1" x14ac:dyDescent="0.2">
      <c r="A110" s="389">
        <v>2.1</v>
      </c>
      <c r="B110" s="502" t="s">
        <v>309</v>
      </c>
      <c r="C110" s="503"/>
      <c r="D110" s="203"/>
      <c r="E110" s="504"/>
      <c r="F110" s="505"/>
      <c r="G110" s="504"/>
      <c r="H110" s="505"/>
      <c r="I110" s="506"/>
      <c r="J110" s="506"/>
    </row>
    <row r="111" spans="1:10" s="73" customFormat="1" x14ac:dyDescent="0.2">
      <c r="A111" s="30"/>
      <c r="B111" s="113" t="s">
        <v>7</v>
      </c>
      <c r="C111" s="507">
        <v>4437</v>
      </c>
      <c r="D111" s="508">
        <v>-280</v>
      </c>
      <c r="E111" s="494">
        <f>+D111+C111</f>
        <v>4157</v>
      </c>
      <c r="F111" s="499">
        <v>4157</v>
      </c>
      <c r="G111" s="494" t="s">
        <v>437</v>
      </c>
      <c r="H111" s="493">
        <f>+F111/E111*100</f>
        <v>100</v>
      </c>
      <c r="I111" s="494">
        <v>1668</v>
      </c>
      <c r="J111" s="494">
        <v>2974</v>
      </c>
    </row>
    <row r="112" spans="1:10" s="73" customFormat="1" x14ac:dyDescent="0.2">
      <c r="A112" s="30"/>
      <c r="B112" s="113" t="s">
        <v>17</v>
      </c>
      <c r="C112" s="507">
        <v>350</v>
      </c>
      <c r="D112" s="508">
        <v>1</v>
      </c>
      <c r="E112" s="494">
        <f>+D112+C112</f>
        <v>351</v>
      </c>
      <c r="F112" s="499">
        <v>351</v>
      </c>
      <c r="G112" s="494" t="s">
        <v>437</v>
      </c>
      <c r="H112" s="493">
        <f>+F112/E112*100</f>
        <v>100</v>
      </c>
      <c r="I112" s="494">
        <v>108</v>
      </c>
      <c r="J112" s="494">
        <v>229</v>
      </c>
    </row>
    <row r="113" spans="1:10" s="73" customFormat="1" ht="28.9" customHeight="1" x14ac:dyDescent="0.2">
      <c r="A113" s="389">
        <v>2.2000000000000002</v>
      </c>
      <c r="B113" s="8" t="s">
        <v>311</v>
      </c>
      <c r="C113" s="507"/>
      <c r="D113" s="508"/>
      <c r="E113" s="494"/>
      <c r="F113" s="499"/>
      <c r="G113" s="494"/>
      <c r="H113" s="499"/>
      <c r="I113" s="494"/>
      <c r="J113" s="494"/>
    </row>
    <row r="114" spans="1:10" s="73" customFormat="1" x14ac:dyDescent="0.2">
      <c r="A114" s="30"/>
      <c r="B114" s="113" t="s">
        <v>7</v>
      </c>
      <c r="C114" s="507">
        <v>7764</v>
      </c>
      <c r="D114" s="508">
        <v>-3124</v>
      </c>
      <c r="E114" s="494">
        <f>+D114+C114</f>
        <v>4640</v>
      </c>
      <c r="F114" s="499">
        <v>4640</v>
      </c>
      <c r="G114" s="494" t="s">
        <v>437</v>
      </c>
      <c r="H114" s="493">
        <f>+F114/E114*100</f>
        <v>100</v>
      </c>
      <c r="I114" s="494">
        <v>7899</v>
      </c>
      <c r="J114" s="494">
        <v>6157</v>
      </c>
    </row>
    <row r="115" spans="1:10" s="73" customFormat="1" x14ac:dyDescent="0.2">
      <c r="A115" s="30"/>
      <c r="B115" s="113" t="s">
        <v>17</v>
      </c>
      <c r="C115" s="507">
        <v>232</v>
      </c>
      <c r="D115" s="508">
        <v>15</v>
      </c>
      <c r="E115" s="494">
        <f>+D115+C115</f>
        <v>247</v>
      </c>
      <c r="F115" s="499">
        <v>247</v>
      </c>
      <c r="G115" s="494" t="s">
        <v>437</v>
      </c>
      <c r="H115" s="493">
        <f>+F115/E115*100</f>
        <v>100</v>
      </c>
      <c r="I115" s="494">
        <v>528</v>
      </c>
      <c r="J115" s="494">
        <v>205</v>
      </c>
    </row>
    <row r="116" spans="1:10" s="73" customFormat="1" ht="28.15" customHeight="1" x14ac:dyDescent="0.2">
      <c r="A116" s="389">
        <v>2.2999999999999998</v>
      </c>
      <c r="B116" s="8" t="s">
        <v>494</v>
      </c>
      <c r="C116" s="507"/>
      <c r="D116" s="508"/>
      <c r="E116" s="494"/>
      <c r="F116" s="499"/>
      <c r="G116" s="494"/>
      <c r="H116" s="499"/>
      <c r="I116" s="494"/>
      <c r="J116" s="494"/>
    </row>
    <row r="117" spans="1:10" s="73" customFormat="1" x14ac:dyDescent="0.2">
      <c r="A117" s="30"/>
      <c r="B117" s="113" t="s">
        <v>7</v>
      </c>
      <c r="C117" s="507">
        <v>4674</v>
      </c>
      <c r="D117" s="508">
        <v>-1376</v>
      </c>
      <c r="E117" s="494">
        <f>+D117+C117</f>
        <v>3298</v>
      </c>
      <c r="F117" s="499">
        <v>3298</v>
      </c>
      <c r="G117" s="494" t="s">
        <v>437</v>
      </c>
      <c r="H117" s="493">
        <f>+F117/E117*100</f>
        <v>100</v>
      </c>
      <c r="I117" s="494">
        <v>4282</v>
      </c>
      <c r="J117" s="494">
        <v>3892</v>
      </c>
    </row>
    <row r="118" spans="1:10" s="73" customFormat="1" x14ac:dyDescent="0.2">
      <c r="A118" s="30"/>
      <c r="B118" s="113" t="s">
        <v>17</v>
      </c>
      <c r="C118" s="507">
        <v>69</v>
      </c>
      <c r="D118" s="508">
        <v>86</v>
      </c>
      <c r="E118" s="494">
        <f>+D118+C118</f>
        <v>155</v>
      </c>
      <c r="F118" s="499">
        <v>155</v>
      </c>
      <c r="G118" s="494" t="s">
        <v>437</v>
      </c>
      <c r="H118" s="493">
        <f>+F118/E118*100</f>
        <v>100</v>
      </c>
      <c r="I118" s="494">
        <v>20</v>
      </c>
      <c r="J118" s="494">
        <v>152</v>
      </c>
    </row>
    <row r="119" spans="1:10" s="73" customFormat="1" ht="27" customHeight="1" x14ac:dyDescent="0.2">
      <c r="A119" s="389">
        <v>2.4</v>
      </c>
      <c r="B119" s="8" t="s">
        <v>312</v>
      </c>
      <c r="C119" s="507"/>
      <c r="D119" s="508"/>
      <c r="E119" s="494"/>
      <c r="F119" s="499"/>
      <c r="G119" s="494"/>
      <c r="H119" s="499"/>
      <c r="I119" s="494"/>
      <c r="J119" s="494"/>
    </row>
    <row r="120" spans="1:10" s="73" customFormat="1" x14ac:dyDescent="0.2">
      <c r="A120" s="30"/>
      <c r="B120" s="113" t="s">
        <v>7</v>
      </c>
      <c r="C120" s="507">
        <v>2712</v>
      </c>
      <c r="D120" s="508">
        <v>-377</v>
      </c>
      <c r="E120" s="494">
        <f>+D120+C120</f>
        <v>2335</v>
      </c>
      <c r="F120" s="499">
        <v>2335</v>
      </c>
      <c r="G120" s="494" t="s">
        <v>437</v>
      </c>
      <c r="H120" s="493">
        <f>+F120/E120*100</f>
        <v>100</v>
      </c>
      <c r="I120" s="494">
        <v>2660</v>
      </c>
      <c r="J120" s="494">
        <v>2013</v>
      </c>
    </row>
    <row r="121" spans="1:10" s="73" customFormat="1" x14ac:dyDescent="0.2">
      <c r="A121" s="30"/>
      <c r="B121" s="113" t="s">
        <v>17</v>
      </c>
      <c r="C121" s="507">
        <v>80</v>
      </c>
      <c r="D121" s="508">
        <v>-53</v>
      </c>
      <c r="E121" s="494">
        <f>+D121+C121</f>
        <v>27</v>
      </c>
      <c r="F121" s="499">
        <v>27</v>
      </c>
      <c r="G121" s="494" t="s">
        <v>437</v>
      </c>
      <c r="H121" s="493">
        <f>+F121/E121*100</f>
        <v>100</v>
      </c>
      <c r="I121" s="494">
        <v>45</v>
      </c>
      <c r="J121" s="494">
        <v>138</v>
      </c>
    </row>
    <row r="122" spans="1:10" s="73" customFormat="1" ht="27.6" customHeight="1" x14ac:dyDescent="0.2">
      <c r="A122" s="389">
        <v>2.5</v>
      </c>
      <c r="B122" s="8" t="s">
        <v>313</v>
      </c>
      <c r="C122" s="507"/>
      <c r="D122" s="508"/>
      <c r="E122" s="494"/>
      <c r="F122" s="499"/>
      <c r="G122" s="494"/>
      <c r="H122" s="499"/>
      <c r="I122" s="494"/>
      <c r="J122" s="494"/>
    </row>
    <row r="123" spans="1:10" s="73" customFormat="1" x14ac:dyDescent="0.2">
      <c r="A123" s="30"/>
      <c r="B123" s="113" t="s">
        <v>7</v>
      </c>
      <c r="C123" s="507">
        <v>5962</v>
      </c>
      <c r="D123" s="508">
        <v>-2296</v>
      </c>
      <c r="E123" s="494">
        <f>+D123+C123</f>
        <v>3666</v>
      </c>
      <c r="F123" s="499">
        <v>3666</v>
      </c>
      <c r="G123" s="494" t="s">
        <v>437</v>
      </c>
      <c r="H123" s="493">
        <f>+F123/E123*100</f>
        <v>100</v>
      </c>
      <c r="I123" s="494">
        <v>4077</v>
      </c>
      <c r="J123" s="494">
        <v>5489</v>
      </c>
    </row>
    <row r="124" spans="1:10" s="73" customFormat="1" x14ac:dyDescent="0.2">
      <c r="A124" s="30"/>
      <c r="B124" s="123" t="s">
        <v>17</v>
      </c>
      <c r="C124" s="507">
        <v>238</v>
      </c>
      <c r="D124" s="508">
        <v>-26</v>
      </c>
      <c r="E124" s="494">
        <f>+D124+C124</f>
        <v>212</v>
      </c>
      <c r="F124" s="499">
        <v>212</v>
      </c>
      <c r="G124" s="494" t="s">
        <v>437</v>
      </c>
      <c r="H124" s="493">
        <f>+F124/E124*100</f>
        <v>100</v>
      </c>
      <c r="I124" s="494">
        <v>186</v>
      </c>
      <c r="J124" s="494">
        <v>225</v>
      </c>
    </row>
    <row r="125" spans="1:10" s="73" customFormat="1" x14ac:dyDescent="0.2">
      <c r="A125" s="389">
        <v>2.6</v>
      </c>
      <c r="B125" s="509" t="s">
        <v>314</v>
      </c>
      <c r="C125" s="507"/>
      <c r="D125" s="508"/>
      <c r="E125" s="494"/>
      <c r="F125" s="499"/>
      <c r="G125" s="494"/>
      <c r="H125" s="499"/>
      <c r="I125" s="494"/>
      <c r="J125" s="494"/>
    </row>
    <row r="126" spans="1:10" s="73" customFormat="1" x14ac:dyDescent="0.2">
      <c r="A126" s="30"/>
      <c r="B126" s="113" t="s">
        <v>7</v>
      </c>
      <c r="C126" s="507">
        <v>248454</v>
      </c>
      <c r="D126" s="508" t="s">
        <v>437</v>
      </c>
      <c r="E126" s="494">
        <f>C126</f>
        <v>248454</v>
      </c>
      <c r="F126" s="499">
        <v>248100</v>
      </c>
      <c r="G126" s="494">
        <f>+E126-F126</f>
        <v>354</v>
      </c>
      <c r="H126" s="493">
        <f>+F126/E126*100</f>
        <v>99.857518896858167</v>
      </c>
      <c r="I126" s="494">
        <v>36354</v>
      </c>
      <c r="J126" s="494">
        <v>36200</v>
      </c>
    </row>
    <row r="127" spans="1:10" s="73" customFormat="1" x14ac:dyDescent="0.2">
      <c r="A127" s="135"/>
      <c r="B127" s="390" t="s">
        <v>157</v>
      </c>
      <c r="C127" s="510">
        <f>SUM(C110:C126)</f>
        <v>274972</v>
      </c>
      <c r="D127" s="510">
        <f>SUM(D110:D126)</f>
        <v>-7430</v>
      </c>
      <c r="E127" s="510">
        <f>SUM(E110:E126)</f>
        <v>267542</v>
      </c>
      <c r="F127" s="510">
        <f>SUM(F110:F126)</f>
        <v>267188</v>
      </c>
      <c r="G127" s="510">
        <f>SUM(G110:G126)</f>
        <v>354</v>
      </c>
      <c r="H127" s="495">
        <f>+F127/E127*100</f>
        <v>99.867684326199253</v>
      </c>
      <c r="I127" s="510">
        <f>SUM(I110:I126)</f>
        <v>57827</v>
      </c>
      <c r="J127" s="510">
        <f>SUM(J110:J126)</f>
        <v>57674</v>
      </c>
    </row>
    <row r="128" spans="1:10" s="73" customFormat="1" x14ac:dyDescent="0.2">
      <c r="A128" s="111"/>
      <c r="B128" s="28"/>
      <c r="C128" s="28"/>
      <c r="D128" s="28"/>
      <c r="E128" s="28"/>
      <c r="F128" s="28"/>
      <c r="G128" s="28"/>
      <c r="H128" s="28"/>
      <c r="I128" s="28"/>
      <c r="J128" s="28"/>
    </row>
    <row r="129" spans="1:10" s="73" customFormat="1" x14ac:dyDescent="0.2">
      <c r="A129" s="129"/>
      <c r="B129" s="114"/>
      <c r="C129" s="576" t="s">
        <v>188</v>
      </c>
      <c r="D129" s="577"/>
      <c r="E129" s="577"/>
      <c r="F129" s="577"/>
      <c r="G129" s="577"/>
      <c r="H129" s="578"/>
      <c r="I129" s="569" t="s">
        <v>189</v>
      </c>
      <c r="J129" s="570"/>
    </row>
    <row r="130" spans="1:10" s="73" customFormat="1" ht="12.75" customHeight="1" x14ac:dyDescent="0.2">
      <c r="A130" s="131"/>
      <c r="B130" s="579" t="s">
        <v>190</v>
      </c>
      <c r="C130" s="105" t="s">
        <v>172</v>
      </c>
      <c r="D130" s="125" t="s">
        <v>175</v>
      </c>
      <c r="E130" s="117" t="s">
        <v>176</v>
      </c>
      <c r="F130" s="117" t="s">
        <v>178</v>
      </c>
      <c r="G130" s="117" t="s">
        <v>179</v>
      </c>
      <c r="H130" s="573" t="s">
        <v>181</v>
      </c>
      <c r="I130" s="117" t="s">
        <v>176</v>
      </c>
      <c r="J130" s="105" t="s">
        <v>178</v>
      </c>
    </row>
    <row r="131" spans="1:10" s="73" customFormat="1" ht="12.75" customHeight="1" x14ac:dyDescent="0.2">
      <c r="A131" s="131"/>
      <c r="B131" s="579"/>
      <c r="C131" s="106" t="s">
        <v>173</v>
      </c>
      <c r="D131" s="124" t="s">
        <v>174</v>
      </c>
      <c r="E131" s="118" t="s">
        <v>177</v>
      </c>
      <c r="F131" s="118" t="s">
        <v>70</v>
      </c>
      <c r="G131" s="118" t="s">
        <v>180</v>
      </c>
      <c r="H131" s="574"/>
      <c r="I131" s="118" t="s">
        <v>177</v>
      </c>
      <c r="J131" s="106" t="s">
        <v>70</v>
      </c>
    </row>
    <row r="132" spans="1:10" s="73" customFormat="1" x14ac:dyDescent="0.2">
      <c r="A132" s="132"/>
      <c r="B132" s="572"/>
      <c r="C132" s="107" t="s">
        <v>174</v>
      </c>
      <c r="D132" s="121"/>
      <c r="E132" s="119" t="s">
        <v>174</v>
      </c>
      <c r="F132" s="119" t="s">
        <v>174</v>
      </c>
      <c r="G132" s="119" t="s">
        <v>174</v>
      </c>
      <c r="H132" s="575"/>
      <c r="I132" s="119" t="s">
        <v>174</v>
      </c>
      <c r="J132" s="107" t="s">
        <v>174</v>
      </c>
    </row>
    <row r="133" spans="1:10" s="73" customFormat="1" x14ac:dyDescent="0.2">
      <c r="A133" s="129"/>
      <c r="B133" s="114" t="s">
        <v>7</v>
      </c>
      <c r="C133" s="511"/>
      <c r="D133" s="512"/>
      <c r="E133" s="504"/>
      <c r="F133" s="513"/>
      <c r="G133" s="504"/>
      <c r="H133" s="513"/>
      <c r="I133" s="504"/>
      <c r="J133" s="504"/>
    </row>
    <row r="134" spans="1:10" s="73" customFormat="1" x14ac:dyDescent="0.2">
      <c r="A134" s="30"/>
      <c r="B134" s="113" t="s">
        <v>8</v>
      </c>
      <c r="C134" s="514">
        <v>10710</v>
      </c>
      <c r="D134" s="493">
        <v>-300</v>
      </c>
      <c r="E134" s="494">
        <f>+D134+C134</f>
        <v>10410</v>
      </c>
      <c r="F134" s="493">
        <v>10410</v>
      </c>
      <c r="G134" s="494" t="s">
        <v>437</v>
      </c>
      <c r="H134" s="493">
        <f>+F134/E134*100</f>
        <v>100</v>
      </c>
      <c r="I134" s="494">
        <v>8651</v>
      </c>
      <c r="J134" s="494">
        <v>8651</v>
      </c>
    </row>
    <row r="135" spans="1:10" s="73" customFormat="1" x14ac:dyDescent="0.2">
      <c r="A135" s="30"/>
      <c r="B135" s="113" t="s">
        <v>14</v>
      </c>
      <c r="C135" s="514">
        <v>248454</v>
      </c>
      <c r="D135" s="493" t="s">
        <v>437</v>
      </c>
      <c r="E135" s="494">
        <f>+C135</f>
        <v>248454</v>
      </c>
      <c r="F135" s="493">
        <v>248100</v>
      </c>
      <c r="G135" s="494">
        <f>+E135-F135</f>
        <v>354</v>
      </c>
      <c r="H135" s="493">
        <f>+F135/E135*100</f>
        <v>99.857518896858167</v>
      </c>
      <c r="I135" s="494">
        <v>36354</v>
      </c>
      <c r="J135" s="494">
        <v>36200</v>
      </c>
    </row>
    <row r="136" spans="1:10" s="73" customFormat="1" x14ac:dyDescent="0.2">
      <c r="A136" s="30"/>
      <c r="B136" s="113" t="s">
        <v>66</v>
      </c>
      <c r="C136" s="514">
        <v>14839</v>
      </c>
      <c r="D136" s="493">
        <v>-7153</v>
      </c>
      <c r="E136" s="494">
        <f>+D136+C136</f>
        <v>7686</v>
      </c>
      <c r="F136" s="493">
        <v>7686</v>
      </c>
      <c r="G136" s="494" t="s">
        <v>437</v>
      </c>
      <c r="H136" s="493">
        <f>+F136/E136*100</f>
        <v>100</v>
      </c>
      <c r="I136" s="494">
        <v>11935</v>
      </c>
      <c r="J136" s="494">
        <v>11875</v>
      </c>
    </row>
    <row r="137" spans="1:10" s="73" customFormat="1" x14ac:dyDescent="0.2">
      <c r="A137" s="30"/>
      <c r="B137" s="32" t="s">
        <v>17</v>
      </c>
      <c r="C137" s="514"/>
      <c r="D137" s="493"/>
      <c r="E137" s="494"/>
      <c r="F137" s="493"/>
      <c r="G137" s="494"/>
      <c r="H137" s="493"/>
      <c r="I137" s="494"/>
      <c r="J137" s="494"/>
    </row>
    <row r="138" spans="1:10" s="73" customFormat="1" ht="12.75" customHeight="1" x14ac:dyDescent="0.2">
      <c r="A138" s="30"/>
      <c r="B138" s="113" t="s">
        <v>191</v>
      </c>
      <c r="C138" s="515">
        <v>969</v>
      </c>
      <c r="D138" s="493">
        <v>23</v>
      </c>
      <c r="E138" s="494">
        <f>+D138+C138</f>
        <v>992</v>
      </c>
      <c r="F138" s="493">
        <v>992</v>
      </c>
      <c r="G138" s="494" t="s">
        <v>437</v>
      </c>
      <c r="H138" s="493">
        <f>+F138/E138*100</f>
        <v>100</v>
      </c>
      <c r="I138" s="494">
        <v>887</v>
      </c>
      <c r="J138" s="494">
        <v>948</v>
      </c>
    </row>
    <row r="139" spans="1:10" s="37" customFormat="1" x14ac:dyDescent="0.2">
      <c r="A139" s="130"/>
      <c r="B139" s="28" t="s">
        <v>157</v>
      </c>
      <c r="C139" s="516">
        <f>SUM(C133:C138)</f>
        <v>274972</v>
      </c>
      <c r="D139" s="516">
        <f>SUM(D133:D138)</f>
        <v>-7430</v>
      </c>
      <c r="E139" s="516">
        <f>SUM(E133:E138)</f>
        <v>267542</v>
      </c>
      <c r="F139" s="516">
        <f>SUM(F133:F138)</f>
        <v>267188</v>
      </c>
      <c r="G139" s="516">
        <f>SUM(G133:G138)</f>
        <v>354</v>
      </c>
      <c r="H139" s="495">
        <f>+F139/E139*100</f>
        <v>99.867684326199253</v>
      </c>
      <c r="I139" s="516">
        <f>SUM(I133:I138)</f>
        <v>57827</v>
      </c>
      <c r="J139" s="516">
        <f>SUM(J133:J138)</f>
        <v>57674</v>
      </c>
    </row>
    <row r="140" spans="1:10" s="73" customFormat="1" x14ac:dyDescent="0.2">
      <c r="A140" s="134"/>
      <c r="B140" s="9"/>
      <c r="C140" s="9"/>
      <c r="D140" s="9"/>
      <c r="E140" s="9"/>
      <c r="F140" s="9"/>
      <c r="G140" s="9"/>
      <c r="H140" s="9"/>
      <c r="I140" s="9"/>
      <c r="J140" s="9"/>
    </row>
    <row r="141" spans="1:10" s="73" customFormat="1" x14ac:dyDescent="0.2">
      <c r="A141" s="129"/>
      <c r="B141" s="114"/>
      <c r="C141" s="576" t="s">
        <v>188</v>
      </c>
      <c r="D141" s="577"/>
      <c r="E141" s="577"/>
      <c r="F141" s="577"/>
      <c r="G141" s="577"/>
      <c r="H141" s="578"/>
      <c r="I141" s="569" t="s">
        <v>189</v>
      </c>
      <c r="J141" s="570"/>
    </row>
    <row r="142" spans="1:10" s="73" customFormat="1" ht="12.75" customHeight="1" x14ac:dyDescent="0.2">
      <c r="A142" s="131"/>
      <c r="B142" s="571" t="s">
        <v>192</v>
      </c>
      <c r="C142" s="105" t="s">
        <v>172</v>
      </c>
      <c r="D142" s="117" t="s">
        <v>175</v>
      </c>
      <c r="E142" s="117" t="s">
        <v>176</v>
      </c>
      <c r="F142" s="117" t="s">
        <v>178</v>
      </c>
      <c r="G142" s="117" t="s">
        <v>179</v>
      </c>
      <c r="H142" s="573" t="s">
        <v>181</v>
      </c>
      <c r="I142" s="117" t="s">
        <v>176</v>
      </c>
      <c r="J142" s="105" t="s">
        <v>178</v>
      </c>
    </row>
    <row r="143" spans="1:10" s="73" customFormat="1" ht="12.75" customHeight="1" x14ac:dyDescent="0.2">
      <c r="A143" s="131"/>
      <c r="B143" s="571"/>
      <c r="C143" s="106" t="s">
        <v>173</v>
      </c>
      <c r="D143" s="118" t="s">
        <v>174</v>
      </c>
      <c r="E143" s="118" t="s">
        <v>177</v>
      </c>
      <c r="F143" s="118" t="s">
        <v>70</v>
      </c>
      <c r="G143" s="118" t="s">
        <v>180</v>
      </c>
      <c r="H143" s="574"/>
      <c r="I143" s="118" t="s">
        <v>177</v>
      </c>
      <c r="J143" s="106" t="s">
        <v>70</v>
      </c>
    </row>
    <row r="144" spans="1:10" s="73" customFormat="1" x14ac:dyDescent="0.2">
      <c r="A144" s="132"/>
      <c r="B144" s="572"/>
      <c r="C144" s="107" t="s">
        <v>174</v>
      </c>
      <c r="D144" s="121"/>
      <c r="E144" s="119" t="s">
        <v>174</v>
      </c>
      <c r="F144" s="119" t="s">
        <v>174</v>
      </c>
      <c r="G144" s="119" t="s">
        <v>174</v>
      </c>
      <c r="H144" s="575"/>
      <c r="I144" s="119" t="s">
        <v>174</v>
      </c>
      <c r="J144" s="107" t="s">
        <v>174</v>
      </c>
    </row>
    <row r="145" spans="1:10" s="73" customFormat="1" x14ac:dyDescent="0.2">
      <c r="A145" s="30"/>
      <c r="B145" s="32" t="s">
        <v>8</v>
      </c>
      <c r="C145" s="514">
        <v>10710</v>
      </c>
      <c r="D145" s="493">
        <v>-300</v>
      </c>
      <c r="E145" s="499">
        <f>+D145+C145</f>
        <v>10410</v>
      </c>
      <c r="F145" s="494">
        <v>10410</v>
      </c>
      <c r="G145" s="499" t="s">
        <v>437</v>
      </c>
      <c r="H145" s="494">
        <f t="shared" ref="H145:H152" si="2">+F145/E145*100</f>
        <v>100</v>
      </c>
      <c r="I145" s="499">
        <v>8651</v>
      </c>
      <c r="J145" s="494">
        <v>8651</v>
      </c>
    </row>
    <row r="146" spans="1:10" s="73" customFormat="1" x14ac:dyDescent="0.2">
      <c r="A146" s="30"/>
      <c r="B146" s="32" t="s">
        <v>9</v>
      </c>
      <c r="C146" s="514">
        <v>5422</v>
      </c>
      <c r="D146" s="493">
        <v>-1898</v>
      </c>
      <c r="E146" s="499">
        <f>+D146+C146</f>
        <v>3524</v>
      </c>
      <c r="F146" s="494">
        <v>3524</v>
      </c>
      <c r="G146" s="499" t="s">
        <v>437</v>
      </c>
      <c r="H146" s="494">
        <f t="shared" si="2"/>
        <v>100</v>
      </c>
      <c r="I146" s="499">
        <v>4172</v>
      </c>
      <c r="J146" s="494">
        <v>4172</v>
      </c>
    </row>
    <row r="147" spans="1:10" s="73" customFormat="1" x14ac:dyDescent="0.2">
      <c r="A147" s="30"/>
      <c r="B147" s="79" t="s">
        <v>10</v>
      </c>
      <c r="C147" s="514">
        <v>985</v>
      </c>
      <c r="D147" s="493">
        <v>-14</v>
      </c>
      <c r="E147" s="499">
        <f>+D147+C147</f>
        <v>971</v>
      </c>
      <c r="F147" s="494">
        <v>971</v>
      </c>
      <c r="G147" s="499" t="s">
        <v>437</v>
      </c>
      <c r="H147" s="494">
        <f>+F147/E147*100</f>
        <v>100</v>
      </c>
      <c r="I147" s="499">
        <v>753</v>
      </c>
      <c r="J147" s="494">
        <v>753</v>
      </c>
    </row>
    <row r="148" spans="1:10" s="73" customFormat="1" x14ac:dyDescent="0.2">
      <c r="A148" s="30"/>
      <c r="B148" s="32" t="s">
        <v>11</v>
      </c>
      <c r="C148" s="514">
        <v>1196</v>
      </c>
      <c r="D148" s="493">
        <v>64</v>
      </c>
      <c r="E148" s="499">
        <f>+D148+C148</f>
        <v>1260</v>
      </c>
      <c r="F148" s="494">
        <v>1260</v>
      </c>
      <c r="G148" s="499" t="s">
        <v>437</v>
      </c>
      <c r="H148" s="494">
        <f t="shared" si="2"/>
        <v>100</v>
      </c>
      <c r="I148" s="499">
        <v>1238</v>
      </c>
      <c r="J148" s="494">
        <v>1239</v>
      </c>
    </row>
    <row r="149" spans="1:10" s="73" customFormat="1" ht="25.5" x14ac:dyDescent="0.2">
      <c r="A149" s="30"/>
      <c r="B149" s="32" t="s">
        <v>13</v>
      </c>
      <c r="C149" s="514">
        <v>8205</v>
      </c>
      <c r="D149" s="493">
        <v>-5382</v>
      </c>
      <c r="E149" s="499">
        <f>+D149+C149</f>
        <v>2823</v>
      </c>
      <c r="F149" s="494">
        <v>2823</v>
      </c>
      <c r="G149" s="499" t="s">
        <v>437</v>
      </c>
      <c r="H149" s="494">
        <f t="shared" si="2"/>
        <v>100</v>
      </c>
      <c r="I149" s="499">
        <v>4659</v>
      </c>
      <c r="J149" s="494">
        <v>4659</v>
      </c>
    </row>
    <row r="150" spans="1:10" s="73" customFormat="1" x14ac:dyDescent="0.2">
      <c r="A150" s="30"/>
      <c r="B150" s="32" t="s">
        <v>14</v>
      </c>
      <c r="C150" s="514">
        <v>248454</v>
      </c>
      <c r="D150" s="493" t="s">
        <v>437</v>
      </c>
      <c r="E150" s="499">
        <f>C150</f>
        <v>248454</v>
      </c>
      <c r="F150" s="494">
        <v>248100</v>
      </c>
      <c r="G150" s="499">
        <f>+E150-F150</f>
        <v>354</v>
      </c>
      <c r="H150" s="494">
        <f t="shared" si="2"/>
        <v>99.857518896858167</v>
      </c>
      <c r="I150" s="499">
        <v>36354</v>
      </c>
      <c r="J150" s="494">
        <v>36200</v>
      </c>
    </row>
    <row r="151" spans="1:10" s="73" customFormat="1" x14ac:dyDescent="0.2">
      <c r="A151" s="30"/>
      <c r="B151" s="32" t="s">
        <v>15</v>
      </c>
      <c r="C151" s="514" t="s">
        <v>437</v>
      </c>
      <c r="D151" s="493">
        <v>100</v>
      </c>
      <c r="E151" s="499">
        <f>+D151</f>
        <v>100</v>
      </c>
      <c r="F151" s="494">
        <v>100</v>
      </c>
      <c r="G151" s="499" t="s">
        <v>437</v>
      </c>
      <c r="H151" s="494">
        <f t="shared" si="2"/>
        <v>100</v>
      </c>
      <c r="I151" s="499">
        <v>2000</v>
      </c>
      <c r="J151" s="494">
        <v>2000</v>
      </c>
    </row>
    <row r="152" spans="1:10" s="37" customFormat="1" x14ac:dyDescent="0.2">
      <c r="A152" s="130"/>
      <c r="B152" s="28" t="s">
        <v>157</v>
      </c>
      <c r="C152" s="516">
        <f>SUM(C145:C151)</f>
        <v>274972</v>
      </c>
      <c r="D152" s="516">
        <f>SUM(D145:D151)</f>
        <v>-7430</v>
      </c>
      <c r="E152" s="516">
        <f>SUM(E145:E151)</f>
        <v>267542</v>
      </c>
      <c r="F152" s="516">
        <f>SUM(F145:F151)</f>
        <v>267188</v>
      </c>
      <c r="G152" s="516">
        <f>SUM(G145:G151)</f>
        <v>354</v>
      </c>
      <c r="H152" s="495">
        <f t="shared" si="2"/>
        <v>99.867684326199253</v>
      </c>
      <c r="I152" s="516">
        <f>SUM(I145:I151)</f>
        <v>57827</v>
      </c>
      <c r="J152" s="516">
        <f>SUM(J145:J151)</f>
        <v>57674</v>
      </c>
    </row>
    <row r="153" spans="1:10" s="73" customFormat="1" x14ac:dyDescent="0.2">
      <c r="A153" s="94"/>
      <c r="B153" s="127"/>
      <c r="C153" s="128"/>
      <c r="D153" s="517"/>
      <c r="E153" s="101"/>
      <c r="F153" s="101"/>
      <c r="G153" s="101"/>
      <c r="H153" s="101"/>
      <c r="I153" s="101"/>
      <c r="J153" s="101"/>
    </row>
    <row r="154" spans="1:10" s="73" customFormat="1" x14ac:dyDescent="0.2">
      <c r="A154" s="523" t="s">
        <v>197</v>
      </c>
      <c r="B154" s="523"/>
      <c r="C154" s="523"/>
      <c r="D154" s="523"/>
      <c r="E154" s="523"/>
      <c r="F154" s="523"/>
      <c r="G154" s="523"/>
      <c r="H154" s="523"/>
      <c r="I154" s="523"/>
      <c r="J154" s="523"/>
    </row>
    <row r="155" spans="1:10" s="1" customFormat="1" x14ac:dyDescent="0.2">
      <c r="A155" s="523" t="s">
        <v>472</v>
      </c>
      <c r="B155" s="523"/>
      <c r="C155" s="523"/>
      <c r="D155" s="523"/>
      <c r="E155" s="523"/>
      <c r="F155" s="523"/>
      <c r="G155" s="523"/>
      <c r="H155" s="523"/>
      <c r="I155" s="523"/>
      <c r="J155" s="523"/>
    </row>
    <row r="156" spans="1:10" s="73" customFormat="1" x14ac:dyDescent="0.2">
      <c r="A156" s="26"/>
      <c r="B156" s="26"/>
    </row>
    <row r="157" spans="1:10" s="73" customFormat="1" x14ac:dyDescent="0.2">
      <c r="A157" s="129"/>
      <c r="B157" s="114"/>
      <c r="C157" s="576" t="s">
        <v>188</v>
      </c>
      <c r="D157" s="577"/>
      <c r="E157" s="577"/>
      <c r="F157" s="577"/>
      <c r="G157" s="577"/>
      <c r="H157" s="578"/>
      <c r="I157" s="569" t="s">
        <v>189</v>
      </c>
      <c r="J157" s="570"/>
    </row>
    <row r="158" spans="1:10" s="73" customFormat="1" ht="12.75" customHeight="1" x14ac:dyDescent="0.2">
      <c r="A158" s="131"/>
      <c r="B158" s="571" t="s">
        <v>195</v>
      </c>
      <c r="C158" s="117" t="s">
        <v>172</v>
      </c>
      <c r="D158" s="117" t="s">
        <v>175</v>
      </c>
      <c r="E158" s="117" t="s">
        <v>176</v>
      </c>
      <c r="F158" s="117" t="s">
        <v>178</v>
      </c>
      <c r="G158" s="117" t="s">
        <v>179</v>
      </c>
      <c r="H158" s="573" t="s">
        <v>181</v>
      </c>
      <c r="I158" s="117" t="s">
        <v>176</v>
      </c>
      <c r="J158" s="105" t="s">
        <v>178</v>
      </c>
    </row>
    <row r="159" spans="1:10" s="73" customFormat="1" ht="12.75" customHeight="1" x14ac:dyDescent="0.2">
      <c r="A159" s="131"/>
      <c r="B159" s="571"/>
      <c r="C159" s="118" t="s">
        <v>173</v>
      </c>
      <c r="D159" s="118" t="s">
        <v>174</v>
      </c>
      <c r="E159" s="118" t="s">
        <v>177</v>
      </c>
      <c r="F159" s="118" t="s">
        <v>70</v>
      </c>
      <c r="G159" s="118" t="s">
        <v>180</v>
      </c>
      <c r="H159" s="574"/>
      <c r="I159" s="118" t="s">
        <v>177</v>
      </c>
      <c r="J159" s="106" t="s">
        <v>70</v>
      </c>
    </row>
    <row r="160" spans="1:10" s="73" customFormat="1" x14ac:dyDescent="0.2">
      <c r="A160" s="132"/>
      <c r="B160" s="580"/>
      <c r="C160" s="119" t="s">
        <v>174</v>
      </c>
      <c r="D160" s="120"/>
      <c r="E160" s="119" t="s">
        <v>174</v>
      </c>
      <c r="F160" s="119" t="s">
        <v>174</v>
      </c>
      <c r="G160" s="119" t="s">
        <v>174</v>
      </c>
      <c r="H160" s="575"/>
      <c r="I160" s="119" t="s">
        <v>174</v>
      </c>
      <c r="J160" s="107" t="s">
        <v>174</v>
      </c>
    </row>
    <row r="161" spans="1:11" s="73" customFormat="1" ht="25.5" x14ac:dyDescent="0.2">
      <c r="A161" s="389">
        <v>3.1</v>
      </c>
      <c r="B161" s="502" t="s">
        <v>315</v>
      </c>
      <c r="C161" s="229"/>
      <c r="E161" s="230"/>
      <c r="F161" s="231"/>
      <c r="G161" s="230"/>
      <c r="H161" s="231"/>
      <c r="I161" s="230"/>
      <c r="J161" s="230"/>
    </row>
    <row r="162" spans="1:11" s="73" customFormat="1" x14ac:dyDescent="0.2">
      <c r="A162" s="30"/>
      <c r="B162" s="113" t="s">
        <v>7</v>
      </c>
      <c r="C162" s="507">
        <v>61844</v>
      </c>
      <c r="D162" s="508">
        <v>-1364</v>
      </c>
      <c r="E162" s="494">
        <f>+D162+C162</f>
        <v>60480</v>
      </c>
      <c r="F162" s="499">
        <v>60480</v>
      </c>
      <c r="G162" s="494" t="s">
        <v>437</v>
      </c>
      <c r="H162" s="494">
        <f>+F162/E162*100</f>
        <v>100</v>
      </c>
      <c r="I162" s="494">
        <v>54013</v>
      </c>
      <c r="J162" s="494">
        <v>54013</v>
      </c>
      <c r="K162" s="199"/>
    </row>
    <row r="163" spans="1:11" s="73" customFormat="1" x14ac:dyDescent="0.2">
      <c r="A163" s="389">
        <v>3.2</v>
      </c>
      <c r="B163" s="8" t="s">
        <v>316</v>
      </c>
      <c r="C163" s="507"/>
      <c r="D163" s="508"/>
      <c r="E163" s="494"/>
      <c r="F163" s="499"/>
      <c r="G163" s="494"/>
      <c r="H163" s="499"/>
      <c r="I163" s="494"/>
      <c r="J163" s="494"/>
      <c r="K163" s="199"/>
    </row>
    <row r="164" spans="1:11" s="73" customFormat="1" x14ac:dyDescent="0.2">
      <c r="A164" s="30"/>
      <c r="B164" s="113" t="s">
        <v>7</v>
      </c>
      <c r="C164" s="507">
        <v>18000</v>
      </c>
      <c r="D164" s="508">
        <v>6255</v>
      </c>
      <c r="E164" s="494">
        <f>+D164+C164</f>
        <v>24255</v>
      </c>
      <c r="F164" s="499">
        <v>24255</v>
      </c>
      <c r="G164" s="494" t="s">
        <v>437</v>
      </c>
      <c r="H164" s="494">
        <f>+F164/E164*100</f>
        <v>100</v>
      </c>
      <c r="I164" s="494">
        <v>18026</v>
      </c>
      <c r="J164" s="494">
        <v>18026</v>
      </c>
      <c r="K164" s="199"/>
    </row>
    <row r="165" spans="1:11" s="73" customFormat="1" ht="25.5" x14ac:dyDescent="0.2">
      <c r="A165" s="389">
        <v>3.3</v>
      </c>
      <c r="B165" s="8" t="s">
        <v>317</v>
      </c>
      <c r="C165" s="507"/>
      <c r="D165" s="508"/>
      <c r="E165" s="494"/>
      <c r="F165" s="499"/>
      <c r="G165" s="494"/>
      <c r="H165" s="499"/>
      <c r="I165" s="494"/>
      <c r="J165" s="494"/>
      <c r="K165" s="199"/>
    </row>
    <row r="166" spans="1:11" s="73" customFormat="1" x14ac:dyDescent="0.2">
      <c r="A166" s="30"/>
      <c r="B166" s="113" t="s">
        <v>7</v>
      </c>
      <c r="C166" s="507">
        <v>790</v>
      </c>
      <c r="D166" s="508">
        <v>-788</v>
      </c>
      <c r="E166" s="494">
        <f>+D166+C166</f>
        <v>2</v>
      </c>
      <c r="F166" s="499">
        <v>2</v>
      </c>
      <c r="G166" s="494" t="s">
        <v>437</v>
      </c>
      <c r="H166" s="494">
        <f>+F166/E166*100</f>
        <v>100</v>
      </c>
      <c r="I166" s="494">
        <v>9292</v>
      </c>
      <c r="J166" s="494">
        <v>9292</v>
      </c>
      <c r="K166" s="199"/>
    </row>
    <row r="167" spans="1:11" s="73" customFormat="1" x14ac:dyDescent="0.2">
      <c r="A167" s="389">
        <v>3.4</v>
      </c>
      <c r="B167" s="8" t="s">
        <v>314</v>
      </c>
      <c r="C167" s="507"/>
      <c r="D167" s="508"/>
      <c r="E167" s="494"/>
      <c r="F167" s="499"/>
      <c r="G167" s="494"/>
      <c r="H167" s="499"/>
      <c r="I167" s="494"/>
      <c r="J167" s="494"/>
      <c r="K167" s="199"/>
    </row>
    <row r="168" spans="1:11" s="73" customFormat="1" x14ac:dyDescent="0.2">
      <c r="A168" s="30"/>
      <c r="B168" s="113" t="s">
        <v>7</v>
      </c>
      <c r="C168" s="507">
        <v>8025</v>
      </c>
      <c r="D168" s="508" t="s">
        <v>437</v>
      </c>
      <c r="E168" s="494">
        <f>C168</f>
        <v>8025</v>
      </c>
      <c r="F168" s="499">
        <v>8025</v>
      </c>
      <c r="G168" s="494" t="s">
        <v>437</v>
      </c>
      <c r="H168" s="494">
        <f>+F168/E168*100</f>
        <v>100</v>
      </c>
      <c r="I168" s="494">
        <v>3968</v>
      </c>
      <c r="J168" s="494">
        <v>3968</v>
      </c>
      <c r="K168" s="199"/>
    </row>
    <row r="169" spans="1:11" s="73" customFormat="1" x14ac:dyDescent="0.2">
      <c r="A169" s="30"/>
      <c r="B169" s="113" t="s">
        <v>17</v>
      </c>
      <c r="C169" s="507">
        <v>147000</v>
      </c>
      <c r="D169" s="508" t="s">
        <v>437</v>
      </c>
      <c r="E169" s="494">
        <f>C169</f>
        <v>147000</v>
      </c>
      <c r="F169" s="499">
        <v>147000</v>
      </c>
      <c r="G169" s="494" t="s">
        <v>437</v>
      </c>
      <c r="H169" s="494">
        <f>+F169/E169*100</f>
        <v>100</v>
      </c>
      <c r="I169" s="494" t="s">
        <v>437</v>
      </c>
      <c r="J169" s="494" t="s">
        <v>437</v>
      </c>
      <c r="K169" s="199"/>
    </row>
    <row r="170" spans="1:11" s="73" customFormat="1" x14ac:dyDescent="0.2">
      <c r="A170" s="389">
        <v>3.5</v>
      </c>
      <c r="B170" s="8" t="s">
        <v>318</v>
      </c>
      <c r="C170" s="507"/>
      <c r="D170" s="508"/>
      <c r="E170" s="494"/>
      <c r="F170" s="499"/>
      <c r="G170" s="494"/>
      <c r="H170" s="499"/>
      <c r="I170" s="494"/>
      <c r="J170" s="494"/>
      <c r="K170" s="199"/>
    </row>
    <row r="171" spans="1:11" s="73" customFormat="1" x14ac:dyDescent="0.2">
      <c r="A171" s="30"/>
      <c r="B171" s="113" t="s">
        <v>7</v>
      </c>
      <c r="C171" s="507">
        <v>22500</v>
      </c>
      <c r="D171" s="508">
        <v>-9209</v>
      </c>
      <c r="E171" s="494">
        <f>+D171+C171</f>
        <v>13291</v>
      </c>
      <c r="F171" s="499">
        <v>13291</v>
      </c>
      <c r="G171" s="494" t="s">
        <v>437</v>
      </c>
      <c r="H171" s="494">
        <f>+F171/E171*100</f>
        <v>100</v>
      </c>
      <c r="I171" s="494">
        <v>25147</v>
      </c>
      <c r="J171" s="494">
        <v>25147</v>
      </c>
      <c r="K171" s="199"/>
    </row>
    <row r="172" spans="1:11" s="73" customFormat="1" x14ac:dyDescent="0.2">
      <c r="A172" s="30"/>
      <c r="B172" s="123" t="s">
        <v>17</v>
      </c>
      <c r="C172" s="507" t="s">
        <v>437</v>
      </c>
      <c r="D172" s="508" t="s">
        <v>437</v>
      </c>
      <c r="E172" s="494" t="s">
        <v>437</v>
      </c>
      <c r="F172" s="499" t="s">
        <v>437</v>
      </c>
      <c r="G172" s="494" t="s">
        <v>437</v>
      </c>
      <c r="H172" s="494" t="s">
        <v>437</v>
      </c>
      <c r="I172" s="494">
        <v>147000</v>
      </c>
      <c r="J172" s="494">
        <v>147000</v>
      </c>
      <c r="K172" s="199"/>
    </row>
    <row r="173" spans="1:11" s="73" customFormat="1" x14ac:dyDescent="0.2">
      <c r="A173" s="135"/>
      <c r="B173" s="28" t="s">
        <v>157</v>
      </c>
      <c r="C173" s="510">
        <f>SUM(C161:C172)</f>
        <v>258159</v>
      </c>
      <c r="D173" s="510">
        <f>SUM(D161:D172)</f>
        <v>-5106</v>
      </c>
      <c r="E173" s="510">
        <f>SUM(E161:E172)</f>
        <v>253053</v>
      </c>
      <c r="F173" s="510">
        <f>SUM(F161:F172)</f>
        <v>253053</v>
      </c>
      <c r="G173" s="510" t="s">
        <v>437</v>
      </c>
      <c r="H173" s="495">
        <f>+F173/E173*100</f>
        <v>100</v>
      </c>
      <c r="I173" s="510">
        <f>SUM(I161:I172)</f>
        <v>257446</v>
      </c>
      <c r="J173" s="510">
        <f>SUM(J161:J172)</f>
        <v>257446</v>
      </c>
      <c r="K173" s="199"/>
    </row>
    <row r="174" spans="1:11" s="73" customFormat="1" x14ac:dyDescent="0.2">
      <c r="A174" s="111"/>
      <c r="B174" s="28"/>
      <c r="C174" s="28"/>
      <c r="D174" s="28"/>
      <c r="E174" s="28"/>
      <c r="F174" s="28"/>
      <c r="G174" s="28"/>
      <c r="H174" s="28"/>
      <c r="I174" s="28"/>
      <c r="J174" s="28"/>
    </row>
    <row r="175" spans="1:11" s="73" customFormat="1" x14ac:dyDescent="0.2">
      <c r="A175" s="129"/>
      <c r="B175" s="114"/>
      <c r="C175" s="576" t="s">
        <v>188</v>
      </c>
      <c r="D175" s="577"/>
      <c r="E175" s="577"/>
      <c r="F175" s="577"/>
      <c r="G175" s="577"/>
      <c r="H175" s="578"/>
      <c r="I175" s="569" t="s">
        <v>189</v>
      </c>
      <c r="J175" s="570"/>
    </row>
    <row r="176" spans="1:11" s="73" customFormat="1" ht="12.75" customHeight="1" x14ac:dyDescent="0.2">
      <c r="A176" s="131"/>
      <c r="B176" s="579" t="s">
        <v>190</v>
      </c>
      <c r="C176" s="105" t="s">
        <v>172</v>
      </c>
      <c r="D176" s="125" t="s">
        <v>175</v>
      </c>
      <c r="E176" s="117" t="s">
        <v>176</v>
      </c>
      <c r="F176" s="117" t="s">
        <v>178</v>
      </c>
      <c r="G176" s="117" t="s">
        <v>179</v>
      </c>
      <c r="H176" s="573" t="s">
        <v>181</v>
      </c>
      <c r="I176" s="117" t="s">
        <v>176</v>
      </c>
      <c r="J176" s="105" t="s">
        <v>178</v>
      </c>
    </row>
    <row r="177" spans="1:10" s="73" customFormat="1" ht="12.75" customHeight="1" x14ac:dyDescent="0.2">
      <c r="A177" s="131"/>
      <c r="B177" s="579"/>
      <c r="C177" s="106" t="s">
        <v>173</v>
      </c>
      <c r="D177" s="124" t="s">
        <v>174</v>
      </c>
      <c r="E177" s="118" t="s">
        <v>177</v>
      </c>
      <c r="F177" s="118" t="s">
        <v>70</v>
      </c>
      <c r="G177" s="118" t="s">
        <v>180</v>
      </c>
      <c r="H177" s="574"/>
      <c r="I177" s="118" t="s">
        <v>177</v>
      </c>
      <c r="J177" s="106" t="s">
        <v>70</v>
      </c>
    </row>
    <row r="178" spans="1:10" s="73" customFormat="1" x14ac:dyDescent="0.2">
      <c r="A178" s="132"/>
      <c r="B178" s="572"/>
      <c r="C178" s="107" t="s">
        <v>174</v>
      </c>
      <c r="D178" s="121"/>
      <c r="E178" s="119" t="s">
        <v>174</v>
      </c>
      <c r="F178" s="119" t="s">
        <v>174</v>
      </c>
      <c r="G178" s="119" t="s">
        <v>174</v>
      </c>
      <c r="H178" s="575"/>
      <c r="I178" s="119" t="s">
        <v>174</v>
      </c>
      <c r="J178" s="107" t="s">
        <v>174</v>
      </c>
    </row>
    <row r="179" spans="1:10" s="73" customFormat="1" x14ac:dyDescent="0.2">
      <c r="A179" s="129"/>
      <c r="B179" s="114" t="s">
        <v>7</v>
      </c>
      <c r="C179" s="361"/>
      <c r="D179" s="232"/>
      <c r="E179" s="233"/>
      <c r="F179" s="224"/>
      <c r="G179" s="233"/>
      <c r="H179" s="224"/>
      <c r="I179" s="233"/>
      <c r="J179" s="224"/>
    </row>
    <row r="180" spans="1:10" s="73" customFormat="1" x14ac:dyDescent="0.2">
      <c r="A180" s="30"/>
      <c r="B180" s="113" t="s">
        <v>8</v>
      </c>
      <c r="C180" s="514">
        <v>61958</v>
      </c>
      <c r="D180" s="493">
        <f>-3131+1</f>
        <v>-3130</v>
      </c>
      <c r="E180" s="499">
        <f>+D180+C180</f>
        <v>58828</v>
      </c>
      <c r="F180" s="494">
        <f>58827+1</f>
        <v>58828</v>
      </c>
      <c r="G180" s="499" t="s">
        <v>437</v>
      </c>
      <c r="H180" s="494">
        <f>+F180/E180*100</f>
        <v>100</v>
      </c>
      <c r="I180" s="499">
        <v>54020</v>
      </c>
      <c r="J180" s="494">
        <v>54020</v>
      </c>
    </row>
    <row r="181" spans="1:10" s="73" customFormat="1" x14ac:dyDescent="0.2">
      <c r="A181" s="30"/>
      <c r="B181" s="113" t="s">
        <v>14</v>
      </c>
      <c r="C181" s="514">
        <v>30525</v>
      </c>
      <c r="D181" s="493">
        <v>-9209</v>
      </c>
      <c r="E181" s="499">
        <f>+D181+C181</f>
        <v>21316</v>
      </c>
      <c r="F181" s="494">
        <v>21316</v>
      </c>
      <c r="G181" s="499" t="s">
        <v>437</v>
      </c>
      <c r="H181" s="494">
        <f>+F181/E181*100</f>
        <v>100</v>
      </c>
      <c r="I181" s="499">
        <v>29115</v>
      </c>
      <c r="J181" s="494">
        <v>29115</v>
      </c>
    </row>
    <row r="182" spans="1:10" s="73" customFormat="1" x14ac:dyDescent="0.2">
      <c r="A182" s="30"/>
      <c r="B182" s="113" t="s">
        <v>66</v>
      </c>
      <c r="C182" s="514">
        <v>18676</v>
      </c>
      <c r="D182" s="493">
        <f>7234-1</f>
        <v>7233</v>
      </c>
      <c r="E182" s="499">
        <f>+D182+C182</f>
        <v>25909</v>
      </c>
      <c r="F182" s="494">
        <f>25910-1</f>
        <v>25909</v>
      </c>
      <c r="G182" s="499" t="s">
        <v>437</v>
      </c>
      <c r="H182" s="494">
        <f>+F182/E182*100</f>
        <v>100</v>
      </c>
      <c r="I182" s="499">
        <v>27311</v>
      </c>
      <c r="J182" s="494">
        <v>27311</v>
      </c>
    </row>
    <row r="183" spans="1:10" s="73" customFormat="1" x14ac:dyDescent="0.2">
      <c r="A183" s="30"/>
      <c r="B183" s="32" t="s">
        <v>17</v>
      </c>
      <c r="C183" s="514"/>
      <c r="D183" s="493"/>
      <c r="E183" s="499"/>
      <c r="F183" s="494"/>
      <c r="G183" s="499"/>
      <c r="H183" s="494"/>
      <c r="I183" s="499"/>
      <c r="J183" s="494"/>
    </row>
    <row r="184" spans="1:10" s="73" customFormat="1" x14ac:dyDescent="0.2">
      <c r="A184" s="30"/>
      <c r="B184" s="113" t="s">
        <v>14</v>
      </c>
      <c r="C184" s="514">
        <v>147000</v>
      </c>
      <c r="D184" s="493" t="s">
        <v>437</v>
      </c>
      <c r="E184" s="499">
        <f>C184</f>
        <v>147000</v>
      </c>
      <c r="F184" s="494">
        <v>147000</v>
      </c>
      <c r="G184" s="499" t="s">
        <v>437</v>
      </c>
      <c r="H184" s="494">
        <f>+F184/E184*100</f>
        <v>100</v>
      </c>
      <c r="I184" s="499">
        <v>147000</v>
      </c>
      <c r="J184" s="494">
        <v>147000</v>
      </c>
    </row>
    <row r="185" spans="1:10" s="37" customFormat="1" x14ac:dyDescent="0.2">
      <c r="A185" s="130"/>
      <c r="B185" s="28" t="s">
        <v>157</v>
      </c>
      <c r="C185" s="516">
        <f>SUM(C179:C184)</f>
        <v>258159</v>
      </c>
      <c r="D185" s="516">
        <f>SUM(D179:D184)</f>
        <v>-5106</v>
      </c>
      <c r="E185" s="516">
        <f>SUM(E179:E184)</f>
        <v>253053</v>
      </c>
      <c r="F185" s="516">
        <f>SUM(F179:F184)</f>
        <v>253053</v>
      </c>
      <c r="G185" s="516" t="s">
        <v>437</v>
      </c>
      <c r="H185" s="495">
        <f>+F185/E185*100</f>
        <v>100</v>
      </c>
      <c r="I185" s="516">
        <f>SUM(I179:I184)</f>
        <v>257446</v>
      </c>
      <c r="J185" s="516">
        <f>SUM(J179:J184)</f>
        <v>257446</v>
      </c>
    </row>
    <row r="186" spans="1:10" s="73" customFormat="1" x14ac:dyDescent="0.2">
      <c r="A186" s="134"/>
      <c r="B186" s="9"/>
      <c r="C186" s="9"/>
      <c r="D186" s="9"/>
      <c r="E186" s="9"/>
      <c r="F186" s="9"/>
      <c r="G186" s="9"/>
      <c r="H186" s="9"/>
      <c r="I186" s="9"/>
      <c r="J186" s="9"/>
    </row>
    <row r="187" spans="1:10" s="73" customFormat="1" x14ac:dyDescent="0.2">
      <c r="A187" s="129"/>
      <c r="B187" s="114"/>
      <c r="C187" s="576" t="s">
        <v>188</v>
      </c>
      <c r="D187" s="577"/>
      <c r="E187" s="577"/>
      <c r="F187" s="577"/>
      <c r="G187" s="577"/>
      <c r="H187" s="578"/>
      <c r="I187" s="576" t="s">
        <v>189</v>
      </c>
      <c r="J187" s="578"/>
    </row>
    <row r="188" spans="1:10" s="73" customFormat="1" ht="12.75" customHeight="1" x14ac:dyDescent="0.2">
      <c r="A188" s="131"/>
      <c r="B188" s="571" t="s">
        <v>192</v>
      </c>
      <c r="C188" s="105" t="s">
        <v>172</v>
      </c>
      <c r="D188" s="117" t="s">
        <v>175</v>
      </c>
      <c r="E188" s="117" t="s">
        <v>176</v>
      </c>
      <c r="F188" s="117" t="s">
        <v>178</v>
      </c>
      <c r="G188" s="117" t="s">
        <v>179</v>
      </c>
      <c r="H188" s="573" t="s">
        <v>181</v>
      </c>
      <c r="I188" s="117" t="s">
        <v>176</v>
      </c>
      <c r="J188" s="105" t="s">
        <v>178</v>
      </c>
    </row>
    <row r="189" spans="1:10" s="73" customFormat="1" ht="12.75" customHeight="1" x14ac:dyDescent="0.2">
      <c r="A189" s="131"/>
      <c r="B189" s="571"/>
      <c r="C189" s="106" t="s">
        <v>173</v>
      </c>
      <c r="D189" s="118" t="s">
        <v>174</v>
      </c>
      <c r="E189" s="118" t="s">
        <v>177</v>
      </c>
      <c r="F189" s="118" t="s">
        <v>70</v>
      </c>
      <c r="G189" s="118" t="s">
        <v>180</v>
      </c>
      <c r="H189" s="574"/>
      <c r="I189" s="118" t="s">
        <v>177</v>
      </c>
      <c r="J189" s="106" t="s">
        <v>70</v>
      </c>
    </row>
    <row r="190" spans="1:10" s="73" customFormat="1" x14ac:dyDescent="0.2">
      <c r="A190" s="132"/>
      <c r="B190" s="572"/>
      <c r="C190" s="107" t="s">
        <v>174</v>
      </c>
      <c r="D190" s="121"/>
      <c r="E190" s="119" t="s">
        <v>174</v>
      </c>
      <c r="F190" s="119" t="s">
        <v>174</v>
      </c>
      <c r="G190" s="119" t="s">
        <v>174</v>
      </c>
      <c r="H190" s="575"/>
      <c r="I190" s="119" t="s">
        <v>174</v>
      </c>
      <c r="J190" s="107" t="s">
        <v>174</v>
      </c>
    </row>
    <row r="191" spans="1:10" s="73" customFormat="1" x14ac:dyDescent="0.2">
      <c r="A191" s="30"/>
      <c r="B191" s="32" t="s">
        <v>8</v>
      </c>
      <c r="C191" s="514">
        <v>61958</v>
      </c>
      <c r="D191" s="493">
        <v>-3130</v>
      </c>
      <c r="E191" s="499">
        <f>+D191+C191</f>
        <v>58828</v>
      </c>
      <c r="F191" s="494">
        <v>58828</v>
      </c>
      <c r="G191" s="499" t="s">
        <v>437</v>
      </c>
      <c r="H191" s="494">
        <f t="shared" ref="H191:H197" si="3">+F191/E191*100</f>
        <v>100</v>
      </c>
      <c r="I191" s="499">
        <v>54020</v>
      </c>
      <c r="J191" s="494">
        <v>54020</v>
      </c>
    </row>
    <row r="192" spans="1:10" s="73" customFormat="1" x14ac:dyDescent="0.2">
      <c r="A192" s="30"/>
      <c r="B192" s="32" t="s">
        <v>9</v>
      </c>
      <c r="C192" s="514">
        <v>676</v>
      </c>
      <c r="D192" s="493">
        <v>976</v>
      </c>
      <c r="E192" s="499">
        <f>+D192+C192</f>
        <v>1652</v>
      </c>
      <c r="F192" s="494">
        <v>1652</v>
      </c>
      <c r="G192" s="499" t="s">
        <v>437</v>
      </c>
      <c r="H192" s="494">
        <f t="shared" si="3"/>
        <v>100</v>
      </c>
      <c r="I192" s="499">
        <v>744</v>
      </c>
      <c r="J192" s="494">
        <v>744</v>
      </c>
    </row>
    <row r="193" spans="1:10" s="73" customFormat="1" x14ac:dyDescent="0.2">
      <c r="A193" s="30"/>
      <c r="B193" s="79" t="s">
        <v>10</v>
      </c>
      <c r="C193" s="514" t="s">
        <v>437</v>
      </c>
      <c r="D193" s="493">
        <v>1</v>
      </c>
      <c r="E193" s="499">
        <f>+D193</f>
        <v>1</v>
      </c>
      <c r="F193" s="494">
        <v>1</v>
      </c>
      <c r="G193" s="499" t="s">
        <v>437</v>
      </c>
      <c r="H193" s="494">
        <f>+F193/E193*100</f>
        <v>100</v>
      </c>
      <c r="I193" s="499">
        <v>27</v>
      </c>
      <c r="J193" s="494">
        <v>27</v>
      </c>
    </row>
    <row r="194" spans="1:10" s="73" customFormat="1" x14ac:dyDescent="0.2">
      <c r="A194" s="30"/>
      <c r="B194" s="32" t="s">
        <v>11</v>
      </c>
      <c r="C194" s="514" t="s">
        <v>437</v>
      </c>
      <c r="D194" s="493">
        <v>1</v>
      </c>
      <c r="E194" s="499">
        <f>+D194</f>
        <v>1</v>
      </c>
      <c r="F194" s="494">
        <v>1</v>
      </c>
      <c r="G194" s="499" t="s">
        <v>437</v>
      </c>
      <c r="H194" s="494">
        <f t="shared" si="3"/>
        <v>100</v>
      </c>
      <c r="I194" s="499" t="s">
        <v>437</v>
      </c>
      <c r="J194" s="494" t="s">
        <v>437</v>
      </c>
    </row>
    <row r="195" spans="1:10" s="73" customFormat="1" ht="25.5" x14ac:dyDescent="0.2">
      <c r="A195" s="30"/>
      <c r="B195" s="32" t="s">
        <v>13</v>
      </c>
      <c r="C195" s="514">
        <v>18000</v>
      </c>
      <c r="D195" s="493">
        <v>6255</v>
      </c>
      <c r="E195" s="499">
        <f>+D195+C195</f>
        <v>24255</v>
      </c>
      <c r="F195" s="494">
        <v>24255</v>
      </c>
      <c r="G195" s="499" t="s">
        <v>437</v>
      </c>
      <c r="H195" s="494">
        <f t="shared" si="3"/>
        <v>100</v>
      </c>
      <c r="I195" s="499">
        <v>26540</v>
      </c>
      <c r="J195" s="494">
        <v>26540</v>
      </c>
    </row>
    <row r="196" spans="1:10" s="73" customFormat="1" x14ac:dyDescent="0.2">
      <c r="A196" s="30"/>
      <c r="B196" s="32" t="s">
        <v>14</v>
      </c>
      <c r="C196" s="514">
        <v>177525</v>
      </c>
      <c r="D196" s="493">
        <v>-9209</v>
      </c>
      <c r="E196" s="499">
        <f>+D196+C196</f>
        <v>168316</v>
      </c>
      <c r="F196" s="494">
        <v>168316</v>
      </c>
      <c r="G196" s="499" t="s">
        <v>437</v>
      </c>
      <c r="H196" s="494">
        <f t="shared" si="3"/>
        <v>100</v>
      </c>
      <c r="I196" s="499">
        <v>176115</v>
      </c>
      <c r="J196" s="494">
        <v>176115</v>
      </c>
    </row>
    <row r="197" spans="1:10" s="37" customFormat="1" x14ac:dyDescent="0.2">
      <c r="A197" s="130"/>
      <c r="B197" s="28" t="s">
        <v>157</v>
      </c>
      <c r="C197" s="516">
        <f>SUM(C191:C196)</f>
        <v>258159</v>
      </c>
      <c r="D197" s="516">
        <f>SUM(D191:D196)</f>
        <v>-5106</v>
      </c>
      <c r="E197" s="516">
        <f>SUM(E191:E196)</f>
        <v>253053</v>
      </c>
      <c r="F197" s="516">
        <f>SUM(F191:F196)</f>
        <v>253053</v>
      </c>
      <c r="G197" s="516" t="s">
        <v>437</v>
      </c>
      <c r="H197" s="495">
        <f t="shared" si="3"/>
        <v>100</v>
      </c>
      <c r="I197" s="516">
        <f>SUM(I191:I196)</f>
        <v>257446</v>
      </c>
      <c r="J197" s="516">
        <f>SUM(J191:J196)</f>
        <v>257446</v>
      </c>
    </row>
    <row r="198" spans="1:10" s="73" customFormat="1" x14ac:dyDescent="0.2">
      <c r="A198" s="26"/>
      <c r="B198" s="26"/>
    </row>
    <row r="199" spans="1:10" s="73" customFormat="1" x14ac:dyDescent="0.2">
      <c r="A199" s="523" t="s">
        <v>198</v>
      </c>
      <c r="B199" s="523"/>
      <c r="C199" s="523"/>
      <c r="D199" s="523"/>
      <c r="E199" s="523"/>
      <c r="F199" s="523"/>
      <c r="G199" s="523"/>
      <c r="H199" s="523"/>
      <c r="I199" s="523"/>
      <c r="J199" s="523"/>
    </row>
    <row r="200" spans="1:10" s="1" customFormat="1" x14ac:dyDescent="0.2">
      <c r="A200" s="523" t="s">
        <v>472</v>
      </c>
      <c r="B200" s="523"/>
      <c r="C200" s="523"/>
      <c r="D200" s="523"/>
      <c r="E200" s="523"/>
      <c r="F200" s="523"/>
      <c r="G200" s="523"/>
      <c r="H200" s="523"/>
      <c r="I200" s="523"/>
      <c r="J200" s="523"/>
    </row>
    <row r="201" spans="1:10" s="73" customFormat="1" x14ac:dyDescent="0.2">
      <c r="A201" s="26"/>
      <c r="B201" s="26"/>
    </row>
    <row r="202" spans="1:10" s="73" customFormat="1" x14ac:dyDescent="0.2">
      <c r="A202" s="129"/>
      <c r="B202" s="114"/>
      <c r="C202" s="576" t="s">
        <v>188</v>
      </c>
      <c r="D202" s="577"/>
      <c r="E202" s="577"/>
      <c r="F202" s="577"/>
      <c r="G202" s="577"/>
      <c r="H202" s="578"/>
      <c r="I202" s="569" t="s">
        <v>189</v>
      </c>
      <c r="J202" s="570"/>
    </row>
    <row r="203" spans="1:10" s="73" customFormat="1" ht="12.75" customHeight="1" x14ac:dyDescent="0.2">
      <c r="A203" s="131"/>
      <c r="B203" s="571" t="s">
        <v>195</v>
      </c>
      <c r="C203" s="117" t="s">
        <v>172</v>
      </c>
      <c r="D203" s="117" t="s">
        <v>175</v>
      </c>
      <c r="E203" s="117" t="s">
        <v>176</v>
      </c>
      <c r="F203" s="117" t="s">
        <v>178</v>
      </c>
      <c r="G203" s="117" t="s">
        <v>179</v>
      </c>
      <c r="H203" s="573" t="s">
        <v>181</v>
      </c>
      <c r="I203" s="117" t="s">
        <v>176</v>
      </c>
      <c r="J203" s="105" t="s">
        <v>178</v>
      </c>
    </row>
    <row r="204" spans="1:10" s="73" customFormat="1" ht="12.75" customHeight="1" x14ac:dyDescent="0.2">
      <c r="A204" s="131"/>
      <c r="B204" s="571"/>
      <c r="C204" s="118" t="s">
        <v>173</v>
      </c>
      <c r="D204" s="118" t="s">
        <v>174</v>
      </c>
      <c r="E204" s="118" t="s">
        <v>177</v>
      </c>
      <c r="F204" s="118" t="s">
        <v>70</v>
      </c>
      <c r="G204" s="118" t="s">
        <v>180</v>
      </c>
      <c r="H204" s="574"/>
      <c r="I204" s="118" t="s">
        <v>177</v>
      </c>
      <c r="J204" s="106" t="s">
        <v>70</v>
      </c>
    </row>
    <row r="205" spans="1:10" s="73" customFormat="1" x14ac:dyDescent="0.2">
      <c r="A205" s="132"/>
      <c r="B205" s="580"/>
      <c r="C205" s="119" t="s">
        <v>174</v>
      </c>
      <c r="D205" s="120"/>
      <c r="E205" s="119" t="s">
        <v>174</v>
      </c>
      <c r="F205" s="119" t="s">
        <v>174</v>
      </c>
      <c r="G205" s="119" t="s">
        <v>174</v>
      </c>
      <c r="H205" s="575"/>
      <c r="I205" s="119" t="s">
        <v>174</v>
      </c>
      <c r="J205" s="107" t="s">
        <v>174</v>
      </c>
    </row>
    <row r="206" spans="1:10" s="73" customFormat="1" x14ac:dyDescent="0.2">
      <c r="A206" s="389">
        <v>4.0999999999999996</v>
      </c>
      <c r="B206" s="502" t="s">
        <v>309</v>
      </c>
      <c r="C206" s="229"/>
      <c r="E206" s="230"/>
      <c r="F206" s="231"/>
      <c r="G206" s="230"/>
      <c r="H206" s="231"/>
      <c r="I206" s="230"/>
      <c r="J206" s="230"/>
    </row>
    <row r="207" spans="1:10" s="73" customFormat="1" x14ac:dyDescent="0.2">
      <c r="A207" s="30"/>
      <c r="B207" s="113" t="s">
        <v>7</v>
      </c>
      <c r="C207" s="507">
        <v>5890</v>
      </c>
      <c r="D207" s="508">
        <v>371</v>
      </c>
      <c r="E207" s="494">
        <f>+D207+C207</f>
        <v>6261</v>
      </c>
      <c r="F207" s="499">
        <v>6261</v>
      </c>
      <c r="G207" s="499" t="s">
        <v>437</v>
      </c>
      <c r="H207" s="494">
        <f>+F207/E207*100</f>
        <v>100</v>
      </c>
      <c r="I207" s="494">
        <v>3922</v>
      </c>
      <c r="J207" s="494">
        <v>4683</v>
      </c>
    </row>
    <row r="208" spans="1:10" s="73" customFormat="1" x14ac:dyDescent="0.2">
      <c r="A208" s="30"/>
      <c r="B208" s="113" t="s">
        <v>17</v>
      </c>
      <c r="C208" s="507">
        <v>80</v>
      </c>
      <c r="D208" s="508">
        <v>31</v>
      </c>
      <c r="E208" s="494">
        <f>+D208+C208</f>
        <v>111</v>
      </c>
      <c r="F208" s="499">
        <v>111</v>
      </c>
      <c r="G208" s="499" t="s">
        <v>437</v>
      </c>
      <c r="H208" s="494">
        <f>+F208/E208*100</f>
        <v>100</v>
      </c>
      <c r="I208" s="494">
        <v>607</v>
      </c>
      <c r="J208" s="494">
        <v>603</v>
      </c>
    </row>
    <row r="209" spans="1:10" s="73" customFormat="1" ht="25.5" x14ac:dyDescent="0.2">
      <c r="A209" s="389">
        <v>4.2</v>
      </c>
      <c r="B209" s="8" t="s">
        <v>319</v>
      </c>
      <c r="C209" s="507"/>
      <c r="D209" s="508"/>
      <c r="E209" s="494"/>
      <c r="F209" s="499"/>
      <c r="G209" s="494"/>
      <c r="H209" s="499"/>
      <c r="I209" s="494"/>
      <c r="J209" s="494"/>
    </row>
    <row r="210" spans="1:10" s="73" customFormat="1" x14ac:dyDescent="0.2">
      <c r="A210" s="30"/>
      <c r="B210" s="113" t="s">
        <v>7</v>
      </c>
      <c r="C210" s="507">
        <v>6113</v>
      </c>
      <c r="D210" s="508">
        <v>-700</v>
      </c>
      <c r="E210" s="494">
        <f>+D210+C210</f>
        <v>5413</v>
      </c>
      <c r="F210" s="499">
        <v>5413</v>
      </c>
      <c r="G210" s="499" t="s">
        <v>437</v>
      </c>
      <c r="H210" s="494">
        <f>+F210/E210*100</f>
        <v>100</v>
      </c>
      <c r="I210" s="494">
        <v>7563</v>
      </c>
      <c r="J210" s="494">
        <v>7221</v>
      </c>
    </row>
    <row r="211" spans="1:10" s="73" customFormat="1" x14ac:dyDescent="0.2">
      <c r="A211" s="30"/>
      <c r="B211" s="113" t="s">
        <v>17</v>
      </c>
      <c r="C211" s="507">
        <v>146</v>
      </c>
      <c r="D211" s="508">
        <v>-124</v>
      </c>
      <c r="E211" s="494">
        <f>+D211+C211</f>
        <v>22</v>
      </c>
      <c r="F211" s="499">
        <v>22</v>
      </c>
      <c r="G211" s="499" t="s">
        <v>437</v>
      </c>
      <c r="H211" s="494">
        <f>+F211/E211*100</f>
        <v>100</v>
      </c>
      <c r="I211" s="499" t="s">
        <v>437</v>
      </c>
      <c r="J211" s="494">
        <v>66</v>
      </c>
    </row>
    <row r="212" spans="1:10" s="73" customFormat="1" ht="25.5" x14ac:dyDescent="0.2">
      <c r="A212" s="389">
        <v>4.3</v>
      </c>
      <c r="B212" s="8" t="s">
        <v>320</v>
      </c>
      <c r="C212" s="507"/>
      <c r="D212" s="508"/>
      <c r="E212" s="494"/>
      <c r="F212" s="499"/>
      <c r="G212" s="494"/>
      <c r="H212" s="499"/>
      <c r="I212" s="494"/>
      <c r="J212" s="494"/>
    </row>
    <row r="213" spans="1:10" s="73" customFormat="1" x14ac:dyDescent="0.2">
      <c r="A213" s="30"/>
      <c r="B213" s="113" t="s">
        <v>7</v>
      </c>
      <c r="C213" s="507">
        <v>1955</v>
      </c>
      <c r="D213" s="508">
        <v>213</v>
      </c>
      <c r="E213" s="494">
        <f>+D213+C213</f>
        <v>2168</v>
      </c>
      <c r="F213" s="499">
        <v>2168</v>
      </c>
      <c r="G213" s="499" t="s">
        <v>437</v>
      </c>
      <c r="H213" s="494">
        <f>+F213/E213*100</f>
        <v>100</v>
      </c>
      <c r="I213" s="494">
        <v>1924</v>
      </c>
      <c r="J213" s="494">
        <v>1553</v>
      </c>
    </row>
    <row r="214" spans="1:10" s="73" customFormat="1" x14ac:dyDescent="0.2">
      <c r="A214" s="30"/>
      <c r="B214" s="113" t="s">
        <v>17</v>
      </c>
      <c r="C214" s="507">
        <v>16</v>
      </c>
      <c r="D214" s="508">
        <v>60</v>
      </c>
      <c r="E214" s="494">
        <f>+D214+C214</f>
        <v>76</v>
      </c>
      <c r="F214" s="499">
        <v>76</v>
      </c>
      <c r="G214" s="499" t="s">
        <v>437</v>
      </c>
      <c r="H214" s="494">
        <f>+F214/E214*100</f>
        <v>100</v>
      </c>
      <c r="I214" s="499" t="s">
        <v>437</v>
      </c>
      <c r="J214" s="494">
        <v>32</v>
      </c>
    </row>
    <row r="215" spans="1:10" s="73" customFormat="1" ht="51" x14ac:dyDescent="0.2">
      <c r="A215" s="389">
        <v>4.4000000000000004</v>
      </c>
      <c r="B215" s="8" t="s">
        <v>495</v>
      </c>
      <c r="C215" s="507"/>
      <c r="D215" s="508"/>
      <c r="E215" s="494"/>
      <c r="F215" s="499"/>
      <c r="G215" s="494"/>
      <c r="H215" s="499"/>
      <c r="I215" s="494"/>
      <c r="J215" s="494"/>
    </row>
    <row r="216" spans="1:10" s="73" customFormat="1" x14ac:dyDescent="0.2">
      <c r="A216" s="30"/>
      <c r="B216" s="113" t="s">
        <v>7</v>
      </c>
      <c r="C216" s="507">
        <v>2132</v>
      </c>
      <c r="D216" s="508">
        <v>304</v>
      </c>
      <c r="E216" s="494">
        <f>+D216+C216</f>
        <v>2436</v>
      </c>
      <c r="F216" s="499">
        <v>2436</v>
      </c>
      <c r="G216" s="499" t="s">
        <v>437</v>
      </c>
      <c r="H216" s="494">
        <f>+F216/E216*100</f>
        <v>100</v>
      </c>
      <c r="I216" s="494">
        <v>2014</v>
      </c>
      <c r="J216" s="494">
        <v>1895</v>
      </c>
    </row>
    <row r="217" spans="1:10" s="73" customFormat="1" x14ac:dyDescent="0.2">
      <c r="A217" s="30"/>
      <c r="B217" s="113" t="s">
        <v>17</v>
      </c>
      <c r="C217" s="507">
        <v>15</v>
      </c>
      <c r="D217" s="508">
        <v>-1</v>
      </c>
      <c r="E217" s="494">
        <f>+D217+C217</f>
        <v>14</v>
      </c>
      <c r="F217" s="499">
        <v>14</v>
      </c>
      <c r="G217" s="499" t="s">
        <v>437</v>
      </c>
      <c r="H217" s="494">
        <f>+F217/E217*100</f>
        <v>100</v>
      </c>
      <c r="I217" s="499" t="s">
        <v>437</v>
      </c>
      <c r="J217" s="494">
        <v>28</v>
      </c>
    </row>
    <row r="218" spans="1:10" s="73" customFormat="1" ht="25.5" x14ac:dyDescent="0.2">
      <c r="A218" s="389">
        <v>4.5</v>
      </c>
      <c r="B218" s="8" t="s">
        <v>321</v>
      </c>
      <c r="C218" s="507"/>
      <c r="D218" s="508"/>
      <c r="E218" s="494"/>
      <c r="F218" s="499"/>
      <c r="G218" s="494"/>
      <c r="H218" s="499"/>
      <c r="I218" s="494"/>
      <c r="J218" s="494"/>
    </row>
    <row r="219" spans="1:10" s="73" customFormat="1" x14ac:dyDescent="0.2">
      <c r="A219" s="30"/>
      <c r="B219" s="113" t="s">
        <v>7</v>
      </c>
      <c r="C219" s="507">
        <v>2638</v>
      </c>
      <c r="D219" s="508">
        <v>-1218</v>
      </c>
      <c r="E219" s="494">
        <f>+D219+C219</f>
        <v>1420</v>
      </c>
      <c r="F219" s="499">
        <v>1420</v>
      </c>
      <c r="G219" s="499" t="s">
        <v>437</v>
      </c>
      <c r="H219" s="494">
        <f>+F219/E219*100</f>
        <v>100</v>
      </c>
      <c r="I219" s="494">
        <v>1157</v>
      </c>
      <c r="J219" s="494">
        <v>1066</v>
      </c>
    </row>
    <row r="220" spans="1:10" s="73" customFormat="1" x14ac:dyDescent="0.2">
      <c r="A220" s="30"/>
      <c r="B220" s="113" t="s">
        <v>17</v>
      </c>
      <c r="C220" s="507">
        <v>60</v>
      </c>
      <c r="D220" s="508">
        <v>110</v>
      </c>
      <c r="E220" s="494">
        <f>+D220+C220</f>
        <v>170</v>
      </c>
      <c r="F220" s="499">
        <v>170</v>
      </c>
      <c r="G220" s="499" t="s">
        <v>437</v>
      </c>
      <c r="H220" s="494">
        <f>+F220/E220*100</f>
        <v>100</v>
      </c>
      <c r="I220" s="499" t="s">
        <v>437</v>
      </c>
      <c r="J220" s="494">
        <v>40</v>
      </c>
    </row>
    <row r="221" spans="1:10" s="73" customFormat="1" x14ac:dyDescent="0.2">
      <c r="A221" s="389">
        <v>4.5999999999999996</v>
      </c>
      <c r="B221" s="8" t="s">
        <v>322</v>
      </c>
      <c r="C221" s="507"/>
      <c r="D221" s="508"/>
      <c r="E221" s="494"/>
      <c r="F221" s="499"/>
      <c r="G221" s="494"/>
      <c r="H221" s="499"/>
      <c r="I221" s="494"/>
      <c r="J221" s="494"/>
    </row>
    <row r="222" spans="1:10" s="73" customFormat="1" x14ac:dyDescent="0.2">
      <c r="A222" s="30"/>
      <c r="B222" s="113" t="s">
        <v>7</v>
      </c>
      <c r="C222" s="507">
        <v>150000</v>
      </c>
      <c r="D222" s="508">
        <v>334</v>
      </c>
      <c r="E222" s="494">
        <f>+D222+C222</f>
        <v>150334</v>
      </c>
      <c r="F222" s="499">
        <v>150334</v>
      </c>
      <c r="G222" s="499" t="s">
        <v>437</v>
      </c>
      <c r="H222" s="494">
        <f>+F222/E222*100</f>
        <v>100</v>
      </c>
      <c r="I222" s="494">
        <v>150000</v>
      </c>
      <c r="J222" s="494">
        <v>150000</v>
      </c>
    </row>
    <row r="223" spans="1:10" s="73" customFormat="1" x14ac:dyDescent="0.2">
      <c r="A223" s="389">
        <v>4.7</v>
      </c>
      <c r="B223" s="8" t="s">
        <v>323</v>
      </c>
      <c r="C223" s="507"/>
      <c r="D223" s="508"/>
      <c r="E223" s="494"/>
      <c r="F223" s="499"/>
      <c r="G223" s="494"/>
      <c r="H223" s="499"/>
      <c r="I223" s="494"/>
      <c r="J223" s="494"/>
    </row>
    <row r="224" spans="1:10" s="73" customFormat="1" x14ac:dyDescent="0.2">
      <c r="A224" s="30"/>
      <c r="B224" s="113" t="s">
        <v>7</v>
      </c>
      <c r="C224" s="507">
        <v>68668</v>
      </c>
      <c r="D224" s="508">
        <v>580</v>
      </c>
      <c r="E224" s="494">
        <f>+D224+C224</f>
        <v>69248</v>
      </c>
      <c r="F224" s="499">
        <v>69248</v>
      </c>
      <c r="G224" s="499" t="s">
        <v>437</v>
      </c>
      <c r="H224" s="494">
        <f>+F224/E224*100</f>
        <v>100</v>
      </c>
      <c r="I224" s="494">
        <v>67871</v>
      </c>
      <c r="J224" s="494">
        <v>67871</v>
      </c>
    </row>
    <row r="225" spans="1:10" s="73" customFormat="1" x14ac:dyDescent="0.2">
      <c r="A225" s="389">
        <v>4.8</v>
      </c>
      <c r="B225" s="8" t="s">
        <v>324</v>
      </c>
      <c r="C225" s="507"/>
      <c r="D225" s="508"/>
      <c r="E225" s="494"/>
      <c r="F225" s="499"/>
      <c r="G225" s="494"/>
      <c r="H225" s="499"/>
      <c r="I225" s="494"/>
      <c r="J225" s="494"/>
    </row>
    <row r="226" spans="1:10" s="73" customFormat="1" x14ac:dyDescent="0.2">
      <c r="A226" s="30"/>
      <c r="B226" s="113" t="s">
        <v>7</v>
      </c>
      <c r="C226" s="507">
        <v>66900</v>
      </c>
      <c r="D226" s="508">
        <v>29760</v>
      </c>
      <c r="E226" s="494">
        <f>+D226+C226</f>
        <v>96660</v>
      </c>
      <c r="F226" s="499">
        <v>96660</v>
      </c>
      <c r="G226" s="499" t="s">
        <v>437</v>
      </c>
      <c r="H226" s="494">
        <f>+F226/E226*100</f>
        <v>100</v>
      </c>
      <c r="I226" s="494">
        <v>93144</v>
      </c>
      <c r="J226" s="494">
        <v>93144</v>
      </c>
    </row>
    <row r="227" spans="1:10" s="73" customFormat="1" x14ac:dyDescent="0.2">
      <c r="A227" s="135"/>
      <c r="B227" s="390" t="s">
        <v>157</v>
      </c>
      <c r="C227" s="510">
        <f>SUM(C206:C226)</f>
        <v>304613</v>
      </c>
      <c r="D227" s="510">
        <f>SUM(D206:D226)</f>
        <v>29720</v>
      </c>
      <c r="E227" s="510">
        <f>SUM(E206:E226)</f>
        <v>334333</v>
      </c>
      <c r="F227" s="510">
        <f>SUM(F206:F226)</f>
        <v>334333</v>
      </c>
      <c r="G227" s="510" t="s">
        <v>437</v>
      </c>
      <c r="H227" s="495">
        <f>+F227/E227*100</f>
        <v>100</v>
      </c>
      <c r="I227" s="510">
        <f>SUM(I206:I226)</f>
        <v>328202</v>
      </c>
      <c r="J227" s="510">
        <f>SUM(J206:J226)</f>
        <v>328202</v>
      </c>
    </row>
    <row r="228" spans="1:10" s="73" customFormat="1" x14ac:dyDescent="0.2">
      <c r="A228" s="111"/>
      <c r="B228" s="28"/>
      <c r="C228" s="28"/>
      <c r="D228" s="28"/>
      <c r="E228" s="28"/>
      <c r="F228" s="28"/>
      <c r="G228" s="28"/>
      <c r="H228" s="28"/>
      <c r="I228" s="28"/>
      <c r="J228" s="28"/>
    </row>
    <row r="229" spans="1:10" s="73" customFormat="1" x14ac:dyDescent="0.2">
      <c r="A229" s="129"/>
      <c r="B229" s="114"/>
      <c r="C229" s="576" t="s">
        <v>188</v>
      </c>
      <c r="D229" s="577"/>
      <c r="E229" s="577"/>
      <c r="F229" s="577"/>
      <c r="G229" s="577"/>
      <c r="H229" s="578"/>
      <c r="I229" s="569" t="s">
        <v>189</v>
      </c>
      <c r="J229" s="570"/>
    </row>
    <row r="230" spans="1:10" s="73" customFormat="1" ht="12.75" customHeight="1" x14ac:dyDescent="0.2">
      <c r="A230" s="131"/>
      <c r="B230" s="579" t="s">
        <v>190</v>
      </c>
      <c r="C230" s="105" t="s">
        <v>172</v>
      </c>
      <c r="D230" s="125" t="s">
        <v>175</v>
      </c>
      <c r="E230" s="117" t="s">
        <v>176</v>
      </c>
      <c r="F230" s="117" t="s">
        <v>178</v>
      </c>
      <c r="G230" s="117" t="s">
        <v>179</v>
      </c>
      <c r="H230" s="573" t="s">
        <v>181</v>
      </c>
      <c r="I230" s="117" t="s">
        <v>176</v>
      </c>
      <c r="J230" s="105" t="s">
        <v>178</v>
      </c>
    </row>
    <row r="231" spans="1:10" s="73" customFormat="1" ht="12.75" customHeight="1" x14ac:dyDescent="0.2">
      <c r="A231" s="131"/>
      <c r="B231" s="579"/>
      <c r="C231" s="106" t="s">
        <v>173</v>
      </c>
      <c r="D231" s="124"/>
      <c r="E231" s="118" t="s">
        <v>177</v>
      </c>
      <c r="F231" s="118" t="s">
        <v>70</v>
      </c>
      <c r="G231" s="118" t="s">
        <v>180</v>
      </c>
      <c r="H231" s="574"/>
      <c r="I231" s="118" t="s">
        <v>177</v>
      </c>
      <c r="J231" s="106" t="s">
        <v>70</v>
      </c>
    </row>
    <row r="232" spans="1:10" s="73" customFormat="1" x14ac:dyDescent="0.2">
      <c r="A232" s="132"/>
      <c r="B232" s="572"/>
      <c r="C232" s="107" t="s">
        <v>174</v>
      </c>
      <c r="D232" s="124" t="s">
        <v>174</v>
      </c>
      <c r="E232" s="119" t="s">
        <v>174</v>
      </c>
      <c r="F232" s="119" t="s">
        <v>174</v>
      </c>
      <c r="G232" s="119" t="s">
        <v>174</v>
      </c>
      <c r="H232" s="575"/>
      <c r="I232" s="119" t="s">
        <v>174</v>
      </c>
      <c r="J232" s="107" t="s">
        <v>174</v>
      </c>
    </row>
    <row r="233" spans="1:10" s="73" customFormat="1" x14ac:dyDescent="0.2">
      <c r="A233" s="129"/>
      <c r="B233" s="114" t="s">
        <v>7</v>
      </c>
      <c r="C233" s="361"/>
      <c r="D233" s="226"/>
      <c r="E233" s="227"/>
      <c r="F233" s="228"/>
      <c r="G233" s="227"/>
      <c r="H233" s="228"/>
      <c r="I233" s="227"/>
      <c r="J233" s="228"/>
    </row>
    <row r="234" spans="1:10" s="73" customFormat="1" x14ac:dyDescent="0.2">
      <c r="A234" s="30"/>
      <c r="B234" s="113" t="s">
        <v>8</v>
      </c>
      <c r="C234" s="514">
        <v>8264</v>
      </c>
      <c r="D234" s="493">
        <v>-838</v>
      </c>
      <c r="E234" s="494">
        <f>+D234+C234</f>
        <v>7426</v>
      </c>
      <c r="F234" s="494">
        <v>7426</v>
      </c>
      <c r="G234" s="499" t="s">
        <v>437</v>
      </c>
      <c r="H234" s="494">
        <f>+F234/E234*100</f>
        <v>100</v>
      </c>
      <c r="I234" s="499">
        <v>4330</v>
      </c>
      <c r="J234" s="494">
        <v>4330</v>
      </c>
    </row>
    <row r="235" spans="1:10" s="73" customFormat="1" x14ac:dyDescent="0.2">
      <c r="A235" s="30"/>
      <c r="B235" s="113" t="s">
        <v>14</v>
      </c>
      <c r="C235" s="514">
        <v>285568</v>
      </c>
      <c r="D235" s="493">
        <v>30674</v>
      </c>
      <c r="E235" s="494">
        <f>+D235+C235</f>
        <v>316242</v>
      </c>
      <c r="F235" s="494">
        <v>316242</v>
      </c>
      <c r="G235" s="499" t="s">
        <v>437</v>
      </c>
      <c r="H235" s="494">
        <f>+F235/E235*100</f>
        <v>100</v>
      </c>
      <c r="I235" s="499">
        <v>311015</v>
      </c>
      <c r="J235" s="494">
        <v>311016</v>
      </c>
    </row>
    <row r="236" spans="1:10" s="73" customFormat="1" x14ac:dyDescent="0.2">
      <c r="A236" s="30"/>
      <c r="B236" s="113" t="s">
        <v>66</v>
      </c>
      <c r="C236" s="514">
        <v>10464</v>
      </c>
      <c r="D236" s="493">
        <v>-192</v>
      </c>
      <c r="E236" s="494">
        <f>+D236+C236</f>
        <v>10272</v>
      </c>
      <c r="F236" s="494">
        <v>10272</v>
      </c>
      <c r="G236" s="499" t="s">
        <v>437</v>
      </c>
      <c r="H236" s="494">
        <f>+F236/E236*100</f>
        <v>100</v>
      </c>
      <c r="I236" s="499">
        <v>12250</v>
      </c>
      <c r="J236" s="494">
        <v>12087</v>
      </c>
    </row>
    <row r="237" spans="1:10" s="73" customFormat="1" x14ac:dyDescent="0.2">
      <c r="A237" s="30"/>
      <c r="B237" s="32" t="s">
        <v>17</v>
      </c>
      <c r="C237" s="514"/>
      <c r="D237" s="493"/>
      <c r="E237" s="499"/>
      <c r="F237" s="494"/>
      <c r="G237" s="499"/>
      <c r="H237" s="494"/>
      <c r="I237" s="499"/>
      <c r="J237" s="494"/>
    </row>
    <row r="238" spans="1:10" s="73" customFormat="1" ht="12.75" customHeight="1" x14ac:dyDescent="0.2">
      <c r="A238" s="30"/>
      <c r="B238" s="113" t="s">
        <v>191</v>
      </c>
      <c r="C238" s="514">
        <v>317</v>
      </c>
      <c r="D238" s="493">
        <v>76</v>
      </c>
      <c r="E238" s="494">
        <f>+D238+C238</f>
        <v>393</v>
      </c>
      <c r="F238" s="494">
        <v>393</v>
      </c>
      <c r="G238" s="499" t="s">
        <v>437</v>
      </c>
      <c r="H238" s="494">
        <f>+F238/E238*100</f>
        <v>100</v>
      </c>
      <c r="I238" s="499">
        <v>607</v>
      </c>
      <c r="J238" s="494">
        <v>769</v>
      </c>
    </row>
    <row r="239" spans="1:10" s="73" customFormat="1" x14ac:dyDescent="0.2">
      <c r="A239" s="130"/>
      <c r="B239" s="28" t="s">
        <v>157</v>
      </c>
      <c r="C239" s="516">
        <f>SUM(C233:C238)</f>
        <v>304613</v>
      </c>
      <c r="D239" s="516">
        <f>SUM(D233:D238)</f>
        <v>29720</v>
      </c>
      <c r="E239" s="516">
        <f>SUM(E233:E238)</f>
        <v>334333</v>
      </c>
      <c r="F239" s="516">
        <f>SUM(F233:F238)</f>
        <v>334333</v>
      </c>
      <c r="G239" s="516" t="s">
        <v>437</v>
      </c>
      <c r="H239" s="495">
        <f>+F239/E239*100</f>
        <v>100</v>
      </c>
      <c r="I239" s="516">
        <f>SUM(I233:I238)</f>
        <v>328202</v>
      </c>
      <c r="J239" s="516">
        <f>SUM(J233:J238)</f>
        <v>328202</v>
      </c>
    </row>
    <row r="240" spans="1:10" s="73" customFormat="1" x14ac:dyDescent="0.2">
      <c r="A240" s="59"/>
      <c r="B240" s="10"/>
      <c r="D240" s="10"/>
      <c r="E240" s="10"/>
      <c r="F240" s="10"/>
      <c r="G240" s="10"/>
      <c r="H240" s="10"/>
      <c r="I240" s="10"/>
      <c r="J240" s="10"/>
    </row>
    <row r="241" spans="1:10" s="73" customFormat="1" x14ac:dyDescent="0.2">
      <c r="A241" s="129"/>
      <c r="B241" s="114"/>
      <c r="C241" s="576" t="s">
        <v>188</v>
      </c>
      <c r="D241" s="577"/>
      <c r="E241" s="577"/>
      <c r="F241" s="577"/>
      <c r="G241" s="577"/>
      <c r="H241" s="578"/>
      <c r="I241" s="569" t="s">
        <v>189</v>
      </c>
      <c r="J241" s="570"/>
    </row>
    <row r="242" spans="1:10" s="73" customFormat="1" ht="12.75" customHeight="1" x14ac:dyDescent="0.2">
      <c r="A242" s="131"/>
      <c r="B242" s="571" t="s">
        <v>192</v>
      </c>
      <c r="C242" s="105" t="s">
        <v>172</v>
      </c>
      <c r="D242" s="117" t="s">
        <v>175</v>
      </c>
      <c r="E242" s="117" t="s">
        <v>176</v>
      </c>
      <c r="F242" s="117" t="s">
        <v>178</v>
      </c>
      <c r="G242" s="117" t="s">
        <v>179</v>
      </c>
      <c r="H242" s="573" t="s">
        <v>181</v>
      </c>
      <c r="I242" s="117" t="s">
        <v>176</v>
      </c>
      <c r="J242" s="105" t="s">
        <v>178</v>
      </c>
    </row>
    <row r="243" spans="1:10" s="73" customFormat="1" ht="12.75" customHeight="1" x14ac:dyDescent="0.2">
      <c r="A243" s="131"/>
      <c r="B243" s="571"/>
      <c r="C243" s="106" t="s">
        <v>173</v>
      </c>
      <c r="D243" s="118" t="s">
        <v>174</v>
      </c>
      <c r="E243" s="118" t="s">
        <v>177</v>
      </c>
      <c r="F243" s="118" t="s">
        <v>70</v>
      </c>
      <c r="G243" s="118" t="s">
        <v>180</v>
      </c>
      <c r="H243" s="574"/>
      <c r="I243" s="118" t="s">
        <v>177</v>
      </c>
      <c r="J243" s="106" t="s">
        <v>70</v>
      </c>
    </row>
    <row r="244" spans="1:10" s="73" customFormat="1" x14ac:dyDescent="0.2">
      <c r="A244" s="132"/>
      <c r="B244" s="572"/>
      <c r="C244" s="107" t="s">
        <v>174</v>
      </c>
      <c r="D244" s="121"/>
      <c r="E244" s="119" t="s">
        <v>174</v>
      </c>
      <c r="F244" s="119" t="s">
        <v>174</v>
      </c>
      <c r="G244" s="119" t="s">
        <v>174</v>
      </c>
      <c r="H244" s="575"/>
      <c r="I244" s="119" t="s">
        <v>174</v>
      </c>
      <c r="J244" s="107" t="s">
        <v>174</v>
      </c>
    </row>
    <row r="245" spans="1:10" s="73" customFormat="1" x14ac:dyDescent="0.2">
      <c r="A245" s="30"/>
      <c r="B245" s="32" t="s">
        <v>8</v>
      </c>
      <c r="C245" s="514">
        <v>8264</v>
      </c>
      <c r="D245" s="493">
        <v>-838</v>
      </c>
      <c r="E245" s="494">
        <f t="shared" ref="E245:E250" si="4">+D245+C245</f>
        <v>7426</v>
      </c>
      <c r="F245" s="494">
        <v>7426</v>
      </c>
      <c r="G245" s="499" t="s">
        <v>437</v>
      </c>
      <c r="H245" s="494">
        <f t="shared" ref="H245:H252" si="5">+F245/E245*100</f>
        <v>100</v>
      </c>
      <c r="I245" s="494">
        <v>4330</v>
      </c>
      <c r="J245" s="493">
        <v>4330</v>
      </c>
    </row>
    <row r="246" spans="1:10" s="73" customFormat="1" x14ac:dyDescent="0.2">
      <c r="A246" s="30"/>
      <c r="B246" s="32" t="s">
        <v>9</v>
      </c>
      <c r="C246" s="514">
        <v>2784</v>
      </c>
      <c r="D246" s="493">
        <v>455</v>
      </c>
      <c r="E246" s="494">
        <f t="shared" si="4"/>
        <v>3239</v>
      </c>
      <c r="F246" s="494">
        <v>3239</v>
      </c>
      <c r="G246" s="499" t="s">
        <v>437</v>
      </c>
      <c r="H246" s="494">
        <f t="shared" si="5"/>
        <v>100</v>
      </c>
      <c r="I246" s="494">
        <v>1943</v>
      </c>
      <c r="J246" s="493">
        <v>1943</v>
      </c>
    </row>
    <row r="247" spans="1:10" s="73" customFormat="1" x14ac:dyDescent="0.2">
      <c r="A247" s="30"/>
      <c r="B247" s="79" t="s">
        <v>10</v>
      </c>
      <c r="C247" s="514">
        <v>306</v>
      </c>
      <c r="D247" s="493">
        <v>93</v>
      </c>
      <c r="E247" s="494">
        <f>+D247+C247</f>
        <v>399</v>
      </c>
      <c r="F247" s="494">
        <v>399</v>
      </c>
      <c r="G247" s="499" t="s">
        <v>437</v>
      </c>
      <c r="H247" s="494">
        <f>+F247/E247*100</f>
        <v>100</v>
      </c>
      <c r="I247" s="494">
        <v>238</v>
      </c>
      <c r="J247" s="493">
        <v>238</v>
      </c>
    </row>
    <row r="248" spans="1:10" s="73" customFormat="1" x14ac:dyDescent="0.2">
      <c r="A248" s="30"/>
      <c r="B248" s="32" t="s">
        <v>11</v>
      </c>
      <c r="C248" s="514">
        <v>383</v>
      </c>
      <c r="D248" s="493">
        <v>-2</v>
      </c>
      <c r="E248" s="494">
        <f t="shared" si="4"/>
        <v>381</v>
      </c>
      <c r="F248" s="494">
        <v>381</v>
      </c>
      <c r="G248" s="499" t="s">
        <v>437</v>
      </c>
      <c r="H248" s="494">
        <f t="shared" si="5"/>
        <v>100</v>
      </c>
      <c r="I248" s="494">
        <v>891</v>
      </c>
      <c r="J248" s="493">
        <v>891</v>
      </c>
    </row>
    <row r="249" spans="1:10" s="73" customFormat="1" ht="25.5" x14ac:dyDescent="0.2">
      <c r="A249" s="30"/>
      <c r="B249" s="32" t="s">
        <v>13</v>
      </c>
      <c r="C249" s="514">
        <v>7308</v>
      </c>
      <c r="D249" s="493">
        <v>-768</v>
      </c>
      <c r="E249" s="494">
        <f t="shared" si="4"/>
        <v>6540</v>
      </c>
      <c r="F249" s="494">
        <v>6540</v>
      </c>
      <c r="G249" s="499" t="s">
        <v>437</v>
      </c>
      <c r="H249" s="494">
        <f t="shared" si="5"/>
        <v>100</v>
      </c>
      <c r="I249" s="494">
        <v>9784</v>
      </c>
      <c r="J249" s="493">
        <v>9784</v>
      </c>
    </row>
    <row r="250" spans="1:10" s="73" customFormat="1" x14ac:dyDescent="0.2">
      <c r="A250" s="30"/>
      <c r="B250" s="32" t="s">
        <v>14</v>
      </c>
      <c r="C250" s="514">
        <v>285568</v>
      </c>
      <c r="D250" s="493">
        <v>30674</v>
      </c>
      <c r="E250" s="494">
        <f t="shared" si="4"/>
        <v>316242</v>
      </c>
      <c r="F250" s="494">
        <v>316242</v>
      </c>
      <c r="G250" s="499" t="s">
        <v>437</v>
      </c>
      <c r="H250" s="494">
        <f t="shared" si="5"/>
        <v>100</v>
      </c>
      <c r="I250" s="494">
        <v>311016</v>
      </c>
      <c r="J250" s="493">
        <v>311016</v>
      </c>
    </row>
    <row r="251" spans="1:10" s="73" customFormat="1" x14ac:dyDescent="0.2">
      <c r="A251" s="30"/>
      <c r="B251" s="32" t="s">
        <v>15</v>
      </c>
      <c r="C251" s="514" t="s">
        <v>437</v>
      </c>
      <c r="D251" s="493">
        <v>106</v>
      </c>
      <c r="E251" s="494">
        <f>+D251</f>
        <v>106</v>
      </c>
      <c r="F251" s="494">
        <v>106</v>
      </c>
      <c r="G251" s="499" t="s">
        <v>437</v>
      </c>
      <c r="H251" s="494">
        <f t="shared" si="5"/>
        <v>100</v>
      </c>
      <c r="I251" s="494" t="s">
        <v>437</v>
      </c>
      <c r="J251" s="493" t="s">
        <v>437</v>
      </c>
    </row>
    <row r="252" spans="1:10" s="73" customFormat="1" x14ac:dyDescent="0.2">
      <c r="A252" s="130"/>
      <c r="B252" s="28" t="s">
        <v>157</v>
      </c>
      <c r="C252" s="516">
        <f>SUM(C245:C251)</f>
        <v>304613</v>
      </c>
      <c r="D252" s="516">
        <f>SUM(D245:D251)</f>
        <v>29720</v>
      </c>
      <c r="E252" s="516">
        <f>SUM(E245:E251)</f>
        <v>334333</v>
      </c>
      <c r="F252" s="516">
        <f>SUM(F245:F251)</f>
        <v>334333</v>
      </c>
      <c r="G252" s="516" t="s">
        <v>437</v>
      </c>
      <c r="H252" s="495">
        <f t="shared" si="5"/>
        <v>100</v>
      </c>
      <c r="I252" s="516">
        <f>SUM(I245:I251)</f>
        <v>328202</v>
      </c>
      <c r="J252" s="516">
        <f>SUM(J245:J251)</f>
        <v>328202</v>
      </c>
    </row>
    <row r="253" spans="1:10" s="73" customFormat="1" x14ac:dyDescent="0.2">
      <c r="A253" s="26"/>
      <c r="B253" s="26"/>
      <c r="C253" s="199"/>
      <c r="D253" s="199"/>
      <c r="E253" s="199"/>
      <c r="F253" s="199"/>
      <c r="G253" s="199"/>
      <c r="H253" s="199"/>
      <c r="I253" s="199"/>
      <c r="J253" s="199"/>
    </row>
    <row r="254" spans="1:10" s="73" customFormat="1" x14ac:dyDescent="0.2">
      <c r="A254" s="523" t="s">
        <v>199</v>
      </c>
      <c r="B254" s="523"/>
      <c r="C254" s="523"/>
      <c r="D254" s="523"/>
      <c r="E254" s="523"/>
      <c r="F254" s="523"/>
      <c r="G254" s="523"/>
      <c r="H254" s="523"/>
      <c r="I254" s="523"/>
      <c r="J254" s="523"/>
    </row>
    <row r="255" spans="1:10" s="1" customFormat="1" x14ac:dyDescent="0.2">
      <c r="A255" s="523" t="s">
        <v>472</v>
      </c>
      <c r="B255" s="523"/>
      <c r="C255" s="523"/>
      <c r="D255" s="523"/>
      <c r="E255" s="523"/>
      <c r="F255" s="523"/>
      <c r="G255" s="523"/>
      <c r="H255" s="523"/>
      <c r="I255" s="523"/>
      <c r="J255" s="523"/>
    </row>
    <row r="256" spans="1:10" s="73" customFormat="1" x14ac:dyDescent="0.2">
      <c r="A256" s="26"/>
      <c r="B256" s="26"/>
    </row>
    <row r="257" spans="1:12" s="73" customFormat="1" x14ac:dyDescent="0.2">
      <c r="A257" s="129"/>
      <c r="B257" s="114"/>
      <c r="C257" s="576" t="s">
        <v>188</v>
      </c>
      <c r="D257" s="577"/>
      <c r="E257" s="577"/>
      <c r="F257" s="577"/>
      <c r="G257" s="577"/>
      <c r="H257" s="578"/>
      <c r="I257" s="569" t="s">
        <v>189</v>
      </c>
      <c r="J257" s="570"/>
    </row>
    <row r="258" spans="1:12" s="73" customFormat="1" ht="12.75" customHeight="1" x14ac:dyDescent="0.2">
      <c r="A258" s="131"/>
      <c r="B258" s="571" t="s">
        <v>195</v>
      </c>
      <c r="C258" s="117" t="s">
        <v>172</v>
      </c>
      <c r="D258" s="117" t="s">
        <v>175</v>
      </c>
      <c r="E258" s="117" t="s">
        <v>176</v>
      </c>
      <c r="F258" s="117" t="s">
        <v>178</v>
      </c>
      <c r="G258" s="117" t="s">
        <v>179</v>
      </c>
      <c r="H258" s="573" t="s">
        <v>181</v>
      </c>
      <c r="I258" s="117" t="s">
        <v>176</v>
      </c>
      <c r="J258" s="105" t="s">
        <v>178</v>
      </c>
    </row>
    <row r="259" spans="1:12" s="73" customFormat="1" ht="12.75" customHeight="1" x14ac:dyDescent="0.2">
      <c r="A259" s="131"/>
      <c r="B259" s="571"/>
      <c r="C259" s="118" t="s">
        <v>173</v>
      </c>
      <c r="D259" s="118" t="s">
        <v>174</v>
      </c>
      <c r="E259" s="118" t="s">
        <v>177</v>
      </c>
      <c r="F259" s="118" t="s">
        <v>70</v>
      </c>
      <c r="G259" s="118" t="s">
        <v>180</v>
      </c>
      <c r="H259" s="574"/>
      <c r="I259" s="118" t="s">
        <v>177</v>
      </c>
      <c r="J259" s="106" t="s">
        <v>70</v>
      </c>
    </row>
    <row r="260" spans="1:12" s="73" customFormat="1" x14ac:dyDescent="0.2">
      <c r="A260" s="132"/>
      <c r="B260" s="580"/>
      <c r="C260" s="119" t="s">
        <v>174</v>
      </c>
      <c r="D260" s="120"/>
      <c r="E260" s="119" t="s">
        <v>174</v>
      </c>
      <c r="F260" s="119" t="s">
        <v>174</v>
      </c>
      <c r="G260" s="119" t="s">
        <v>174</v>
      </c>
      <c r="H260" s="575"/>
      <c r="I260" s="119" t="s">
        <v>174</v>
      </c>
      <c r="J260" s="107" t="s">
        <v>174</v>
      </c>
    </row>
    <row r="261" spans="1:12" s="73" customFormat="1" x14ac:dyDescent="0.2">
      <c r="A261" s="391">
        <v>5.0999999999999996</v>
      </c>
      <c r="B261" s="502" t="s">
        <v>309</v>
      </c>
      <c r="C261" s="229"/>
      <c r="E261" s="230"/>
      <c r="F261" s="231"/>
      <c r="G261" s="230"/>
      <c r="H261" s="231"/>
      <c r="I261" s="228"/>
      <c r="J261" s="228"/>
    </row>
    <row r="262" spans="1:12" s="73" customFormat="1" x14ac:dyDescent="0.2">
      <c r="A262" s="389"/>
      <c r="B262" s="113" t="s">
        <v>7</v>
      </c>
      <c r="C262" s="507">
        <v>5206</v>
      </c>
      <c r="D262" s="508">
        <v>-2011</v>
      </c>
      <c r="E262" s="494">
        <f>+D262+C262</f>
        <v>3195</v>
      </c>
      <c r="F262" s="499">
        <v>3195</v>
      </c>
      <c r="G262" s="499" t="s">
        <v>437</v>
      </c>
      <c r="H262" s="494">
        <f>+F262/E262*100</f>
        <v>100</v>
      </c>
      <c r="I262" s="494">
        <v>2028</v>
      </c>
      <c r="J262" s="494">
        <v>2028</v>
      </c>
      <c r="K262" s="199"/>
    </row>
    <row r="263" spans="1:12" s="73" customFormat="1" x14ac:dyDescent="0.2">
      <c r="A263" s="389"/>
      <c r="B263" s="113" t="s">
        <v>17</v>
      </c>
      <c r="C263" s="507">
        <v>50</v>
      </c>
      <c r="D263" s="508">
        <v>7</v>
      </c>
      <c r="E263" s="494">
        <f>+D263+C263</f>
        <v>57</v>
      </c>
      <c r="F263" s="499">
        <v>57</v>
      </c>
      <c r="G263" s="499" t="s">
        <v>437</v>
      </c>
      <c r="H263" s="494">
        <f>+F263/E263*100</f>
        <v>100</v>
      </c>
      <c r="I263" s="494">
        <v>55</v>
      </c>
      <c r="J263" s="494">
        <v>459</v>
      </c>
      <c r="K263" s="199"/>
      <c r="L263" s="199"/>
    </row>
    <row r="264" spans="1:12" s="73" customFormat="1" x14ac:dyDescent="0.2">
      <c r="A264" s="389">
        <v>5.2</v>
      </c>
      <c r="B264" s="8" t="s">
        <v>325</v>
      </c>
      <c r="C264" s="507"/>
      <c r="D264" s="508"/>
      <c r="E264" s="494"/>
      <c r="F264" s="499"/>
      <c r="G264" s="494"/>
      <c r="H264" s="494"/>
      <c r="I264" s="494"/>
      <c r="J264" s="494"/>
      <c r="K264" s="199"/>
    </row>
    <row r="265" spans="1:12" s="73" customFormat="1" x14ac:dyDescent="0.2">
      <c r="A265" s="389"/>
      <c r="B265" s="113" t="s">
        <v>7</v>
      </c>
      <c r="C265" s="507">
        <v>2887</v>
      </c>
      <c r="D265" s="508">
        <v>384</v>
      </c>
      <c r="E265" s="494">
        <f>+D265+C265</f>
        <v>3271</v>
      </c>
      <c r="F265" s="499">
        <v>3271</v>
      </c>
      <c r="G265" s="499" t="s">
        <v>437</v>
      </c>
      <c r="H265" s="494">
        <f>+F265/E265*100</f>
        <v>100</v>
      </c>
      <c r="I265" s="494">
        <v>206</v>
      </c>
      <c r="J265" s="494">
        <v>206</v>
      </c>
      <c r="K265" s="199"/>
    </row>
    <row r="266" spans="1:12" s="73" customFormat="1" x14ac:dyDescent="0.2">
      <c r="A266" s="389"/>
      <c r="B266" s="113" t="s">
        <v>17</v>
      </c>
      <c r="C266" s="507">
        <v>190</v>
      </c>
      <c r="D266" s="508">
        <v>-109</v>
      </c>
      <c r="E266" s="494">
        <f>+D266+C266</f>
        <v>81</v>
      </c>
      <c r="F266" s="499">
        <v>81</v>
      </c>
      <c r="G266" s="499" t="s">
        <v>437</v>
      </c>
      <c r="H266" s="494">
        <f>+F266/E266*100</f>
        <v>100</v>
      </c>
      <c r="I266" s="494" t="s">
        <v>437</v>
      </c>
      <c r="J266" s="494" t="s">
        <v>437</v>
      </c>
      <c r="K266" s="199"/>
    </row>
    <row r="267" spans="1:12" s="73" customFormat="1" ht="38.25" x14ac:dyDescent="0.2">
      <c r="A267" s="389">
        <v>5.3</v>
      </c>
      <c r="B267" s="8" t="s">
        <v>496</v>
      </c>
      <c r="C267" s="507"/>
      <c r="D267" s="508"/>
      <c r="E267" s="494"/>
      <c r="F267" s="499"/>
      <c r="G267" s="494"/>
      <c r="H267" s="494"/>
      <c r="I267" s="494"/>
      <c r="J267" s="494"/>
      <c r="K267" s="199"/>
    </row>
    <row r="268" spans="1:12" s="73" customFormat="1" x14ac:dyDescent="0.2">
      <c r="A268" s="389"/>
      <c r="B268" s="113" t="s">
        <v>7</v>
      </c>
      <c r="C268" s="507">
        <v>12419</v>
      </c>
      <c r="D268" s="508">
        <v>-7186</v>
      </c>
      <c r="E268" s="494">
        <f>+D268+C268</f>
        <v>5233</v>
      </c>
      <c r="F268" s="499">
        <v>4326</v>
      </c>
      <c r="G268" s="499">
        <f>+E268-F268</f>
        <v>907</v>
      </c>
      <c r="H268" s="494">
        <f>+F268/E268*100</f>
        <v>82.667685839862415</v>
      </c>
      <c r="I268" s="494">
        <v>14004</v>
      </c>
      <c r="J268" s="494">
        <v>7278</v>
      </c>
      <c r="K268" s="199"/>
    </row>
    <row r="269" spans="1:12" s="73" customFormat="1" x14ac:dyDescent="0.2">
      <c r="A269" s="389"/>
      <c r="B269" s="113" t="s">
        <v>17</v>
      </c>
      <c r="C269" s="507">
        <v>100</v>
      </c>
      <c r="D269" s="508">
        <v>-71</v>
      </c>
      <c r="E269" s="494">
        <f>+D269+C269</f>
        <v>29</v>
      </c>
      <c r="F269" s="499">
        <v>29</v>
      </c>
      <c r="G269" s="499" t="s">
        <v>437</v>
      </c>
      <c r="H269" s="494">
        <f>+F269/E269*100</f>
        <v>100</v>
      </c>
      <c r="I269" s="494">
        <v>2645</v>
      </c>
      <c r="J269" s="494">
        <v>137</v>
      </c>
      <c r="K269" s="199"/>
    </row>
    <row r="270" spans="1:12" s="73" customFormat="1" x14ac:dyDescent="0.2">
      <c r="A270" s="389">
        <v>5.4</v>
      </c>
      <c r="B270" s="8" t="s">
        <v>326</v>
      </c>
      <c r="C270" s="507"/>
      <c r="D270" s="508"/>
      <c r="E270" s="494"/>
      <c r="F270" s="499"/>
      <c r="G270" s="494"/>
      <c r="H270" s="494"/>
      <c r="I270" s="494"/>
      <c r="J270" s="494"/>
      <c r="K270" s="199"/>
    </row>
    <row r="271" spans="1:12" s="73" customFormat="1" x14ac:dyDescent="0.2">
      <c r="A271" s="389"/>
      <c r="B271" s="113" t="s">
        <v>7</v>
      </c>
      <c r="C271" s="507">
        <v>5896</v>
      </c>
      <c r="D271" s="508">
        <v>-2182</v>
      </c>
      <c r="E271" s="494">
        <f>+D271+C271</f>
        <v>3714</v>
      </c>
      <c r="F271" s="499">
        <v>3714</v>
      </c>
      <c r="G271" s="499" t="s">
        <v>437</v>
      </c>
      <c r="H271" s="494">
        <f>+F271/E271*100</f>
        <v>100</v>
      </c>
      <c r="I271" s="494">
        <v>3877</v>
      </c>
      <c r="J271" s="494">
        <v>3515</v>
      </c>
      <c r="K271" s="199"/>
    </row>
    <row r="272" spans="1:12" s="73" customFormat="1" x14ac:dyDescent="0.2">
      <c r="A272" s="389"/>
      <c r="B272" s="113" t="s">
        <v>17</v>
      </c>
      <c r="C272" s="507">
        <v>180</v>
      </c>
      <c r="D272" s="508">
        <v>-152</v>
      </c>
      <c r="E272" s="494">
        <f>+D272+C272</f>
        <v>28</v>
      </c>
      <c r="F272" s="499">
        <v>28</v>
      </c>
      <c r="G272" s="499" t="s">
        <v>437</v>
      </c>
      <c r="H272" s="494">
        <f>+F272/E272*100</f>
        <v>100</v>
      </c>
      <c r="I272" s="494">
        <v>90</v>
      </c>
      <c r="J272" s="494">
        <v>137</v>
      </c>
      <c r="K272" s="199"/>
    </row>
    <row r="273" spans="1:11" s="73" customFormat="1" ht="28.15" customHeight="1" x14ac:dyDescent="0.2">
      <c r="A273" s="389">
        <v>5.5</v>
      </c>
      <c r="B273" s="8" t="s">
        <v>327</v>
      </c>
      <c r="C273" s="507"/>
      <c r="D273" s="508"/>
      <c r="E273" s="494"/>
      <c r="F273" s="499"/>
      <c r="G273" s="494"/>
      <c r="H273" s="494"/>
      <c r="I273" s="494"/>
      <c r="J273" s="494"/>
      <c r="K273" s="199"/>
    </row>
    <row r="274" spans="1:11" s="73" customFormat="1" x14ac:dyDescent="0.2">
      <c r="A274" s="389"/>
      <c r="B274" s="113" t="s">
        <v>7</v>
      </c>
      <c r="C274" s="507">
        <v>4124</v>
      </c>
      <c r="D274" s="508">
        <v>-424</v>
      </c>
      <c r="E274" s="494">
        <f>+D274+C274</f>
        <v>3700</v>
      </c>
      <c r="F274" s="499">
        <v>3700</v>
      </c>
      <c r="G274" s="499" t="s">
        <v>437</v>
      </c>
      <c r="H274" s="494">
        <f>+F274/E274*100</f>
        <v>100</v>
      </c>
      <c r="I274" s="494" t="s">
        <v>437</v>
      </c>
      <c r="J274" s="494" t="s">
        <v>437</v>
      </c>
      <c r="K274" s="199"/>
    </row>
    <row r="275" spans="1:11" s="73" customFormat="1" x14ac:dyDescent="0.2">
      <c r="A275" s="389"/>
      <c r="B275" s="113" t="s">
        <v>17</v>
      </c>
      <c r="C275" s="507">
        <v>220</v>
      </c>
      <c r="D275" s="508">
        <v>-35</v>
      </c>
      <c r="E275" s="494">
        <f>+D275+C275</f>
        <v>185</v>
      </c>
      <c r="F275" s="499">
        <v>185</v>
      </c>
      <c r="G275" s="499" t="s">
        <v>437</v>
      </c>
      <c r="H275" s="494">
        <f>+F275/E275*100</f>
        <v>100</v>
      </c>
      <c r="I275" s="494" t="s">
        <v>437</v>
      </c>
      <c r="J275" s="494" t="s">
        <v>437</v>
      </c>
      <c r="K275" s="199"/>
    </row>
    <row r="276" spans="1:11" s="73" customFormat="1" ht="25.5" x14ac:dyDescent="0.2">
      <c r="A276" s="389">
        <v>5.6</v>
      </c>
      <c r="B276" s="8" t="s">
        <v>328</v>
      </c>
      <c r="C276" s="507"/>
      <c r="D276" s="508"/>
      <c r="E276" s="494"/>
      <c r="F276" s="499"/>
      <c r="G276" s="494"/>
      <c r="H276" s="494"/>
      <c r="I276" s="494"/>
      <c r="J276" s="494"/>
      <c r="K276" s="199"/>
    </row>
    <row r="277" spans="1:11" s="73" customFormat="1" x14ac:dyDescent="0.2">
      <c r="A277" s="389"/>
      <c r="B277" s="113" t="s">
        <v>7</v>
      </c>
      <c r="C277" s="507">
        <v>750</v>
      </c>
      <c r="D277" s="508">
        <v>-360</v>
      </c>
      <c r="E277" s="494">
        <f>+D277+C277</f>
        <v>390</v>
      </c>
      <c r="F277" s="499">
        <v>390</v>
      </c>
      <c r="G277" s="499" t="s">
        <v>437</v>
      </c>
      <c r="H277" s="494">
        <f>+F277/E277*100</f>
        <v>100</v>
      </c>
      <c r="I277" s="494">
        <v>344</v>
      </c>
      <c r="J277" s="494">
        <v>344</v>
      </c>
      <c r="K277" s="199"/>
    </row>
    <row r="278" spans="1:11" s="73" customFormat="1" x14ac:dyDescent="0.2">
      <c r="A278" s="389"/>
      <c r="B278" s="113" t="s">
        <v>17</v>
      </c>
      <c r="C278" s="507">
        <v>20</v>
      </c>
      <c r="D278" s="508">
        <v>2481</v>
      </c>
      <c r="E278" s="494">
        <f>+D278+C278</f>
        <v>2501</v>
      </c>
      <c r="F278" s="499">
        <v>1</v>
      </c>
      <c r="G278" s="499">
        <f>+E278-F278</f>
        <v>2500</v>
      </c>
      <c r="H278" s="494" t="s">
        <v>437</v>
      </c>
      <c r="I278" s="494">
        <v>20</v>
      </c>
      <c r="J278" s="494">
        <v>19</v>
      </c>
      <c r="K278" s="199"/>
    </row>
    <row r="279" spans="1:11" s="73" customFormat="1" x14ac:dyDescent="0.2">
      <c r="A279" s="389">
        <v>5.7</v>
      </c>
      <c r="B279" s="8" t="s">
        <v>318</v>
      </c>
      <c r="C279" s="507"/>
      <c r="D279" s="508"/>
      <c r="E279" s="494"/>
      <c r="F279" s="499"/>
      <c r="G279" s="494"/>
      <c r="H279" s="494"/>
      <c r="I279" s="494"/>
      <c r="J279" s="494"/>
      <c r="K279" s="199"/>
    </row>
    <row r="280" spans="1:11" s="73" customFormat="1" x14ac:dyDescent="0.2">
      <c r="A280" s="389"/>
      <c r="B280" s="113" t="s">
        <v>7</v>
      </c>
      <c r="C280" s="507">
        <v>20400</v>
      </c>
      <c r="D280" s="508">
        <v>-708</v>
      </c>
      <c r="E280" s="494">
        <f>+D280+C280</f>
        <v>19692</v>
      </c>
      <c r="F280" s="499">
        <v>19692</v>
      </c>
      <c r="G280" s="499" t="s">
        <v>437</v>
      </c>
      <c r="H280" s="494">
        <f>+F280/E280*100</f>
        <v>100</v>
      </c>
      <c r="I280" s="494">
        <v>33137</v>
      </c>
      <c r="J280" s="494">
        <v>33137</v>
      </c>
      <c r="K280" s="199"/>
    </row>
    <row r="281" spans="1:11" s="73" customFormat="1" x14ac:dyDescent="0.2">
      <c r="A281" s="389">
        <v>5.8</v>
      </c>
      <c r="B281" s="8" t="s">
        <v>314</v>
      </c>
      <c r="C281" s="507"/>
      <c r="D281" s="508"/>
      <c r="E281" s="494"/>
      <c r="F281" s="499"/>
      <c r="G281" s="494"/>
      <c r="H281" s="494"/>
      <c r="I281" s="494"/>
      <c r="J281" s="494"/>
      <c r="K281" s="199"/>
    </row>
    <row r="282" spans="1:11" s="73" customFormat="1" x14ac:dyDescent="0.2">
      <c r="A282" s="389"/>
      <c r="B282" s="113" t="s">
        <v>7</v>
      </c>
      <c r="C282" s="507">
        <v>78340</v>
      </c>
      <c r="D282" s="508">
        <v>1006</v>
      </c>
      <c r="E282" s="494">
        <f>+D282+C282</f>
        <v>79346</v>
      </c>
      <c r="F282" s="499">
        <v>79346</v>
      </c>
      <c r="G282" s="499" t="s">
        <v>437</v>
      </c>
      <c r="H282" s="494">
        <f>+F282/E282*100</f>
        <v>100</v>
      </c>
      <c r="I282" s="494">
        <v>80504</v>
      </c>
      <c r="J282" s="494">
        <f>80113+33+358</f>
        <v>80504</v>
      </c>
      <c r="K282" s="199"/>
    </row>
    <row r="283" spans="1:11" s="73" customFormat="1" x14ac:dyDescent="0.2">
      <c r="A283" s="389"/>
      <c r="B283" s="113" t="s">
        <v>17</v>
      </c>
      <c r="C283" s="507" t="s">
        <v>437</v>
      </c>
      <c r="D283" s="508" t="s">
        <v>437</v>
      </c>
      <c r="E283" s="494" t="s">
        <v>437</v>
      </c>
      <c r="F283" s="499" t="s">
        <v>437</v>
      </c>
      <c r="G283" s="499" t="s">
        <v>437</v>
      </c>
      <c r="H283" s="494" t="s">
        <v>437</v>
      </c>
      <c r="I283" s="494">
        <v>416</v>
      </c>
      <c r="J283" s="494">
        <f>807-33-358</f>
        <v>416</v>
      </c>
      <c r="K283" s="199"/>
    </row>
    <row r="284" spans="1:11" s="73" customFormat="1" x14ac:dyDescent="0.2">
      <c r="A284" s="135"/>
      <c r="B284" s="28" t="s">
        <v>157</v>
      </c>
      <c r="C284" s="510">
        <f>SUM(C261:C283)</f>
        <v>130782</v>
      </c>
      <c r="D284" s="510">
        <f>SUM(D261:D282)</f>
        <v>-9360</v>
      </c>
      <c r="E284" s="510">
        <f>SUM(E261:E282)</f>
        <v>121422</v>
      </c>
      <c r="F284" s="510">
        <f>SUM(F261:F282)</f>
        <v>118015</v>
      </c>
      <c r="G284" s="510">
        <f>SUM(G261:G282)</f>
        <v>3407</v>
      </c>
      <c r="H284" s="495">
        <f>+F284/E284*100</f>
        <v>97.194083444515826</v>
      </c>
      <c r="I284" s="510">
        <f>SUM(I261:I283)</f>
        <v>137326</v>
      </c>
      <c r="J284" s="510">
        <f>SUM(J261:J283)</f>
        <v>128180</v>
      </c>
      <c r="K284" s="199"/>
    </row>
    <row r="285" spans="1:11" s="73" customFormat="1" x14ac:dyDescent="0.2">
      <c r="A285" s="111"/>
      <c r="B285" s="28"/>
      <c r="C285" s="28"/>
      <c r="D285" s="28"/>
      <c r="E285" s="28"/>
      <c r="F285" s="28"/>
      <c r="G285" s="28"/>
      <c r="H285" s="28"/>
      <c r="I285" s="28"/>
      <c r="J285" s="28"/>
    </row>
    <row r="286" spans="1:11" s="73" customFormat="1" x14ac:dyDescent="0.2">
      <c r="A286" s="129"/>
      <c r="B286" s="114"/>
      <c r="C286" s="576" t="s">
        <v>188</v>
      </c>
      <c r="D286" s="577"/>
      <c r="E286" s="577"/>
      <c r="F286" s="577"/>
      <c r="G286" s="577"/>
      <c r="H286" s="578"/>
      <c r="I286" s="569" t="s">
        <v>189</v>
      </c>
      <c r="J286" s="570"/>
    </row>
    <row r="287" spans="1:11" s="73" customFormat="1" ht="12.75" customHeight="1" x14ac:dyDescent="0.2">
      <c r="A287" s="131"/>
      <c r="B287" s="579" t="s">
        <v>190</v>
      </c>
      <c r="C287" s="105" t="s">
        <v>172</v>
      </c>
      <c r="D287" s="125" t="s">
        <v>175</v>
      </c>
      <c r="E287" s="117" t="s">
        <v>176</v>
      </c>
      <c r="F287" s="117" t="s">
        <v>178</v>
      </c>
      <c r="G287" s="117" t="s">
        <v>179</v>
      </c>
      <c r="H287" s="573" t="s">
        <v>181</v>
      </c>
      <c r="I287" s="117" t="s">
        <v>176</v>
      </c>
      <c r="J287" s="105" t="s">
        <v>178</v>
      </c>
    </row>
    <row r="288" spans="1:11" s="73" customFormat="1" ht="12.75" customHeight="1" x14ac:dyDescent="0.2">
      <c r="A288" s="131"/>
      <c r="B288" s="579"/>
      <c r="C288" s="106" t="s">
        <v>173</v>
      </c>
      <c r="D288" s="124" t="s">
        <v>174</v>
      </c>
      <c r="E288" s="118" t="s">
        <v>177</v>
      </c>
      <c r="F288" s="118" t="s">
        <v>70</v>
      </c>
      <c r="G288" s="118" t="s">
        <v>180</v>
      </c>
      <c r="H288" s="574"/>
      <c r="I288" s="118" t="s">
        <v>177</v>
      </c>
      <c r="J288" s="106" t="s">
        <v>70</v>
      </c>
    </row>
    <row r="289" spans="1:10" s="73" customFormat="1" x14ac:dyDescent="0.2">
      <c r="A289" s="132"/>
      <c r="B289" s="572"/>
      <c r="C289" s="107" t="s">
        <v>174</v>
      </c>
      <c r="D289" s="121"/>
      <c r="E289" s="119" t="s">
        <v>174</v>
      </c>
      <c r="F289" s="119" t="s">
        <v>174</v>
      </c>
      <c r="G289" s="119" t="s">
        <v>174</v>
      </c>
      <c r="H289" s="575"/>
      <c r="I289" s="119" t="s">
        <v>174</v>
      </c>
      <c r="J289" s="107" t="s">
        <v>174</v>
      </c>
    </row>
    <row r="290" spans="1:10" s="73" customFormat="1" x14ac:dyDescent="0.2">
      <c r="A290" s="129"/>
      <c r="B290" s="114" t="s">
        <v>7</v>
      </c>
      <c r="C290" s="126"/>
      <c r="D290" s="234"/>
      <c r="E290" s="231"/>
      <c r="F290" s="230"/>
      <c r="G290" s="231"/>
      <c r="H290" s="230"/>
      <c r="I290" s="227"/>
      <c r="J290" s="228"/>
    </row>
    <row r="291" spans="1:10" s="73" customFormat="1" x14ac:dyDescent="0.2">
      <c r="A291" s="30"/>
      <c r="B291" s="113" t="s">
        <v>8</v>
      </c>
      <c r="C291" s="514">
        <v>7637</v>
      </c>
      <c r="D291" s="493">
        <v>-1215</v>
      </c>
      <c r="E291" s="494">
        <f>+D291+C291</f>
        <v>6422</v>
      </c>
      <c r="F291" s="494">
        <v>6422</v>
      </c>
      <c r="G291" s="499" t="s">
        <v>437</v>
      </c>
      <c r="H291" s="494">
        <f>+F291/E291*100</f>
        <v>100</v>
      </c>
      <c r="I291" s="499">
        <v>19623</v>
      </c>
      <c r="J291" s="494">
        <v>19623</v>
      </c>
    </row>
    <row r="292" spans="1:10" s="73" customFormat="1" x14ac:dyDescent="0.2">
      <c r="A292" s="30"/>
      <c r="B292" s="113" t="s">
        <v>14</v>
      </c>
      <c r="C292" s="514">
        <v>96646</v>
      </c>
      <c r="D292" s="493">
        <v>2392</v>
      </c>
      <c r="E292" s="494">
        <f>+D292+C292</f>
        <v>99038</v>
      </c>
      <c r="F292" s="494">
        <v>99038</v>
      </c>
      <c r="G292" s="499" t="s">
        <v>437</v>
      </c>
      <c r="H292" s="494">
        <f>+F292/E292*100</f>
        <v>100</v>
      </c>
      <c r="I292" s="499">
        <v>91258</v>
      </c>
      <c r="J292" s="494">
        <v>90976</v>
      </c>
    </row>
    <row r="293" spans="1:10" s="73" customFormat="1" x14ac:dyDescent="0.2">
      <c r="A293" s="30"/>
      <c r="B293" s="113" t="s">
        <v>66</v>
      </c>
      <c r="C293" s="514">
        <v>25739</v>
      </c>
      <c r="D293" s="493">
        <v>-12660</v>
      </c>
      <c r="E293" s="494">
        <f>+D293+C293</f>
        <v>13079</v>
      </c>
      <c r="F293" s="494">
        <v>12172</v>
      </c>
      <c r="G293" s="499">
        <f>+E293-F293</f>
        <v>907</v>
      </c>
      <c r="H293" s="494">
        <f>+F293/E293*100</f>
        <v>93.065219053444451</v>
      </c>
      <c r="I293" s="499">
        <v>21447</v>
      </c>
      <c r="J293" s="494">
        <f>16022+33+358</f>
        <v>16413</v>
      </c>
    </row>
    <row r="294" spans="1:10" s="73" customFormat="1" x14ac:dyDescent="0.2">
      <c r="A294" s="30"/>
      <c r="B294" s="32" t="s">
        <v>17</v>
      </c>
      <c r="C294" s="514"/>
      <c r="D294" s="493"/>
      <c r="E294" s="494"/>
      <c r="F294" s="494"/>
      <c r="G294" s="499"/>
      <c r="H294" s="494"/>
      <c r="I294" s="499"/>
      <c r="J294" s="494"/>
    </row>
    <row r="295" spans="1:10" s="73" customFormat="1" ht="12.75" customHeight="1" x14ac:dyDescent="0.2">
      <c r="A295" s="30"/>
      <c r="B295" s="113" t="s">
        <v>191</v>
      </c>
      <c r="C295" s="514">
        <v>760</v>
      </c>
      <c r="D295" s="493">
        <v>2123</v>
      </c>
      <c r="E295" s="494">
        <f>+D295+C295</f>
        <v>2883</v>
      </c>
      <c r="F295" s="494">
        <v>383</v>
      </c>
      <c r="G295" s="499">
        <f>+E295-F295</f>
        <v>2500</v>
      </c>
      <c r="H295" s="494">
        <f>+F295/E295*100</f>
        <v>13.284772806104753</v>
      </c>
      <c r="I295" s="499">
        <v>4998</v>
      </c>
      <c r="J295" s="494">
        <f>1559-33-358</f>
        <v>1168</v>
      </c>
    </row>
    <row r="296" spans="1:10" s="73" customFormat="1" x14ac:dyDescent="0.2">
      <c r="A296" s="130"/>
      <c r="B296" s="28" t="s">
        <v>157</v>
      </c>
      <c r="C296" s="516">
        <f>SUM(C290:C295)</f>
        <v>130782</v>
      </c>
      <c r="D296" s="516">
        <f>SUM(D290:D295)</f>
        <v>-9360</v>
      </c>
      <c r="E296" s="516">
        <f>SUM(E290:E295)</f>
        <v>121422</v>
      </c>
      <c r="F296" s="516">
        <f>SUM(F290:F295)</f>
        <v>118015</v>
      </c>
      <c r="G296" s="516">
        <f>SUM(G290:G295)</f>
        <v>3407</v>
      </c>
      <c r="H296" s="495">
        <f>+F296/E296*100</f>
        <v>97.194083444515826</v>
      </c>
      <c r="I296" s="516">
        <f>SUM(I290:I295)</f>
        <v>137326</v>
      </c>
      <c r="J296" s="516">
        <f>SUM(J290:J295)</f>
        <v>128180</v>
      </c>
    </row>
    <row r="297" spans="1:10" s="73" customFormat="1" x14ac:dyDescent="0.2">
      <c r="A297" s="134"/>
      <c r="B297" s="9"/>
      <c r="C297" s="9"/>
      <c r="D297" s="9"/>
      <c r="E297" s="9"/>
      <c r="F297" s="9"/>
      <c r="G297" s="9"/>
      <c r="H297" s="9"/>
      <c r="I297" s="9"/>
      <c r="J297" s="9"/>
    </row>
    <row r="298" spans="1:10" s="73" customFormat="1" x14ac:dyDescent="0.2">
      <c r="A298" s="129"/>
      <c r="B298" s="114"/>
      <c r="C298" s="576" t="s">
        <v>188</v>
      </c>
      <c r="D298" s="577"/>
      <c r="E298" s="577"/>
      <c r="F298" s="577"/>
      <c r="G298" s="577"/>
      <c r="H298" s="578"/>
      <c r="I298" s="569" t="s">
        <v>189</v>
      </c>
      <c r="J298" s="570"/>
    </row>
    <row r="299" spans="1:10" s="73" customFormat="1" ht="12.75" customHeight="1" x14ac:dyDescent="0.2">
      <c r="A299" s="131"/>
      <c r="B299" s="571" t="s">
        <v>192</v>
      </c>
      <c r="C299" s="105" t="s">
        <v>172</v>
      </c>
      <c r="D299" s="117" t="s">
        <v>175</v>
      </c>
      <c r="E299" s="117" t="s">
        <v>176</v>
      </c>
      <c r="F299" s="117" t="s">
        <v>178</v>
      </c>
      <c r="G299" s="117" t="s">
        <v>179</v>
      </c>
      <c r="H299" s="573" t="s">
        <v>181</v>
      </c>
      <c r="I299" s="117" t="s">
        <v>176</v>
      </c>
      <c r="J299" s="105" t="s">
        <v>178</v>
      </c>
    </row>
    <row r="300" spans="1:10" s="73" customFormat="1" ht="12.75" customHeight="1" x14ac:dyDescent="0.2">
      <c r="A300" s="131"/>
      <c r="B300" s="571"/>
      <c r="C300" s="106" t="s">
        <v>173</v>
      </c>
      <c r="D300" s="118" t="s">
        <v>174</v>
      </c>
      <c r="E300" s="118" t="s">
        <v>177</v>
      </c>
      <c r="F300" s="118" t="s">
        <v>70</v>
      </c>
      <c r="G300" s="118" t="s">
        <v>180</v>
      </c>
      <c r="H300" s="574"/>
      <c r="I300" s="118" t="s">
        <v>177</v>
      </c>
      <c r="J300" s="106" t="s">
        <v>70</v>
      </c>
    </row>
    <row r="301" spans="1:10" s="73" customFormat="1" x14ac:dyDescent="0.2">
      <c r="A301" s="132"/>
      <c r="B301" s="572"/>
      <c r="C301" s="107" t="s">
        <v>174</v>
      </c>
      <c r="D301" s="121"/>
      <c r="E301" s="119" t="s">
        <v>174</v>
      </c>
      <c r="F301" s="119" t="s">
        <v>174</v>
      </c>
      <c r="G301" s="119" t="s">
        <v>174</v>
      </c>
      <c r="H301" s="575"/>
      <c r="I301" s="119" t="s">
        <v>174</v>
      </c>
      <c r="J301" s="107" t="s">
        <v>174</v>
      </c>
    </row>
    <row r="302" spans="1:10" s="73" customFormat="1" x14ac:dyDescent="0.2">
      <c r="A302" s="30"/>
      <c r="B302" s="32" t="s">
        <v>8</v>
      </c>
      <c r="C302" s="514">
        <v>7637</v>
      </c>
      <c r="D302" s="493">
        <v>-1215</v>
      </c>
      <c r="E302" s="494">
        <f t="shared" ref="E302:E308" si="6">+D302+C302</f>
        <v>6422</v>
      </c>
      <c r="F302" s="494">
        <v>6422</v>
      </c>
      <c r="G302" s="499" t="s">
        <v>437</v>
      </c>
      <c r="H302" s="494">
        <f t="shared" ref="H302:H308" si="7">+F302/E302*100</f>
        <v>100</v>
      </c>
      <c r="I302" s="499">
        <v>19623</v>
      </c>
      <c r="J302" s="494">
        <v>19623</v>
      </c>
    </row>
    <row r="303" spans="1:10" s="73" customFormat="1" x14ac:dyDescent="0.2">
      <c r="A303" s="30"/>
      <c r="B303" s="32" t="s">
        <v>9</v>
      </c>
      <c r="C303" s="514">
        <v>9159</v>
      </c>
      <c r="D303" s="493">
        <v>-4410</v>
      </c>
      <c r="E303" s="494">
        <f>+D303+C303</f>
        <v>4749</v>
      </c>
      <c r="F303" s="494">
        <v>4749</v>
      </c>
      <c r="G303" s="499" t="s">
        <v>437</v>
      </c>
      <c r="H303" s="494">
        <f t="shared" si="7"/>
        <v>100</v>
      </c>
      <c r="I303" s="499">
        <v>7571</v>
      </c>
      <c r="J303" s="494">
        <v>7571</v>
      </c>
    </row>
    <row r="304" spans="1:10" s="73" customFormat="1" x14ac:dyDescent="0.2">
      <c r="A304" s="30"/>
      <c r="B304" s="79" t="s">
        <v>10</v>
      </c>
      <c r="C304" s="514">
        <v>424</v>
      </c>
      <c r="D304" s="493">
        <v>-26</v>
      </c>
      <c r="E304" s="494">
        <f>+D304+C304</f>
        <v>398</v>
      </c>
      <c r="F304" s="494">
        <v>398</v>
      </c>
      <c r="G304" s="499" t="s">
        <v>437</v>
      </c>
      <c r="H304" s="494">
        <f>+F304/E304*100</f>
        <v>100</v>
      </c>
      <c r="I304" s="499">
        <v>3272</v>
      </c>
      <c r="J304" s="494">
        <v>3272</v>
      </c>
    </row>
    <row r="305" spans="1:10" s="73" customFormat="1" x14ac:dyDescent="0.2">
      <c r="A305" s="30"/>
      <c r="B305" s="32" t="s">
        <v>11</v>
      </c>
      <c r="C305" s="514">
        <v>930</v>
      </c>
      <c r="D305" s="493">
        <v>-492</v>
      </c>
      <c r="E305" s="494">
        <f t="shared" si="6"/>
        <v>438</v>
      </c>
      <c r="F305" s="494">
        <v>438</v>
      </c>
      <c r="G305" s="499" t="s">
        <v>437</v>
      </c>
      <c r="H305" s="494">
        <f t="shared" si="7"/>
        <v>100</v>
      </c>
      <c r="I305" s="499">
        <v>2031</v>
      </c>
      <c r="J305" s="494">
        <v>2031</v>
      </c>
    </row>
    <row r="306" spans="1:10" s="73" customFormat="1" x14ac:dyDescent="0.2">
      <c r="A306" s="30"/>
      <c r="B306" s="32" t="s">
        <v>12</v>
      </c>
      <c r="C306" s="514" t="s">
        <v>437</v>
      </c>
      <c r="D306" s="493">
        <v>2500</v>
      </c>
      <c r="E306" s="494">
        <f>+D306</f>
        <v>2500</v>
      </c>
      <c r="F306" s="494" t="s">
        <v>437</v>
      </c>
      <c r="G306" s="499">
        <f>+E306</f>
        <v>2500</v>
      </c>
      <c r="H306" s="494" t="s">
        <v>437</v>
      </c>
      <c r="I306" s="499">
        <v>2550</v>
      </c>
      <c r="J306" s="494" t="s">
        <v>437</v>
      </c>
    </row>
    <row r="307" spans="1:10" s="73" customFormat="1" ht="25.5" x14ac:dyDescent="0.2">
      <c r="A307" s="30"/>
      <c r="B307" s="32" t="s">
        <v>13</v>
      </c>
      <c r="C307" s="514">
        <v>15986</v>
      </c>
      <c r="D307" s="493">
        <v>-8109</v>
      </c>
      <c r="E307" s="494">
        <f t="shared" si="6"/>
        <v>7877</v>
      </c>
      <c r="F307" s="494">
        <v>6970</v>
      </c>
      <c r="G307" s="499">
        <f>+E307-F307</f>
        <v>907</v>
      </c>
      <c r="H307" s="494">
        <f t="shared" si="7"/>
        <v>88.485464009140529</v>
      </c>
      <c r="I307" s="499">
        <v>11005</v>
      </c>
      <c r="J307" s="494">
        <v>4691</v>
      </c>
    </row>
    <row r="308" spans="1:10" s="73" customFormat="1" x14ac:dyDescent="0.2">
      <c r="A308" s="30"/>
      <c r="B308" s="32" t="s">
        <v>14</v>
      </c>
      <c r="C308" s="514">
        <v>96646</v>
      </c>
      <c r="D308" s="493">
        <v>2392</v>
      </c>
      <c r="E308" s="494">
        <f t="shared" si="6"/>
        <v>99038</v>
      </c>
      <c r="F308" s="494">
        <v>99038</v>
      </c>
      <c r="G308" s="499" t="s">
        <v>437</v>
      </c>
      <c r="H308" s="494">
        <f t="shared" si="7"/>
        <v>100</v>
      </c>
      <c r="I308" s="499">
        <v>91258</v>
      </c>
      <c r="J308" s="494">
        <v>90976</v>
      </c>
    </row>
    <row r="309" spans="1:10" s="73" customFormat="1" x14ac:dyDescent="0.2">
      <c r="A309" s="30"/>
      <c r="B309" s="32" t="s">
        <v>15</v>
      </c>
      <c r="C309" s="514" t="s">
        <v>437</v>
      </c>
      <c r="D309" s="493" t="s">
        <v>437</v>
      </c>
      <c r="E309" s="494" t="s">
        <v>437</v>
      </c>
      <c r="F309" s="494" t="s">
        <v>437</v>
      </c>
      <c r="G309" s="499" t="s">
        <v>437</v>
      </c>
      <c r="H309" s="494" t="s">
        <v>437</v>
      </c>
      <c r="I309" s="499">
        <v>16</v>
      </c>
      <c r="J309" s="494">
        <v>16</v>
      </c>
    </row>
    <row r="310" spans="1:10" s="73" customFormat="1" x14ac:dyDescent="0.2">
      <c r="A310" s="130"/>
      <c r="B310" s="28" t="s">
        <v>157</v>
      </c>
      <c r="C310" s="516">
        <f>SUM(C302:C309)</f>
        <v>130782</v>
      </c>
      <c r="D310" s="516">
        <f>SUM(D302:D309)</f>
        <v>-9360</v>
      </c>
      <c r="E310" s="516">
        <f>SUM(E302:E309)</f>
        <v>121422</v>
      </c>
      <c r="F310" s="516">
        <f>SUM(F302:F309)</f>
        <v>118015</v>
      </c>
      <c r="G310" s="516">
        <f>SUM(G302:G309)</f>
        <v>3407</v>
      </c>
      <c r="H310" s="495">
        <f>+F310/E310*100</f>
        <v>97.194083444515826</v>
      </c>
      <c r="I310" s="516">
        <f>SUM(I302:I309)</f>
        <v>137326</v>
      </c>
      <c r="J310" s="516">
        <f>SUM(J302:J309)</f>
        <v>128180</v>
      </c>
    </row>
    <row r="311" spans="1:10" s="73" customFormat="1" x14ac:dyDescent="0.2">
      <c r="A311" s="94"/>
      <c r="B311" s="79"/>
      <c r="C311" s="518"/>
      <c r="D311" s="518"/>
      <c r="E311" s="518"/>
      <c r="F311" s="518"/>
      <c r="G311" s="518"/>
      <c r="H311" s="519"/>
      <c r="I311" s="518"/>
      <c r="J311" s="518"/>
    </row>
    <row r="312" spans="1:10" s="73" customFormat="1" x14ac:dyDescent="0.2">
      <c r="A312" s="94"/>
      <c r="B312" s="79"/>
      <c r="C312" s="518"/>
      <c r="D312" s="518"/>
      <c r="E312" s="518"/>
      <c r="F312" s="518"/>
      <c r="G312" s="518"/>
      <c r="H312" s="519"/>
      <c r="I312" s="518"/>
      <c r="J312" s="518"/>
    </row>
    <row r="313" spans="1:10" s="73" customFormat="1" x14ac:dyDescent="0.2">
      <c r="A313" s="94"/>
      <c r="B313" s="128" t="s">
        <v>471</v>
      </c>
      <c r="C313" s="518"/>
      <c r="D313" s="518"/>
      <c r="E313" s="518"/>
      <c r="F313" s="518"/>
      <c r="G313" s="518"/>
      <c r="H313" s="519"/>
      <c r="I313" s="518"/>
      <c r="J313" s="518"/>
    </row>
    <row r="314" spans="1:10" s="73" customFormat="1" x14ac:dyDescent="0.2">
      <c r="A314" s="94"/>
      <c r="B314" s="128" t="s">
        <v>470</v>
      </c>
      <c r="C314" s="518"/>
      <c r="D314" s="518"/>
      <c r="E314" s="518"/>
      <c r="F314" s="518"/>
      <c r="G314" s="518"/>
      <c r="H314" s="519"/>
      <c r="I314" s="518"/>
      <c r="J314" s="518"/>
    </row>
    <row r="315" spans="1:10" s="73" customFormat="1" x14ac:dyDescent="0.2">
      <c r="A315" s="94"/>
      <c r="B315" s="79"/>
      <c r="C315" s="518"/>
      <c r="D315" s="518"/>
      <c r="E315" s="518"/>
      <c r="F315" s="518"/>
      <c r="G315" s="518"/>
      <c r="H315" s="519"/>
      <c r="I315" s="518"/>
      <c r="J315" s="518"/>
    </row>
    <row r="316" spans="1:10" s="73" customFormat="1" x14ac:dyDescent="0.2">
      <c r="A316" s="26"/>
      <c r="B316" s="26"/>
    </row>
    <row r="317" spans="1:10" s="73" customFormat="1" x14ac:dyDescent="0.2">
      <c r="A317" s="523" t="s">
        <v>200</v>
      </c>
      <c r="B317" s="523"/>
      <c r="C317" s="523"/>
      <c r="D317" s="523"/>
      <c r="E317" s="523"/>
      <c r="F317" s="523"/>
      <c r="G317" s="523"/>
      <c r="H317" s="523"/>
      <c r="I317" s="523"/>
      <c r="J317" s="523"/>
    </row>
    <row r="318" spans="1:10" s="1" customFormat="1" x14ac:dyDescent="0.2">
      <c r="A318" s="523" t="s">
        <v>472</v>
      </c>
      <c r="B318" s="523"/>
      <c r="C318" s="523"/>
      <c r="D318" s="523"/>
      <c r="E318" s="523"/>
      <c r="F318" s="523"/>
      <c r="G318" s="523"/>
      <c r="H318" s="523"/>
      <c r="I318" s="523"/>
      <c r="J318" s="523"/>
    </row>
    <row r="319" spans="1:10" s="73" customFormat="1" x14ac:dyDescent="0.2">
      <c r="A319" s="26"/>
      <c r="B319" s="26"/>
    </row>
    <row r="320" spans="1:10" s="73" customFormat="1" x14ac:dyDescent="0.2">
      <c r="A320" s="129"/>
      <c r="B320" s="114"/>
      <c r="C320" s="576" t="s">
        <v>188</v>
      </c>
      <c r="D320" s="577"/>
      <c r="E320" s="577"/>
      <c r="F320" s="577"/>
      <c r="G320" s="577"/>
      <c r="H320" s="578"/>
      <c r="I320" s="569" t="s">
        <v>189</v>
      </c>
      <c r="J320" s="570"/>
    </row>
    <row r="321" spans="1:10" s="73" customFormat="1" ht="12.75" customHeight="1" x14ac:dyDescent="0.2">
      <c r="A321" s="131"/>
      <c r="B321" s="571" t="s">
        <v>195</v>
      </c>
      <c r="C321" s="117" t="s">
        <v>172</v>
      </c>
      <c r="D321" s="117" t="s">
        <v>175</v>
      </c>
      <c r="E321" s="117" t="s">
        <v>176</v>
      </c>
      <c r="F321" s="117" t="s">
        <v>178</v>
      </c>
      <c r="G321" s="117" t="s">
        <v>179</v>
      </c>
      <c r="H321" s="573" t="s">
        <v>181</v>
      </c>
      <c r="I321" s="117" t="s">
        <v>176</v>
      </c>
      <c r="J321" s="105" t="s">
        <v>178</v>
      </c>
    </row>
    <row r="322" spans="1:10" s="73" customFormat="1" ht="12.75" customHeight="1" x14ac:dyDescent="0.2">
      <c r="A322" s="131"/>
      <c r="B322" s="571"/>
      <c r="C322" s="118" t="s">
        <v>173</v>
      </c>
      <c r="D322" s="118" t="s">
        <v>174</v>
      </c>
      <c r="E322" s="118" t="s">
        <v>177</v>
      </c>
      <c r="F322" s="118" t="s">
        <v>70</v>
      </c>
      <c r="G322" s="118" t="s">
        <v>180</v>
      </c>
      <c r="H322" s="574"/>
      <c r="I322" s="118" t="s">
        <v>177</v>
      </c>
      <c r="J322" s="106" t="s">
        <v>70</v>
      </c>
    </row>
    <row r="323" spans="1:10" s="73" customFormat="1" x14ac:dyDescent="0.2">
      <c r="A323" s="132"/>
      <c r="B323" s="580"/>
      <c r="C323" s="119" t="s">
        <v>174</v>
      </c>
      <c r="D323" s="120"/>
      <c r="E323" s="119" t="s">
        <v>174</v>
      </c>
      <c r="F323" s="119" t="s">
        <v>174</v>
      </c>
      <c r="G323" s="119" t="s">
        <v>174</v>
      </c>
      <c r="H323" s="575"/>
      <c r="I323" s="119" t="s">
        <v>174</v>
      </c>
      <c r="J323" s="107" t="s">
        <v>174</v>
      </c>
    </row>
    <row r="324" spans="1:10" s="73" customFormat="1" x14ac:dyDescent="0.2">
      <c r="A324" s="389">
        <v>6.1</v>
      </c>
      <c r="B324" s="502" t="s">
        <v>309</v>
      </c>
      <c r="C324" s="126"/>
      <c r="E324" s="122"/>
      <c r="F324" s="116"/>
      <c r="G324" s="122"/>
      <c r="H324" s="116"/>
      <c r="I324" s="122"/>
      <c r="J324" s="122"/>
    </row>
    <row r="325" spans="1:10" s="73" customFormat="1" x14ac:dyDescent="0.2">
      <c r="A325" s="16"/>
      <c r="B325" s="113" t="s">
        <v>7</v>
      </c>
      <c r="C325" s="514">
        <v>16266</v>
      </c>
      <c r="D325" s="508">
        <v>-116</v>
      </c>
      <c r="E325" s="494">
        <f>+D325+C325</f>
        <v>16150</v>
      </c>
      <c r="F325" s="499">
        <v>16150</v>
      </c>
      <c r="G325" s="494" t="s">
        <v>437</v>
      </c>
      <c r="H325" s="494">
        <f>+F325/E325*100</f>
        <v>100</v>
      </c>
      <c r="I325" s="494">
        <v>1166</v>
      </c>
      <c r="J325" s="494">
        <v>2253</v>
      </c>
    </row>
    <row r="326" spans="1:10" s="73" customFormat="1" x14ac:dyDescent="0.2">
      <c r="A326" s="16"/>
      <c r="B326" s="113" t="s">
        <v>17</v>
      </c>
      <c r="C326" s="514">
        <v>352</v>
      </c>
      <c r="D326" s="508">
        <v>-243</v>
      </c>
      <c r="E326" s="494">
        <f>+D326+C326</f>
        <v>109</v>
      </c>
      <c r="F326" s="499">
        <v>109</v>
      </c>
      <c r="G326" s="494" t="s">
        <v>437</v>
      </c>
      <c r="H326" s="494">
        <f>+F326/E326*100</f>
        <v>100</v>
      </c>
      <c r="I326" s="494">
        <v>659</v>
      </c>
      <c r="J326" s="494">
        <v>568</v>
      </c>
    </row>
    <row r="327" spans="1:10" s="73" customFormat="1" ht="25.5" x14ac:dyDescent="0.2">
      <c r="A327" s="389">
        <v>6.2</v>
      </c>
      <c r="B327" s="509" t="s">
        <v>329</v>
      </c>
      <c r="C327" s="514"/>
      <c r="D327" s="508"/>
      <c r="E327" s="494"/>
      <c r="F327" s="499"/>
      <c r="G327" s="494"/>
      <c r="H327" s="499"/>
      <c r="I327" s="494"/>
      <c r="J327" s="494"/>
    </row>
    <row r="328" spans="1:10" s="73" customFormat="1" x14ac:dyDescent="0.2">
      <c r="A328" s="16"/>
      <c r="B328" s="392" t="s">
        <v>7</v>
      </c>
      <c r="C328" s="514">
        <v>4630</v>
      </c>
      <c r="D328" s="508">
        <v>-704</v>
      </c>
      <c r="E328" s="494">
        <f>+D328+C328</f>
        <v>3926</v>
      </c>
      <c r="F328" s="499">
        <v>3926</v>
      </c>
      <c r="G328" s="494" t="s">
        <v>437</v>
      </c>
      <c r="H328" s="494">
        <f>+F328/E328*100</f>
        <v>100</v>
      </c>
      <c r="I328" s="494">
        <v>5432</v>
      </c>
      <c r="J328" s="494">
        <v>4811</v>
      </c>
    </row>
    <row r="329" spans="1:10" s="73" customFormat="1" x14ac:dyDescent="0.2">
      <c r="A329" s="16"/>
      <c r="B329" s="392" t="s">
        <v>17</v>
      </c>
      <c r="C329" s="514">
        <v>100</v>
      </c>
      <c r="D329" s="508">
        <v>-55</v>
      </c>
      <c r="E329" s="494">
        <f>+D329+C329</f>
        <v>45</v>
      </c>
      <c r="F329" s="499">
        <v>45</v>
      </c>
      <c r="G329" s="494" t="s">
        <v>437</v>
      </c>
      <c r="H329" s="494">
        <f>+F329/E329*100</f>
        <v>100</v>
      </c>
      <c r="I329" s="494" t="s">
        <v>437</v>
      </c>
      <c r="J329" s="494">
        <v>166</v>
      </c>
    </row>
    <row r="330" spans="1:10" s="73" customFormat="1" ht="38.25" x14ac:dyDescent="0.2">
      <c r="A330" s="389">
        <v>6.3</v>
      </c>
      <c r="B330" s="14" t="s">
        <v>330</v>
      </c>
      <c r="C330" s="514"/>
      <c r="D330" s="508"/>
      <c r="E330" s="494"/>
      <c r="F330" s="499"/>
      <c r="G330" s="494"/>
      <c r="H330" s="499"/>
      <c r="I330" s="494"/>
      <c r="J330" s="494"/>
    </row>
    <row r="331" spans="1:10" s="73" customFormat="1" x14ac:dyDescent="0.2">
      <c r="A331" s="16"/>
      <c r="B331" s="113" t="s">
        <v>7</v>
      </c>
      <c r="C331" s="514">
        <v>2638</v>
      </c>
      <c r="D331" s="508">
        <v>293</v>
      </c>
      <c r="E331" s="494">
        <f>+D331+C331</f>
        <v>2931</v>
      </c>
      <c r="F331" s="499">
        <v>2931</v>
      </c>
      <c r="G331" s="494" t="s">
        <v>437</v>
      </c>
      <c r="H331" s="494">
        <f>+F331/E331*100</f>
        <v>100</v>
      </c>
      <c r="I331" s="494">
        <v>2005</v>
      </c>
      <c r="J331" s="494">
        <v>1771</v>
      </c>
    </row>
    <row r="332" spans="1:10" s="73" customFormat="1" x14ac:dyDescent="0.2">
      <c r="A332" s="16"/>
      <c r="B332" s="113" t="s">
        <v>17</v>
      </c>
      <c r="C332" s="514">
        <v>113</v>
      </c>
      <c r="D332" s="508">
        <v>25</v>
      </c>
      <c r="E332" s="494">
        <f>+D332+C332</f>
        <v>138</v>
      </c>
      <c r="F332" s="499">
        <v>138</v>
      </c>
      <c r="G332" s="494" t="s">
        <v>437</v>
      </c>
      <c r="H332" s="494">
        <f>+F332/E332*100</f>
        <v>100</v>
      </c>
      <c r="I332" s="494" t="s">
        <v>437</v>
      </c>
      <c r="J332" s="494">
        <v>77</v>
      </c>
    </row>
    <row r="333" spans="1:10" s="73" customFormat="1" ht="25.5" x14ac:dyDescent="0.2">
      <c r="A333" s="389">
        <v>6.4</v>
      </c>
      <c r="B333" s="14" t="s">
        <v>331</v>
      </c>
      <c r="C333" s="514"/>
      <c r="D333" s="508"/>
      <c r="E333" s="494"/>
      <c r="F333" s="499"/>
      <c r="G333" s="494"/>
      <c r="H333" s="499"/>
      <c r="I333" s="494"/>
      <c r="J333" s="494"/>
    </row>
    <row r="334" spans="1:10" s="73" customFormat="1" x14ac:dyDescent="0.2">
      <c r="A334" s="16"/>
      <c r="B334" s="113" t="s">
        <v>7</v>
      </c>
      <c r="C334" s="514">
        <v>2586</v>
      </c>
      <c r="D334" s="508">
        <v>-243</v>
      </c>
      <c r="E334" s="494">
        <f>+D334+C334</f>
        <v>2343</v>
      </c>
      <c r="F334" s="499">
        <v>2343</v>
      </c>
      <c r="G334" s="494" t="s">
        <v>437</v>
      </c>
      <c r="H334" s="494">
        <f>+F334/E334*100</f>
        <v>100</v>
      </c>
      <c r="I334" s="494">
        <v>249</v>
      </c>
      <c r="J334" s="494">
        <v>88</v>
      </c>
    </row>
    <row r="335" spans="1:10" s="73" customFormat="1" x14ac:dyDescent="0.2">
      <c r="A335" s="16"/>
      <c r="B335" s="113" t="s">
        <v>17</v>
      </c>
      <c r="C335" s="514">
        <v>180</v>
      </c>
      <c r="D335" s="508">
        <v>189</v>
      </c>
      <c r="E335" s="494">
        <f>+D335+C335</f>
        <v>369</v>
      </c>
      <c r="F335" s="499">
        <v>369</v>
      </c>
      <c r="G335" s="494" t="s">
        <v>437</v>
      </c>
      <c r="H335" s="494">
        <f>+F335/E335*100</f>
        <v>100</v>
      </c>
      <c r="I335" s="494" t="s">
        <v>437</v>
      </c>
      <c r="J335" s="494" t="s">
        <v>437</v>
      </c>
    </row>
    <row r="336" spans="1:10" s="73" customFormat="1" x14ac:dyDescent="0.2">
      <c r="A336" s="389">
        <v>6.5</v>
      </c>
      <c r="B336" s="14" t="s">
        <v>332</v>
      </c>
      <c r="C336" s="514"/>
      <c r="D336" s="508"/>
      <c r="E336" s="494"/>
      <c r="F336" s="499"/>
      <c r="G336" s="494"/>
      <c r="H336" s="499"/>
      <c r="I336" s="494"/>
      <c r="J336" s="494"/>
    </row>
    <row r="337" spans="1:10" s="73" customFormat="1" x14ac:dyDescent="0.2">
      <c r="A337" s="16"/>
      <c r="B337" s="113" t="s">
        <v>7</v>
      </c>
      <c r="C337" s="514">
        <v>2509</v>
      </c>
      <c r="D337" s="508">
        <v>-425</v>
      </c>
      <c r="E337" s="494">
        <f>+D337+C337</f>
        <v>2084</v>
      </c>
      <c r="F337" s="499">
        <v>2084</v>
      </c>
      <c r="G337" s="494" t="s">
        <v>437</v>
      </c>
      <c r="H337" s="494">
        <f>+F337/E337*100</f>
        <v>100</v>
      </c>
      <c r="I337" s="494">
        <v>1243</v>
      </c>
      <c r="J337" s="494">
        <v>739</v>
      </c>
    </row>
    <row r="338" spans="1:10" s="73" customFormat="1" x14ac:dyDescent="0.2">
      <c r="A338" s="16"/>
      <c r="B338" s="113" t="s">
        <v>17</v>
      </c>
      <c r="C338" s="514">
        <v>257</v>
      </c>
      <c r="D338" s="508">
        <v>-57</v>
      </c>
      <c r="E338" s="494">
        <f>+D338+C338</f>
        <v>200</v>
      </c>
      <c r="F338" s="499">
        <v>200</v>
      </c>
      <c r="G338" s="494" t="s">
        <v>437</v>
      </c>
      <c r="H338" s="494">
        <f>+F338/E338*100</f>
        <v>100</v>
      </c>
      <c r="I338" s="494" t="s">
        <v>437</v>
      </c>
      <c r="J338" s="494" t="s">
        <v>437</v>
      </c>
    </row>
    <row r="339" spans="1:10" s="73" customFormat="1" x14ac:dyDescent="0.2">
      <c r="A339" s="389">
        <v>6.6</v>
      </c>
      <c r="B339" s="509" t="s">
        <v>314</v>
      </c>
      <c r="C339" s="514"/>
      <c r="D339" s="508"/>
      <c r="E339" s="494"/>
      <c r="F339" s="499"/>
      <c r="G339" s="494"/>
      <c r="H339" s="499"/>
      <c r="I339" s="494"/>
      <c r="J339" s="494"/>
    </row>
    <row r="340" spans="1:10" s="73" customFormat="1" x14ac:dyDescent="0.2">
      <c r="A340" s="16"/>
      <c r="B340" s="392" t="s">
        <v>7</v>
      </c>
      <c r="C340" s="514">
        <v>87122</v>
      </c>
      <c r="D340" s="508" t="s">
        <v>437</v>
      </c>
      <c r="E340" s="494">
        <f>C340</f>
        <v>87122</v>
      </c>
      <c r="F340" s="499">
        <v>86842</v>
      </c>
      <c r="G340" s="494">
        <f>+E340-F340</f>
        <v>280</v>
      </c>
      <c r="H340" s="494">
        <f>+F340/E340*100</f>
        <v>99.678611602121165</v>
      </c>
      <c r="I340" s="494">
        <v>116134</v>
      </c>
      <c r="J340" s="494">
        <v>116134</v>
      </c>
    </row>
    <row r="341" spans="1:10" s="73" customFormat="1" x14ac:dyDescent="0.2">
      <c r="A341" s="16"/>
      <c r="B341" s="392" t="s">
        <v>17</v>
      </c>
      <c r="C341" s="514">
        <v>83500</v>
      </c>
      <c r="D341" s="508" t="s">
        <v>437</v>
      </c>
      <c r="E341" s="494">
        <f>C341</f>
        <v>83500</v>
      </c>
      <c r="F341" s="499">
        <v>83500</v>
      </c>
      <c r="G341" s="494" t="s">
        <v>437</v>
      </c>
      <c r="H341" s="494">
        <f>+F341/E341*100</f>
        <v>100</v>
      </c>
      <c r="I341" s="494">
        <v>25000</v>
      </c>
      <c r="J341" s="494">
        <v>25000</v>
      </c>
    </row>
    <row r="342" spans="1:10" s="73" customFormat="1" x14ac:dyDescent="0.2">
      <c r="A342" s="389">
        <v>6.7</v>
      </c>
      <c r="B342" s="8" t="s">
        <v>318</v>
      </c>
      <c r="C342" s="514"/>
      <c r="D342" s="508"/>
      <c r="E342" s="494"/>
      <c r="F342" s="499"/>
      <c r="G342" s="494"/>
      <c r="H342" s="499"/>
      <c r="I342" s="494"/>
      <c r="J342" s="494"/>
    </row>
    <row r="343" spans="1:10" s="73" customFormat="1" x14ac:dyDescent="0.2">
      <c r="A343" s="16"/>
      <c r="B343" s="113" t="s">
        <v>7</v>
      </c>
      <c r="C343" s="514">
        <v>116200</v>
      </c>
      <c r="D343" s="508">
        <v>-19843</v>
      </c>
      <c r="E343" s="494">
        <f>+D343+C343</f>
        <v>96357</v>
      </c>
      <c r="F343" s="499">
        <v>96357</v>
      </c>
      <c r="G343" s="494" t="s">
        <v>437</v>
      </c>
      <c r="H343" s="494">
        <f>+F343/E343*100</f>
        <v>100</v>
      </c>
      <c r="I343" s="494">
        <v>45330</v>
      </c>
      <c r="J343" s="494">
        <v>45330</v>
      </c>
    </row>
    <row r="344" spans="1:10" s="73" customFormat="1" x14ac:dyDescent="0.2">
      <c r="A344" s="29"/>
      <c r="B344" s="28" t="s">
        <v>157</v>
      </c>
      <c r="C344" s="516">
        <f>SUM(C324:C343)</f>
        <v>316453</v>
      </c>
      <c r="D344" s="516">
        <f>SUM(D324:D343)</f>
        <v>-21179</v>
      </c>
      <c r="E344" s="516">
        <f>SUM(E324:E343)</f>
        <v>295274</v>
      </c>
      <c r="F344" s="516">
        <f>SUM(F324:F343)</f>
        <v>294994</v>
      </c>
      <c r="G344" s="516">
        <f>SUM(G324:G343)</f>
        <v>280</v>
      </c>
      <c r="H344" s="495">
        <f>+F344/E344*100</f>
        <v>99.905172822530943</v>
      </c>
      <c r="I344" s="516">
        <f>SUM(I324:I343)</f>
        <v>197218</v>
      </c>
      <c r="J344" s="516">
        <f>SUM(J324:J343)</f>
        <v>196937</v>
      </c>
    </row>
    <row r="345" spans="1:10" s="73" customFormat="1" x14ac:dyDescent="0.2">
      <c r="A345" s="28"/>
      <c r="B345" s="28"/>
      <c r="C345" s="28"/>
      <c r="D345" s="28"/>
      <c r="E345" s="28"/>
      <c r="F345" s="28"/>
      <c r="G345" s="28"/>
      <c r="H345" s="28"/>
      <c r="I345" s="28"/>
      <c r="J345" s="28"/>
    </row>
    <row r="346" spans="1:10" s="73" customFormat="1" x14ac:dyDescent="0.2">
      <c r="A346" s="129"/>
      <c r="B346" s="114"/>
      <c r="C346" s="576" t="s">
        <v>188</v>
      </c>
      <c r="D346" s="577"/>
      <c r="E346" s="577"/>
      <c r="F346" s="577"/>
      <c r="G346" s="577"/>
      <c r="H346" s="578"/>
      <c r="I346" s="569" t="s">
        <v>189</v>
      </c>
      <c r="J346" s="570"/>
    </row>
    <row r="347" spans="1:10" s="73" customFormat="1" ht="12.75" customHeight="1" x14ac:dyDescent="0.2">
      <c r="A347" s="131"/>
      <c r="B347" s="579" t="s">
        <v>190</v>
      </c>
      <c r="C347" s="105" t="s">
        <v>172</v>
      </c>
      <c r="D347" s="125" t="s">
        <v>175</v>
      </c>
      <c r="E347" s="117" t="s">
        <v>176</v>
      </c>
      <c r="F347" s="117" t="s">
        <v>178</v>
      </c>
      <c r="G347" s="117" t="s">
        <v>179</v>
      </c>
      <c r="H347" s="573" t="s">
        <v>181</v>
      </c>
      <c r="I347" s="117" t="s">
        <v>176</v>
      </c>
      <c r="J347" s="105" t="s">
        <v>178</v>
      </c>
    </row>
    <row r="348" spans="1:10" s="73" customFormat="1" ht="12.75" customHeight="1" x14ac:dyDescent="0.2">
      <c r="A348" s="131"/>
      <c r="B348" s="579"/>
      <c r="C348" s="106" t="s">
        <v>173</v>
      </c>
      <c r="D348" s="124" t="s">
        <v>174</v>
      </c>
      <c r="E348" s="118" t="s">
        <v>177</v>
      </c>
      <c r="F348" s="118" t="s">
        <v>70</v>
      </c>
      <c r="G348" s="118" t="s">
        <v>180</v>
      </c>
      <c r="H348" s="574"/>
      <c r="I348" s="118" t="s">
        <v>177</v>
      </c>
      <c r="J348" s="106" t="s">
        <v>70</v>
      </c>
    </row>
    <row r="349" spans="1:10" s="73" customFormat="1" x14ac:dyDescent="0.2">
      <c r="A349" s="132"/>
      <c r="B349" s="572"/>
      <c r="C349" s="107" t="s">
        <v>174</v>
      </c>
      <c r="D349" s="121"/>
      <c r="E349" s="119" t="s">
        <v>174</v>
      </c>
      <c r="F349" s="119" t="s">
        <v>174</v>
      </c>
      <c r="G349" s="119" t="s">
        <v>174</v>
      </c>
      <c r="H349" s="575"/>
      <c r="I349" s="119" t="s">
        <v>174</v>
      </c>
      <c r="J349" s="107" t="s">
        <v>174</v>
      </c>
    </row>
    <row r="350" spans="1:10" s="73" customFormat="1" x14ac:dyDescent="0.2">
      <c r="A350" s="15"/>
      <c r="B350" s="114" t="s">
        <v>7</v>
      </c>
      <c r="C350" s="235"/>
      <c r="D350" s="232"/>
      <c r="E350" s="233"/>
      <c r="F350" s="224"/>
      <c r="G350" s="236"/>
      <c r="H350" s="224"/>
      <c r="I350" s="233"/>
      <c r="J350" s="224"/>
    </row>
    <row r="351" spans="1:10" s="73" customFormat="1" x14ac:dyDescent="0.2">
      <c r="A351" s="16"/>
      <c r="B351" s="113" t="s">
        <v>8</v>
      </c>
      <c r="C351" s="514">
        <v>7978</v>
      </c>
      <c r="D351" s="493">
        <v>-10</v>
      </c>
      <c r="E351" s="494">
        <f>+D351+C351</f>
        <v>7968</v>
      </c>
      <c r="F351" s="494">
        <v>7968</v>
      </c>
      <c r="G351" s="494" t="s">
        <v>437</v>
      </c>
      <c r="H351" s="218">
        <f>+F351/E351*100</f>
        <v>100</v>
      </c>
      <c r="I351" s="499">
        <v>4292</v>
      </c>
      <c r="J351" s="494">
        <v>4292</v>
      </c>
    </row>
    <row r="352" spans="1:10" s="73" customFormat="1" x14ac:dyDescent="0.2">
      <c r="A352" s="16"/>
      <c r="B352" s="113" t="s">
        <v>14</v>
      </c>
      <c r="C352" s="514">
        <v>203322</v>
      </c>
      <c r="D352" s="493">
        <v>-19843</v>
      </c>
      <c r="E352" s="494">
        <f>+D352+C352</f>
        <v>183479</v>
      </c>
      <c r="F352" s="494">
        <v>183199</v>
      </c>
      <c r="G352" s="494">
        <f>+E352-F352</f>
        <v>280</v>
      </c>
      <c r="H352" s="218">
        <f>+F352/E352*100</f>
        <v>99.847393979692498</v>
      </c>
      <c r="I352" s="499">
        <v>161464</v>
      </c>
      <c r="J352" s="494">
        <v>161464</v>
      </c>
    </row>
    <row r="353" spans="1:10" s="73" customFormat="1" x14ac:dyDescent="0.2">
      <c r="A353" s="16"/>
      <c r="B353" s="113" t="s">
        <v>66</v>
      </c>
      <c r="C353" s="514">
        <v>20651</v>
      </c>
      <c r="D353" s="493">
        <v>-1185</v>
      </c>
      <c r="E353" s="494">
        <f>+D353+C353</f>
        <v>19466</v>
      </c>
      <c r="F353" s="494">
        <v>19466</v>
      </c>
      <c r="G353" s="494" t="s">
        <v>437</v>
      </c>
      <c r="H353" s="218">
        <f>+F353/E353*100</f>
        <v>100</v>
      </c>
      <c r="I353" s="499">
        <v>5802</v>
      </c>
      <c r="J353" s="494">
        <v>5370</v>
      </c>
    </row>
    <row r="354" spans="1:10" s="73" customFormat="1" x14ac:dyDescent="0.2">
      <c r="A354" s="16"/>
      <c r="B354" s="32" t="s">
        <v>17</v>
      </c>
      <c r="C354" s="514"/>
      <c r="D354" s="493"/>
      <c r="E354" s="499"/>
      <c r="F354" s="494"/>
      <c r="G354" s="501"/>
      <c r="H354" s="218"/>
      <c r="I354" s="499"/>
      <c r="J354" s="494"/>
    </row>
    <row r="355" spans="1:10" s="73" customFormat="1" x14ac:dyDescent="0.2">
      <c r="A355" s="16"/>
      <c r="B355" s="113" t="s">
        <v>14</v>
      </c>
      <c r="C355" s="514">
        <v>83500</v>
      </c>
      <c r="D355" s="493" t="s">
        <v>437</v>
      </c>
      <c r="E355" s="494">
        <f>C355</f>
        <v>83500</v>
      </c>
      <c r="F355" s="494">
        <v>83500</v>
      </c>
      <c r="G355" s="494" t="s">
        <v>437</v>
      </c>
      <c r="H355" s="218">
        <f>+F355/E355*100</f>
        <v>100</v>
      </c>
      <c r="I355" s="499">
        <v>25001</v>
      </c>
      <c r="J355" s="494">
        <v>25000</v>
      </c>
    </row>
    <row r="356" spans="1:10" s="73" customFormat="1" ht="12.75" customHeight="1" x14ac:dyDescent="0.2">
      <c r="A356" s="16"/>
      <c r="B356" s="113" t="s">
        <v>191</v>
      </c>
      <c r="C356" s="514">
        <v>1002</v>
      </c>
      <c r="D356" s="493">
        <v>-141</v>
      </c>
      <c r="E356" s="494">
        <f>+D356+C356</f>
        <v>861</v>
      </c>
      <c r="F356" s="494">
        <v>861</v>
      </c>
      <c r="G356" s="494" t="s">
        <v>437</v>
      </c>
      <c r="H356" s="218">
        <f>+F356/E356*100</f>
        <v>100</v>
      </c>
      <c r="I356" s="499">
        <v>659</v>
      </c>
      <c r="J356" s="494">
        <v>811</v>
      </c>
    </row>
    <row r="357" spans="1:10" s="73" customFormat="1" x14ac:dyDescent="0.2">
      <c r="A357" s="29"/>
      <c r="B357" s="28" t="s">
        <v>157</v>
      </c>
      <c r="C357" s="516">
        <f>SUM(C350:C356)</f>
        <v>316453</v>
      </c>
      <c r="D357" s="516">
        <f>SUM(D350:D356)</f>
        <v>-21179</v>
      </c>
      <c r="E357" s="516">
        <f>SUM(E350:E356)</f>
        <v>295274</v>
      </c>
      <c r="F357" s="516">
        <f>SUM(F350:F356)</f>
        <v>294994</v>
      </c>
      <c r="G357" s="516">
        <f>SUM(G350:G356)</f>
        <v>280</v>
      </c>
      <c r="H357" s="217">
        <f>+F357/E357*100</f>
        <v>99.905172822530943</v>
      </c>
      <c r="I357" s="516">
        <f>SUM(I350:I356)</f>
        <v>197218</v>
      </c>
      <c r="J357" s="516">
        <f>SUM(J350:J356)</f>
        <v>196937</v>
      </c>
    </row>
    <row r="358" spans="1:10" s="128" customFormat="1" x14ac:dyDescent="0.2">
      <c r="A358" s="14"/>
      <c r="B358" s="14"/>
      <c r="C358" s="14"/>
      <c r="D358" s="14"/>
      <c r="E358" s="14"/>
      <c r="F358" s="14"/>
      <c r="G358" s="14"/>
      <c r="H358" s="14"/>
      <c r="I358" s="14"/>
      <c r="J358" s="14"/>
    </row>
    <row r="359" spans="1:10" s="73" customFormat="1" x14ac:dyDescent="0.2">
      <c r="A359" s="129"/>
      <c r="B359" s="114"/>
      <c r="C359" s="576" t="s">
        <v>188</v>
      </c>
      <c r="D359" s="577"/>
      <c r="E359" s="577"/>
      <c r="F359" s="577"/>
      <c r="G359" s="577"/>
      <c r="H359" s="578"/>
      <c r="I359" s="569" t="s">
        <v>189</v>
      </c>
      <c r="J359" s="570"/>
    </row>
    <row r="360" spans="1:10" s="73" customFormat="1" ht="12.75" customHeight="1" x14ac:dyDescent="0.2">
      <c r="A360" s="131"/>
      <c r="B360" s="571" t="s">
        <v>192</v>
      </c>
      <c r="C360" s="105" t="s">
        <v>172</v>
      </c>
      <c r="D360" s="117" t="s">
        <v>175</v>
      </c>
      <c r="E360" s="117" t="s">
        <v>176</v>
      </c>
      <c r="F360" s="117" t="s">
        <v>178</v>
      </c>
      <c r="G360" s="117" t="s">
        <v>179</v>
      </c>
      <c r="H360" s="573" t="s">
        <v>181</v>
      </c>
      <c r="I360" s="117" t="s">
        <v>176</v>
      </c>
      <c r="J360" s="105" t="s">
        <v>178</v>
      </c>
    </row>
    <row r="361" spans="1:10" s="73" customFormat="1" ht="12.75" customHeight="1" x14ac:dyDescent="0.2">
      <c r="A361" s="131"/>
      <c r="B361" s="571"/>
      <c r="C361" s="106" t="s">
        <v>173</v>
      </c>
      <c r="D361" s="118" t="s">
        <v>174</v>
      </c>
      <c r="E361" s="118" t="s">
        <v>177</v>
      </c>
      <c r="F361" s="118" t="s">
        <v>70</v>
      </c>
      <c r="G361" s="118" t="s">
        <v>180</v>
      </c>
      <c r="H361" s="574"/>
      <c r="I361" s="118" t="s">
        <v>177</v>
      </c>
      <c r="J361" s="106" t="s">
        <v>70</v>
      </c>
    </row>
    <row r="362" spans="1:10" s="73" customFormat="1" x14ac:dyDescent="0.2">
      <c r="A362" s="132"/>
      <c r="B362" s="572"/>
      <c r="C362" s="107" t="s">
        <v>174</v>
      </c>
      <c r="D362" s="121"/>
      <c r="E362" s="119" t="s">
        <v>174</v>
      </c>
      <c r="F362" s="119" t="s">
        <v>174</v>
      </c>
      <c r="G362" s="119" t="s">
        <v>174</v>
      </c>
      <c r="H362" s="575"/>
      <c r="I362" s="119" t="s">
        <v>174</v>
      </c>
      <c r="J362" s="107" t="s">
        <v>174</v>
      </c>
    </row>
    <row r="363" spans="1:10" s="73" customFormat="1" x14ac:dyDescent="0.2">
      <c r="A363" s="16"/>
      <c r="B363" s="32" t="s">
        <v>8</v>
      </c>
      <c r="C363" s="514">
        <v>7978</v>
      </c>
      <c r="D363" s="493">
        <v>-10</v>
      </c>
      <c r="E363" s="494">
        <f t="shared" ref="E363:E368" si="8">+D363+C363</f>
        <v>7968</v>
      </c>
      <c r="F363" s="494">
        <v>7968</v>
      </c>
      <c r="G363" s="494" t="s">
        <v>437</v>
      </c>
      <c r="H363" s="494">
        <f t="shared" ref="H363:H368" si="9">+F363/E363*100</f>
        <v>100</v>
      </c>
      <c r="I363" s="499">
        <v>4292</v>
      </c>
      <c r="J363" s="494">
        <v>4292</v>
      </c>
    </row>
    <row r="364" spans="1:10" s="73" customFormat="1" x14ac:dyDescent="0.2">
      <c r="A364" s="16"/>
      <c r="B364" s="32" t="s">
        <v>9</v>
      </c>
      <c r="C364" s="514">
        <v>4274</v>
      </c>
      <c r="D364" s="493">
        <v>2923</v>
      </c>
      <c r="E364" s="494">
        <f t="shared" si="8"/>
        <v>7197</v>
      </c>
      <c r="F364" s="494">
        <v>7197</v>
      </c>
      <c r="G364" s="494" t="s">
        <v>437</v>
      </c>
      <c r="H364" s="494">
        <f t="shared" si="9"/>
        <v>100</v>
      </c>
      <c r="I364" s="499">
        <v>3375</v>
      </c>
      <c r="J364" s="494">
        <v>3375</v>
      </c>
    </row>
    <row r="365" spans="1:10" s="73" customFormat="1" x14ac:dyDescent="0.2">
      <c r="A365" s="16"/>
      <c r="B365" s="79" t="s">
        <v>10</v>
      </c>
      <c r="C365" s="514">
        <v>436</v>
      </c>
      <c r="D365" s="493">
        <v>453</v>
      </c>
      <c r="E365" s="494">
        <f>+D365+C365</f>
        <v>889</v>
      </c>
      <c r="F365" s="494">
        <v>889</v>
      </c>
      <c r="G365" s="494" t="s">
        <v>437</v>
      </c>
      <c r="H365" s="494">
        <f>+F365/E365*100</f>
        <v>100</v>
      </c>
      <c r="I365" s="499">
        <v>154</v>
      </c>
      <c r="J365" s="494">
        <v>154</v>
      </c>
    </row>
    <row r="366" spans="1:10" s="73" customFormat="1" x14ac:dyDescent="0.2">
      <c r="A366" s="16"/>
      <c r="B366" s="32" t="s">
        <v>11</v>
      </c>
      <c r="C366" s="514">
        <v>1179</v>
      </c>
      <c r="D366" s="493">
        <v>-259</v>
      </c>
      <c r="E366" s="494">
        <f t="shared" si="8"/>
        <v>920</v>
      </c>
      <c r="F366" s="494">
        <v>920</v>
      </c>
      <c r="G366" s="494" t="s">
        <v>437</v>
      </c>
      <c r="H366" s="494">
        <f t="shared" si="9"/>
        <v>100</v>
      </c>
      <c r="I366" s="499">
        <v>841</v>
      </c>
      <c r="J366" s="494">
        <v>841</v>
      </c>
    </row>
    <row r="367" spans="1:10" s="73" customFormat="1" ht="25.5" x14ac:dyDescent="0.2">
      <c r="A367" s="16"/>
      <c r="B367" s="32" t="s">
        <v>13</v>
      </c>
      <c r="C367" s="514">
        <v>15764</v>
      </c>
      <c r="D367" s="493">
        <v>-4443</v>
      </c>
      <c r="E367" s="494">
        <f t="shared" si="8"/>
        <v>11321</v>
      </c>
      <c r="F367" s="494">
        <v>11321</v>
      </c>
      <c r="G367" s="494" t="s">
        <v>437</v>
      </c>
      <c r="H367" s="494">
        <f t="shared" si="9"/>
        <v>100</v>
      </c>
      <c r="I367" s="499">
        <v>1992</v>
      </c>
      <c r="J367" s="494">
        <v>1711</v>
      </c>
    </row>
    <row r="368" spans="1:10" s="73" customFormat="1" x14ac:dyDescent="0.2">
      <c r="A368" s="16"/>
      <c r="B368" s="32" t="s">
        <v>14</v>
      </c>
      <c r="C368" s="514">
        <v>286822</v>
      </c>
      <c r="D368" s="493">
        <v>-19843</v>
      </c>
      <c r="E368" s="494">
        <f t="shared" si="8"/>
        <v>266979</v>
      </c>
      <c r="F368" s="494">
        <v>266699</v>
      </c>
      <c r="G368" s="494">
        <f>+E368-F368</f>
        <v>280</v>
      </c>
      <c r="H368" s="494">
        <f t="shared" si="9"/>
        <v>99.895122837376732</v>
      </c>
      <c r="I368" s="499">
        <v>186464</v>
      </c>
      <c r="J368" s="494">
        <v>186464</v>
      </c>
    </row>
    <row r="369" spans="1:10" s="73" customFormat="1" x14ac:dyDescent="0.2">
      <c r="A369" s="16"/>
      <c r="B369" s="32" t="s">
        <v>15</v>
      </c>
      <c r="C369" s="514" t="s">
        <v>437</v>
      </c>
      <c r="D369" s="493" t="s">
        <v>437</v>
      </c>
      <c r="E369" s="494" t="s">
        <v>437</v>
      </c>
      <c r="F369" s="494" t="s">
        <v>437</v>
      </c>
      <c r="G369" s="494" t="s">
        <v>437</v>
      </c>
      <c r="H369" s="494" t="s">
        <v>437</v>
      </c>
      <c r="I369" s="499">
        <v>100</v>
      </c>
      <c r="J369" s="494">
        <v>100</v>
      </c>
    </row>
    <row r="370" spans="1:10" s="73" customFormat="1" x14ac:dyDescent="0.2">
      <c r="A370" s="29"/>
      <c r="B370" s="28" t="s">
        <v>157</v>
      </c>
      <c r="C370" s="516">
        <f>SUM(C363:C369)</f>
        <v>316453</v>
      </c>
      <c r="D370" s="516">
        <f>SUM(D363:D369)</f>
        <v>-21179</v>
      </c>
      <c r="E370" s="516">
        <f>SUM(E363:E369)</f>
        <v>295274</v>
      </c>
      <c r="F370" s="516">
        <f>SUM(F363:F369)</f>
        <v>294994</v>
      </c>
      <c r="G370" s="516">
        <f>SUM(G363:G369)</f>
        <v>280</v>
      </c>
      <c r="H370" s="495">
        <f>+F370/E370*100</f>
        <v>99.905172822530943</v>
      </c>
      <c r="I370" s="516">
        <f>SUM(I363:I369)</f>
        <v>197218</v>
      </c>
      <c r="J370" s="516">
        <f>SUM(J363:J369)</f>
        <v>196937</v>
      </c>
    </row>
    <row r="371" spans="1:10" s="73" customFormat="1" x14ac:dyDescent="0.2">
      <c r="A371" s="26"/>
      <c r="B371" s="26"/>
      <c r="C371" s="37"/>
    </row>
    <row r="372" spans="1:10" s="73" customFormat="1" x14ac:dyDescent="0.2">
      <c r="A372" s="523" t="s">
        <v>201</v>
      </c>
      <c r="B372" s="523"/>
      <c r="C372" s="523"/>
      <c r="D372" s="523"/>
      <c r="E372" s="523"/>
      <c r="F372" s="523"/>
      <c r="G372" s="523"/>
      <c r="H372" s="523"/>
      <c r="I372" s="523"/>
      <c r="J372" s="523"/>
    </row>
    <row r="373" spans="1:10" s="73" customFormat="1" x14ac:dyDescent="0.2">
      <c r="A373" s="523" t="s">
        <v>472</v>
      </c>
      <c r="B373" s="523"/>
      <c r="C373" s="523"/>
      <c r="D373" s="523"/>
      <c r="E373" s="523"/>
      <c r="F373" s="523"/>
      <c r="G373" s="523"/>
      <c r="H373" s="523"/>
      <c r="I373" s="523"/>
      <c r="J373" s="523"/>
    </row>
    <row r="374" spans="1:10" s="73" customFormat="1" x14ac:dyDescent="0.2">
      <c r="A374" s="166"/>
      <c r="B374" s="166"/>
      <c r="C374" s="166"/>
      <c r="D374" s="166"/>
      <c r="E374" s="166"/>
      <c r="F374" s="166"/>
      <c r="G374" s="166"/>
      <c r="H374" s="166"/>
      <c r="I374" s="166"/>
      <c r="J374" s="166"/>
    </row>
    <row r="375" spans="1:10" s="73" customFormat="1" x14ac:dyDescent="0.2">
      <c r="A375" s="129"/>
      <c r="B375" s="114"/>
      <c r="C375" s="576" t="s">
        <v>188</v>
      </c>
      <c r="D375" s="577"/>
      <c r="E375" s="577"/>
      <c r="F375" s="577"/>
      <c r="G375" s="577"/>
      <c r="H375" s="578"/>
      <c r="I375" s="569" t="s">
        <v>189</v>
      </c>
      <c r="J375" s="570"/>
    </row>
    <row r="376" spans="1:10" s="73" customFormat="1" x14ac:dyDescent="0.2">
      <c r="A376" s="131"/>
      <c r="B376" s="571" t="s">
        <v>195</v>
      </c>
      <c r="C376" s="117" t="s">
        <v>172</v>
      </c>
      <c r="D376" s="117" t="s">
        <v>175</v>
      </c>
      <c r="E376" s="117" t="s">
        <v>176</v>
      </c>
      <c r="F376" s="117" t="s">
        <v>178</v>
      </c>
      <c r="G376" s="117" t="s">
        <v>179</v>
      </c>
      <c r="H376" s="573" t="s">
        <v>181</v>
      </c>
      <c r="I376" s="117" t="s">
        <v>176</v>
      </c>
      <c r="J376" s="105" t="s">
        <v>178</v>
      </c>
    </row>
    <row r="377" spans="1:10" s="73" customFormat="1" x14ac:dyDescent="0.2">
      <c r="A377" s="131"/>
      <c r="B377" s="571"/>
      <c r="C377" s="118" t="s">
        <v>173</v>
      </c>
      <c r="D377" s="118" t="s">
        <v>174</v>
      </c>
      <c r="E377" s="118" t="s">
        <v>177</v>
      </c>
      <c r="F377" s="118" t="s">
        <v>70</v>
      </c>
      <c r="G377" s="118" t="s">
        <v>180</v>
      </c>
      <c r="H377" s="574"/>
      <c r="I377" s="118" t="s">
        <v>177</v>
      </c>
      <c r="J377" s="106" t="s">
        <v>70</v>
      </c>
    </row>
    <row r="378" spans="1:10" s="73" customFormat="1" x14ac:dyDescent="0.2">
      <c r="A378" s="132"/>
      <c r="B378" s="580"/>
      <c r="C378" s="119" t="s">
        <v>174</v>
      </c>
      <c r="D378" s="120"/>
      <c r="E378" s="119" t="s">
        <v>174</v>
      </c>
      <c r="F378" s="119" t="s">
        <v>174</v>
      </c>
      <c r="G378" s="119" t="s">
        <v>174</v>
      </c>
      <c r="H378" s="575"/>
      <c r="I378" s="119" t="s">
        <v>174</v>
      </c>
      <c r="J378" s="107" t="s">
        <v>174</v>
      </c>
    </row>
    <row r="379" spans="1:10" s="73" customFormat="1" ht="25.5" x14ac:dyDescent="0.2">
      <c r="A379" s="389">
        <v>7.1</v>
      </c>
      <c r="B379" s="114" t="s">
        <v>333</v>
      </c>
      <c r="C379" s="252"/>
      <c r="D379" s="251"/>
      <c r="E379" s="254"/>
      <c r="F379" s="253"/>
      <c r="G379" s="254"/>
      <c r="H379" s="227"/>
      <c r="I379" s="228"/>
      <c r="J379" s="228"/>
    </row>
    <row r="380" spans="1:10" s="73" customFormat="1" x14ac:dyDescent="0.2">
      <c r="A380" s="16"/>
      <c r="B380" s="113" t="s">
        <v>7</v>
      </c>
      <c r="C380" s="514">
        <v>19027</v>
      </c>
      <c r="D380" s="508">
        <v>6053</v>
      </c>
      <c r="E380" s="494">
        <f>+D380+C380</f>
        <v>25080</v>
      </c>
      <c r="F380" s="499">
        <v>25080</v>
      </c>
      <c r="G380" s="494" t="s">
        <v>437</v>
      </c>
      <c r="H380" s="494">
        <f>+F380/E380*100</f>
        <v>100</v>
      </c>
      <c r="I380" s="494">
        <v>24216</v>
      </c>
      <c r="J380" s="494">
        <v>23701</v>
      </c>
    </row>
    <row r="381" spans="1:10" s="73" customFormat="1" x14ac:dyDescent="0.2">
      <c r="A381" s="16"/>
      <c r="B381" s="113" t="s">
        <v>17</v>
      </c>
      <c r="C381" s="514">
        <v>31205</v>
      </c>
      <c r="D381" s="508">
        <v>-1087</v>
      </c>
      <c r="E381" s="494">
        <f>+D381+C381</f>
        <v>30118</v>
      </c>
      <c r="F381" s="499">
        <v>119</v>
      </c>
      <c r="G381" s="494">
        <f>+E381-F381</f>
        <v>29999</v>
      </c>
      <c r="H381" s="494" t="s">
        <v>437</v>
      </c>
      <c r="I381" s="494" t="s">
        <v>437</v>
      </c>
      <c r="J381" s="494">
        <v>806</v>
      </c>
    </row>
    <row r="382" spans="1:10" s="73" customFormat="1" ht="25.5" x14ac:dyDescent="0.2">
      <c r="A382" s="389">
        <v>7.2</v>
      </c>
      <c r="B382" s="32" t="s">
        <v>334</v>
      </c>
      <c r="C382" s="514"/>
      <c r="D382" s="508"/>
      <c r="E382" s="494"/>
      <c r="F382" s="499"/>
      <c r="G382" s="494"/>
      <c r="H382" s="499"/>
      <c r="I382" s="494"/>
      <c r="J382" s="494"/>
    </row>
    <row r="383" spans="1:10" s="73" customFormat="1" x14ac:dyDescent="0.2">
      <c r="A383" s="16"/>
      <c r="B383" s="123" t="s">
        <v>17</v>
      </c>
      <c r="C383" s="514">
        <v>2</v>
      </c>
      <c r="D383" s="508">
        <v>-1</v>
      </c>
      <c r="E383" s="494">
        <f>+D383+C383</f>
        <v>1</v>
      </c>
      <c r="F383" s="499" t="s">
        <v>437</v>
      </c>
      <c r="G383" s="494">
        <f>+E383</f>
        <v>1</v>
      </c>
      <c r="H383" s="494" t="s">
        <v>437</v>
      </c>
      <c r="I383" s="494">
        <v>2</v>
      </c>
      <c r="J383" s="494" t="s">
        <v>437</v>
      </c>
    </row>
    <row r="384" spans="1:10" s="73" customFormat="1" ht="25.5" x14ac:dyDescent="0.2">
      <c r="A384" s="389">
        <v>7.3</v>
      </c>
      <c r="B384" s="32" t="s">
        <v>497</v>
      </c>
      <c r="C384" s="514"/>
      <c r="D384" s="508"/>
      <c r="E384" s="494"/>
      <c r="F384" s="499"/>
      <c r="G384" s="494"/>
      <c r="H384" s="499"/>
      <c r="I384" s="494"/>
      <c r="J384" s="494"/>
    </row>
    <row r="385" spans="1:10" s="73" customFormat="1" x14ac:dyDescent="0.2">
      <c r="A385" s="16"/>
      <c r="B385" s="123" t="s">
        <v>17</v>
      </c>
      <c r="C385" s="514">
        <v>7764</v>
      </c>
      <c r="D385" s="508">
        <v>-2500</v>
      </c>
      <c r="E385" s="494">
        <f>+D385+C385</f>
        <v>5264</v>
      </c>
      <c r="F385" s="499">
        <v>5305</v>
      </c>
      <c r="G385" s="494">
        <f>+E385-F385</f>
        <v>-41</v>
      </c>
      <c r="H385" s="494">
        <f>+F385/E385*100</f>
        <v>100.77887537993921</v>
      </c>
      <c r="I385" s="494">
        <v>2398</v>
      </c>
      <c r="J385" s="494">
        <v>800</v>
      </c>
    </row>
    <row r="386" spans="1:10" s="73" customFormat="1" x14ac:dyDescent="0.2">
      <c r="A386" s="115"/>
      <c r="B386" s="28" t="s">
        <v>157</v>
      </c>
      <c r="C386" s="516">
        <f>SUM(C379:C385)</f>
        <v>57998</v>
      </c>
      <c r="D386" s="516">
        <f>SUM(D379:D385)</f>
        <v>2465</v>
      </c>
      <c r="E386" s="516">
        <f>SUM(E379:E385)</f>
        <v>60463</v>
      </c>
      <c r="F386" s="516">
        <f>SUM(F379:F385)</f>
        <v>30504</v>
      </c>
      <c r="G386" s="516">
        <f>SUM(G379:G385)</f>
        <v>29959</v>
      </c>
      <c r="H386" s="510">
        <f>+F386/E386*100</f>
        <v>50.450688851032865</v>
      </c>
      <c r="I386" s="516">
        <f>SUM(I379:I385)</f>
        <v>26616</v>
      </c>
      <c r="J386" s="516">
        <f>SUM(J379:J385)</f>
        <v>25307</v>
      </c>
    </row>
    <row r="387" spans="1:10" s="73" customFormat="1" x14ac:dyDescent="0.2">
      <c r="A387" s="28"/>
      <c r="B387" s="28"/>
      <c r="C387" s="28"/>
      <c r="D387" s="28"/>
      <c r="E387" s="28"/>
      <c r="F387" s="28"/>
      <c r="G387" s="28"/>
      <c r="H387" s="28"/>
      <c r="I387" s="28"/>
      <c r="J387" s="28"/>
    </row>
    <row r="388" spans="1:10" s="73" customFormat="1" x14ac:dyDescent="0.2">
      <c r="A388" s="129"/>
      <c r="B388" s="114"/>
      <c r="C388" s="576" t="s">
        <v>188</v>
      </c>
      <c r="D388" s="577"/>
      <c r="E388" s="577"/>
      <c r="F388" s="577"/>
      <c r="G388" s="577"/>
      <c r="H388" s="578"/>
      <c r="I388" s="569" t="s">
        <v>189</v>
      </c>
      <c r="J388" s="570"/>
    </row>
    <row r="389" spans="1:10" s="73" customFormat="1" x14ac:dyDescent="0.2">
      <c r="A389" s="131"/>
      <c r="B389" s="579" t="s">
        <v>190</v>
      </c>
      <c r="C389" s="105" t="s">
        <v>172</v>
      </c>
      <c r="D389" s="125" t="s">
        <v>175</v>
      </c>
      <c r="E389" s="117" t="s">
        <v>176</v>
      </c>
      <c r="F389" s="117" t="s">
        <v>178</v>
      </c>
      <c r="G389" s="117" t="s">
        <v>179</v>
      </c>
      <c r="H389" s="573" t="s">
        <v>181</v>
      </c>
      <c r="I389" s="117" t="s">
        <v>176</v>
      </c>
      <c r="J389" s="105" t="s">
        <v>178</v>
      </c>
    </row>
    <row r="390" spans="1:10" s="73" customFormat="1" x14ac:dyDescent="0.2">
      <c r="A390" s="131"/>
      <c r="B390" s="579"/>
      <c r="C390" s="106" t="s">
        <v>173</v>
      </c>
      <c r="D390" s="124" t="s">
        <v>174</v>
      </c>
      <c r="E390" s="118" t="s">
        <v>177</v>
      </c>
      <c r="F390" s="118" t="s">
        <v>70</v>
      </c>
      <c r="G390" s="118" t="s">
        <v>180</v>
      </c>
      <c r="H390" s="574"/>
      <c r="I390" s="118" t="s">
        <v>177</v>
      </c>
      <c r="J390" s="106" t="s">
        <v>70</v>
      </c>
    </row>
    <row r="391" spans="1:10" s="73" customFormat="1" x14ac:dyDescent="0.2">
      <c r="A391" s="132"/>
      <c r="B391" s="572"/>
      <c r="C391" s="107" t="s">
        <v>174</v>
      </c>
      <c r="D391" s="121"/>
      <c r="E391" s="119" t="s">
        <v>174</v>
      </c>
      <c r="F391" s="119" t="s">
        <v>174</v>
      </c>
      <c r="G391" s="119" t="s">
        <v>174</v>
      </c>
      <c r="H391" s="575"/>
      <c r="I391" s="119" t="s">
        <v>174</v>
      </c>
      <c r="J391" s="107" t="s">
        <v>174</v>
      </c>
    </row>
    <row r="392" spans="1:10" s="73" customFormat="1" x14ac:dyDescent="0.2">
      <c r="A392" s="15"/>
      <c r="B392" s="114" t="s">
        <v>7</v>
      </c>
      <c r="C392" s="126"/>
      <c r="D392" s="112"/>
      <c r="E392" s="116"/>
      <c r="F392" s="122"/>
      <c r="G392" s="116"/>
      <c r="H392" s="122"/>
      <c r="I392" s="116"/>
      <c r="J392" s="122"/>
    </row>
    <row r="393" spans="1:10" s="73" customFormat="1" x14ac:dyDescent="0.2">
      <c r="A393" s="16"/>
      <c r="B393" s="113" t="s">
        <v>8</v>
      </c>
      <c r="C393" s="514">
        <v>8206</v>
      </c>
      <c r="D393" s="493">
        <v>-1402</v>
      </c>
      <c r="E393" s="499">
        <f>+D393+C393</f>
        <v>6804</v>
      </c>
      <c r="F393" s="494">
        <v>6804</v>
      </c>
      <c r="G393" s="499" t="s">
        <v>437</v>
      </c>
      <c r="H393" s="494">
        <f>+F393/E393*100</f>
        <v>100</v>
      </c>
      <c r="I393" s="499">
        <v>6997</v>
      </c>
      <c r="J393" s="494">
        <v>6997</v>
      </c>
    </row>
    <row r="394" spans="1:10" s="73" customFormat="1" x14ac:dyDescent="0.2">
      <c r="A394" s="16"/>
      <c r="B394" s="113" t="s">
        <v>66</v>
      </c>
      <c r="C394" s="514">
        <v>10821</v>
      </c>
      <c r="D394" s="493">
        <v>7455</v>
      </c>
      <c r="E394" s="499">
        <f>+D394+C394</f>
        <v>18276</v>
      </c>
      <c r="F394" s="494">
        <v>18276</v>
      </c>
      <c r="G394" s="499" t="s">
        <v>437</v>
      </c>
      <c r="H394" s="494">
        <f>+F394/E394*100</f>
        <v>100</v>
      </c>
      <c r="I394" s="499">
        <v>17219</v>
      </c>
      <c r="J394" s="494">
        <v>16703</v>
      </c>
    </row>
    <row r="395" spans="1:10" s="73" customFormat="1" x14ac:dyDescent="0.2">
      <c r="A395" s="16"/>
      <c r="B395" s="32" t="s">
        <v>17</v>
      </c>
      <c r="C395" s="514"/>
      <c r="D395" s="493"/>
      <c r="E395" s="499"/>
      <c r="F395" s="494"/>
      <c r="G395" s="499"/>
      <c r="H395" s="499"/>
      <c r="I395" s="499"/>
      <c r="J395" s="494"/>
    </row>
    <row r="396" spans="1:10" s="73" customFormat="1" x14ac:dyDescent="0.2">
      <c r="A396" s="16"/>
      <c r="B396" s="113" t="s">
        <v>14</v>
      </c>
      <c r="C396" s="514">
        <v>1</v>
      </c>
      <c r="D396" s="493" t="s">
        <v>437</v>
      </c>
      <c r="E396" s="499">
        <f>C396</f>
        <v>1</v>
      </c>
      <c r="F396" s="494" t="s">
        <v>437</v>
      </c>
      <c r="G396" s="499">
        <f>+E396</f>
        <v>1</v>
      </c>
      <c r="H396" s="494" t="s">
        <v>437</v>
      </c>
      <c r="I396" s="499" t="s">
        <v>437</v>
      </c>
      <c r="J396" s="494" t="s">
        <v>437</v>
      </c>
    </row>
    <row r="397" spans="1:10" s="73" customFormat="1" ht="12.75" customHeight="1" x14ac:dyDescent="0.2">
      <c r="A397" s="16"/>
      <c r="B397" s="113" t="s">
        <v>191</v>
      </c>
      <c r="C397" s="514">
        <v>38970</v>
      </c>
      <c r="D397" s="493">
        <v>-3588</v>
      </c>
      <c r="E397" s="499">
        <f>+D397+C397</f>
        <v>35382</v>
      </c>
      <c r="F397" s="494">
        <v>5424</v>
      </c>
      <c r="G397" s="499">
        <f>+E397-F397</f>
        <v>29958</v>
      </c>
      <c r="H397" s="494">
        <f>+F397/E397*100</f>
        <v>15.329828726471087</v>
      </c>
      <c r="I397" s="499">
        <v>2400</v>
      </c>
      <c r="J397" s="494">
        <v>1607</v>
      </c>
    </row>
    <row r="398" spans="1:10" s="73" customFormat="1" x14ac:dyDescent="0.2">
      <c r="A398" s="29"/>
      <c r="B398" s="390" t="s">
        <v>157</v>
      </c>
      <c r="C398" s="520">
        <f>SUM(C392:C397)</f>
        <v>57998</v>
      </c>
      <c r="D398" s="520">
        <f>SUM(D392:D397)</f>
        <v>2465</v>
      </c>
      <c r="E398" s="520">
        <f>SUM(E392:E397)</f>
        <v>60463</v>
      </c>
      <c r="F398" s="520">
        <f>SUM(F392:F397)</f>
        <v>30504</v>
      </c>
      <c r="G398" s="520">
        <f>SUM(G392:G397)</f>
        <v>29959</v>
      </c>
      <c r="H398" s="510">
        <f>+F398/E398*100</f>
        <v>50.450688851032865</v>
      </c>
      <c r="I398" s="520">
        <f>SUM(I392:I397)</f>
        <v>26616</v>
      </c>
      <c r="J398" s="520">
        <f>SUM(J392:J397)</f>
        <v>25307</v>
      </c>
    </row>
    <row r="399" spans="1:10" s="73" customFormat="1" x14ac:dyDescent="0.2">
      <c r="A399" s="14"/>
      <c r="B399" s="14"/>
      <c r="C399" s="128"/>
      <c r="D399" s="14"/>
      <c r="E399" s="14"/>
      <c r="F399" s="14"/>
      <c r="G399" s="14"/>
      <c r="H399" s="14"/>
      <c r="I399" s="14"/>
      <c r="J399" s="14"/>
    </row>
    <row r="400" spans="1:10" s="73" customFormat="1" x14ac:dyDescent="0.2">
      <c r="A400" s="129"/>
      <c r="B400" s="114"/>
      <c r="C400" s="576" t="s">
        <v>188</v>
      </c>
      <c r="D400" s="577"/>
      <c r="E400" s="577"/>
      <c r="F400" s="577"/>
      <c r="G400" s="577"/>
      <c r="H400" s="578"/>
      <c r="I400" s="569" t="s">
        <v>189</v>
      </c>
      <c r="J400" s="570"/>
    </row>
    <row r="401" spans="1:10" s="73" customFormat="1" x14ac:dyDescent="0.2">
      <c r="A401" s="131"/>
      <c r="B401" s="571" t="s">
        <v>192</v>
      </c>
      <c r="C401" s="105" t="s">
        <v>172</v>
      </c>
      <c r="D401" s="117" t="s">
        <v>175</v>
      </c>
      <c r="E401" s="117" t="s">
        <v>176</v>
      </c>
      <c r="F401" s="117" t="s">
        <v>178</v>
      </c>
      <c r="G401" s="117" t="s">
        <v>179</v>
      </c>
      <c r="H401" s="573" t="s">
        <v>181</v>
      </c>
      <c r="I401" s="117" t="s">
        <v>176</v>
      </c>
      <c r="J401" s="105" t="s">
        <v>178</v>
      </c>
    </row>
    <row r="402" spans="1:10" s="73" customFormat="1" x14ac:dyDescent="0.2">
      <c r="A402" s="131"/>
      <c r="B402" s="571"/>
      <c r="C402" s="106" t="s">
        <v>173</v>
      </c>
      <c r="D402" s="118" t="s">
        <v>174</v>
      </c>
      <c r="E402" s="118" t="s">
        <v>177</v>
      </c>
      <c r="F402" s="118" t="s">
        <v>70</v>
      </c>
      <c r="G402" s="118" t="s">
        <v>180</v>
      </c>
      <c r="H402" s="574"/>
      <c r="I402" s="118" t="s">
        <v>177</v>
      </c>
      <c r="J402" s="106" t="s">
        <v>70</v>
      </c>
    </row>
    <row r="403" spans="1:10" s="73" customFormat="1" x14ac:dyDescent="0.2">
      <c r="A403" s="132"/>
      <c r="B403" s="572"/>
      <c r="C403" s="107" t="s">
        <v>174</v>
      </c>
      <c r="D403" s="121"/>
      <c r="E403" s="119" t="s">
        <v>174</v>
      </c>
      <c r="F403" s="119" t="s">
        <v>174</v>
      </c>
      <c r="G403" s="119" t="s">
        <v>174</v>
      </c>
      <c r="H403" s="575"/>
      <c r="I403" s="119" t="s">
        <v>174</v>
      </c>
      <c r="J403" s="107" t="s">
        <v>174</v>
      </c>
    </row>
    <row r="404" spans="1:10" s="73" customFormat="1" x14ac:dyDescent="0.2">
      <c r="A404" s="16"/>
      <c r="B404" s="32" t="s">
        <v>8</v>
      </c>
      <c r="C404" s="514">
        <v>8206</v>
      </c>
      <c r="D404" s="493">
        <v>-1402</v>
      </c>
      <c r="E404" s="499">
        <f t="shared" ref="E404:E409" si="10">+D404+C404</f>
        <v>6804</v>
      </c>
      <c r="F404" s="494">
        <v>6804</v>
      </c>
      <c r="G404" s="499" t="s">
        <v>437</v>
      </c>
      <c r="H404" s="494">
        <f t="shared" ref="H404:H409" si="11">+F404/E404*100</f>
        <v>100</v>
      </c>
      <c r="I404" s="499">
        <v>6997</v>
      </c>
      <c r="J404" s="494">
        <v>6997</v>
      </c>
    </row>
    <row r="405" spans="1:10" s="73" customFormat="1" x14ac:dyDescent="0.2">
      <c r="A405" s="16"/>
      <c r="B405" s="32" t="s">
        <v>9</v>
      </c>
      <c r="C405" s="514">
        <v>1470</v>
      </c>
      <c r="D405" s="493">
        <v>-669</v>
      </c>
      <c r="E405" s="499">
        <f t="shared" si="10"/>
        <v>801</v>
      </c>
      <c r="F405" s="494">
        <v>801</v>
      </c>
      <c r="G405" s="499" t="s">
        <v>437</v>
      </c>
      <c r="H405" s="494">
        <f t="shared" si="11"/>
        <v>100</v>
      </c>
      <c r="I405" s="499">
        <v>1362</v>
      </c>
      <c r="J405" s="494">
        <v>1362</v>
      </c>
    </row>
    <row r="406" spans="1:10" s="73" customFormat="1" x14ac:dyDescent="0.2">
      <c r="A406" s="16"/>
      <c r="B406" s="79" t="s">
        <v>10</v>
      </c>
      <c r="C406" s="514">
        <v>2100</v>
      </c>
      <c r="D406" s="493">
        <v>955</v>
      </c>
      <c r="E406" s="499">
        <f>+D406+C406</f>
        <v>3055</v>
      </c>
      <c r="F406" s="494">
        <v>3055</v>
      </c>
      <c r="G406" s="499" t="s">
        <v>437</v>
      </c>
      <c r="H406" s="494">
        <f>+F406/E406*100</f>
        <v>100</v>
      </c>
      <c r="I406" s="499">
        <v>3464</v>
      </c>
      <c r="J406" s="494">
        <v>3464</v>
      </c>
    </row>
    <row r="407" spans="1:10" s="73" customFormat="1" x14ac:dyDescent="0.2">
      <c r="A407" s="16"/>
      <c r="B407" s="32" t="s">
        <v>11</v>
      </c>
      <c r="C407" s="514">
        <v>1356</v>
      </c>
      <c r="D407" s="493">
        <v>-703</v>
      </c>
      <c r="E407" s="499">
        <f t="shared" si="10"/>
        <v>653</v>
      </c>
      <c r="F407" s="494">
        <v>653</v>
      </c>
      <c r="G407" s="499" t="s">
        <v>437</v>
      </c>
      <c r="H407" s="494">
        <f t="shared" si="11"/>
        <v>100</v>
      </c>
      <c r="I407" s="499">
        <v>497</v>
      </c>
      <c r="J407" s="494">
        <v>496</v>
      </c>
    </row>
    <row r="408" spans="1:10" s="73" customFormat="1" x14ac:dyDescent="0.2">
      <c r="A408" s="16"/>
      <c r="B408" s="32" t="s">
        <v>12</v>
      </c>
      <c r="C408" s="514">
        <v>7764</v>
      </c>
      <c r="D408" s="493">
        <v>-2500</v>
      </c>
      <c r="E408" s="499">
        <f t="shared" si="10"/>
        <v>5264</v>
      </c>
      <c r="F408" s="494">
        <v>5169</v>
      </c>
      <c r="G408" s="499">
        <f>+E408-F408</f>
        <v>95</v>
      </c>
      <c r="H408" s="494">
        <f t="shared" si="11"/>
        <v>98.195288753799389</v>
      </c>
      <c r="I408" s="499">
        <v>2108</v>
      </c>
      <c r="J408" s="494">
        <v>800</v>
      </c>
    </row>
    <row r="409" spans="1:10" s="73" customFormat="1" ht="25.5" x14ac:dyDescent="0.2">
      <c r="A409" s="16"/>
      <c r="B409" s="32" t="s">
        <v>13</v>
      </c>
      <c r="C409" s="514">
        <v>37101</v>
      </c>
      <c r="D409" s="493">
        <v>6784</v>
      </c>
      <c r="E409" s="499">
        <f t="shared" si="10"/>
        <v>43885</v>
      </c>
      <c r="F409" s="494">
        <v>14022</v>
      </c>
      <c r="G409" s="499">
        <f>+E409-F409</f>
        <v>29863</v>
      </c>
      <c r="H409" s="494">
        <f t="shared" si="11"/>
        <v>31.951691922069042</v>
      </c>
      <c r="I409" s="499">
        <v>12188</v>
      </c>
      <c r="J409" s="494">
        <v>12188</v>
      </c>
    </row>
    <row r="410" spans="1:10" s="73" customFormat="1" x14ac:dyDescent="0.2">
      <c r="A410" s="16"/>
      <c r="B410" s="32" t="s">
        <v>14</v>
      </c>
      <c r="C410" s="514">
        <v>1</v>
      </c>
      <c r="D410" s="493" t="s">
        <v>437</v>
      </c>
      <c r="E410" s="499">
        <f>C410</f>
        <v>1</v>
      </c>
      <c r="F410" s="494" t="s">
        <v>437</v>
      </c>
      <c r="G410" s="499">
        <f>+E410</f>
        <v>1</v>
      </c>
      <c r="H410" s="494" t="s">
        <v>437</v>
      </c>
      <c r="I410" s="499" t="s">
        <v>437</v>
      </c>
      <c r="J410" s="494" t="s">
        <v>437</v>
      </c>
    </row>
    <row r="411" spans="1:10" s="73" customFormat="1" x14ac:dyDescent="0.2">
      <c r="A411" s="29"/>
      <c r="B411" s="28" t="s">
        <v>157</v>
      </c>
      <c r="C411" s="516">
        <f>SUM(C404:C410)</f>
        <v>57998</v>
      </c>
      <c r="D411" s="516">
        <f>SUM(D404:D410)</f>
        <v>2465</v>
      </c>
      <c r="E411" s="516">
        <f>SUM(E404:E410)</f>
        <v>60463</v>
      </c>
      <c r="F411" s="516">
        <f>SUM(F404:F410)</f>
        <v>30504</v>
      </c>
      <c r="G411" s="516">
        <f>SUM(G404:G410)</f>
        <v>29959</v>
      </c>
      <c r="H411" s="510">
        <f>+F411/E411*100</f>
        <v>50.450688851032865</v>
      </c>
      <c r="I411" s="516">
        <f>SUM(I404:I410)</f>
        <v>26616</v>
      </c>
      <c r="J411" s="516">
        <f>SUM(J404:J410)</f>
        <v>25307</v>
      </c>
    </row>
    <row r="412" spans="1:10" s="73" customFormat="1" x14ac:dyDescent="0.2">
      <c r="A412" s="26"/>
      <c r="B412" s="26"/>
      <c r="C412" s="26"/>
    </row>
    <row r="413" spans="1:10" s="73" customFormat="1" x14ac:dyDescent="0.2">
      <c r="A413" s="26"/>
      <c r="B413" s="26"/>
      <c r="C413" s="26"/>
    </row>
    <row r="414" spans="1:10" s="73" customFormat="1" x14ac:dyDescent="0.2">
      <c r="A414" s="591"/>
      <c r="B414" s="591"/>
      <c r="C414" s="591"/>
      <c r="D414" s="591"/>
      <c r="E414" s="591"/>
      <c r="F414" s="591"/>
      <c r="G414" s="591"/>
      <c r="H414" s="591"/>
      <c r="I414" s="591"/>
      <c r="J414" s="591"/>
    </row>
    <row r="415" spans="1:10" s="1" customFormat="1" x14ac:dyDescent="0.2">
      <c r="A415" s="591"/>
      <c r="B415" s="591"/>
      <c r="C415" s="591"/>
      <c r="D415" s="591"/>
      <c r="E415" s="591"/>
      <c r="F415" s="591"/>
      <c r="G415" s="591"/>
      <c r="H415" s="591"/>
      <c r="I415" s="591"/>
      <c r="J415" s="591"/>
    </row>
    <row r="416" spans="1:10" s="73" customFormat="1" x14ac:dyDescent="0.2">
      <c r="A416" s="408"/>
      <c r="B416" s="408"/>
      <c r="C416" s="128"/>
      <c r="D416" s="128"/>
      <c r="E416" s="128"/>
      <c r="F416" s="128"/>
      <c r="G416" s="128"/>
      <c r="H416" s="128"/>
      <c r="I416" s="128"/>
      <c r="J416" s="128"/>
    </row>
    <row r="417" spans="1:11" s="73" customFormat="1" x14ac:dyDescent="0.2">
      <c r="A417" s="94"/>
      <c r="B417" s="79"/>
      <c r="C417" s="581"/>
      <c r="D417" s="582"/>
      <c r="E417" s="582"/>
      <c r="F417" s="582"/>
      <c r="G417" s="582"/>
      <c r="H417" s="582"/>
      <c r="I417" s="581"/>
      <c r="J417" s="582"/>
    </row>
    <row r="418" spans="1:11" s="73" customFormat="1" ht="12.75" customHeight="1" x14ac:dyDescent="0.2">
      <c r="A418" s="96"/>
      <c r="B418" s="579"/>
      <c r="C418" s="124"/>
      <c r="D418" s="124"/>
      <c r="E418" s="124"/>
      <c r="F418" s="124"/>
      <c r="G418" s="124"/>
      <c r="H418" s="590"/>
      <c r="I418" s="124"/>
      <c r="J418" s="124"/>
    </row>
    <row r="419" spans="1:11" s="73" customFormat="1" ht="12.75" customHeight="1" x14ac:dyDescent="0.2">
      <c r="A419" s="96"/>
      <c r="B419" s="579"/>
      <c r="C419" s="124"/>
      <c r="D419" s="124"/>
      <c r="E419" s="124"/>
      <c r="F419" s="124"/>
      <c r="G419" s="124"/>
      <c r="H419" s="590"/>
      <c r="I419" s="124"/>
      <c r="J419" s="124"/>
    </row>
    <row r="420" spans="1:11" s="73" customFormat="1" x14ac:dyDescent="0.2">
      <c r="A420" s="96"/>
      <c r="B420" s="579"/>
      <c r="C420" s="124"/>
      <c r="D420" s="123"/>
      <c r="E420" s="124"/>
      <c r="F420" s="124"/>
      <c r="G420" s="124"/>
      <c r="H420" s="590"/>
      <c r="I420" s="124"/>
      <c r="J420" s="124"/>
    </row>
    <row r="421" spans="1:11" s="73" customFormat="1" x14ac:dyDescent="0.2">
      <c r="A421" s="409"/>
      <c r="B421" s="127"/>
      <c r="C421" s="410"/>
      <c r="D421" s="410"/>
      <c r="E421" s="411"/>
      <c r="F421" s="411"/>
      <c r="G421" s="411"/>
      <c r="H421" s="225"/>
      <c r="I421" s="225"/>
      <c r="J421" s="225"/>
    </row>
    <row r="422" spans="1:11" s="73" customFormat="1" x14ac:dyDescent="0.2">
      <c r="A422" s="14"/>
      <c r="B422" s="521"/>
      <c r="C422" s="522"/>
      <c r="D422" s="522"/>
      <c r="E422" s="501"/>
      <c r="F422" s="501"/>
      <c r="G422" s="501"/>
      <c r="H422" s="501"/>
      <c r="I422" s="501"/>
      <c r="J422" s="501"/>
      <c r="K422" s="199"/>
    </row>
    <row r="423" spans="1:11" s="73" customFormat="1" x14ac:dyDescent="0.2">
      <c r="A423" s="79"/>
      <c r="B423" s="127"/>
      <c r="C423" s="518"/>
      <c r="D423" s="518"/>
      <c r="E423" s="518"/>
      <c r="F423" s="518"/>
      <c r="G423" s="518"/>
      <c r="H423" s="192"/>
      <c r="I423" s="518"/>
      <c r="J423" s="518"/>
      <c r="K423" s="199"/>
    </row>
    <row r="424" spans="1:11" s="73" customFormat="1" x14ac:dyDescent="0.2">
      <c r="A424" s="79"/>
      <c r="B424" s="79"/>
      <c r="C424" s="79"/>
      <c r="D424" s="79"/>
      <c r="E424" s="79"/>
      <c r="F424" s="79"/>
      <c r="G424" s="79"/>
      <c r="H424" s="79"/>
      <c r="I424" s="79"/>
      <c r="J424" s="79"/>
    </row>
    <row r="425" spans="1:11" s="73" customFormat="1" x14ac:dyDescent="0.2">
      <c r="A425" s="94"/>
      <c r="B425" s="79"/>
      <c r="C425" s="581"/>
      <c r="D425" s="582"/>
      <c r="E425" s="582"/>
      <c r="F425" s="582"/>
      <c r="G425" s="582"/>
      <c r="H425" s="582"/>
      <c r="I425" s="581"/>
      <c r="J425" s="582"/>
    </row>
    <row r="426" spans="1:11" s="73" customFormat="1" ht="12.75" customHeight="1" x14ac:dyDescent="0.2">
      <c r="A426" s="96"/>
      <c r="B426" s="579"/>
      <c r="C426" s="124"/>
      <c r="D426" s="124"/>
      <c r="E426" s="124"/>
      <c r="F426" s="124"/>
      <c r="G426" s="124"/>
      <c r="H426" s="590"/>
      <c r="I426" s="124"/>
      <c r="J426" s="124"/>
    </row>
    <row r="427" spans="1:11" s="73" customFormat="1" ht="12.75" customHeight="1" x14ac:dyDescent="0.2">
      <c r="A427" s="96"/>
      <c r="B427" s="579"/>
      <c r="C427" s="124"/>
      <c r="D427" s="124"/>
      <c r="E427" s="124"/>
      <c r="F427" s="124"/>
      <c r="G427" s="124"/>
      <c r="H427" s="590"/>
      <c r="I427" s="124"/>
      <c r="J427" s="124"/>
    </row>
    <row r="428" spans="1:11" s="73" customFormat="1" x14ac:dyDescent="0.2">
      <c r="A428" s="96"/>
      <c r="B428" s="579"/>
      <c r="C428" s="124"/>
      <c r="D428" s="123"/>
      <c r="E428" s="124"/>
      <c r="F428" s="124"/>
      <c r="G428" s="124"/>
      <c r="H428" s="590"/>
      <c r="I428" s="124"/>
      <c r="J428" s="124"/>
    </row>
    <row r="429" spans="1:11" s="73" customFormat="1" x14ac:dyDescent="0.2">
      <c r="A429" s="14"/>
      <c r="B429" s="127"/>
      <c r="C429" s="128"/>
      <c r="D429" s="127"/>
      <c r="E429" s="79"/>
      <c r="F429" s="79"/>
      <c r="G429" s="79"/>
      <c r="H429" s="79"/>
      <c r="I429" s="79"/>
      <c r="J429" s="79"/>
    </row>
    <row r="430" spans="1:11" s="73" customFormat="1" x14ac:dyDescent="0.2">
      <c r="A430" s="14"/>
      <c r="B430" s="521"/>
      <c r="C430" s="522"/>
      <c r="D430" s="501"/>
      <c r="E430" s="501"/>
      <c r="F430" s="501"/>
      <c r="G430" s="501"/>
      <c r="H430" s="501"/>
      <c r="I430" s="501"/>
      <c r="J430" s="501"/>
    </row>
    <row r="431" spans="1:11" s="73" customFormat="1" x14ac:dyDescent="0.2">
      <c r="A431" s="14"/>
      <c r="B431" s="127"/>
      <c r="C431" s="518"/>
      <c r="D431" s="518"/>
      <c r="E431" s="518"/>
      <c r="F431" s="518"/>
      <c r="G431" s="518"/>
      <c r="H431" s="192"/>
      <c r="I431" s="518"/>
      <c r="J431" s="518"/>
    </row>
    <row r="432" spans="1:11" s="128" customFormat="1" x14ac:dyDescent="0.2">
      <c r="A432" s="14"/>
      <c r="B432" s="14"/>
      <c r="D432" s="14"/>
      <c r="E432" s="14"/>
      <c r="F432" s="14"/>
      <c r="G432" s="14"/>
      <c r="H432" s="14"/>
      <c r="I432" s="14"/>
      <c r="J432" s="14"/>
    </row>
    <row r="433" spans="1:10" s="73" customFormat="1" x14ac:dyDescent="0.2">
      <c r="A433" s="94"/>
      <c r="B433" s="79"/>
      <c r="C433" s="581"/>
      <c r="D433" s="582"/>
      <c r="E433" s="582"/>
      <c r="F433" s="582"/>
      <c r="G433" s="582"/>
      <c r="H433" s="582"/>
      <c r="I433" s="581"/>
      <c r="J433" s="582"/>
    </row>
    <row r="434" spans="1:10" s="73" customFormat="1" ht="12.75" customHeight="1" x14ac:dyDescent="0.2">
      <c r="A434" s="96"/>
      <c r="B434" s="579"/>
      <c r="C434" s="124"/>
      <c r="D434" s="124"/>
      <c r="E434" s="124"/>
      <c r="F434" s="124"/>
      <c r="G434" s="124"/>
      <c r="H434" s="590"/>
      <c r="I434" s="124"/>
      <c r="J434" s="124"/>
    </row>
    <row r="435" spans="1:10" s="73" customFormat="1" ht="12.75" customHeight="1" x14ac:dyDescent="0.2">
      <c r="A435" s="96"/>
      <c r="B435" s="579"/>
      <c r="C435" s="124"/>
      <c r="D435" s="124"/>
      <c r="E435" s="124"/>
      <c r="F435" s="124"/>
      <c r="G435" s="124"/>
      <c r="H435" s="590"/>
      <c r="I435" s="124"/>
      <c r="J435" s="124"/>
    </row>
    <row r="436" spans="1:10" s="73" customFormat="1" x14ac:dyDescent="0.2">
      <c r="A436" s="96"/>
      <c r="B436" s="579"/>
      <c r="C436" s="124"/>
      <c r="D436" s="123"/>
      <c r="E436" s="124"/>
      <c r="F436" s="124"/>
      <c r="G436" s="124"/>
      <c r="H436" s="590"/>
      <c r="I436" s="124"/>
      <c r="J436" s="124"/>
    </row>
    <row r="437" spans="1:10" s="73" customFormat="1" x14ac:dyDescent="0.2">
      <c r="A437" s="14"/>
      <c r="B437" s="127"/>
      <c r="C437" s="522"/>
      <c r="D437" s="501"/>
      <c r="E437" s="501"/>
      <c r="F437" s="501"/>
      <c r="G437" s="501"/>
      <c r="H437" s="501"/>
      <c r="I437" s="501"/>
      <c r="J437" s="501"/>
    </row>
    <row r="438" spans="1:10" s="73" customFormat="1" x14ac:dyDescent="0.2">
      <c r="A438" s="14"/>
      <c r="B438" s="127"/>
      <c r="C438" s="518"/>
      <c r="D438" s="518"/>
      <c r="E438" s="518"/>
      <c r="F438" s="518"/>
      <c r="G438" s="518"/>
      <c r="H438" s="192"/>
      <c r="I438" s="518"/>
      <c r="J438" s="518"/>
    </row>
    <row r="439" spans="1:10" s="73" customFormat="1" x14ac:dyDescent="0.2">
      <c r="A439" s="408"/>
      <c r="B439" s="408"/>
      <c r="C439" s="128"/>
      <c r="D439" s="128"/>
      <c r="E439" s="128"/>
      <c r="F439" s="128"/>
      <c r="G439" s="128"/>
      <c r="H439" s="128"/>
      <c r="I439" s="128"/>
      <c r="J439" s="128"/>
    </row>
    <row r="440" spans="1:10" s="73" customFormat="1" x14ac:dyDescent="0.2">
      <c r="A440" s="26"/>
      <c r="B440" s="26"/>
    </row>
    <row r="441" spans="1:10" s="73" customFormat="1" x14ac:dyDescent="0.2">
      <c r="A441" s="26"/>
      <c r="B441" s="26"/>
    </row>
    <row r="442" spans="1:10" s="73" customFormat="1" x14ac:dyDescent="0.2">
      <c r="A442" s="26"/>
      <c r="B442" s="26"/>
    </row>
    <row r="443" spans="1:10" s="73" customFormat="1" x14ac:dyDescent="0.2">
      <c r="A443" s="26"/>
      <c r="B443" s="26"/>
    </row>
    <row r="444" spans="1:10" s="73" customFormat="1" x14ac:dyDescent="0.2">
      <c r="A444" s="26"/>
      <c r="B444" s="26"/>
    </row>
    <row r="445" spans="1:10" s="73" customFormat="1" x14ac:dyDescent="0.2">
      <c r="A445" s="26"/>
      <c r="B445" s="26"/>
    </row>
    <row r="446" spans="1:10" s="73" customFormat="1" x14ac:dyDescent="0.2">
      <c r="A446" s="26"/>
      <c r="B446" s="26"/>
    </row>
    <row r="447" spans="1:10" s="73" customFormat="1" x14ac:dyDescent="0.2">
      <c r="A447" s="26"/>
      <c r="B447" s="26"/>
    </row>
    <row r="448" spans="1:10" s="73" customFormat="1" x14ac:dyDescent="0.2">
      <c r="A448" s="26"/>
      <c r="B448" s="26"/>
    </row>
    <row r="449" spans="1:2" s="73" customFormat="1" x14ac:dyDescent="0.2">
      <c r="A449" s="26"/>
      <c r="B449" s="26"/>
    </row>
    <row r="450" spans="1:2" s="73" customFormat="1" x14ac:dyDescent="0.2">
      <c r="A450" s="26"/>
      <c r="B450" s="26"/>
    </row>
    <row r="451" spans="1:2" s="73" customFormat="1" x14ac:dyDescent="0.2">
      <c r="A451" s="26"/>
      <c r="B451" s="26"/>
    </row>
    <row r="452" spans="1:2" s="73" customFormat="1" x14ac:dyDescent="0.2">
      <c r="A452" s="26"/>
      <c r="B452" s="26"/>
    </row>
    <row r="453" spans="1:2" s="73" customFormat="1" x14ac:dyDescent="0.2">
      <c r="A453" s="26"/>
      <c r="B453" s="26"/>
    </row>
    <row r="454" spans="1:2" s="73" customFormat="1" x14ac:dyDescent="0.2">
      <c r="A454" s="26"/>
      <c r="B454" s="26"/>
    </row>
    <row r="455" spans="1:2" s="73" customFormat="1" x14ac:dyDescent="0.2">
      <c r="A455" s="26"/>
      <c r="B455" s="26"/>
    </row>
    <row r="456" spans="1:2" s="73" customFormat="1" x14ac:dyDescent="0.2">
      <c r="A456" s="26"/>
      <c r="B456" s="26"/>
    </row>
    <row r="457" spans="1:2" s="73" customFormat="1" x14ac:dyDescent="0.2">
      <c r="A457" s="26"/>
      <c r="B457" s="26"/>
    </row>
    <row r="458" spans="1:2" s="73" customFormat="1" x14ac:dyDescent="0.2">
      <c r="A458" s="26"/>
      <c r="B458" s="26"/>
    </row>
    <row r="459" spans="1:2" s="73" customFormat="1" x14ac:dyDescent="0.2">
      <c r="A459" s="26"/>
      <c r="B459" s="26"/>
    </row>
    <row r="460" spans="1:2" s="73" customFormat="1" x14ac:dyDescent="0.2">
      <c r="A460" s="26"/>
      <c r="B460" s="26"/>
    </row>
    <row r="461" spans="1:2" s="73" customFormat="1" x14ac:dyDescent="0.2">
      <c r="A461" s="26"/>
      <c r="B461" s="26"/>
    </row>
    <row r="462" spans="1:2" s="73" customFormat="1" x14ac:dyDescent="0.2">
      <c r="A462" s="26"/>
      <c r="B462" s="26"/>
    </row>
    <row r="463" spans="1:2" s="73" customFormat="1" x14ac:dyDescent="0.2">
      <c r="A463" s="26"/>
      <c r="B463" s="26"/>
    </row>
    <row r="464" spans="1:2" s="73" customFormat="1" x14ac:dyDescent="0.2">
      <c r="A464" s="26"/>
      <c r="B464" s="26"/>
    </row>
    <row r="465" spans="1:2" s="73" customFormat="1" x14ac:dyDescent="0.2">
      <c r="A465" s="26"/>
      <c r="B465" s="26"/>
    </row>
    <row r="466" spans="1:2" s="73" customFormat="1" x14ac:dyDescent="0.2">
      <c r="A466" s="26"/>
      <c r="B466" s="26"/>
    </row>
    <row r="467" spans="1:2" s="73" customFormat="1" x14ac:dyDescent="0.2">
      <c r="A467" s="26"/>
      <c r="B467" s="26"/>
    </row>
    <row r="468" spans="1:2" s="73" customFormat="1" x14ac:dyDescent="0.2">
      <c r="A468" s="26"/>
      <c r="B468" s="26"/>
    </row>
    <row r="469" spans="1:2" s="73" customFormat="1" x14ac:dyDescent="0.2">
      <c r="A469" s="26"/>
      <c r="B469" s="26"/>
    </row>
    <row r="470" spans="1:2" s="73" customFormat="1" x14ac:dyDescent="0.2">
      <c r="A470" s="26"/>
      <c r="B470" s="26"/>
    </row>
    <row r="471" spans="1:2" s="73" customFormat="1" x14ac:dyDescent="0.2">
      <c r="A471" s="26"/>
      <c r="B471" s="26"/>
    </row>
    <row r="472" spans="1:2" s="73" customFormat="1" x14ac:dyDescent="0.2">
      <c r="A472" s="26"/>
      <c r="B472" s="26"/>
    </row>
    <row r="473" spans="1:2" s="73" customFormat="1" x14ac:dyDescent="0.2">
      <c r="A473" s="26"/>
      <c r="B473" s="26"/>
    </row>
    <row r="474" spans="1:2" s="73" customFormat="1" x14ac:dyDescent="0.2">
      <c r="A474" s="26"/>
      <c r="B474" s="26"/>
    </row>
    <row r="475" spans="1:2" s="73" customFormat="1" x14ac:dyDescent="0.2">
      <c r="A475" s="26"/>
      <c r="B475" s="26"/>
    </row>
    <row r="476" spans="1:2" s="73" customFormat="1" x14ac:dyDescent="0.2">
      <c r="A476" s="26"/>
      <c r="B476" s="26"/>
    </row>
    <row r="477" spans="1:2" s="73" customFormat="1" x14ac:dyDescent="0.2">
      <c r="A477" s="26"/>
      <c r="B477" s="26"/>
    </row>
    <row r="478" spans="1:2" s="73" customFormat="1" x14ac:dyDescent="0.2">
      <c r="A478" s="26"/>
      <c r="B478" s="26"/>
    </row>
    <row r="479" spans="1:2" s="73" customFormat="1" x14ac:dyDescent="0.2">
      <c r="A479" s="26"/>
      <c r="B479" s="26"/>
    </row>
    <row r="480" spans="1:2" s="73" customFormat="1" x14ac:dyDescent="0.2">
      <c r="A480" s="26"/>
      <c r="B480" s="26"/>
    </row>
    <row r="481" spans="1:2" s="73" customFormat="1" x14ac:dyDescent="0.2">
      <c r="A481" s="26"/>
      <c r="B481" s="26"/>
    </row>
    <row r="482" spans="1:2" s="73" customFormat="1" x14ac:dyDescent="0.2">
      <c r="A482" s="26"/>
      <c r="B482" s="26"/>
    </row>
    <row r="483" spans="1:2" s="73" customFormat="1" x14ac:dyDescent="0.2">
      <c r="A483" s="26"/>
      <c r="B483" s="26"/>
    </row>
    <row r="484" spans="1:2" s="73" customFormat="1" x14ac:dyDescent="0.2">
      <c r="A484" s="26"/>
      <c r="B484" s="26"/>
    </row>
    <row r="485" spans="1:2" s="73" customFormat="1" x14ac:dyDescent="0.2">
      <c r="A485" s="26"/>
      <c r="B485" s="26"/>
    </row>
    <row r="486" spans="1:2" s="73" customFormat="1" x14ac:dyDescent="0.2">
      <c r="A486" s="26"/>
      <c r="B486" s="26"/>
    </row>
    <row r="487" spans="1:2" s="73" customFormat="1" x14ac:dyDescent="0.2">
      <c r="A487" s="26"/>
      <c r="B487" s="26"/>
    </row>
    <row r="488" spans="1:2" s="73" customFormat="1" x14ac:dyDescent="0.2">
      <c r="A488" s="26"/>
      <c r="B488" s="26"/>
    </row>
    <row r="489" spans="1:2" s="73" customFormat="1" x14ac:dyDescent="0.2">
      <c r="A489" s="26"/>
      <c r="B489" s="26"/>
    </row>
    <row r="490" spans="1:2" s="73" customFormat="1" x14ac:dyDescent="0.2">
      <c r="A490" s="26"/>
      <c r="B490" s="26"/>
    </row>
    <row r="491" spans="1:2" s="73" customFormat="1" x14ac:dyDescent="0.2">
      <c r="A491" s="26"/>
      <c r="B491" s="26"/>
    </row>
    <row r="492" spans="1:2" s="73" customFormat="1" x14ac:dyDescent="0.2">
      <c r="A492" s="26"/>
      <c r="B492" s="26"/>
    </row>
    <row r="493" spans="1:2" s="73" customFormat="1" x14ac:dyDescent="0.2">
      <c r="A493" s="26"/>
      <c r="B493" s="26"/>
    </row>
    <row r="494" spans="1:2" s="73" customFormat="1" x14ac:dyDescent="0.2">
      <c r="A494" s="26"/>
      <c r="B494" s="26"/>
    </row>
    <row r="495" spans="1:2" s="73" customFormat="1" x14ac:dyDescent="0.2">
      <c r="A495" s="26"/>
      <c r="B495" s="26"/>
    </row>
    <row r="496" spans="1:2" s="73" customFormat="1" x14ac:dyDescent="0.2">
      <c r="A496" s="26"/>
      <c r="B496" s="26"/>
    </row>
    <row r="497" spans="1:2" s="73" customFormat="1" x14ac:dyDescent="0.2">
      <c r="A497" s="26"/>
      <c r="B497" s="26"/>
    </row>
    <row r="498" spans="1:2" s="73" customFormat="1" x14ac:dyDescent="0.2">
      <c r="A498" s="26"/>
      <c r="B498" s="26"/>
    </row>
    <row r="499" spans="1:2" s="73" customFormat="1" x14ac:dyDescent="0.2">
      <c r="A499" s="26"/>
      <c r="B499" s="26"/>
    </row>
    <row r="500" spans="1:2" s="73" customFormat="1" x14ac:dyDescent="0.2">
      <c r="A500" s="26"/>
      <c r="B500" s="26"/>
    </row>
    <row r="501" spans="1:2" s="73" customFormat="1" x14ac:dyDescent="0.2">
      <c r="A501" s="26"/>
      <c r="B501" s="26"/>
    </row>
    <row r="502" spans="1:2" s="73" customFormat="1" x14ac:dyDescent="0.2">
      <c r="A502" s="26"/>
      <c r="B502" s="26"/>
    </row>
    <row r="503" spans="1:2" s="73" customFormat="1" x14ac:dyDescent="0.2">
      <c r="A503" s="26"/>
      <c r="B503" s="26"/>
    </row>
    <row r="504" spans="1:2" s="73" customFormat="1" x14ac:dyDescent="0.2">
      <c r="A504" s="26"/>
      <c r="B504" s="26"/>
    </row>
    <row r="505" spans="1:2" s="73" customFormat="1" x14ac:dyDescent="0.2">
      <c r="A505" s="26"/>
      <c r="B505" s="26"/>
    </row>
    <row r="506" spans="1:2" s="73" customFormat="1" x14ac:dyDescent="0.2">
      <c r="A506" s="26"/>
      <c r="B506" s="26"/>
    </row>
    <row r="507" spans="1:2" s="73" customFormat="1" x14ac:dyDescent="0.2">
      <c r="A507" s="26"/>
      <c r="B507" s="26"/>
    </row>
    <row r="508" spans="1:2" s="73" customFormat="1" x14ac:dyDescent="0.2">
      <c r="A508" s="26"/>
      <c r="B508" s="26"/>
    </row>
    <row r="509" spans="1:2" s="73" customFormat="1" x14ac:dyDescent="0.2">
      <c r="A509" s="26"/>
      <c r="B509" s="26"/>
    </row>
    <row r="510" spans="1:2" s="73" customFormat="1" x14ac:dyDescent="0.2">
      <c r="A510" s="26"/>
      <c r="B510" s="26"/>
    </row>
    <row r="511" spans="1:2" s="73" customFormat="1" x14ac:dyDescent="0.2">
      <c r="A511" s="26"/>
      <c r="B511" s="26"/>
    </row>
    <row r="512" spans="1:2" s="73" customFormat="1" x14ac:dyDescent="0.2">
      <c r="A512" s="26"/>
      <c r="B512" s="26"/>
    </row>
    <row r="513" spans="1:2" s="73" customFormat="1" x14ac:dyDescent="0.2">
      <c r="A513" s="26"/>
      <c r="B513" s="26"/>
    </row>
    <row r="514" spans="1:2" s="73" customFormat="1" x14ac:dyDescent="0.2">
      <c r="A514" s="26"/>
      <c r="B514" s="26"/>
    </row>
    <row r="515" spans="1:2" s="73" customFormat="1" x14ac:dyDescent="0.2">
      <c r="A515" s="26"/>
      <c r="B515" s="26"/>
    </row>
    <row r="516" spans="1:2" s="73" customFormat="1" x14ac:dyDescent="0.2">
      <c r="A516" s="26"/>
      <c r="B516" s="26"/>
    </row>
    <row r="517" spans="1:2" s="73" customFormat="1" x14ac:dyDescent="0.2">
      <c r="A517" s="26"/>
      <c r="B517" s="26"/>
    </row>
    <row r="518" spans="1:2" s="73" customFormat="1" x14ac:dyDescent="0.2">
      <c r="A518" s="26"/>
      <c r="B518" s="26"/>
    </row>
    <row r="519" spans="1:2" s="73" customFormat="1" x14ac:dyDescent="0.2">
      <c r="A519" s="26"/>
      <c r="B519" s="26"/>
    </row>
    <row r="520" spans="1:2" s="73" customFormat="1" x14ac:dyDescent="0.2">
      <c r="A520" s="26"/>
      <c r="B520" s="26"/>
    </row>
    <row r="521" spans="1:2" s="73" customFormat="1" x14ac:dyDescent="0.2">
      <c r="A521" s="26"/>
      <c r="B521" s="26"/>
    </row>
    <row r="522" spans="1:2" s="73" customFormat="1" x14ac:dyDescent="0.2">
      <c r="A522" s="26"/>
      <c r="B522" s="26"/>
    </row>
    <row r="523" spans="1:2" s="73" customFormat="1" x14ac:dyDescent="0.2">
      <c r="A523" s="26"/>
      <c r="B523" s="26"/>
    </row>
    <row r="524" spans="1:2" s="73" customFormat="1" x14ac:dyDescent="0.2">
      <c r="A524" s="26"/>
      <c r="B524" s="26"/>
    </row>
    <row r="525" spans="1:2" s="73" customFormat="1" x14ac:dyDescent="0.2">
      <c r="A525" s="26"/>
      <c r="B525" s="26"/>
    </row>
    <row r="526" spans="1:2" s="73" customFormat="1" x14ac:dyDescent="0.2">
      <c r="A526" s="26"/>
      <c r="B526" s="26"/>
    </row>
    <row r="527" spans="1:2" s="73" customFormat="1" x14ac:dyDescent="0.2">
      <c r="A527" s="26"/>
      <c r="B527" s="26"/>
    </row>
    <row r="528" spans="1:2" s="73" customFormat="1" x14ac:dyDescent="0.2">
      <c r="A528" s="26"/>
      <c r="B528" s="26"/>
    </row>
    <row r="529" spans="1:2" s="73" customFormat="1" x14ac:dyDescent="0.2">
      <c r="A529" s="26"/>
      <c r="B529" s="26"/>
    </row>
    <row r="530" spans="1:2" s="73" customFormat="1" x14ac:dyDescent="0.2">
      <c r="A530" s="26"/>
      <c r="B530" s="26"/>
    </row>
    <row r="531" spans="1:2" s="73" customFormat="1" x14ac:dyDescent="0.2">
      <c r="A531" s="26"/>
      <c r="B531" s="26"/>
    </row>
    <row r="532" spans="1:2" s="73" customFormat="1" x14ac:dyDescent="0.2">
      <c r="A532" s="26"/>
      <c r="B532" s="26"/>
    </row>
    <row r="533" spans="1:2" s="73" customFormat="1" x14ac:dyDescent="0.2">
      <c r="A533" s="26"/>
      <c r="B533" s="26"/>
    </row>
    <row r="534" spans="1:2" s="73" customFormat="1" x14ac:dyDescent="0.2">
      <c r="A534" s="26"/>
      <c r="B534" s="26"/>
    </row>
    <row r="535" spans="1:2" s="73" customFormat="1" x14ac:dyDescent="0.2">
      <c r="A535" s="26"/>
      <c r="B535" s="26"/>
    </row>
    <row r="536" spans="1:2" s="73" customFormat="1" x14ac:dyDescent="0.2">
      <c r="A536" s="26"/>
      <c r="B536" s="26"/>
    </row>
    <row r="537" spans="1:2" s="73" customFormat="1" x14ac:dyDescent="0.2">
      <c r="A537" s="26"/>
      <c r="B537" s="26"/>
    </row>
    <row r="538" spans="1:2" s="73" customFormat="1" x14ac:dyDescent="0.2">
      <c r="A538" s="26"/>
      <c r="B538" s="26"/>
    </row>
    <row r="539" spans="1:2" s="73" customFormat="1" x14ac:dyDescent="0.2">
      <c r="A539" s="26"/>
      <c r="B539" s="26"/>
    </row>
    <row r="540" spans="1:2" s="73" customFormat="1" x14ac:dyDescent="0.2">
      <c r="A540" s="26"/>
      <c r="B540" s="26"/>
    </row>
    <row r="541" spans="1:2" s="73" customFormat="1" x14ac:dyDescent="0.2">
      <c r="A541" s="26"/>
      <c r="B541" s="26"/>
    </row>
    <row r="542" spans="1:2" s="73" customFormat="1" x14ac:dyDescent="0.2">
      <c r="A542" s="26"/>
      <c r="B542" s="26"/>
    </row>
    <row r="543" spans="1:2" s="73" customFormat="1" x14ac:dyDescent="0.2">
      <c r="A543" s="26"/>
      <c r="B543" s="26"/>
    </row>
    <row r="544" spans="1:2" s="73" customFormat="1" x14ac:dyDescent="0.2">
      <c r="A544" s="26"/>
      <c r="B544" s="26"/>
    </row>
    <row r="545" spans="1:2" s="73" customFormat="1" x14ac:dyDescent="0.2">
      <c r="A545" s="26"/>
      <c r="B545" s="26"/>
    </row>
    <row r="546" spans="1:2" s="73" customFormat="1" x14ac:dyDescent="0.2">
      <c r="A546" s="26"/>
      <c r="B546" s="26"/>
    </row>
    <row r="547" spans="1:2" s="73" customFormat="1" x14ac:dyDescent="0.2">
      <c r="A547" s="26"/>
      <c r="B547" s="26"/>
    </row>
    <row r="548" spans="1:2" s="73" customFormat="1" x14ac:dyDescent="0.2">
      <c r="A548" s="26"/>
      <c r="B548" s="26"/>
    </row>
    <row r="549" spans="1:2" s="73" customFormat="1" x14ac:dyDescent="0.2">
      <c r="A549" s="26"/>
      <c r="B549" s="26"/>
    </row>
    <row r="550" spans="1:2" s="73" customFormat="1" x14ac:dyDescent="0.2">
      <c r="A550" s="26"/>
      <c r="B550" s="26"/>
    </row>
    <row r="551" spans="1:2" s="73" customFormat="1" x14ac:dyDescent="0.2">
      <c r="A551" s="26"/>
      <c r="B551" s="26"/>
    </row>
    <row r="552" spans="1:2" s="73" customFormat="1" x14ac:dyDescent="0.2">
      <c r="A552" s="26"/>
      <c r="B552" s="26"/>
    </row>
    <row r="553" spans="1:2" s="73" customFormat="1" x14ac:dyDescent="0.2">
      <c r="A553" s="26"/>
      <c r="B553" s="26"/>
    </row>
    <row r="554" spans="1:2" s="73" customFormat="1" x14ac:dyDescent="0.2">
      <c r="A554" s="26"/>
      <c r="B554" s="26"/>
    </row>
    <row r="555" spans="1:2" s="73" customFormat="1" x14ac:dyDescent="0.2">
      <c r="A555" s="26"/>
      <c r="B555" s="26"/>
    </row>
    <row r="556" spans="1:2" s="73" customFormat="1" x14ac:dyDescent="0.2">
      <c r="A556" s="26"/>
      <c r="B556" s="26"/>
    </row>
    <row r="557" spans="1:2" s="73" customFormat="1" x14ac:dyDescent="0.2">
      <c r="A557" s="26"/>
      <c r="B557" s="26"/>
    </row>
    <row r="558" spans="1:2" s="73" customFormat="1" x14ac:dyDescent="0.2">
      <c r="A558" s="26"/>
      <c r="B558" s="26"/>
    </row>
    <row r="559" spans="1:2" s="73" customFormat="1" x14ac:dyDescent="0.2">
      <c r="A559" s="26"/>
      <c r="B559" s="26"/>
    </row>
    <row r="560" spans="1:2" s="73" customFormat="1" x14ac:dyDescent="0.2">
      <c r="A560" s="26"/>
      <c r="B560" s="26"/>
    </row>
    <row r="561" spans="1:2" s="73" customFormat="1" x14ac:dyDescent="0.2">
      <c r="A561" s="26"/>
      <c r="B561" s="26"/>
    </row>
    <row r="562" spans="1:2" s="73" customFormat="1" x14ac:dyDescent="0.2">
      <c r="A562" s="26"/>
      <c r="B562" s="26"/>
    </row>
    <row r="563" spans="1:2" s="73" customFormat="1" x14ac:dyDescent="0.2">
      <c r="A563" s="26"/>
      <c r="B563" s="26"/>
    </row>
    <row r="564" spans="1:2" s="73" customFormat="1" x14ac:dyDescent="0.2">
      <c r="A564" s="26"/>
      <c r="B564" s="26"/>
    </row>
    <row r="565" spans="1:2" s="73" customFormat="1" x14ac:dyDescent="0.2">
      <c r="A565" s="26"/>
      <c r="B565" s="26"/>
    </row>
    <row r="566" spans="1:2" s="73" customFormat="1" x14ac:dyDescent="0.2">
      <c r="A566" s="26"/>
      <c r="B566" s="26"/>
    </row>
    <row r="567" spans="1:2" s="73" customFormat="1" x14ac:dyDescent="0.2">
      <c r="A567" s="26"/>
      <c r="B567" s="26"/>
    </row>
    <row r="568" spans="1:2" s="73" customFormat="1" x14ac:dyDescent="0.2">
      <c r="A568" s="26"/>
      <c r="B568" s="26"/>
    </row>
    <row r="569" spans="1:2" s="73" customFormat="1" x14ac:dyDescent="0.2">
      <c r="A569" s="26"/>
      <c r="B569" s="26"/>
    </row>
    <row r="570" spans="1:2" s="73" customFormat="1" x14ac:dyDescent="0.2">
      <c r="A570" s="26"/>
      <c r="B570" s="26"/>
    </row>
    <row r="571" spans="1:2" s="73" customFormat="1" x14ac:dyDescent="0.2">
      <c r="A571" s="26"/>
      <c r="B571" s="26"/>
    </row>
    <row r="572" spans="1:2" s="73" customFormat="1" x14ac:dyDescent="0.2">
      <c r="A572" s="26"/>
      <c r="B572" s="26"/>
    </row>
    <row r="573" spans="1:2" s="73" customFormat="1" x14ac:dyDescent="0.2">
      <c r="A573" s="26"/>
      <c r="B573" s="26"/>
    </row>
    <row r="574" spans="1:2" s="73" customFormat="1" x14ac:dyDescent="0.2">
      <c r="A574" s="26"/>
      <c r="B574" s="26"/>
    </row>
    <row r="575" spans="1:2" s="73" customFormat="1" x14ac:dyDescent="0.2">
      <c r="A575" s="26"/>
      <c r="B575" s="26"/>
    </row>
    <row r="576" spans="1:2" s="73" customFormat="1" x14ac:dyDescent="0.2">
      <c r="A576" s="26"/>
      <c r="B576" s="26"/>
    </row>
    <row r="577" spans="1:2" s="73" customFormat="1" x14ac:dyDescent="0.2">
      <c r="A577" s="26"/>
      <c r="B577" s="26"/>
    </row>
    <row r="578" spans="1:2" s="73" customFormat="1" x14ac:dyDescent="0.2">
      <c r="A578" s="26"/>
      <c r="B578" s="26"/>
    </row>
    <row r="579" spans="1:2" s="73" customFormat="1" x14ac:dyDescent="0.2">
      <c r="A579" s="26"/>
      <c r="B579" s="26"/>
    </row>
    <row r="580" spans="1:2" s="73" customFormat="1" x14ac:dyDescent="0.2">
      <c r="A580" s="26"/>
      <c r="B580" s="26"/>
    </row>
    <row r="581" spans="1:2" s="73" customFormat="1" x14ac:dyDescent="0.2">
      <c r="A581" s="26"/>
      <c r="B581" s="26"/>
    </row>
    <row r="582" spans="1:2" s="73" customFormat="1" x14ac:dyDescent="0.2">
      <c r="A582" s="26"/>
      <c r="B582" s="26"/>
    </row>
    <row r="583" spans="1:2" s="73" customFormat="1" x14ac:dyDescent="0.2">
      <c r="A583" s="26"/>
      <c r="B583" s="26"/>
    </row>
    <row r="584" spans="1:2" s="73" customFormat="1" x14ac:dyDescent="0.2">
      <c r="A584" s="26"/>
      <c r="B584" s="26"/>
    </row>
    <row r="585" spans="1:2" s="73" customFormat="1" x14ac:dyDescent="0.2">
      <c r="A585" s="26"/>
      <c r="B585" s="26"/>
    </row>
    <row r="586" spans="1:2" s="73" customFormat="1" x14ac:dyDescent="0.2">
      <c r="A586" s="26"/>
      <c r="B586" s="26"/>
    </row>
    <row r="587" spans="1:2" s="73" customFormat="1" x14ac:dyDescent="0.2">
      <c r="A587" s="26"/>
      <c r="B587" s="26"/>
    </row>
    <row r="588" spans="1:2" s="73" customFormat="1" x14ac:dyDescent="0.2">
      <c r="A588" s="26"/>
      <c r="B588" s="26"/>
    </row>
    <row r="589" spans="1:2" s="73" customFormat="1" x14ac:dyDescent="0.2">
      <c r="A589" s="26"/>
      <c r="B589" s="26"/>
    </row>
    <row r="590" spans="1:2" s="73" customFormat="1" x14ac:dyDescent="0.2">
      <c r="A590" s="26"/>
      <c r="B590" s="26"/>
    </row>
    <row r="591" spans="1:2" s="73" customFormat="1" x14ac:dyDescent="0.2">
      <c r="A591" s="26"/>
      <c r="B591" s="26"/>
    </row>
    <row r="592" spans="1:2" s="73" customFormat="1" x14ac:dyDescent="0.2">
      <c r="A592" s="26"/>
      <c r="B592" s="26"/>
    </row>
    <row r="593" spans="1:2" s="73" customFormat="1" x14ac:dyDescent="0.2">
      <c r="A593" s="26"/>
      <c r="B593" s="26"/>
    </row>
    <row r="594" spans="1:2" s="73" customFormat="1" x14ac:dyDescent="0.2">
      <c r="A594" s="26"/>
      <c r="B594" s="26"/>
    </row>
    <row r="595" spans="1:2" s="73" customFormat="1" x14ac:dyDescent="0.2">
      <c r="A595" s="26"/>
      <c r="B595" s="26"/>
    </row>
    <row r="596" spans="1:2" s="73" customFormat="1" x14ac:dyDescent="0.2">
      <c r="A596" s="26"/>
      <c r="B596" s="26"/>
    </row>
    <row r="597" spans="1:2" s="73" customFormat="1" x14ac:dyDescent="0.2">
      <c r="A597" s="26"/>
      <c r="B597" s="26"/>
    </row>
    <row r="598" spans="1:2" s="73" customFormat="1" x14ac:dyDescent="0.2">
      <c r="A598" s="26"/>
      <c r="B598" s="26"/>
    </row>
    <row r="599" spans="1:2" s="73" customFormat="1" x14ac:dyDescent="0.2">
      <c r="A599" s="26"/>
      <c r="B599" s="26"/>
    </row>
    <row r="600" spans="1:2" s="73" customFormat="1" x14ac:dyDescent="0.2">
      <c r="A600" s="26"/>
      <c r="B600" s="26"/>
    </row>
    <row r="601" spans="1:2" s="73" customFormat="1" x14ac:dyDescent="0.2">
      <c r="A601" s="26"/>
      <c r="B601" s="26"/>
    </row>
    <row r="602" spans="1:2" s="73" customFormat="1" x14ac:dyDescent="0.2">
      <c r="A602" s="26"/>
      <c r="B602" s="26"/>
    </row>
    <row r="603" spans="1:2" s="73" customFormat="1" x14ac:dyDescent="0.2">
      <c r="A603" s="26"/>
      <c r="B603" s="26"/>
    </row>
    <row r="604" spans="1:2" s="73" customFormat="1" x14ac:dyDescent="0.2">
      <c r="A604" s="26"/>
      <c r="B604" s="26"/>
    </row>
    <row r="605" spans="1:2" s="73" customFormat="1" x14ac:dyDescent="0.2">
      <c r="A605" s="26"/>
      <c r="B605" s="26"/>
    </row>
    <row r="606" spans="1:2" s="73" customFormat="1" x14ac:dyDescent="0.2">
      <c r="A606" s="26"/>
      <c r="B606" s="26"/>
    </row>
    <row r="607" spans="1:2" s="73" customFormat="1" x14ac:dyDescent="0.2">
      <c r="A607" s="26"/>
      <c r="B607" s="26"/>
    </row>
    <row r="608" spans="1:2" s="73" customFormat="1" x14ac:dyDescent="0.2">
      <c r="A608" s="26"/>
      <c r="B608" s="26"/>
    </row>
    <row r="609" spans="1:2" s="73" customFormat="1" x14ac:dyDescent="0.2">
      <c r="A609" s="26"/>
      <c r="B609" s="26"/>
    </row>
    <row r="610" spans="1:2" s="73" customFormat="1" x14ac:dyDescent="0.2">
      <c r="A610" s="26"/>
      <c r="B610" s="26"/>
    </row>
    <row r="611" spans="1:2" s="73" customFormat="1" x14ac:dyDescent="0.2">
      <c r="A611" s="26"/>
      <c r="B611" s="26"/>
    </row>
    <row r="612" spans="1:2" s="73" customFormat="1" x14ac:dyDescent="0.2">
      <c r="A612" s="26"/>
      <c r="B612" s="26"/>
    </row>
    <row r="613" spans="1:2" s="73" customFormat="1" x14ac:dyDescent="0.2">
      <c r="A613" s="26"/>
      <c r="B613" s="26"/>
    </row>
    <row r="614" spans="1:2" s="73" customFormat="1" x14ac:dyDescent="0.2">
      <c r="A614" s="26"/>
      <c r="B614" s="26"/>
    </row>
    <row r="615" spans="1:2" s="73" customFormat="1" x14ac:dyDescent="0.2">
      <c r="A615" s="26"/>
      <c r="B615" s="26"/>
    </row>
    <row r="616" spans="1:2" s="73" customFormat="1" x14ac:dyDescent="0.2">
      <c r="A616" s="26"/>
      <c r="B616" s="26"/>
    </row>
    <row r="617" spans="1:2" s="73" customFormat="1" x14ac:dyDescent="0.2">
      <c r="A617" s="26"/>
      <c r="B617" s="26"/>
    </row>
    <row r="618" spans="1:2" s="73" customFormat="1" x14ac:dyDescent="0.2">
      <c r="A618" s="26"/>
      <c r="B618" s="26"/>
    </row>
    <row r="619" spans="1:2" s="73" customFormat="1" x14ac:dyDescent="0.2">
      <c r="A619" s="26"/>
      <c r="B619" s="26"/>
    </row>
    <row r="620" spans="1:2" s="73" customFormat="1" x14ac:dyDescent="0.2">
      <c r="A620" s="26"/>
      <c r="B620" s="26"/>
    </row>
    <row r="621" spans="1:2" s="73" customFormat="1" x14ac:dyDescent="0.2">
      <c r="A621" s="26"/>
      <c r="B621" s="26"/>
    </row>
    <row r="622" spans="1:2" s="73" customFormat="1" x14ac:dyDescent="0.2">
      <c r="A622" s="26"/>
      <c r="B622" s="26"/>
    </row>
    <row r="623" spans="1:2" s="73" customFormat="1" x14ac:dyDescent="0.2">
      <c r="A623" s="26"/>
      <c r="B623" s="26"/>
    </row>
    <row r="624" spans="1:2" s="73" customFormat="1" x14ac:dyDescent="0.2">
      <c r="A624" s="26"/>
      <c r="B624" s="26"/>
    </row>
    <row r="625" spans="1:2" s="73" customFormat="1" x14ac:dyDescent="0.2">
      <c r="A625" s="26"/>
      <c r="B625" s="26"/>
    </row>
    <row r="626" spans="1:2" s="73" customFormat="1" x14ac:dyDescent="0.2">
      <c r="A626" s="26"/>
      <c r="B626" s="26"/>
    </row>
    <row r="627" spans="1:2" s="73" customFormat="1" x14ac:dyDescent="0.2">
      <c r="A627" s="26"/>
      <c r="B627" s="26"/>
    </row>
    <row r="628" spans="1:2" s="73" customFormat="1" x14ac:dyDescent="0.2">
      <c r="A628" s="26"/>
      <c r="B628" s="26"/>
    </row>
    <row r="629" spans="1:2" s="73" customFormat="1" x14ac:dyDescent="0.2">
      <c r="A629" s="26"/>
      <c r="B629" s="26"/>
    </row>
    <row r="630" spans="1:2" s="73" customFormat="1" x14ac:dyDescent="0.2">
      <c r="A630" s="26"/>
      <c r="B630" s="26"/>
    </row>
    <row r="631" spans="1:2" s="73" customFormat="1" x14ac:dyDescent="0.2">
      <c r="A631" s="26"/>
      <c r="B631" s="26"/>
    </row>
    <row r="632" spans="1:2" s="73" customFormat="1" x14ac:dyDescent="0.2">
      <c r="A632" s="26"/>
      <c r="B632" s="26"/>
    </row>
    <row r="633" spans="1:2" s="73" customFormat="1" x14ac:dyDescent="0.2">
      <c r="A633" s="26"/>
      <c r="B633" s="26"/>
    </row>
    <row r="634" spans="1:2" s="73" customFormat="1" x14ac:dyDescent="0.2">
      <c r="A634" s="26"/>
      <c r="B634" s="26"/>
    </row>
    <row r="635" spans="1:2" s="73" customFormat="1" x14ac:dyDescent="0.2">
      <c r="A635" s="26"/>
      <c r="B635" s="26"/>
    </row>
    <row r="636" spans="1:2" s="73" customFormat="1" x14ac:dyDescent="0.2">
      <c r="A636" s="26"/>
      <c r="B636" s="26"/>
    </row>
    <row r="637" spans="1:2" s="73" customFormat="1" x14ac:dyDescent="0.2">
      <c r="A637" s="26"/>
      <c r="B637" s="26"/>
    </row>
    <row r="638" spans="1:2" s="73" customFormat="1" x14ac:dyDescent="0.2">
      <c r="A638" s="26"/>
      <c r="B638" s="26"/>
    </row>
    <row r="639" spans="1:2" s="73" customFormat="1" x14ac:dyDescent="0.2">
      <c r="A639" s="26"/>
      <c r="B639" s="26"/>
    </row>
    <row r="640" spans="1:2" s="73" customFormat="1" x14ac:dyDescent="0.2">
      <c r="A640" s="26"/>
      <c r="B640" s="26"/>
    </row>
    <row r="641" spans="1:2" s="73" customFormat="1" x14ac:dyDescent="0.2">
      <c r="A641" s="26"/>
      <c r="B641" s="26"/>
    </row>
    <row r="642" spans="1:2" s="73" customFormat="1" x14ac:dyDescent="0.2">
      <c r="A642" s="26"/>
      <c r="B642" s="26"/>
    </row>
    <row r="643" spans="1:2" s="73" customFormat="1" x14ac:dyDescent="0.2">
      <c r="A643" s="26"/>
      <c r="B643" s="26"/>
    </row>
    <row r="644" spans="1:2" s="73" customFormat="1" x14ac:dyDescent="0.2">
      <c r="A644" s="26"/>
      <c r="B644" s="26"/>
    </row>
    <row r="645" spans="1:2" s="73" customFormat="1" x14ac:dyDescent="0.2">
      <c r="A645" s="26"/>
      <c r="B645" s="26"/>
    </row>
    <row r="646" spans="1:2" s="73" customFormat="1" x14ac:dyDescent="0.2">
      <c r="A646" s="26"/>
      <c r="B646" s="26"/>
    </row>
    <row r="647" spans="1:2" s="73" customFormat="1" x14ac:dyDescent="0.2">
      <c r="A647" s="26"/>
      <c r="B647" s="26"/>
    </row>
    <row r="648" spans="1:2" s="73" customFormat="1" x14ac:dyDescent="0.2">
      <c r="A648" s="26"/>
      <c r="B648" s="26"/>
    </row>
    <row r="649" spans="1:2" s="73" customFormat="1" x14ac:dyDescent="0.2">
      <c r="A649" s="26"/>
      <c r="B649" s="26"/>
    </row>
    <row r="650" spans="1:2" s="73" customFormat="1" x14ac:dyDescent="0.2">
      <c r="A650" s="26"/>
      <c r="B650" s="26"/>
    </row>
    <row r="651" spans="1:2" s="73" customFormat="1" x14ac:dyDescent="0.2">
      <c r="A651" s="26"/>
      <c r="B651" s="26"/>
    </row>
    <row r="652" spans="1:2" s="73" customFormat="1" x14ac:dyDescent="0.2">
      <c r="A652" s="26"/>
      <c r="B652" s="26"/>
    </row>
    <row r="653" spans="1:2" s="73" customFormat="1" x14ac:dyDescent="0.2">
      <c r="A653" s="26"/>
      <c r="B653" s="26"/>
    </row>
    <row r="654" spans="1:2" s="73" customFormat="1" x14ac:dyDescent="0.2">
      <c r="A654" s="26"/>
      <c r="B654" s="26"/>
    </row>
    <row r="655" spans="1:2" s="73" customFormat="1" x14ac:dyDescent="0.2">
      <c r="A655" s="26"/>
      <c r="B655" s="26"/>
    </row>
    <row r="656" spans="1:2" s="73" customFormat="1" x14ac:dyDescent="0.2">
      <c r="A656" s="26"/>
      <c r="B656" s="26"/>
    </row>
    <row r="657" spans="1:2" s="73" customFormat="1" x14ac:dyDescent="0.2">
      <c r="A657" s="26"/>
      <c r="B657" s="26"/>
    </row>
    <row r="658" spans="1:2" s="73" customFormat="1" x14ac:dyDescent="0.2">
      <c r="A658" s="26"/>
      <c r="B658" s="26"/>
    </row>
    <row r="659" spans="1:2" s="73" customFormat="1" x14ac:dyDescent="0.2">
      <c r="A659" s="26"/>
      <c r="B659" s="26"/>
    </row>
    <row r="660" spans="1:2" s="73" customFormat="1" x14ac:dyDescent="0.2">
      <c r="A660" s="26"/>
      <c r="B660" s="26"/>
    </row>
    <row r="661" spans="1:2" s="73" customFormat="1" x14ac:dyDescent="0.2">
      <c r="A661" s="26"/>
      <c r="B661" s="26"/>
    </row>
    <row r="662" spans="1:2" s="73" customFormat="1" x14ac:dyDescent="0.2">
      <c r="A662" s="26"/>
      <c r="B662" s="26"/>
    </row>
    <row r="663" spans="1:2" s="73" customFormat="1" x14ac:dyDescent="0.2">
      <c r="A663" s="26"/>
      <c r="B663" s="26"/>
    </row>
    <row r="664" spans="1:2" s="73" customFormat="1" x14ac:dyDescent="0.2">
      <c r="A664" s="26"/>
      <c r="B664" s="26"/>
    </row>
    <row r="665" spans="1:2" s="73" customFormat="1" x14ac:dyDescent="0.2">
      <c r="A665" s="26"/>
      <c r="B665" s="26"/>
    </row>
    <row r="666" spans="1:2" s="73" customFormat="1" x14ac:dyDescent="0.2">
      <c r="A666" s="26"/>
      <c r="B666" s="26"/>
    </row>
    <row r="667" spans="1:2" s="73" customFormat="1" x14ac:dyDescent="0.2">
      <c r="A667" s="26"/>
      <c r="B667" s="26"/>
    </row>
    <row r="668" spans="1:2" s="73" customFormat="1" x14ac:dyDescent="0.2">
      <c r="A668" s="26"/>
      <c r="B668" s="26"/>
    </row>
    <row r="669" spans="1:2" s="73" customFormat="1" x14ac:dyDescent="0.2">
      <c r="A669" s="26"/>
      <c r="B669" s="26"/>
    </row>
    <row r="670" spans="1:2" s="73" customFormat="1" x14ac:dyDescent="0.2">
      <c r="A670" s="26"/>
      <c r="B670" s="26"/>
    </row>
    <row r="671" spans="1:2" s="73" customFormat="1" x14ac:dyDescent="0.2">
      <c r="A671" s="26"/>
      <c r="B671" s="26"/>
    </row>
    <row r="672" spans="1:2" s="73" customFormat="1" x14ac:dyDescent="0.2">
      <c r="A672" s="26"/>
      <c r="B672" s="26"/>
    </row>
    <row r="673" spans="1:2" s="73" customFormat="1" x14ac:dyDescent="0.2">
      <c r="A673" s="26"/>
      <c r="B673" s="26"/>
    </row>
    <row r="674" spans="1:2" s="73" customFormat="1" x14ac:dyDescent="0.2">
      <c r="A674" s="26"/>
      <c r="B674" s="26"/>
    </row>
    <row r="675" spans="1:2" s="73" customFormat="1" x14ac:dyDescent="0.2">
      <c r="A675" s="26"/>
      <c r="B675" s="26"/>
    </row>
    <row r="676" spans="1:2" s="73" customFormat="1" x14ac:dyDescent="0.2">
      <c r="A676" s="26"/>
      <c r="B676" s="26"/>
    </row>
    <row r="677" spans="1:2" s="73" customFormat="1" x14ac:dyDescent="0.2">
      <c r="A677" s="26"/>
      <c r="B677" s="26"/>
    </row>
    <row r="678" spans="1:2" s="73" customFormat="1" x14ac:dyDescent="0.2">
      <c r="A678" s="26"/>
      <c r="B678" s="26"/>
    </row>
    <row r="679" spans="1:2" s="73" customFormat="1" x14ac:dyDescent="0.2">
      <c r="A679" s="26"/>
      <c r="B679" s="26"/>
    </row>
    <row r="680" spans="1:2" s="73" customFormat="1" x14ac:dyDescent="0.2">
      <c r="A680" s="26"/>
      <c r="B680" s="26"/>
    </row>
    <row r="681" spans="1:2" s="73" customFormat="1" x14ac:dyDescent="0.2">
      <c r="A681" s="26"/>
      <c r="B681" s="26"/>
    </row>
    <row r="682" spans="1:2" s="73" customFormat="1" x14ac:dyDescent="0.2">
      <c r="A682" s="26"/>
      <c r="B682" s="26"/>
    </row>
    <row r="683" spans="1:2" s="73" customFormat="1" x14ac:dyDescent="0.2">
      <c r="A683" s="26"/>
      <c r="B683" s="26"/>
    </row>
  </sheetData>
  <mergeCells count="130">
    <mergeCell ref="C129:H129"/>
    <mergeCell ref="B142:B144"/>
    <mergeCell ref="H142:H144"/>
    <mergeCell ref="A318:J318"/>
    <mergeCell ref="C202:H202"/>
    <mergeCell ref="B287:B289"/>
    <mergeCell ref="H287:H289"/>
    <mergeCell ref="C286:H286"/>
    <mergeCell ref="A317:J317"/>
    <mergeCell ref="I129:J129"/>
    <mergeCell ref="C106:H106"/>
    <mergeCell ref="H92:H94"/>
    <mergeCell ref="H81:H83"/>
    <mergeCell ref="I91:J91"/>
    <mergeCell ref="A103:J103"/>
    <mergeCell ref="H107:H109"/>
    <mergeCell ref="B107:B109"/>
    <mergeCell ref="I106:J106"/>
    <mergeCell ref="A104:J104"/>
    <mergeCell ref="A46:J46"/>
    <mergeCell ref="B35:B37"/>
    <mergeCell ref="C35:H35"/>
    <mergeCell ref="H36:H37"/>
    <mergeCell ref="I35:J35"/>
    <mergeCell ref="I47:J47"/>
    <mergeCell ref="C47:H47"/>
    <mergeCell ref="B158:B160"/>
    <mergeCell ref="B188:B190"/>
    <mergeCell ref="A155:J155"/>
    <mergeCell ref="C175:H175"/>
    <mergeCell ref="I175:J175"/>
    <mergeCell ref="C91:H91"/>
    <mergeCell ref="C141:H141"/>
    <mergeCell ref="B92:B94"/>
    <mergeCell ref="I187:J187"/>
    <mergeCell ref="B347:B349"/>
    <mergeCell ref="C320:H320"/>
    <mergeCell ref="I320:J320"/>
    <mergeCell ref="A200:J200"/>
    <mergeCell ref="I202:J202"/>
    <mergeCell ref="B230:B232"/>
    <mergeCell ref="B299:B301"/>
    <mergeCell ref="C229:H229"/>
    <mergeCell ref="B418:B420"/>
    <mergeCell ref="I433:J433"/>
    <mergeCell ref="I425:J425"/>
    <mergeCell ref="A414:J414"/>
    <mergeCell ref="I346:J346"/>
    <mergeCell ref="I359:J359"/>
    <mergeCell ref="B360:B362"/>
    <mergeCell ref="C359:H359"/>
    <mergeCell ref="A415:J415"/>
    <mergeCell ref="C400:H400"/>
    <mergeCell ref="A5:A6"/>
    <mergeCell ref="B5:B6"/>
    <mergeCell ref="H5:H6"/>
    <mergeCell ref="H434:H436"/>
    <mergeCell ref="H418:H420"/>
    <mergeCell ref="B434:B436"/>
    <mergeCell ref="C425:H425"/>
    <mergeCell ref="H426:H428"/>
    <mergeCell ref="C433:H433"/>
    <mergeCell ref="B426:B428"/>
    <mergeCell ref="H360:H362"/>
    <mergeCell ref="A372:J372"/>
    <mergeCell ref="A373:J373"/>
    <mergeCell ref="H347:H349"/>
    <mergeCell ref="A1:J1"/>
    <mergeCell ref="A2:J2"/>
    <mergeCell ref="A32:J32"/>
    <mergeCell ref="A33:J33"/>
    <mergeCell ref="C4:H4"/>
    <mergeCell ref="I4:J4"/>
    <mergeCell ref="H48:H49"/>
    <mergeCell ref="I80:J80"/>
    <mergeCell ref="A61:J61"/>
    <mergeCell ref="H65:H67"/>
    <mergeCell ref="B65:B67"/>
    <mergeCell ref="I64:J64"/>
    <mergeCell ref="A62:J62"/>
    <mergeCell ref="C64:H64"/>
    <mergeCell ref="C80:H80"/>
    <mergeCell ref="B47:B49"/>
    <mergeCell ref="C417:H417"/>
    <mergeCell ref="I417:J417"/>
    <mergeCell ref="C346:H346"/>
    <mergeCell ref="B81:B83"/>
    <mergeCell ref="I286:J286"/>
    <mergeCell ref="I241:J241"/>
    <mergeCell ref="H299:H301"/>
    <mergeCell ref="B321:B323"/>
    <mergeCell ref="H321:H323"/>
    <mergeCell ref="I257:J257"/>
    <mergeCell ref="C241:H241"/>
    <mergeCell ref="A255:J255"/>
    <mergeCell ref="B130:B132"/>
    <mergeCell ref="H130:H132"/>
    <mergeCell ref="H176:H178"/>
    <mergeCell ref="A154:J154"/>
    <mergeCell ref="C157:H157"/>
    <mergeCell ref="I157:J157"/>
    <mergeCell ref="B176:B178"/>
    <mergeCell ref="H158:H160"/>
    <mergeCell ref="C257:H257"/>
    <mergeCell ref="I229:J229"/>
    <mergeCell ref="C187:H187"/>
    <mergeCell ref="I141:J141"/>
    <mergeCell ref="B258:B260"/>
    <mergeCell ref="H258:H260"/>
    <mergeCell ref="H230:H232"/>
    <mergeCell ref="A199:J199"/>
    <mergeCell ref="H203:H205"/>
    <mergeCell ref="B203:B205"/>
    <mergeCell ref="C375:H375"/>
    <mergeCell ref="I375:J375"/>
    <mergeCell ref="B376:B378"/>
    <mergeCell ref="H376:H378"/>
    <mergeCell ref="H188:H190"/>
    <mergeCell ref="C298:H298"/>
    <mergeCell ref="I298:J298"/>
    <mergeCell ref="B242:B244"/>
    <mergeCell ref="H242:H244"/>
    <mergeCell ref="A254:J254"/>
    <mergeCell ref="I400:J400"/>
    <mergeCell ref="B401:B403"/>
    <mergeCell ref="H401:H403"/>
    <mergeCell ref="C388:H388"/>
    <mergeCell ref="I388:J388"/>
    <mergeCell ref="B389:B391"/>
    <mergeCell ref="H389:H391"/>
  </mergeCells>
  <phoneticPr fontId="0" type="noConversion"/>
  <printOptions horizontalCentered="1"/>
  <pageMargins left="0.21" right="0.2" top="0.98425196850393704" bottom="0.98425196850393704" header="0.511811023622047" footer="0.511811023622047"/>
  <pageSetup scale="60" fitToHeight="17" orientation="portrait" verticalDpi="1200" r:id="rId1"/>
  <headerFooter alignWithMargins="0">
    <oddHeader>&amp;C&amp;"Arial,Bold"DEPARTMENT OF ENVIRONMENTAL AFFAIRS AND TOURISM
VOTE 27</oddHeader>
  </headerFooter>
  <rowBreaks count="9" manualBreakCount="9">
    <brk id="31" max="9" man="1"/>
    <brk id="60" max="16383" man="1"/>
    <brk id="102" max="16383" man="1"/>
    <brk id="153" max="9" man="1"/>
    <brk id="198" max="16383" man="1"/>
    <brk id="253" max="16383" man="1"/>
    <brk id="316" max="16383" man="1"/>
    <brk id="371" max="9" man="1"/>
    <brk id="41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579"/>
  <sheetViews>
    <sheetView topLeftCell="A28" zoomScaleNormal="100" workbookViewId="0">
      <selection activeCell="D40" sqref="D40"/>
    </sheetView>
  </sheetViews>
  <sheetFormatPr defaultRowHeight="12.75" x14ac:dyDescent="0.2"/>
  <cols>
    <col min="1" max="1" width="6.28515625" style="13" customWidth="1"/>
    <col min="2" max="2" width="6.85546875" style="34" customWidth="1"/>
    <col min="3" max="3" width="22.140625" style="34" customWidth="1"/>
    <col min="4" max="5" width="9.140625" style="78"/>
    <col min="6" max="6" width="13.5703125" style="78" bestFit="1" customWidth="1"/>
    <col min="7" max="8" width="15.7109375" style="78" customWidth="1"/>
    <col min="9" max="16384" width="9.140625" style="34"/>
  </cols>
  <sheetData>
    <row r="3" spans="1:8" ht="33" customHeight="1" x14ac:dyDescent="0.2">
      <c r="A3" s="351" t="s">
        <v>405</v>
      </c>
      <c r="B3" s="593" t="s">
        <v>202</v>
      </c>
      <c r="C3" s="593"/>
      <c r="D3" s="593"/>
      <c r="E3" s="593"/>
      <c r="F3" s="593"/>
      <c r="G3" s="593"/>
      <c r="H3" s="593"/>
    </row>
    <row r="4" spans="1:8" ht="27.75" customHeight="1" x14ac:dyDescent="0.2">
      <c r="A4" s="34"/>
      <c r="B4" s="525" t="s">
        <v>399</v>
      </c>
      <c r="C4" s="525"/>
      <c r="D4" s="525"/>
      <c r="E4" s="525"/>
      <c r="F4" s="525"/>
      <c r="G4" s="525"/>
      <c r="H4" s="525"/>
    </row>
    <row r="5" spans="1:8" x14ac:dyDescent="0.2">
      <c r="B5" s="8"/>
      <c r="C5" s="8"/>
      <c r="F5" s="72"/>
      <c r="G5" s="72"/>
      <c r="H5" s="72"/>
    </row>
    <row r="6" spans="1:8" ht="33.75" customHeight="1" x14ac:dyDescent="0.2">
      <c r="A6" s="351" t="s">
        <v>406</v>
      </c>
      <c r="B6" s="593" t="s">
        <v>203</v>
      </c>
      <c r="C6" s="593"/>
      <c r="D6" s="593"/>
      <c r="E6" s="593"/>
      <c r="F6" s="593"/>
      <c r="G6" s="593"/>
      <c r="H6" s="593"/>
    </row>
    <row r="7" spans="1:8" ht="26.25" customHeight="1" x14ac:dyDescent="0.2">
      <c r="B7" s="525" t="s">
        <v>400</v>
      </c>
      <c r="C7" s="525"/>
      <c r="D7" s="525"/>
      <c r="E7" s="525"/>
      <c r="F7" s="525"/>
      <c r="G7" s="525"/>
      <c r="H7" s="525"/>
    </row>
    <row r="8" spans="1:8" x14ac:dyDescent="0.2">
      <c r="B8" s="8"/>
      <c r="C8" s="8"/>
      <c r="F8" s="14"/>
      <c r="G8" s="14"/>
      <c r="H8" s="14"/>
    </row>
    <row r="9" spans="1:8" ht="15.75" x14ac:dyDescent="0.2">
      <c r="A9" s="351" t="s">
        <v>409</v>
      </c>
      <c r="B9" s="593" t="s">
        <v>204</v>
      </c>
      <c r="C9" s="593"/>
      <c r="D9" s="593"/>
      <c r="E9" s="593"/>
      <c r="F9" s="593"/>
      <c r="G9" s="593"/>
      <c r="H9" s="593"/>
    </row>
    <row r="10" spans="1:8" ht="25.5" customHeight="1" x14ac:dyDescent="0.2">
      <c r="A10" s="34"/>
      <c r="B10" s="525" t="s">
        <v>401</v>
      </c>
      <c r="C10" s="525"/>
      <c r="D10" s="525"/>
      <c r="E10" s="525"/>
      <c r="F10" s="525"/>
      <c r="G10" s="525"/>
      <c r="H10" s="525"/>
    </row>
    <row r="11" spans="1:8" x14ac:dyDescent="0.2">
      <c r="A11" s="48"/>
      <c r="B11" s="25"/>
      <c r="C11" s="25"/>
      <c r="D11" s="137"/>
      <c r="E11" s="137"/>
      <c r="F11" s="137"/>
      <c r="G11" s="137"/>
      <c r="H11" s="137"/>
    </row>
    <row r="12" spans="1:8" ht="15.75" x14ac:dyDescent="0.2">
      <c r="A12" s="351" t="s">
        <v>408</v>
      </c>
      <c r="B12" s="593" t="s">
        <v>205</v>
      </c>
      <c r="C12" s="593"/>
      <c r="D12" s="593"/>
      <c r="E12" s="593"/>
      <c r="F12" s="593"/>
      <c r="G12" s="593"/>
      <c r="H12" s="593"/>
    </row>
    <row r="13" spans="1:8" x14ac:dyDescent="0.2">
      <c r="A13" s="21">
        <v>4.0999999999999996</v>
      </c>
      <c r="B13" s="40" t="s">
        <v>206</v>
      </c>
      <c r="C13" s="8"/>
      <c r="D13" s="14"/>
      <c r="E13" s="14"/>
      <c r="F13" s="72"/>
      <c r="G13" s="72"/>
      <c r="H13" s="72"/>
    </row>
    <row r="14" spans="1:8" x14ac:dyDescent="0.2">
      <c r="A14" s="21"/>
      <c r="B14" s="40"/>
      <c r="C14" s="8"/>
      <c r="D14" s="14"/>
      <c r="E14" s="14"/>
      <c r="F14" s="72"/>
      <c r="G14" s="72"/>
      <c r="H14" s="72"/>
    </row>
    <row r="15" spans="1:8" x14ac:dyDescent="0.2">
      <c r="A15" s="21"/>
      <c r="B15" s="46" t="s">
        <v>350</v>
      </c>
      <c r="C15" s="8"/>
      <c r="D15" s="14"/>
      <c r="E15" s="14"/>
      <c r="F15" s="72"/>
      <c r="G15" s="72"/>
      <c r="H15" s="72"/>
    </row>
    <row r="16" spans="1:8" x14ac:dyDescent="0.2">
      <c r="A16" s="21"/>
      <c r="B16" s="46" t="s">
        <v>478</v>
      </c>
      <c r="C16" s="8"/>
      <c r="D16" s="14"/>
      <c r="E16" s="14"/>
      <c r="F16" s="72"/>
      <c r="G16" s="72"/>
      <c r="H16" s="72"/>
    </row>
    <row r="17" spans="1:8" x14ac:dyDescent="0.2">
      <c r="A17" s="21"/>
      <c r="B17" s="46"/>
      <c r="C17" s="8"/>
      <c r="D17" s="14"/>
      <c r="E17" s="14"/>
      <c r="F17" s="72"/>
      <c r="G17" s="72"/>
      <c r="H17" s="72"/>
    </row>
    <row r="18" spans="1:8" x14ac:dyDescent="0.2">
      <c r="A18" s="34"/>
      <c r="B18" s="46" t="s">
        <v>355</v>
      </c>
      <c r="C18" s="25"/>
    </row>
    <row r="19" spans="1:8" x14ac:dyDescent="0.2">
      <c r="A19" s="34"/>
      <c r="B19" s="46" t="s">
        <v>480</v>
      </c>
      <c r="C19" s="25"/>
    </row>
    <row r="20" spans="1:8" x14ac:dyDescent="0.2">
      <c r="A20" s="34"/>
      <c r="B20" s="46" t="s">
        <v>479</v>
      </c>
      <c r="C20" s="25"/>
    </row>
    <row r="21" spans="1:8" x14ac:dyDescent="0.2">
      <c r="A21" s="34"/>
      <c r="B21" s="46"/>
      <c r="C21" s="25"/>
    </row>
    <row r="22" spans="1:8" x14ac:dyDescent="0.2">
      <c r="A22" s="21">
        <v>4.2</v>
      </c>
      <c r="B22" s="40" t="s">
        <v>207</v>
      </c>
      <c r="C22" s="8"/>
      <c r="G22" s="45"/>
      <c r="H22" s="45"/>
    </row>
    <row r="23" spans="1:8" x14ac:dyDescent="0.2">
      <c r="B23" s="46"/>
      <c r="C23" s="25"/>
    </row>
    <row r="24" spans="1:8" x14ac:dyDescent="0.2">
      <c r="B24" s="46" t="s">
        <v>12</v>
      </c>
      <c r="C24" s="25"/>
    </row>
    <row r="25" spans="1:8" x14ac:dyDescent="0.2">
      <c r="B25" s="46" t="s">
        <v>478</v>
      </c>
      <c r="C25" s="25"/>
    </row>
    <row r="26" spans="1:8" x14ac:dyDescent="0.2">
      <c r="B26" s="46"/>
      <c r="C26" s="25"/>
    </row>
    <row r="27" spans="1:8" x14ac:dyDescent="0.2">
      <c r="A27" s="34"/>
      <c r="B27" s="46" t="s">
        <v>13</v>
      </c>
      <c r="C27" s="25"/>
    </row>
    <row r="28" spans="1:8" x14ac:dyDescent="0.2">
      <c r="A28" s="34"/>
      <c r="B28" s="46" t="s">
        <v>480</v>
      </c>
      <c r="C28" s="25"/>
      <c r="F28" s="83"/>
      <c r="G28" s="45"/>
      <c r="H28" s="45"/>
    </row>
    <row r="29" spans="1:8" x14ac:dyDescent="0.2">
      <c r="A29" s="34"/>
      <c r="B29" s="46" t="s">
        <v>479</v>
      </c>
      <c r="C29" s="25"/>
      <c r="F29" s="83"/>
      <c r="G29" s="45"/>
      <c r="H29" s="45"/>
    </row>
    <row r="30" spans="1:8" x14ac:dyDescent="0.2">
      <c r="A30" s="34"/>
      <c r="B30" s="46"/>
      <c r="C30" s="25"/>
      <c r="F30" s="83"/>
      <c r="G30" s="45"/>
      <c r="H30" s="45"/>
    </row>
    <row r="31" spans="1:8" ht="15.75" x14ac:dyDescent="0.2">
      <c r="A31" s="351" t="s">
        <v>407</v>
      </c>
      <c r="B31" s="136" t="s">
        <v>208</v>
      </c>
      <c r="C31" s="136"/>
      <c r="F31" s="77"/>
      <c r="G31" s="38"/>
      <c r="H31" s="38"/>
    </row>
    <row r="32" spans="1:8" s="73" customFormat="1" x14ac:dyDescent="0.2">
      <c r="A32" s="22"/>
      <c r="B32" s="22"/>
      <c r="C32" s="22"/>
      <c r="D32" s="128"/>
      <c r="E32" s="128"/>
      <c r="F32" s="77"/>
      <c r="G32" s="38"/>
      <c r="H32" s="38"/>
    </row>
    <row r="33" spans="1:8" ht="25.5" x14ac:dyDescent="0.2">
      <c r="B33" s="46"/>
      <c r="C33" s="46"/>
      <c r="F33" s="77"/>
      <c r="G33" s="4" t="s">
        <v>37</v>
      </c>
      <c r="H33" s="4" t="s">
        <v>38</v>
      </c>
    </row>
    <row r="34" spans="1:8" x14ac:dyDescent="0.2">
      <c r="B34" s="46" t="s">
        <v>402</v>
      </c>
      <c r="C34" s="46"/>
      <c r="D34" s="34"/>
      <c r="F34" s="77"/>
      <c r="G34" s="352">
        <v>1366585742.0799999</v>
      </c>
      <c r="H34" s="349">
        <v>1067565</v>
      </c>
    </row>
    <row r="35" spans="1:8" ht="13.15" customHeight="1" x14ac:dyDescent="0.2">
      <c r="B35" s="25" t="s">
        <v>403</v>
      </c>
      <c r="C35" s="594" t="s">
        <v>49</v>
      </c>
      <c r="D35" s="594"/>
      <c r="E35" s="594"/>
      <c r="F35" s="594"/>
      <c r="G35" s="352">
        <f>'NOTES TO FS'!E60+561579.95+1000</f>
        <v>53882431</v>
      </c>
      <c r="H35" s="349">
        <v>29525</v>
      </c>
    </row>
    <row r="36" spans="1:8" ht="13.15" customHeight="1" thickBot="1" x14ac:dyDescent="0.25">
      <c r="B36" s="46" t="s">
        <v>404</v>
      </c>
      <c r="C36" s="46"/>
      <c r="D36" s="34"/>
      <c r="F36" s="77"/>
      <c r="G36" s="353">
        <f>SUM(G34:G35)</f>
        <v>1420468173.0799999</v>
      </c>
      <c r="H36" s="350">
        <f>SUM(H34:H35)</f>
        <v>1097090</v>
      </c>
    </row>
    <row r="37" spans="1:8" ht="13.5" thickTop="1" x14ac:dyDescent="0.2">
      <c r="A37" s="34"/>
      <c r="F37" s="77"/>
      <c r="G37" s="45"/>
      <c r="H37" s="45"/>
    </row>
    <row r="38" spans="1:8" x14ac:dyDescent="0.2">
      <c r="A38" s="34"/>
      <c r="F38" s="77"/>
      <c r="G38" s="45"/>
      <c r="H38" s="45"/>
    </row>
    <row r="39" spans="1:8" x14ac:dyDescent="0.2">
      <c r="A39" s="34"/>
      <c r="F39" s="77"/>
      <c r="G39" s="45"/>
      <c r="H39" s="45"/>
    </row>
    <row r="40" spans="1:8" x14ac:dyDescent="0.2">
      <c r="B40" s="46"/>
      <c r="C40" s="46"/>
      <c r="F40" s="77"/>
      <c r="G40" s="45"/>
      <c r="H40" s="45"/>
    </row>
    <row r="41" spans="1:8" x14ac:dyDescent="0.2">
      <c r="B41" s="46"/>
      <c r="C41" s="46"/>
      <c r="F41" s="77"/>
      <c r="G41" s="45"/>
      <c r="H41" s="45"/>
    </row>
    <row r="42" spans="1:8" x14ac:dyDescent="0.2">
      <c r="B42" s="46"/>
      <c r="C42" s="46"/>
      <c r="F42" s="77"/>
    </row>
    <row r="43" spans="1:8" x14ac:dyDescent="0.2">
      <c r="B43" s="46"/>
      <c r="C43" s="46"/>
    </row>
    <row r="44" spans="1:8" ht="15.75" x14ac:dyDescent="0.25">
      <c r="A44" s="47"/>
      <c r="B44" s="20"/>
      <c r="C44" s="20"/>
      <c r="F44" s="77"/>
    </row>
    <row r="45" spans="1:8" x14ac:dyDescent="0.2">
      <c r="B45" s="22"/>
      <c r="C45" s="22"/>
      <c r="F45" s="83"/>
      <c r="G45" s="84"/>
      <c r="H45" s="84"/>
    </row>
    <row r="46" spans="1:8" x14ac:dyDescent="0.2">
      <c r="B46" s="22"/>
      <c r="C46" s="22"/>
      <c r="F46" s="85"/>
      <c r="G46" s="83"/>
      <c r="H46" s="83"/>
    </row>
    <row r="47" spans="1:8" x14ac:dyDescent="0.2">
      <c r="B47" s="46"/>
      <c r="C47" s="46"/>
      <c r="F47" s="85"/>
      <c r="G47" s="38"/>
      <c r="H47" s="38"/>
    </row>
    <row r="48" spans="1:8" x14ac:dyDescent="0.2">
      <c r="B48" s="46"/>
      <c r="C48" s="46"/>
      <c r="F48" s="85"/>
      <c r="G48" s="38"/>
      <c r="H48" s="38"/>
    </row>
    <row r="49" spans="1:8" x14ac:dyDescent="0.2">
      <c r="B49" s="46"/>
      <c r="C49" s="46"/>
      <c r="F49" s="85"/>
      <c r="G49" s="38"/>
      <c r="H49" s="38"/>
    </row>
    <row r="50" spans="1:8" x14ac:dyDescent="0.2">
      <c r="B50" s="6"/>
      <c r="C50" s="6"/>
      <c r="F50" s="77"/>
      <c r="G50" s="38"/>
      <c r="H50" s="38"/>
    </row>
    <row r="51" spans="1:8" x14ac:dyDescent="0.2">
      <c r="A51" s="7"/>
      <c r="B51" s="22"/>
      <c r="C51" s="22"/>
      <c r="D51" s="45"/>
      <c r="E51" s="45"/>
      <c r="F51" s="45"/>
      <c r="G51" s="38"/>
      <c r="H51" s="38"/>
    </row>
    <row r="52" spans="1:8" x14ac:dyDescent="0.2">
      <c r="B52" s="27"/>
      <c r="C52" s="27"/>
      <c r="D52" s="94"/>
      <c r="E52" s="94"/>
      <c r="F52" s="94"/>
      <c r="G52" s="45"/>
      <c r="H52" s="45"/>
    </row>
    <row r="53" spans="1:8" x14ac:dyDescent="0.2">
      <c r="B53" s="27"/>
      <c r="C53" s="27"/>
      <c r="D53" s="94"/>
      <c r="E53" s="94"/>
      <c r="F53" s="94"/>
      <c r="G53" s="45"/>
      <c r="H53" s="45"/>
    </row>
    <row r="54" spans="1:8" x14ac:dyDescent="0.2">
      <c r="B54" s="46"/>
      <c r="C54" s="46"/>
      <c r="F54" s="77"/>
      <c r="G54" s="45"/>
      <c r="H54" s="45"/>
    </row>
    <row r="55" spans="1:8" x14ac:dyDescent="0.2">
      <c r="B55" s="46"/>
      <c r="C55" s="46"/>
      <c r="F55" s="77"/>
      <c r="G55" s="45"/>
      <c r="H55" s="45"/>
    </row>
    <row r="56" spans="1:8" x14ac:dyDescent="0.2">
      <c r="B56" s="46"/>
      <c r="C56" s="46"/>
      <c r="F56" s="77"/>
      <c r="G56" s="45"/>
      <c r="H56" s="45"/>
    </row>
    <row r="57" spans="1:8" x14ac:dyDescent="0.2">
      <c r="B57" s="46"/>
      <c r="C57" s="46"/>
      <c r="F57" s="77"/>
      <c r="G57" s="138"/>
      <c r="H57" s="138"/>
    </row>
    <row r="58" spans="1:8" x14ac:dyDescent="0.2">
      <c r="A58" s="7"/>
      <c r="B58" s="22"/>
      <c r="C58" s="22"/>
      <c r="D58" s="45"/>
      <c r="E58" s="139"/>
      <c r="F58" s="45"/>
      <c r="G58" s="38"/>
      <c r="H58" s="38"/>
    </row>
    <row r="59" spans="1:8" x14ac:dyDescent="0.2">
      <c r="B59" s="37"/>
      <c r="C59" s="37"/>
      <c r="G59" s="14"/>
      <c r="H59" s="14"/>
    </row>
    <row r="60" spans="1:8" x14ac:dyDescent="0.2">
      <c r="B60" s="27"/>
      <c r="C60" s="27"/>
      <c r="D60" s="94"/>
      <c r="E60" s="94"/>
      <c r="F60" s="94"/>
      <c r="G60" s="14"/>
      <c r="H60" s="14"/>
    </row>
    <row r="61" spans="1:8" x14ac:dyDescent="0.2">
      <c r="B61" s="46"/>
      <c r="C61" s="46"/>
      <c r="F61" s="77"/>
      <c r="G61" s="14"/>
      <c r="H61" s="14"/>
    </row>
    <row r="62" spans="1:8" x14ac:dyDescent="0.2">
      <c r="B62" s="46"/>
      <c r="C62" s="46"/>
      <c r="F62" s="77"/>
      <c r="G62" s="14"/>
      <c r="H62" s="14"/>
    </row>
    <row r="63" spans="1:8" x14ac:dyDescent="0.2">
      <c r="B63" s="46"/>
      <c r="C63" s="46"/>
      <c r="F63" s="77"/>
    </row>
    <row r="64" spans="1:8" ht="15.75" x14ac:dyDescent="0.25">
      <c r="A64" s="47"/>
      <c r="B64" s="20"/>
      <c r="C64" s="20"/>
    </row>
    <row r="65" spans="1:8" x14ac:dyDescent="0.2">
      <c r="A65" s="7"/>
      <c r="B65" s="2"/>
      <c r="C65" s="2"/>
      <c r="D65" s="140"/>
      <c r="E65" s="140"/>
      <c r="F65" s="140"/>
      <c r="G65" s="140"/>
      <c r="H65" s="140"/>
    </row>
    <row r="66" spans="1:8" x14ac:dyDescent="0.2">
      <c r="A66" s="7"/>
      <c r="B66" s="42"/>
      <c r="C66" s="42"/>
      <c r="D66" s="140"/>
      <c r="E66" s="140"/>
      <c r="F66" s="140"/>
      <c r="G66" s="140"/>
      <c r="H66" s="140"/>
    </row>
    <row r="67" spans="1:8" x14ac:dyDescent="0.2">
      <c r="A67" s="49"/>
      <c r="B67" s="2"/>
      <c r="C67" s="2"/>
      <c r="D67" s="38"/>
      <c r="E67" s="38"/>
      <c r="F67" s="38"/>
      <c r="G67" s="38"/>
      <c r="H67" s="38"/>
    </row>
    <row r="68" spans="1:8" x14ac:dyDescent="0.2">
      <c r="A68" s="49"/>
      <c r="B68" s="46"/>
      <c r="C68" s="46"/>
      <c r="D68" s="38"/>
      <c r="E68" s="38"/>
      <c r="F68" s="38"/>
      <c r="G68" s="38"/>
      <c r="H68" s="38"/>
    </row>
    <row r="69" spans="1:8" x14ac:dyDescent="0.2">
      <c r="A69" s="49"/>
      <c r="B69" s="46"/>
      <c r="C69" s="46"/>
      <c r="D69" s="38"/>
      <c r="E69" s="38"/>
      <c r="F69" s="38"/>
      <c r="G69" s="38"/>
      <c r="H69" s="38"/>
    </row>
    <row r="70" spans="1:8" x14ac:dyDescent="0.2">
      <c r="A70" s="49"/>
      <c r="B70" s="46"/>
      <c r="C70" s="46"/>
      <c r="D70" s="38"/>
      <c r="E70" s="38"/>
      <c r="F70" s="38"/>
      <c r="G70" s="38"/>
      <c r="H70" s="38"/>
    </row>
    <row r="71" spans="1:8" x14ac:dyDescent="0.2">
      <c r="A71" s="49"/>
      <c r="B71" s="2"/>
      <c r="C71" s="2"/>
      <c r="D71" s="38"/>
      <c r="E71" s="38"/>
      <c r="F71" s="38"/>
      <c r="G71" s="38"/>
      <c r="H71" s="38"/>
    </row>
    <row r="72" spans="1:8" x14ac:dyDescent="0.2">
      <c r="A72" s="49"/>
      <c r="B72" s="46"/>
      <c r="C72" s="46"/>
      <c r="D72" s="38"/>
      <c r="E72" s="38"/>
      <c r="F72" s="38"/>
      <c r="G72" s="38"/>
      <c r="H72" s="38"/>
    </row>
    <row r="73" spans="1:8" x14ac:dyDescent="0.2">
      <c r="A73" s="49"/>
      <c r="B73" s="46"/>
      <c r="C73" s="46"/>
      <c r="D73" s="38"/>
      <c r="E73" s="38"/>
      <c r="F73" s="38"/>
      <c r="G73" s="38"/>
      <c r="H73" s="38"/>
    </row>
    <row r="74" spans="1:8" x14ac:dyDescent="0.2">
      <c r="A74" s="49"/>
      <c r="B74" s="46"/>
      <c r="C74" s="46"/>
      <c r="D74" s="38"/>
      <c r="E74" s="38"/>
      <c r="F74" s="38"/>
      <c r="G74" s="38"/>
      <c r="H74" s="38"/>
    </row>
    <row r="75" spans="1:8" x14ac:dyDescent="0.2">
      <c r="A75" s="49"/>
      <c r="B75" s="46"/>
      <c r="C75" s="46"/>
      <c r="D75" s="38"/>
      <c r="E75" s="38"/>
      <c r="F75" s="38"/>
      <c r="G75" s="38"/>
      <c r="H75" s="38"/>
    </row>
    <row r="76" spans="1:8" x14ac:dyDescent="0.2">
      <c r="A76" s="49"/>
      <c r="B76" s="46"/>
      <c r="C76" s="46"/>
      <c r="D76" s="77"/>
      <c r="E76" s="77"/>
      <c r="F76" s="77"/>
      <c r="G76" s="77"/>
      <c r="H76" s="77"/>
    </row>
    <row r="77" spans="1:8" x14ac:dyDescent="0.2">
      <c r="A77" s="49"/>
      <c r="B77" s="44"/>
      <c r="C77" s="44"/>
      <c r="D77" s="45"/>
      <c r="E77" s="45"/>
      <c r="F77" s="45"/>
      <c r="G77" s="84"/>
      <c r="H77" s="84"/>
    </row>
    <row r="78" spans="1:8" x14ac:dyDescent="0.2">
      <c r="A78" s="49"/>
      <c r="B78" s="46"/>
      <c r="C78" s="46"/>
      <c r="D78" s="38"/>
      <c r="E78" s="38"/>
      <c r="F78" s="38"/>
      <c r="G78" s="38"/>
    </row>
    <row r="79" spans="1:8" x14ac:dyDescent="0.2">
      <c r="A79" s="49"/>
      <c r="B79" s="46"/>
      <c r="C79" s="46"/>
      <c r="D79" s="38"/>
      <c r="E79" s="38"/>
      <c r="F79" s="38"/>
      <c r="G79" s="38"/>
    </row>
    <row r="80" spans="1:8" x14ac:dyDescent="0.2">
      <c r="A80" s="49"/>
      <c r="B80" s="46"/>
      <c r="C80" s="46"/>
      <c r="D80" s="38"/>
      <c r="E80" s="38"/>
      <c r="F80" s="38"/>
      <c r="G80" s="38"/>
    </row>
    <row r="81" spans="1:8" x14ac:dyDescent="0.2">
      <c r="A81" s="49"/>
      <c r="B81" s="46"/>
      <c r="C81" s="46"/>
      <c r="D81" s="38"/>
      <c r="E81" s="38"/>
      <c r="F81" s="38"/>
      <c r="G81" s="38"/>
    </row>
    <row r="82" spans="1:8" x14ac:dyDescent="0.2">
      <c r="A82" s="49"/>
      <c r="B82" s="46"/>
      <c r="C82" s="46"/>
      <c r="D82" s="38"/>
      <c r="E82" s="38"/>
      <c r="F82" s="38"/>
      <c r="G82" s="38"/>
      <c r="H82" s="38"/>
    </row>
    <row r="83" spans="1:8" x14ac:dyDescent="0.2">
      <c r="A83" s="49"/>
      <c r="B83" s="46"/>
      <c r="C83" s="46"/>
      <c r="D83" s="38"/>
      <c r="E83" s="38"/>
      <c r="F83" s="38"/>
      <c r="G83" s="38"/>
      <c r="H83" s="38"/>
    </row>
    <row r="84" spans="1:8" x14ac:dyDescent="0.2">
      <c r="A84" s="49"/>
      <c r="B84" s="46"/>
      <c r="C84" s="46"/>
      <c r="D84" s="38"/>
      <c r="E84" s="38"/>
      <c r="F84" s="38"/>
      <c r="G84" s="38"/>
      <c r="H84" s="38"/>
    </row>
    <row r="85" spans="1:8" x14ac:dyDescent="0.2">
      <c r="A85" s="49"/>
      <c r="B85" s="6"/>
      <c r="C85" s="6"/>
      <c r="D85" s="38"/>
      <c r="E85" s="38"/>
      <c r="F85" s="38"/>
      <c r="G85" s="38"/>
      <c r="H85" s="38"/>
    </row>
    <row r="86" spans="1:8" x14ac:dyDescent="0.2">
      <c r="A86" s="7"/>
      <c r="B86" s="2"/>
      <c r="C86" s="2"/>
      <c r="D86" s="45"/>
      <c r="E86" s="45"/>
      <c r="F86" s="45"/>
      <c r="G86" s="84"/>
      <c r="H86" s="84"/>
    </row>
    <row r="87" spans="1:8" x14ac:dyDescent="0.2">
      <c r="B87" s="40"/>
      <c r="C87" s="40"/>
      <c r="D87" s="45"/>
      <c r="E87" s="45"/>
      <c r="F87" s="45"/>
      <c r="G87" s="45"/>
      <c r="H87" s="83"/>
    </row>
    <row r="88" spans="1:8" x14ac:dyDescent="0.2">
      <c r="B88" s="40"/>
      <c r="C88" s="40"/>
      <c r="D88" s="45"/>
      <c r="E88" s="45"/>
      <c r="F88" s="45"/>
      <c r="G88" s="45"/>
      <c r="H88" s="83"/>
    </row>
    <row r="89" spans="1:8" x14ac:dyDescent="0.2">
      <c r="A89" s="49"/>
      <c r="B89" s="40"/>
      <c r="C89" s="40"/>
      <c r="D89" s="45"/>
      <c r="E89" s="45"/>
      <c r="F89" s="45"/>
      <c r="G89" s="45"/>
      <c r="H89" s="38"/>
    </row>
    <row r="90" spans="1:8" x14ac:dyDescent="0.2">
      <c r="A90" s="49"/>
      <c r="B90" s="46"/>
      <c r="C90" s="46"/>
      <c r="D90" s="38"/>
      <c r="E90" s="38"/>
      <c r="F90" s="38"/>
      <c r="G90" s="38"/>
      <c r="H90" s="38"/>
    </row>
    <row r="91" spans="1:8" x14ac:dyDescent="0.2">
      <c r="A91" s="49"/>
      <c r="B91" s="46"/>
      <c r="C91" s="46"/>
      <c r="D91" s="38"/>
      <c r="E91" s="38"/>
      <c r="F91" s="38"/>
      <c r="G91" s="38"/>
      <c r="H91" s="38"/>
    </row>
    <row r="92" spans="1:8" x14ac:dyDescent="0.2">
      <c r="A92" s="49"/>
      <c r="B92" s="46"/>
      <c r="C92" s="46"/>
      <c r="D92" s="38"/>
      <c r="E92" s="38"/>
      <c r="F92" s="38"/>
      <c r="G92" s="38"/>
      <c r="H92" s="38"/>
    </row>
    <row r="93" spans="1:8" x14ac:dyDescent="0.2">
      <c r="A93" s="49"/>
      <c r="B93" s="46"/>
      <c r="C93" s="46"/>
      <c r="D93" s="38"/>
      <c r="E93" s="38"/>
      <c r="F93" s="38"/>
      <c r="G93" s="38"/>
      <c r="H93" s="38"/>
    </row>
    <row r="94" spans="1:8" x14ac:dyDescent="0.2">
      <c r="A94" s="50"/>
      <c r="B94" s="46"/>
      <c r="C94" s="46"/>
      <c r="D94" s="89"/>
      <c r="E94" s="89"/>
      <c r="F94" s="89"/>
      <c r="G94" s="89"/>
      <c r="H94" s="89"/>
    </row>
    <row r="95" spans="1:8" x14ac:dyDescent="0.2">
      <c r="B95" s="46"/>
      <c r="C95" s="46"/>
    </row>
    <row r="96" spans="1:8" x14ac:dyDescent="0.2">
      <c r="A96" s="51"/>
      <c r="B96" s="46"/>
      <c r="C96" s="46"/>
    </row>
    <row r="97" spans="1:8" x14ac:dyDescent="0.2">
      <c r="A97" s="7"/>
      <c r="B97" s="46"/>
      <c r="C97" s="46"/>
      <c r="D97" s="84"/>
      <c r="E97" s="84"/>
    </row>
    <row r="98" spans="1:8" x14ac:dyDescent="0.2">
      <c r="B98" s="40"/>
      <c r="C98" s="40"/>
      <c r="D98" s="83"/>
      <c r="E98" s="83"/>
    </row>
    <row r="99" spans="1:8" x14ac:dyDescent="0.2">
      <c r="A99" s="12"/>
      <c r="B99" s="46"/>
      <c r="C99" s="46"/>
      <c r="D99" s="38"/>
      <c r="E99" s="38"/>
    </row>
    <row r="100" spans="1:8" x14ac:dyDescent="0.2">
      <c r="A100" s="12"/>
      <c r="B100" s="46"/>
      <c r="C100" s="46"/>
      <c r="D100" s="38"/>
      <c r="E100" s="38"/>
    </row>
    <row r="101" spans="1:8" x14ac:dyDescent="0.2">
      <c r="A101" s="12"/>
      <c r="B101" s="46"/>
      <c r="C101" s="46"/>
      <c r="E101" s="38"/>
      <c r="G101" s="38"/>
      <c r="H101" s="38"/>
    </row>
    <row r="102" spans="1:8" x14ac:dyDescent="0.2">
      <c r="A102" s="12"/>
      <c r="B102" s="46"/>
      <c r="C102" s="46"/>
      <c r="E102" s="38"/>
      <c r="G102" s="38"/>
      <c r="H102" s="38"/>
    </row>
    <row r="103" spans="1:8" x14ac:dyDescent="0.2">
      <c r="A103" s="12"/>
      <c r="B103" s="46"/>
      <c r="C103" s="46"/>
      <c r="D103" s="38"/>
      <c r="E103" s="38"/>
    </row>
    <row r="104" spans="1:8" x14ac:dyDescent="0.2">
      <c r="B104" s="40"/>
      <c r="C104" s="40"/>
      <c r="E104" s="38"/>
      <c r="H104" s="38"/>
    </row>
    <row r="106" spans="1:8" ht="15.75" x14ac:dyDescent="0.25">
      <c r="A106" s="47"/>
      <c r="B106" s="17"/>
      <c r="C106" s="17"/>
    </row>
    <row r="107" spans="1:8" x14ac:dyDescent="0.2">
      <c r="A107" s="51"/>
      <c r="B107" s="40"/>
      <c r="C107" s="40"/>
      <c r="D107" s="83"/>
      <c r="E107" s="83"/>
    </row>
    <row r="108" spans="1:8" x14ac:dyDescent="0.2">
      <c r="A108" s="49"/>
      <c r="B108" s="46"/>
      <c r="C108" s="46"/>
      <c r="D108" s="38"/>
      <c r="E108" s="38"/>
    </row>
    <row r="109" spans="1:8" x14ac:dyDescent="0.2">
      <c r="A109" s="49"/>
      <c r="B109" s="46"/>
      <c r="C109" s="46"/>
      <c r="D109" s="38"/>
      <c r="E109" s="38"/>
    </row>
    <row r="110" spans="1:8" x14ac:dyDescent="0.2">
      <c r="A110" s="49"/>
      <c r="B110" s="46"/>
      <c r="C110" s="46"/>
      <c r="D110" s="38"/>
      <c r="E110" s="38"/>
    </row>
    <row r="111" spans="1:8" x14ac:dyDescent="0.2">
      <c r="A111" s="49"/>
      <c r="B111" s="46"/>
      <c r="C111" s="46"/>
      <c r="D111" s="38"/>
      <c r="E111" s="38"/>
    </row>
    <row r="112" spans="1:8" x14ac:dyDescent="0.2">
      <c r="A112" s="49"/>
      <c r="B112" s="46"/>
      <c r="C112" s="46"/>
      <c r="G112" s="38"/>
      <c r="H112" s="38"/>
    </row>
    <row r="113" spans="1:8" x14ac:dyDescent="0.2">
      <c r="A113" s="49"/>
      <c r="B113" s="46"/>
      <c r="C113" s="46"/>
      <c r="G113" s="38"/>
      <c r="H113" s="38"/>
    </row>
    <row r="114" spans="1:8" x14ac:dyDescent="0.2">
      <c r="A114" s="49"/>
      <c r="B114" s="46"/>
      <c r="C114" s="46"/>
      <c r="D114" s="38"/>
      <c r="E114" s="38"/>
    </row>
    <row r="115" spans="1:8" x14ac:dyDescent="0.2">
      <c r="A115" s="49"/>
      <c r="B115" s="46"/>
      <c r="C115" s="46"/>
      <c r="D115" s="38"/>
      <c r="E115" s="38"/>
    </row>
    <row r="116" spans="1:8" x14ac:dyDescent="0.2">
      <c r="A116" s="49"/>
      <c r="B116" s="46"/>
      <c r="C116" s="46"/>
      <c r="D116" s="83"/>
      <c r="E116" s="83"/>
    </row>
    <row r="117" spans="1:8" x14ac:dyDescent="0.2">
      <c r="A117" s="51"/>
      <c r="B117" s="40"/>
      <c r="C117" s="40"/>
      <c r="D117" s="83"/>
      <c r="E117" s="83"/>
    </row>
    <row r="118" spans="1:8" x14ac:dyDescent="0.2">
      <c r="A118" s="49"/>
      <c r="B118" s="46"/>
      <c r="C118" s="46"/>
      <c r="D118" s="38"/>
      <c r="E118" s="38"/>
    </row>
    <row r="119" spans="1:8" x14ac:dyDescent="0.2">
      <c r="A119" s="49"/>
      <c r="B119" s="46"/>
      <c r="C119" s="46"/>
      <c r="D119" s="38"/>
      <c r="E119" s="38"/>
    </row>
    <row r="120" spans="1:8" x14ac:dyDescent="0.2">
      <c r="A120" s="49"/>
      <c r="B120" s="46"/>
      <c r="C120" s="46"/>
      <c r="D120" s="38"/>
      <c r="E120" s="38"/>
    </row>
    <row r="121" spans="1:8" x14ac:dyDescent="0.2">
      <c r="A121" s="49"/>
      <c r="B121" s="46"/>
      <c r="C121" s="46"/>
      <c r="D121" s="38"/>
      <c r="E121" s="38"/>
    </row>
    <row r="122" spans="1:8" x14ac:dyDescent="0.2">
      <c r="A122" s="49"/>
      <c r="B122" s="46"/>
      <c r="C122" s="46"/>
      <c r="G122" s="38"/>
      <c r="H122" s="38"/>
    </row>
    <row r="123" spans="1:8" x14ac:dyDescent="0.2">
      <c r="A123" s="49"/>
      <c r="B123" s="46"/>
      <c r="C123" s="46"/>
      <c r="G123" s="38"/>
      <c r="H123" s="38"/>
    </row>
    <row r="124" spans="1:8" x14ac:dyDescent="0.2">
      <c r="A124" s="49"/>
      <c r="B124" s="46"/>
      <c r="C124" s="46"/>
      <c r="G124" s="38"/>
      <c r="H124" s="38"/>
    </row>
    <row r="125" spans="1:8" x14ac:dyDescent="0.2">
      <c r="A125" s="49"/>
      <c r="B125" s="46"/>
      <c r="C125" s="46"/>
      <c r="G125" s="38"/>
      <c r="H125" s="38"/>
    </row>
    <row r="126" spans="1:8" x14ac:dyDescent="0.2">
      <c r="A126" s="49"/>
      <c r="B126" s="46"/>
      <c r="C126" s="46"/>
      <c r="G126" s="38"/>
      <c r="H126" s="38"/>
    </row>
    <row r="127" spans="1:8" x14ac:dyDescent="0.2">
      <c r="A127" s="49"/>
      <c r="B127" s="2"/>
      <c r="C127" s="2"/>
      <c r="G127" s="38"/>
      <c r="H127" s="38"/>
    </row>
    <row r="133" spans="1:8" ht="15.75" x14ac:dyDescent="0.25">
      <c r="A133" s="23"/>
      <c r="B133" s="17"/>
      <c r="C133" s="17"/>
      <c r="G133" s="84"/>
      <c r="H133" s="84"/>
    </row>
    <row r="134" spans="1:8" x14ac:dyDescent="0.2">
      <c r="A134" s="51"/>
      <c r="B134" s="40"/>
      <c r="C134" s="40"/>
      <c r="D134" s="86"/>
      <c r="E134" s="83"/>
      <c r="F134" s="83"/>
    </row>
    <row r="135" spans="1:8" x14ac:dyDescent="0.2">
      <c r="A135" s="51"/>
      <c r="B135" s="40"/>
      <c r="C135" s="40"/>
      <c r="D135" s="86"/>
      <c r="E135" s="83"/>
      <c r="F135" s="83"/>
    </row>
    <row r="136" spans="1:8" x14ac:dyDescent="0.2">
      <c r="A136" s="51"/>
      <c r="B136" s="46"/>
      <c r="C136" s="46"/>
      <c r="D136" s="86"/>
      <c r="E136" s="83"/>
      <c r="F136" s="83"/>
    </row>
    <row r="137" spans="1:8" x14ac:dyDescent="0.2">
      <c r="A137" s="32"/>
      <c r="B137" s="46"/>
      <c r="C137" s="46"/>
      <c r="D137" s="86"/>
      <c r="E137" s="83"/>
      <c r="F137" s="38"/>
    </row>
    <row r="138" spans="1:8" x14ac:dyDescent="0.2">
      <c r="A138" s="32"/>
      <c r="B138" s="46"/>
      <c r="C138" s="46"/>
      <c r="D138" s="86"/>
      <c r="E138" s="83"/>
      <c r="F138" s="38"/>
    </row>
    <row r="139" spans="1:8" x14ac:dyDescent="0.2">
      <c r="A139" s="32"/>
      <c r="B139" s="46"/>
      <c r="C139" s="46"/>
      <c r="D139" s="86"/>
      <c r="E139" s="83"/>
      <c r="G139" s="38"/>
      <c r="H139" s="38"/>
    </row>
    <row r="140" spans="1:8" x14ac:dyDescent="0.2">
      <c r="A140" s="32"/>
      <c r="B140" s="46"/>
      <c r="C140" s="46"/>
      <c r="D140" s="86"/>
      <c r="E140" s="83"/>
      <c r="F140" s="38"/>
    </row>
    <row r="141" spans="1:8" x14ac:dyDescent="0.2">
      <c r="A141" s="51"/>
      <c r="B141" s="40"/>
      <c r="C141" s="40"/>
      <c r="D141" s="86"/>
      <c r="E141" s="83"/>
      <c r="F141" s="83"/>
    </row>
    <row r="142" spans="1:8" x14ac:dyDescent="0.2">
      <c r="A142" s="51"/>
      <c r="B142" s="40"/>
      <c r="C142" s="40"/>
      <c r="D142" s="86"/>
      <c r="E142" s="83"/>
      <c r="F142" s="83"/>
    </row>
    <row r="143" spans="1:8" x14ac:dyDescent="0.2">
      <c r="A143" s="51"/>
      <c r="B143" s="46"/>
      <c r="C143" s="46"/>
      <c r="D143" s="86"/>
      <c r="E143" s="83"/>
      <c r="F143" s="83"/>
    </row>
    <row r="144" spans="1:8" x14ac:dyDescent="0.2">
      <c r="A144" s="32"/>
      <c r="B144" s="46"/>
      <c r="C144" s="46"/>
      <c r="D144" s="86"/>
      <c r="E144" s="83"/>
      <c r="F144" s="38"/>
    </row>
    <row r="145" spans="1:8" x14ac:dyDescent="0.2">
      <c r="A145" s="32"/>
      <c r="B145" s="46"/>
      <c r="C145" s="46"/>
      <c r="D145" s="86"/>
      <c r="E145" s="83"/>
      <c r="F145" s="38"/>
    </row>
    <row r="146" spans="1:8" x14ac:dyDescent="0.2">
      <c r="A146" s="32"/>
      <c r="B146" s="46"/>
      <c r="C146" s="46"/>
      <c r="D146" s="86"/>
      <c r="E146" s="83"/>
      <c r="G146" s="38"/>
      <c r="H146" s="38"/>
    </row>
    <row r="147" spans="1:8" x14ac:dyDescent="0.2">
      <c r="A147" s="32"/>
      <c r="B147" s="46"/>
      <c r="C147" s="46"/>
      <c r="D147" s="86"/>
      <c r="E147" s="83"/>
      <c r="G147" s="38"/>
      <c r="H147" s="38"/>
    </row>
    <row r="148" spans="1:8" x14ac:dyDescent="0.2">
      <c r="A148" s="32"/>
      <c r="B148" s="46"/>
      <c r="C148" s="46"/>
      <c r="D148" s="86"/>
      <c r="E148" s="83"/>
      <c r="G148" s="38"/>
      <c r="H148" s="38"/>
    </row>
    <row r="149" spans="1:8" x14ac:dyDescent="0.2">
      <c r="A149" s="32"/>
      <c r="B149" s="40"/>
      <c r="C149" s="40"/>
      <c r="D149" s="86"/>
      <c r="G149" s="38"/>
      <c r="H149" s="38"/>
    </row>
    <row r="150" spans="1:8" x14ac:dyDescent="0.2">
      <c r="A150" s="32"/>
      <c r="B150" s="6"/>
      <c r="C150" s="6"/>
      <c r="D150" s="38"/>
      <c r="E150" s="38"/>
      <c r="F150" s="38"/>
    </row>
    <row r="151" spans="1:8" x14ac:dyDescent="0.2">
      <c r="A151" s="32"/>
      <c r="B151" s="40"/>
      <c r="C151" s="40"/>
      <c r="E151" s="38"/>
      <c r="F151" s="83"/>
    </row>
    <row r="152" spans="1:8" x14ac:dyDescent="0.2">
      <c r="A152" s="32"/>
      <c r="B152" s="40"/>
      <c r="C152" s="40"/>
      <c r="E152" s="38"/>
      <c r="F152" s="83"/>
    </row>
    <row r="153" spans="1:8" x14ac:dyDescent="0.2">
      <c r="A153" s="32"/>
      <c r="B153" s="52"/>
      <c r="C153" s="52"/>
      <c r="E153" s="38"/>
      <c r="F153" s="83"/>
    </row>
    <row r="154" spans="1:8" x14ac:dyDescent="0.2">
      <c r="A154" s="32"/>
      <c r="B154" s="46"/>
      <c r="C154" s="46"/>
      <c r="D154" s="81"/>
      <c r="E154" s="38"/>
      <c r="F154" s="38"/>
    </row>
    <row r="155" spans="1:8" x14ac:dyDescent="0.2">
      <c r="A155" s="32"/>
      <c r="B155" s="46"/>
      <c r="C155" s="46"/>
      <c r="D155" s="81"/>
      <c r="E155" s="38"/>
      <c r="F155" s="38"/>
    </row>
    <row r="156" spans="1:8" x14ac:dyDescent="0.2">
      <c r="A156" s="32"/>
      <c r="B156" s="46"/>
      <c r="C156" s="46"/>
      <c r="D156" s="81"/>
      <c r="E156" s="38"/>
      <c r="F156" s="38"/>
    </row>
    <row r="157" spans="1:8" x14ac:dyDescent="0.2">
      <c r="A157" s="32"/>
      <c r="B157" s="46"/>
      <c r="C157" s="46"/>
      <c r="D157" s="81"/>
      <c r="G157" s="38"/>
      <c r="H157" s="38"/>
    </row>
    <row r="158" spans="1:8" x14ac:dyDescent="0.2">
      <c r="B158" s="46"/>
      <c r="C158" s="46"/>
      <c r="D158" s="81"/>
    </row>
    <row r="159" spans="1:8" ht="15.75" x14ac:dyDescent="0.25">
      <c r="A159" s="23"/>
      <c r="B159" s="20"/>
      <c r="C159" s="20"/>
    </row>
    <row r="160" spans="1:8" x14ac:dyDescent="0.2">
      <c r="A160" s="32"/>
      <c r="B160" s="46"/>
      <c r="C160" s="46"/>
      <c r="F160" s="83"/>
      <c r="G160" s="84"/>
      <c r="H160" s="84"/>
    </row>
    <row r="161" spans="1:8" x14ac:dyDescent="0.2">
      <c r="A161" s="32"/>
      <c r="B161" s="46"/>
      <c r="C161" s="46"/>
      <c r="F161" s="83"/>
      <c r="G161" s="38"/>
      <c r="H161" s="38"/>
    </row>
    <row r="162" spans="1:8" x14ac:dyDescent="0.2">
      <c r="A162" s="32"/>
      <c r="B162" s="46"/>
      <c r="C162" s="46"/>
      <c r="F162" s="83"/>
      <c r="G162" s="38"/>
      <c r="H162" s="38"/>
    </row>
    <row r="163" spans="1:8" x14ac:dyDescent="0.2">
      <c r="A163" s="32"/>
      <c r="B163" s="46"/>
      <c r="C163" s="46"/>
      <c r="F163" s="85"/>
      <c r="G163" s="38"/>
      <c r="H163" s="38"/>
    </row>
    <row r="164" spans="1:8" x14ac:dyDescent="0.2">
      <c r="A164" s="32"/>
      <c r="B164" s="46"/>
      <c r="C164" s="46"/>
      <c r="F164" s="83"/>
      <c r="G164" s="38"/>
      <c r="H164" s="38"/>
    </row>
    <row r="165" spans="1:8" x14ac:dyDescent="0.2">
      <c r="A165" s="57"/>
      <c r="B165" s="40"/>
      <c r="C165" s="40"/>
      <c r="D165" s="86"/>
      <c r="E165" s="87"/>
      <c r="F165" s="83"/>
    </row>
    <row r="166" spans="1:8" x14ac:dyDescent="0.2">
      <c r="A166" s="32"/>
      <c r="B166" s="46"/>
      <c r="C166" s="46"/>
      <c r="D166" s="81"/>
      <c r="F166" s="88"/>
      <c r="G166" s="38"/>
      <c r="H166" s="38"/>
    </row>
    <row r="167" spans="1:8" x14ac:dyDescent="0.2">
      <c r="A167" s="32"/>
      <c r="B167" s="46"/>
      <c r="C167" s="46"/>
      <c r="D167" s="81"/>
      <c r="F167" s="88"/>
      <c r="G167" s="38"/>
      <c r="H167" s="38"/>
    </row>
    <row r="168" spans="1:8" x14ac:dyDescent="0.2">
      <c r="A168" s="32"/>
      <c r="B168" s="46"/>
      <c r="C168" s="46"/>
      <c r="D168" s="81"/>
      <c r="F168" s="88"/>
      <c r="G168" s="38"/>
      <c r="H168" s="38"/>
    </row>
    <row r="169" spans="1:8" x14ac:dyDescent="0.2">
      <c r="A169" s="32"/>
      <c r="B169" s="46"/>
      <c r="C169" s="46"/>
      <c r="D169" s="81"/>
      <c r="F169" s="88"/>
      <c r="G169" s="38"/>
      <c r="H169" s="38"/>
    </row>
    <row r="170" spans="1:8" x14ac:dyDescent="0.2">
      <c r="A170" s="32"/>
      <c r="B170" s="46"/>
      <c r="C170" s="46"/>
      <c r="D170" s="81"/>
      <c r="F170" s="88"/>
      <c r="G170" s="38"/>
      <c r="H170" s="38"/>
    </row>
    <row r="171" spans="1:8" x14ac:dyDescent="0.2">
      <c r="A171" s="35"/>
      <c r="B171" s="46"/>
      <c r="C171" s="46"/>
      <c r="D171" s="81"/>
      <c r="E171" s="89"/>
      <c r="F171" s="90"/>
    </row>
    <row r="172" spans="1:8" ht="15.75" x14ac:dyDescent="0.25">
      <c r="A172" s="23"/>
      <c r="B172" s="17"/>
      <c r="C172" s="17"/>
      <c r="F172" s="88"/>
      <c r="G172" s="84"/>
      <c r="H172" s="84"/>
    </row>
    <row r="173" spans="1:8" x14ac:dyDescent="0.2">
      <c r="A173" s="32"/>
      <c r="B173" s="46"/>
      <c r="C173" s="46"/>
      <c r="F173" s="83"/>
      <c r="G173" s="83"/>
      <c r="H173" s="83"/>
    </row>
    <row r="174" spans="1:8" x14ac:dyDescent="0.2">
      <c r="A174" s="32"/>
      <c r="B174" s="46"/>
      <c r="C174" s="46"/>
      <c r="F174" s="83"/>
      <c r="G174" s="38"/>
      <c r="H174" s="38"/>
    </row>
    <row r="175" spans="1:8" x14ac:dyDescent="0.2">
      <c r="A175" s="32"/>
      <c r="B175" s="46"/>
      <c r="C175" s="46"/>
      <c r="F175" s="83"/>
      <c r="G175" s="38"/>
      <c r="H175" s="38"/>
    </row>
    <row r="176" spans="1:8" x14ac:dyDescent="0.2">
      <c r="A176" s="32"/>
      <c r="B176" s="46"/>
      <c r="C176" s="46"/>
      <c r="F176" s="83"/>
      <c r="G176" s="38"/>
      <c r="H176" s="38"/>
    </row>
    <row r="177" spans="1:8" x14ac:dyDescent="0.2">
      <c r="A177" s="32"/>
      <c r="B177" s="46"/>
      <c r="C177" s="46"/>
      <c r="F177" s="83"/>
      <c r="G177" s="38"/>
      <c r="H177" s="38"/>
    </row>
    <row r="178" spans="1:8" x14ac:dyDescent="0.2">
      <c r="A178" s="32"/>
      <c r="B178" s="46"/>
      <c r="C178" s="46"/>
      <c r="F178" s="83"/>
      <c r="G178" s="38"/>
      <c r="H178" s="38"/>
    </row>
    <row r="179" spans="1:8" x14ac:dyDescent="0.2">
      <c r="A179" s="32"/>
      <c r="B179" s="46"/>
      <c r="C179" s="46"/>
      <c r="F179" s="85"/>
      <c r="G179" s="38"/>
      <c r="H179" s="38"/>
    </row>
    <row r="180" spans="1:8" x14ac:dyDescent="0.2">
      <c r="A180" s="32"/>
      <c r="B180" s="46"/>
      <c r="C180" s="46"/>
      <c r="F180" s="83"/>
      <c r="G180" s="38"/>
      <c r="H180" s="38"/>
    </row>
    <row r="181" spans="1:8" ht="15" x14ac:dyDescent="0.2">
      <c r="A181" s="32"/>
      <c r="B181" s="54"/>
      <c r="C181" s="54"/>
      <c r="D181" s="91"/>
      <c r="E181" s="45"/>
      <c r="F181" s="45"/>
    </row>
    <row r="182" spans="1:8" x14ac:dyDescent="0.2">
      <c r="A182" s="37"/>
      <c r="B182" s="37"/>
      <c r="C182" s="37"/>
      <c r="D182" s="86"/>
      <c r="E182" s="87"/>
      <c r="F182" s="87"/>
      <c r="G182" s="84"/>
      <c r="H182" s="84"/>
    </row>
    <row r="183" spans="1:8" x14ac:dyDescent="0.2">
      <c r="A183" s="32"/>
      <c r="B183" s="46"/>
      <c r="C183" s="46"/>
      <c r="D183" s="81"/>
      <c r="E183" s="38"/>
      <c r="F183" s="38"/>
    </row>
    <row r="184" spans="1:8" x14ac:dyDescent="0.2">
      <c r="A184" s="32"/>
      <c r="B184" s="46"/>
      <c r="C184" s="46"/>
      <c r="D184" s="81"/>
      <c r="E184" s="38"/>
      <c r="F184" s="38"/>
    </row>
    <row r="185" spans="1:8" x14ac:dyDescent="0.2">
      <c r="A185" s="32"/>
      <c r="B185" s="46"/>
      <c r="C185" s="46"/>
      <c r="D185" s="81"/>
      <c r="E185" s="38"/>
      <c r="F185" s="38"/>
    </row>
    <row r="186" spans="1:8" x14ac:dyDescent="0.2">
      <c r="A186" s="32"/>
      <c r="B186" s="46"/>
      <c r="C186" s="46"/>
      <c r="D186" s="81"/>
      <c r="E186" s="38"/>
      <c r="F186" s="38"/>
    </row>
    <row r="187" spans="1:8" x14ac:dyDescent="0.2">
      <c r="A187" s="32"/>
      <c r="B187" s="46"/>
      <c r="C187" s="46"/>
      <c r="D187" s="81"/>
      <c r="G187" s="38"/>
      <c r="H187" s="38"/>
    </row>
    <row r="188" spans="1:8" x14ac:dyDescent="0.2">
      <c r="A188" s="32"/>
      <c r="B188" s="46"/>
      <c r="C188" s="46"/>
      <c r="D188" s="81"/>
      <c r="G188" s="38"/>
      <c r="H188" s="38"/>
    </row>
    <row r="189" spans="1:8" x14ac:dyDescent="0.2">
      <c r="A189" s="35"/>
      <c r="B189" s="46"/>
      <c r="C189" s="46"/>
      <c r="D189" s="81"/>
      <c r="E189" s="89"/>
      <c r="F189" s="89"/>
    </row>
    <row r="190" spans="1:8" ht="15.75" x14ac:dyDescent="0.25">
      <c r="A190" s="20"/>
      <c r="B190" s="17"/>
      <c r="C190" s="17"/>
    </row>
    <row r="191" spans="1:8" x14ac:dyDescent="0.2">
      <c r="A191" s="32"/>
      <c r="B191" s="46"/>
      <c r="C191" s="46"/>
      <c r="D191" s="93"/>
      <c r="F191" s="83"/>
      <c r="G191" s="83"/>
      <c r="H191" s="83"/>
    </row>
    <row r="192" spans="1:8" x14ac:dyDescent="0.2">
      <c r="A192" s="32"/>
      <c r="B192" s="46"/>
      <c r="C192" s="46"/>
      <c r="D192" s="93"/>
      <c r="F192" s="83"/>
      <c r="G192" s="38"/>
      <c r="H192" s="38"/>
    </row>
    <row r="193" spans="1:8" x14ac:dyDescent="0.2">
      <c r="A193" s="32"/>
      <c r="B193" s="46"/>
      <c r="C193" s="46"/>
      <c r="D193" s="93"/>
      <c r="F193" s="83"/>
      <c r="G193" s="38"/>
      <c r="H193" s="38"/>
    </row>
    <row r="194" spans="1:8" x14ac:dyDescent="0.2">
      <c r="A194" s="32"/>
      <c r="B194" s="46"/>
      <c r="C194" s="46"/>
      <c r="D194" s="93"/>
      <c r="F194" s="85"/>
      <c r="G194" s="38"/>
      <c r="H194" s="38"/>
    </row>
    <row r="195" spans="1:8" x14ac:dyDescent="0.2">
      <c r="A195" s="32"/>
      <c r="B195" s="46"/>
      <c r="C195" s="46"/>
      <c r="F195" s="83"/>
      <c r="G195" s="38"/>
      <c r="H195" s="38"/>
    </row>
    <row r="196" spans="1:8" x14ac:dyDescent="0.2">
      <c r="A196" s="32"/>
      <c r="B196" s="46"/>
      <c r="C196" s="46"/>
      <c r="D196" s="93"/>
      <c r="E196" s="45"/>
      <c r="F196" s="45"/>
    </row>
    <row r="197" spans="1:8" x14ac:dyDescent="0.2">
      <c r="A197" s="57"/>
      <c r="B197" s="40"/>
      <c r="C197" s="40"/>
      <c r="D197" s="86"/>
      <c r="E197" s="87"/>
      <c r="F197" s="87"/>
    </row>
    <row r="198" spans="1:8" x14ac:dyDescent="0.2">
      <c r="A198" s="32"/>
      <c r="B198" s="46"/>
      <c r="C198" s="46"/>
      <c r="D198" s="93"/>
      <c r="E198" s="38"/>
      <c r="F198" s="38"/>
    </row>
    <row r="199" spans="1:8" x14ac:dyDescent="0.2">
      <c r="A199" s="32"/>
      <c r="B199" s="46"/>
      <c r="C199" s="46"/>
      <c r="D199" s="93"/>
      <c r="E199" s="38"/>
      <c r="F199" s="38"/>
    </row>
    <row r="200" spans="1:8" x14ac:dyDescent="0.2">
      <c r="A200" s="32"/>
      <c r="B200" s="46"/>
      <c r="C200" s="46"/>
      <c r="D200" s="93"/>
      <c r="E200" s="38"/>
      <c r="F200" s="38"/>
    </row>
    <row r="201" spans="1:8" x14ac:dyDescent="0.2">
      <c r="A201" s="32"/>
      <c r="B201" s="46"/>
      <c r="C201" s="46"/>
      <c r="D201" s="93"/>
      <c r="E201" s="38"/>
      <c r="F201" s="38"/>
    </row>
    <row r="202" spans="1:8" x14ac:dyDescent="0.2">
      <c r="A202" s="32"/>
      <c r="B202" s="46"/>
      <c r="C202" s="46"/>
      <c r="D202" s="93"/>
      <c r="G202" s="38"/>
      <c r="H202" s="38"/>
    </row>
    <row r="203" spans="1:8" x14ac:dyDescent="0.2">
      <c r="A203" s="32"/>
      <c r="B203" s="46"/>
      <c r="C203" s="46"/>
      <c r="D203" s="93"/>
      <c r="G203" s="38"/>
      <c r="H203" s="38"/>
    </row>
    <row r="204" spans="1:8" x14ac:dyDescent="0.2">
      <c r="B204" s="46"/>
      <c r="C204" s="46"/>
    </row>
    <row r="205" spans="1:8" ht="15.75" x14ac:dyDescent="0.25">
      <c r="A205" s="20"/>
      <c r="B205" s="20"/>
      <c r="C205" s="20"/>
    </row>
    <row r="206" spans="1:8" x14ac:dyDescent="0.2">
      <c r="A206" s="57"/>
      <c r="B206" s="40"/>
      <c r="C206" s="40"/>
      <c r="D206" s="84"/>
      <c r="E206" s="84"/>
    </row>
    <row r="207" spans="1:8" x14ac:dyDescent="0.2">
      <c r="A207" s="32"/>
      <c r="B207" s="46"/>
      <c r="C207" s="46"/>
      <c r="D207" s="38"/>
      <c r="E207" s="38"/>
    </row>
    <row r="208" spans="1:8" x14ac:dyDescent="0.2">
      <c r="A208" s="32"/>
      <c r="B208" s="46"/>
      <c r="C208" s="46"/>
      <c r="D208" s="38"/>
      <c r="E208" s="38"/>
    </row>
    <row r="209" spans="1:8" x14ac:dyDescent="0.2">
      <c r="A209" s="32"/>
      <c r="B209" s="46"/>
      <c r="C209" s="46"/>
      <c r="D209" s="38"/>
      <c r="E209" s="38"/>
    </row>
    <row r="210" spans="1:8" x14ac:dyDescent="0.2">
      <c r="A210" s="32"/>
      <c r="B210" s="46"/>
      <c r="C210" s="46"/>
      <c r="D210" s="38"/>
      <c r="E210" s="38"/>
    </row>
    <row r="211" spans="1:8" x14ac:dyDescent="0.2">
      <c r="A211" s="32"/>
      <c r="B211" s="46"/>
      <c r="C211" s="46"/>
      <c r="G211" s="38"/>
      <c r="H211" s="38"/>
    </row>
    <row r="212" spans="1:8" x14ac:dyDescent="0.2">
      <c r="A212" s="32"/>
      <c r="B212" s="46"/>
      <c r="C212" s="46"/>
      <c r="G212" s="38"/>
      <c r="H212" s="38"/>
    </row>
    <row r="213" spans="1:8" x14ac:dyDescent="0.2">
      <c r="A213" s="37"/>
      <c r="B213" s="46"/>
      <c r="C213" s="46"/>
    </row>
    <row r="214" spans="1:8" x14ac:dyDescent="0.2">
      <c r="A214" s="57"/>
      <c r="B214" s="40"/>
      <c r="C214" s="40"/>
      <c r="D214" s="83"/>
      <c r="E214" s="83"/>
    </row>
    <row r="215" spans="1:8" x14ac:dyDescent="0.2">
      <c r="A215" s="32"/>
      <c r="B215" s="46"/>
      <c r="C215" s="46"/>
      <c r="D215" s="38"/>
      <c r="E215" s="38"/>
    </row>
    <row r="216" spans="1:8" x14ac:dyDescent="0.2">
      <c r="A216" s="32"/>
      <c r="B216" s="46"/>
      <c r="C216" s="46"/>
      <c r="D216" s="38"/>
      <c r="E216" s="38"/>
    </row>
    <row r="217" spans="1:8" x14ac:dyDescent="0.2">
      <c r="A217" s="32"/>
      <c r="B217" s="46"/>
      <c r="C217" s="46"/>
      <c r="D217" s="38"/>
      <c r="E217" s="38"/>
    </row>
    <row r="218" spans="1:8" x14ac:dyDescent="0.2">
      <c r="A218" s="32"/>
      <c r="B218" s="46"/>
      <c r="C218" s="46"/>
      <c r="D218" s="38"/>
      <c r="E218" s="38"/>
    </row>
    <row r="219" spans="1:8" x14ac:dyDescent="0.2">
      <c r="A219" s="32"/>
      <c r="B219" s="46"/>
      <c r="C219" s="46"/>
      <c r="D219" s="38"/>
      <c r="E219" s="38"/>
    </row>
    <row r="220" spans="1:8" x14ac:dyDescent="0.2">
      <c r="A220" s="32"/>
      <c r="B220" s="46"/>
      <c r="C220" s="46"/>
      <c r="G220" s="38"/>
      <c r="H220" s="38"/>
    </row>
    <row r="221" spans="1:8" x14ac:dyDescent="0.2">
      <c r="A221" s="32"/>
      <c r="B221" s="46"/>
      <c r="C221" s="46"/>
      <c r="G221" s="38"/>
      <c r="H221" s="38"/>
    </row>
    <row r="222" spans="1:8" x14ac:dyDescent="0.2">
      <c r="A222" s="32"/>
      <c r="B222" s="46"/>
      <c r="C222" s="46"/>
      <c r="G222" s="38"/>
      <c r="H222" s="38"/>
    </row>
    <row r="223" spans="1:8" x14ac:dyDescent="0.2">
      <c r="A223" s="57"/>
      <c r="B223" s="40"/>
      <c r="C223" s="40"/>
      <c r="D223" s="84"/>
      <c r="E223" s="84"/>
    </row>
    <row r="229" spans="1:8" ht="15.75" x14ac:dyDescent="0.25">
      <c r="A229" s="17"/>
      <c r="B229" s="17"/>
      <c r="C229" s="17"/>
      <c r="G229" s="84"/>
      <c r="H229" s="84"/>
    </row>
    <row r="230" spans="1:8" x14ac:dyDescent="0.2">
      <c r="A230" s="57"/>
      <c r="B230" s="40"/>
      <c r="C230" s="40"/>
      <c r="D230" s="83"/>
      <c r="E230" s="83"/>
      <c r="F230" s="83"/>
    </row>
    <row r="231" spans="1:8" x14ac:dyDescent="0.2">
      <c r="A231" s="32"/>
      <c r="B231" s="40"/>
      <c r="C231" s="40"/>
      <c r="D231" s="83"/>
      <c r="E231" s="83"/>
      <c r="F231" s="83"/>
    </row>
    <row r="232" spans="1:8" x14ac:dyDescent="0.2">
      <c r="A232" s="32"/>
      <c r="B232" s="46"/>
      <c r="C232" s="46"/>
      <c r="D232" s="83"/>
      <c r="E232" s="83"/>
      <c r="F232" s="83"/>
    </row>
    <row r="233" spans="1:8" x14ac:dyDescent="0.2">
      <c r="A233" s="32"/>
      <c r="B233" s="46"/>
      <c r="C233" s="46"/>
      <c r="D233" s="83"/>
      <c r="E233" s="83"/>
      <c r="F233" s="83"/>
    </row>
    <row r="234" spans="1:8" x14ac:dyDescent="0.2">
      <c r="A234" s="32"/>
      <c r="B234" s="46"/>
      <c r="C234" s="46"/>
      <c r="D234" s="83"/>
      <c r="E234" s="83"/>
      <c r="F234" s="83"/>
    </row>
    <row r="235" spans="1:8" x14ac:dyDescent="0.2">
      <c r="A235" s="32"/>
      <c r="B235" s="46"/>
      <c r="C235" s="46"/>
      <c r="D235" s="83"/>
      <c r="E235" s="83"/>
      <c r="F235" s="83"/>
    </row>
    <row r="236" spans="1:8" x14ac:dyDescent="0.2">
      <c r="A236" s="32"/>
      <c r="B236" s="27"/>
      <c r="C236" s="27"/>
      <c r="E236" s="76"/>
      <c r="F236" s="94"/>
    </row>
    <row r="237" spans="1:8" x14ac:dyDescent="0.2">
      <c r="A237" s="32"/>
      <c r="B237" s="46"/>
      <c r="C237" s="46"/>
      <c r="D237" s="83"/>
      <c r="E237" s="83"/>
      <c r="F237" s="83"/>
    </row>
    <row r="238" spans="1:8" x14ac:dyDescent="0.2">
      <c r="A238" s="32"/>
      <c r="B238" s="46"/>
      <c r="C238" s="46"/>
      <c r="D238" s="83"/>
      <c r="E238" s="83"/>
      <c r="F238" s="83"/>
    </row>
    <row r="239" spans="1:8" x14ac:dyDescent="0.2">
      <c r="A239" s="32"/>
      <c r="B239" s="46"/>
      <c r="C239" s="46"/>
      <c r="D239" s="83"/>
      <c r="E239" s="83"/>
      <c r="F239" s="83"/>
    </row>
    <row r="240" spans="1:8" x14ac:dyDescent="0.2">
      <c r="A240" s="32"/>
      <c r="B240" s="46"/>
      <c r="C240" s="46"/>
      <c r="D240" s="83"/>
      <c r="G240" s="83"/>
      <c r="H240" s="83"/>
    </row>
    <row r="241" spans="1:8" x14ac:dyDescent="0.2">
      <c r="A241" s="32"/>
      <c r="B241" s="40"/>
      <c r="C241" s="40"/>
      <c r="D241" s="83"/>
      <c r="E241" s="83"/>
      <c r="F241" s="83"/>
    </row>
    <row r="242" spans="1:8" x14ac:dyDescent="0.2">
      <c r="A242" s="32"/>
      <c r="B242" s="2"/>
      <c r="C242" s="2"/>
      <c r="D242" s="83"/>
      <c r="E242" s="83"/>
      <c r="F242" s="83"/>
    </row>
    <row r="243" spans="1:8" x14ac:dyDescent="0.2">
      <c r="A243" s="57"/>
      <c r="B243" s="40"/>
      <c r="C243" s="40"/>
      <c r="D243" s="83"/>
      <c r="E243" s="83"/>
      <c r="F243" s="83"/>
    </row>
    <row r="244" spans="1:8" x14ac:dyDescent="0.2">
      <c r="A244" s="32"/>
      <c r="B244" s="40"/>
      <c r="C244" s="40"/>
      <c r="D244" s="83"/>
      <c r="E244" s="83"/>
      <c r="F244" s="83"/>
    </row>
    <row r="245" spans="1:8" x14ac:dyDescent="0.2">
      <c r="A245" s="32"/>
      <c r="B245" s="46"/>
      <c r="C245" s="46"/>
      <c r="D245" s="83"/>
      <c r="E245" s="83"/>
      <c r="F245" s="83"/>
    </row>
    <row r="246" spans="1:8" x14ac:dyDescent="0.2">
      <c r="A246" s="32"/>
      <c r="B246" s="46"/>
      <c r="C246" s="46"/>
      <c r="D246" s="83"/>
      <c r="E246" s="83"/>
      <c r="F246" s="83"/>
    </row>
    <row r="247" spans="1:8" x14ac:dyDescent="0.2">
      <c r="A247" s="32"/>
      <c r="B247" s="46"/>
      <c r="C247" s="46"/>
      <c r="D247" s="83"/>
      <c r="E247" s="83"/>
      <c r="F247" s="83"/>
    </row>
    <row r="248" spans="1:8" x14ac:dyDescent="0.2">
      <c r="A248" s="32"/>
      <c r="B248" s="27"/>
      <c r="C248" s="27"/>
      <c r="E248" s="76"/>
      <c r="F248" s="76"/>
    </row>
    <row r="249" spans="1:8" x14ac:dyDescent="0.2">
      <c r="A249" s="32"/>
      <c r="B249" s="46"/>
      <c r="C249" s="46"/>
      <c r="D249" s="83"/>
      <c r="E249" s="83"/>
      <c r="F249" s="83"/>
    </row>
    <row r="250" spans="1:8" x14ac:dyDescent="0.2">
      <c r="A250" s="32"/>
      <c r="B250" s="46"/>
      <c r="C250" s="46"/>
      <c r="D250" s="83"/>
      <c r="E250" s="83"/>
      <c r="F250" s="83"/>
    </row>
    <row r="251" spans="1:8" x14ac:dyDescent="0.2">
      <c r="A251" s="32"/>
      <c r="B251" s="46"/>
      <c r="C251" s="46"/>
      <c r="D251" s="83"/>
      <c r="E251" s="83"/>
      <c r="F251" s="83"/>
    </row>
    <row r="252" spans="1:8" x14ac:dyDescent="0.2">
      <c r="A252" s="32"/>
      <c r="B252" s="46"/>
      <c r="C252" s="46"/>
      <c r="D252" s="83"/>
      <c r="G252" s="83"/>
      <c r="H252" s="83"/>
    </row>
    <row r="253" spans="1:8" x14ac:dyDescent="0.2">
      <c r="A253" s="32"/>
      <c r="B253" s="40"/>
      <c r="C253" s="40"/>
      <c r="D253" s="83"/>
      <c r="G253" s="83"/>
      <c r="H253" s="83"/>
    </row>
    <row r="254" spans="1:8" x14ac:dyDescent="0.2">
      <c r="A254" s="32"/>
      <c r="B254" s="7"/>
      <c r="C254" s="7"/>
      <c r="D254" s="83"/>
      <c r="G254" s="83"/>
      <c r="H254" s="83"/>
    </row>
    <row r="255" spans="1:8" x14ac:dyDescent="0.2">
      <c r="A255" s="32"/>
      <c r="B255" s="27"/>
      <c r="C255" s="27"/>
      <c r="D255" s="83"/>
      <c r="G255" s="83"/>
      <c r="H255" s="83"/>
    </row>
    <row r="257" spans="1:8" ht="15.75" x14ac:dyDescent="0.25">
      <c r="A257" s="17"/>
      <c r="B257" s="17"/>
      <c r="C257" s="17"/>
      <c r="F257" s="88"/>
    </row>
    <row r="258" spans="1:8" x14ac:dyDescent="0.2">
      <c r="A258" s="61"/>
      <c r="B258" s="37"/>
      <c r="C258" s="37"/>
      <c r="D258" s="84"/>
      <c r="E258" s="84"/>
      <c r="F258" s="83"/>
    </row>
    <row r="259" spans="1:8" x14ac:dyDescent="0.2">
      <c r="B259" s="46"/>
      <c r="C259" s="46"/>
      <c r="D259" s="81"/>
      <c r="E259" s="81"/>
      <c r="F259" s="85"/>
    </row>
    <row r="260" spans="1:8" x14ac:dyDescent="0.2">
      <c r="B260" s="46"/>
      <c r="C260" s="46"/>
      <c r="D260" s="81"/>
      <c r="E260" s="81"/>
      <c r="F260" s="85"/>
    </row>
    <row r="261" spans="1:8" x14ac:dyDescent="0.2">
      <c r="B261" s="46"/>
      <c r="C261" s="46"/>
      <c r="D261" s="81"/>
      <c r="E261" s="81"/>
      <c r="F261" s="83"/>
    </row>
    <row r="262" spans="1:8" x14ac:dyDescent="0.2">
      <c r="B262" s="46"/>
      <c r="C262" s="46"/>
      <c r="D262" s="81"/>
      <c r="E262" s="81"/>
      <c r="F262" s="83"/>
      <c r="G262" s="38"/>
      <c r="H262" s="38"/>
    </row>
    <row r="263" spans="1:8" x14ac:dyDescent="0.2">
      <c r="A263" s="6"/>
      <c r="B263" s="46"/>
      <c r="C263" s="46"/>
      <c r="D263" s="81"/>
      <c r="E263" s="81"/>
      <c r="F263" s="88"/>
    </row>
    <row r="264" spans="1:8" x14ac:dyDescent="0.2">
      <c r="A264" s="61"/>
      <c r="B264" s="37"/>
      <c r="C264" s="37"/>
      <c r="D264" s="45"/>
      <c r="E264" s="45"/>
      <c r="F264" s="88"/>
    </row>
    <row r="265" spans="1:8" x14ac:dyDescent="0.2">
      <c r="B265" s="46"/>
      <c r="C265" s="46"/>
      <c r="D265" s="81"/>
      <c r="E265" s="81"/>
      <c r="F265" s="85"/>
    </row>
    <row r="266" spans="1:8" x14ac:dyDescent="0.2">
      <c r="B266" s="46"/>
      <c r="C266" s="46"/>
      <c r="D266" s="81"/>
      <c r="E266" s="81"/>
      <c r="F266" s="88"/>
    </row>
    <row r="267" spans="1:8" x14ac:dyDescent="0.2">
      <c r="B267" s="46"/>
      <c r="C267" s="46"/>
      <c r="D267" s="81"/>
      <c r="E267" s="81"/>
      <c r="G267" s="38"/>
      <c r="H267" s="38"/>
    </row>
    <row r="268" spans="1:8" x14ac:dyDescent="0.2">
      <c r="B268" s="46"/>
      <c r="C268" s="46"/>
      <c r="D268" s="81"/>
      <c r="E268" s="81"/>
      <c r="G268" s="38"/>
      <c r="H268" s="38"/>
    </row>
    <row r="269" spans="1:8" x14ac:dyDescent="0.2">
      <c r="A269" s="6"/>
      <c r="B269" s="46"/>
      <c r="C269" s="46"/>
      <c r="D269" s="81"/>
      <c r="E269" s="81"/>
      <c r="G269" s="38"/>
      <c r="H269" s="38"/>
    </row>
    <row r="270" spans="1:8" x14ac:dyDescent="0.2">
      <c r="A270" s="6"/>
      <c r="B270" s="46"/>
      <c r="C270" s="46"/>
      <c r="D270" s="81"/>
      <c r="E270" s="81"/>
      <c r="G270" s="38"/>
      <c r="H270" s="38"/>
    </row>
    <row r="271" spans="1:8" x14ac:dyDescent="0.2">
      <c r="B271" s="40"/>
      <c r="C271" s="40"/>
      <c r="G271" s="38"/>
      <c r="H271" s="38"/>
    </row>
    <row r="272" spans="1:8" x14ac:dyDescent="0.2">
      <c r="A272" s="6"/>
      <c r="B272" s="46"/>
      <c r="C272" s="46"/>
      <c r="D272" s="38"/>
      <c r="E272" s="38"/>
    </row>
    <row r="273" spans="1:8" x14ac:dyDescent="0.2">
      <c r="A273" s="6"/>
      <c r="B273" s="46"/>
      <c r="C273" s="46"/>
      <c r="D273" s="38"/>
      <c r="E273" s="38"/>
    </row>
    <row r="274" spans="1:8" x14ac:dyDescent="0.2">
      <c r="A274" s="6"/>
      <c r="B274" s="46"/>
      <c r="C274" s="46"/>
      <c r="D274" s="38"/>
      <c r="E274" s="38"/>
    </row>
    <row r="275" spans="1:8" x14ac:dyDescent="0.2">
      <c r="A275" s="63"/>
      <c r="B275" s="37"/>
      <c r="C275" s="37"/>
      <c r="G275" s="84"/>
      <c r="H275" s="84"/>
    </row>
    <row r="276" spans="1:8" x14ac:dyDescent="0.2">
      <c r="B276" s="40"/>
      <c r="C276" s="40"/>
      <c r="D276" s="83"/>
    </row>
    <row r="277" spans="1:8" x14ac:dyDescent="0.2">
      <c r="B277" s="46"/>
      <c r="C277" s="46"/>
      <c r="D277" s="83"/>
    </row>
    <row r="278" spans="1:8" x14ac:dyDescent="0.2">
      <c r="A278" s="8"/>
      <c r="B278" s="46"/>
      <c r="C278" s="46"/>
      <c r="D278" s="14"/>
    </row>
    <row r="279" spans="1:8" x14ac:dyDescent="0.2">
      <c r="A279" s="8"/>
      <c r="B279" s="46"/>
      <c r="C279" s="46"/>
      <c r="D279" s="14"/>
    </row>
    <row r="280" spans="1:8" x14ac:dyDescent="0.2">
      <c r="A280" s="8"/>
      <c r="B280" s="46"/>
      <c r="C280" s="46"/>
      <c r="G280" s="14"/>
      <c r="H280" s="14"/>
    </row>
    <row r="281" spans="1:8" x14ac:dyDescent="0.2">
      <c r="A281" s="18"/>
      <c r="B281" s="46"/>
      <c r="C281" s="46"/>
    </row>
    <row r="282" spans="1:8" x14ac:dyDescent="0.2">
      <c r="A282" s="64"/>
      <c r="B282" s="41"/>
      <c r="C282" s="41"/>
      <c r="D282" s="97"/>
      <c r="E282" s="97"/>
      <c r="F282" s="97"/>
    </row>
    <row r="283" spans="1:8" x14ac:dyDescent="0.2">
      <c r="B283" s="40"/>
      <c r="C283" s="40"/>
      <c r="D283" s="83"/>
    </row>
    <row r="284" spans="1:8" x14ac:dyDescent="0.2">
      <c r="B284" s="46"/>
      <c r="C284" s="46"/>
      <c r="D284" s="83"/>
    </row>
    <row r="285" spans="1:8" x14ac:dyDescent="0.2">
      <c r="A285" s="8"/>
      <c r="B285" s="46"/>
      <c r="C285" s="46"/>
      <c r="D285" s="14"/>
    </row>
    <row r="286" spans="1:8" x14ac:dyDescent="0.2">
      <c r="A286" s="8"/>
      <c r="B286" s="46"/>
      <c r="C286" s="46"/>
      <c r="D286" s="14"/>
    </row>
    <row r="287" spans="1:8" x14ac:dyDescent="0.2">
      <c r="A287" s="8"/>
      <c r="B287" s="46"/>
      <c r="C287" s="46"/>
      <c r="G287" s="14"/>
      <c r="H287" s="14"/>
    </row>
    <row r="288" spans="1:8" x14ac:dyDescent="0.2">
      <c r="A288" s="8"/>
      <c r="B288" s="46"/>
      <c r="C288" s="46"/>
      <c r="G288" s="14"/>
      <c r="H288" s="14"/>
    </row>
    <row r="289" spans="1:8" x14ac:dyDescent="0.2">
      <c r="A289" s="18"/>
      <c r="B289" s="46"/>
      <c r="C289" s="46"/>
    </row>
    <row r="290" spans="1:8" x14ac:dyDescent="0.2">
      <c r="A290" s="63"/>
      <c r="B290" s="41"/>
      <c r="C290" s="41"/>
      <c r="D290" s="97"/>
      <c r="E290" s="97"/>
      <c r="F290" s="97"/>
    </row>
    <row r="291" spans="1:8" x14ac:dyDescent="0.2">
      <c r="B291" s="40"/>
      <c r="C291" s="40"/>
      <c r="D291" s="83"/>
    </row>
    <row r="292" spans="1:8" x14ac:dyDescent="0.2">
      <c r="B292" s="46"/>
      <c r="C292" s="46"/>
      <c r="D292" s="83"/>
    </row>
    <row r="293" spans="1:8" x14ac:dyDescent="0.2">
      <c r="A293" s="8"/>
      <c r="B293" s="46"/>
      <c r="C293" s="46"/>
      <c r="D293" s="14"/>
    </row>
    <row r="294" spans="1:8" x14ac:dyDescent="0.2">
      <c r="A294" s="8"/>
      <c r="B294" s="46"/>
      <c r="C294" s="46"/>
      <c r="D294" s="14"/>
    </row>
    <row r="295" spans="1:8" x14ac:dyDescent="0.2">
      <c r="A295" s="8"/>
      <c r="B295" s="46"/>
      <c r="C295" s="46"/>
      <c r="G295" s="14"/>
      <c r="H295" s="14"/>
    </row>
    <row r="296" spans="1:8" x14ac:dyDescent="0.2">
      <c r="A296" s="8"/>
      <c r="B296" s="46"/>
      <c r="C296" s="46"/>
      <c r="G296" s="14"/>
      <c r="H296" s="14"/>
    </row>
    <row r="297" spans="1:8" x14ac:dyDescent="0.2">
      <c r="B297" s="46"/>
      <c r="C297" s="46"/>
    </row>
    <row r="298" spans="1:8" ht="15.75" x14ac:dyDescent="0.25">
      <c r="A298" s="17"/>
      <c r="B298" s="20"/>
      <c r="C298" s="20"/>
    </row>
    <row r="299" spans="1:8" ht="15.75" x14ac:dyDescent="0.25">
      <c r="A299" s="17"/>
      <c r="B299" s="20"/>
      <c r="C299" s="20"/>
      <c r="F299" s="83"/>
    </row>
    <row r="300" spans="1:8" x14ac:dyDescent="0.2">
      <c r="B300" s="46"/>
      <c r="C300" s="46"/>
      <c r="D300" s="38"/>
      <c r="E300" s="38"/>
      <c r="F300" s="85"/>
    </row>
    <row r="301" spans="1:8" x14ac:dyDescent="0.2">
      <c r="B301" s="46"/>
      <c r="C301" s="46"/>
      <c r="D301" s="38"/>
      <c r="E301" s="38"/>
      <c r="F301" s="85"/>
    </row>
    <row r="302" spans="1:8" x14ac:dyDescent="0.2">
      <c r="B302" s="46"/>
      <c r="C302" s="46"/>
      <c r="F302" s="85"/>
      <c r="G302" s="38"/>
      <c r="H302" s="38"/>
    </row>
    <row r="303" spans="1:8" x14ac:dyDescent="0.2">
      <c r="A303" s="6"/>
      <c r="B303" s="3"/>
      <c r="C303" s="3"/>
      <c r="G303" s="38"/>
      <c r="H303" s="38"/>
    </row>
    <row r="304" spans="1:8" x14ac:dyDescent="0.2">
      <c r="A304" s="63"/>
      <c r="B304" s="40"/>
      <c r="C304" s="40"/>
    </row>
    <row r="305" spans="1:8" x14ac:dyDescent="0.2">
      <c r="A305" s="34"/>
      <c r="B305" s="2"/>
      <c r="C305" s="2"/>
      <c r="D305" s="45"/>
    </row>
    <row r="306" spans="1:8" x14ac:dyDescent="0.2">
      <c r="A306" s="34"/>
      <c r="B306" s="46"/>
      <c r="C306" s="46"/>
      <c r="D306" s="45"/>
    </row>
    <row r="307" spans="1:8" x14ac:dyDescent="0.2">
      <c r="A307" s="8"/>
      <c r="B307" s="46"/>
      <c r="C307" s="46"/>
      <c r="D307" s="14"/>
    </row>
    <row r="308" spans="1:8" x14ac:dyDescent="0.2">
      <c r="A308" s="8"/>
      <c r="B308" s="46"/>
      <c r="C308" s="46"/>
      <c r="G308" s="14"/>
      <c r="H308" s="14"/>
    </row>
    <row r="309" spans="1:8" x14ac:dyDescent="0.2">
      <c r="A309" s="8"/>
      <c r="B309" s="46"/>
      <c r="C309" s="46"/>
      <c r="G309" s="14"/>
      <c r="H309" s="14"/>
    </row>
    <row r="310" spans="1:8" x14ac:dyDescent="0.2">
      <c r="A310" s="18"/>
      <c r="B310" s="46"/>
      <c r="C310" s="46"/>
    </row>
    <row r="311" spans="1:8" x14ac:dyDescent="0.2">
      <c r="A311" s="64"/>
      <c r="B311" s="41"/>
      <c r="C311" s="41"/>
      <c r="D311" s="97"/>
      <c r="E311" s="97"/>
      <c r="F311" s="97"/>
    </row>
    <row r="312" spans="1:8" x14ac:dyDescent="0.2">
      <c r="A312" s="34"/>
      <c r="B312" s="2"/>
      <c r="C312" s="2"/>
      <c r="D312" s="84"/>
    </row>
    <row r="313" spans="1:8" x14ac:dyDescent="0.2">
      <c r="A313" s="34"/>
      <c r="B313" s="46"/>
      <c r="C313" s="46"/>
      <c r="D313" s="83"/>
    </row>
    <row r="314" spans="1:8" x14ac:dyDescent="0.2">
      <c r="A314" s="8"/>
      <c r="B314" s="46"/>
      <c r="C314" s="46"/>
      <c r="D314" s="14"/>
    </row>
    <row r="315" spans="1:8" x14ac:dyDescent="0.2">
      <c r="A315" s="8"/>
      <c r="B315" s="46"/>
      <c r="C315" s="46"/>
      <c r="G315" s="14"/>
      <c r="H315" s="14"/>
    </row>
    <row r="316" spans="1:8" x14ac:dyDescent="0.2">
      <c r="A316" s="8"/>
      <c r="B316" s="46"/>
      <c r="C316" s="46"/>
      <c r="G316" s="14"/>
      <c r="H316" s="14"/>
    </row>
    <row r="317" spans="1:8" x14ac:dyDescent="0.2">
      <c r="A317" s="18"/>
      <c r="B317" s="46"/>
      <c r="C317" s="46"/>
    </row>
    <row r="318" spans="1:8" x14ac:dyDescent="0.2">
      <c r="A318" s="18"/>
      <c r="B318" s="46"/>
      <c r="C318" s="46"/>
    </row>
    <row r="319" spans="1:8" x14ac:dyDescent="0.2">
      <c r="A319" s="18"/>
      <c r="B319" s="46"/>
      <c r="C319" s="46"/>
    </row>
    <row r="320" spans="1:8" x14ac:dyDescent="0.2">
      <c r="A320" s="64"/>
      <c r="B320" s="41"/>
      <c r="C320" s="41"/>
      <c r="D320" s="97"/>
      <c r="E320" s="97"/>
      <c r="F320" s="97"/>
    </row>
    <row r="321" spans="1:8" x14ac:dyDescent="0.2">
      <c r="A321" s="34"/>
      <c r="B321" s="2"/>
      <c r="C321" s="2"/>
      <c r="D321" s="72"/>
      <c r="E321" s="72"/>
      <c r="F321" s="72"/>
      <c r="G321" s="84"/>
      <c r="H321" s="84"/>
    </row>
    <row r="322" spans="1:8" x14ac:dyDescent="0.2">
      <c r="A322" s="2"/>
      <c r="B322" s="8"/>
      <c r="C322" s="8"/>
      <c r="D322" s="98"/>
      <c r="E322" s="98"/>
      <c r="F322" s="83"/>
      <c r="G322" s="83"/>
      <c r="H322" s="83"/>
    </row>
    <row r="323" spans="1:8" x14ac:dyDescent="0.2">
      <c r="A323" s="34"/>
      <c r="B323" s="46"/>
      <c r="C323" s="46"/>
      <c r="D323" s="72"/>
      <c r="E323" s="72"/>
      <c r="F323" s="14"/>
    </row>
    <row r="324" spans="1:8" x14ac:dyDescent="0.2">
      <c r="A324" s="8"/>
      <c r="B324" s="46"/>
      <c r="C324" s="46"/>
      <c r="D324" s="72"/>
      <c r="E324" s="72"/>
      <c r="F324" s="14"/>
    </row>
    <row r="325" spans="1:8" x14ac:dyDescent="0.2">
      <c r="A325" s="8"/>
      <c r="B325" s="46"/>
      <c r="C325" s="46"/>
      <c r="D325" s="72"/>
      <c r="E325" s="72"/>
      <c r="F325" s="14"/>
    </row>
    <row r="326" spans="1:8" x14ac:dyDescent="0.2">
      <c r="A326" s="8"/>
      <c r="B326" s="46"/>
      <c r="C326" s="46"/>
      <c r="D326" s="98"/>
      <c r="E326" s="98"/>
      <c r="F326" s="14"/>
      <c r="G326" s="14"/>
      <c r="H326" s="14"/>
    </row>
    <row r="327" spans="1:8" x14ac:dyDescent="0.2">
      <c r="A327" s="18"/>
      <c r="B327" s="46"/>
      <c r="C327" s="46"/>
    </row>
    <row r="328" spans="1:8" x14ac:dyDescent="0.2">
      <c r="A328" s="64"/>
      <c r="B328" s="18"/>
      <c r="C328" s="18"/>
    </row>
    <row r="329" spans="1:8" x14ac:dyDescent="0.2">
      <c r="A329" s="34"/>
      <c r="B329" s="2"/>
      <c r="C329" s="2"/>
      <c r="D329" s="83"/>
    </row>
    <row r="330" spans="1:8" x14ac:dyDescent="0.2">
      <c r="A330" s="34"/>
      <c r="B330" s="46"/>
      <c r="C330" s="46"/>
      <c r="D330" s="83"/>
    </row>
    <row r="331" spans="1:8" x14ac:dyDescent="0.2">
      <c r="A331" s="8"/>
      <c r="B331" s="46"/>
      <c r="C331" s="46"/>
      <c r="D331" s="14"/>
    </row>
    <row r="332" spans="1:8" x14ac:dyDescent="0.2">
      <c r="A332" s="8"/>
      <c r="B332" s="46"/>
      <c r="C332" s="46"/>
      <c r="D332" s="14"/>
    </row>
    <row r="333" spans="1:8" x14ac:dyDescent="0.2">
      <c r="A333" s="33"/>
      <c r="B333" s="46"/>
      <c r="C333" s="46"/>
      <c r="G333" s="14"/>
      <c r="H333" s="14"/>
    </row>
    <row r="334" spans="1:8" x14ac:dyDescent="0.2">
      <c r="A334" s="8"/>
      <c r="B334" s="46"/>
      <c r="C334" s="46"/>
      <c r="G334" s="14"/>
      <c r="H334" s="14"/>
    </row>
    <row r="335" spans="1:8" x14ac:dyDescent="0.2">
      <c r="A335" s="18"/>
      <c r="B335" s="46"/>
      <c r="C335" s="46"/>
    </row>
    <row r="336" spans="1:8" x14ac:dyDescent="0.2">
      <c r="A336" s="64"/>
      <c r="B336" s="21"/>
      <c r="C336" s="21"/>
    </row>
    <row r="337" spans="1:8" x14ac:dyDescent="0.2">
      <c r="A337" s="34"/>
      <c r="B337" s="2"/>
      <c r="C337" s="2"/>
      <c r="D337" s="83"/>
    </row>
    <row r="338" spans="1:8" x14ac:dyDescent="0.2">
      <c r="A338" s="8"/>
      <c r="B338" s="46"/>
      <c r="C338" s="46"/>
      <c r="D338" s="14"/>
    </row>
    <row r="339" spans="1:8" x14ac:dyDescent="0.2">
      <c r="A339" s="8"/>
      <c r="B339" s="46"/>
      <c r="C339" s="46"/>
      <c r="D339" s="14"/>
    </row>
    <row r="340" spans="1:8" x14ac:dyDescent="0.2">
      <c r="A340" s="8"/>
      <c r="B340" s="46"/>
      <c r="C340" s="46"/>
      <c r="G340" s="14"/>
      <c r="H340" s="14"/>
    </row>
    <row r="341" spans="1:8" x14ac:dyDescent="0.2">
      <c r="A341" s="8"/>
      <c r="B341" s="46"/>
      <c r="C341" s="46"/>
      <c r="G341" s="14"/>
      <c r="H341" s="14"/>
    </row>
    <row r="342" spans="1:8" x14ac:dyDescent="0.2">
      <c r="B342" s="46"/>
      <c r="C342" s="46"/>
    </row>
    <row r="343" spans="1:8" ht="15.75" x14ac:dyDescent="0.25">
      <c r="A343" s="67"/>
      <c r="B343" s="66"/>
      <c r="C343" s="66"/>
      <c r="D343" s="99"/>
      <c r="E343" s="99"/>
      <c r="F343" s="99"/>
    </row>
    <row r="344" spans="1:8" x14ac:dyDescent="0.2">
      <c r="A344" s="34"/>
      <c r="B344" s="2"/>
      <c r="C344" s="2"/>
      <c r="D344" s="45"/>
    </row>
    <row r="345" spans="1:8" x14ac:dyDescent="0.2">
      <c r="A345" s="34"/>
      <c r="B345" s="46"/>
      <c r="C345" s="46"/>
      <c r="D345" s="45"/>
    </row>
    <row r="346" spans="1:8" x14ac:dyDescent="0.2">
      <c r="A346" s="8"/>
      <c r="B346" s="46"/>
      <c r="C346" s="46"/>
      <c r="D346" s="14"/>
    </row>
    <row r="347" spans="1:8" x14ac:dyDescent="0.2">
      <c r="A347" s="33"/>
      <c r="B347" s="46"/>
      <c r="C347" s="46"/>
      <c r="D347" s="14"/>
    </row>
    <row r="348" spans="1:8" x14ac:dyDescent="0.2">
      <c r="A348" s="8"/>
      <c r="B348" s="46"/>
      <c r="C348" s="46"/>
      <c r="G348" s="14"/>
      <c r="H348" s="14"/>
    </row>
    <row r="349" spans="1:8" x14ac:dyDescent="0.2">
      <c r="A349" s="8"/>
      <c r="B349" s="46"/>
      <c r="C349" s="46"/>
      <c r="G349" s="14"/>
      <c r="H349" s="14"/>
    </row>
    <row r="350" spans="1:8" x14ac:dyDescent="0.2">
      <c r="B350" s="46"/>
      <c r="C350" s="46"/>
    </row>
    <row r="351" spans="1:8" ht="15.75" x14ac:dyDescent="0.25">
      <c r="A351" s="67"/>
      <c r="B351" s="66"/>
      <c r="C351" s="66"/>
      <c r="D351" s="99"/>
      <c r="E351" s="99"/>
      <c r="F351" s="99"/>
    </row>
    <row r="352" spans="1:8" x14ac:dyDescent="0.2">
      <c r="A352" s="2"/>
      <c r="F352" s="83"/>
      <c r="G352" s="45"/>
      <c r="H352" s="45"/>
    </row>
    <row r="353" spans="1:8" x14ac:dyDescent="0.2">
      <c r="A353" s="34"/>
      <c r="B353" s="46"/>
      <c r="C353" s="46"/>
      <c r="F353" s="85"/>
      <c r="G353" s="38"/>
      <c r="H353" s="38"/>
    </row>
    <row r="354" spans="1:8" x14ac:dyDescent="0.2">
      <c r="A354" s="34"/>
      <c r="B354" s="46"/>
      <c r="C354" s="46"/>
      <c r="F354" s="85"/>
      <c r="G354" s="38"/>
      <c r="H354" s="38"/>
    </row>
    <row r="355" spans="1:8" x14ac:dyDescent="0.2">
      <c r="A355" s="6"/>
      <c r="B355" s="46"/>
      <c r="C355" s="46"/>
      <c r="F355" s="72"/>
      <c r="G355" s="38"/>
      <c r="H355" s="38"/>
    </row>
    <row r="356" spans="1:8" x14ac:dyDescent="0.2">
      <c r="A356" s="2"/>
      <c r="B356" s="2"/>
      <c r="C356" s="2"/>
      <c r="D356" s="45"/>
      <c r="E356" s="79"/>
    </row>
    <row r="357" spans="1:8" x14ac:dyDescent="0.2">
      <c r="A357" s="64"/>
      <c r="B357" s="21"/>
      <c r="C357" s="21"/>
      <c r="D357" s="83"/>
    </row>
    <row r="358" spans="1:8" x14ac:dyDescent="0.2">
      <c r="A358" s="34"/>
      <c r="B358" s="46"/>
      <c r="C358" s="46"/>
      <c r="D358" s="38"/>
    </row>
    <row r="359" spans="1:8" x14ac:dyDescent="0.2">
      <c r="A359" s="34"/>
      <c r="B359" s="46"/>
      <c r="C359" s="46"/>
      <c r="D359" s="38"/>
    </row>
    <row r="360" spans="1:8" x14ac:dyDescent="0.2">
      <c r="A360" s="34"/>
      <c r="B360" s="46"/>
      <c r="C360" s="46"/>
      <c r="D360" s="38"/>
    </row>
    <row r="361" spans="1:8" x14ac:dyDescent="0.2">
      <c r="A361" s="34"/>
      <c r="B361" s="46"/>
      <c r="C361" s="46"/>
      <c r="D361" s="38"/>
    </row>
    <row r="362" spans="1:8" x14ac:dyDescent="0.2">
      <c r="A362" s="34"/>
      <c r="B362" s="46"/>
      <c r="C362" s="46"/>
      <c r="G362" s="38"/>
      <c r="H362" s="38"/>
    </row>
    <row r="363" spans="1:8" x14ac:dyDescent="0.2">
      <c r="A363" s="34"/>
      <c r="B363" s="46"/>
      <c r="C363" s="46"/>
      <c r="G363" s="38"/>
      <c r="H363" s="38"/>
    </row>
    <row r="364" spans="1:8" x14ac:dyDescent="0.2">
      <c r="A364" s="27"/>
      <c r="B364" s="2"/>
      <c r="C364" s="2"/>
      <c r="D364" s="45"/>
    </row>
    <row r="365" spans="1:8" x14ac:dyDescent="0.2">
      <c r="A365" s="2"/>
      <c r="B365" s="2"/>
      <c r="C365" s="2"/>
      <c r="D365" s="45"/>
      <c r="E365" s="84"/>
      <c r="F365" s="84"/>
    </row>
    <row r="366" spans="1:8" x14ac:dyDescent="0.2">
      <c r="A366" s="64"/>
      <c r="B366" s="21"/>
      <c r="C366" s="21"/>
      <c r="D366" s="95"/>
      <c r="E366" s="83"/>
      <c r="F366" s="83"/>
    </row>
    <row r="367" spans="1:8" x14ac:dyDescent="0.2">
      <c r="A367" s="34"/>
      <c r="B367" s="64"/>
      <c r="C367" s="64"/>
      <c r="D367" s="94"/>
      <c r="E367" s="94"/>
      <c r="F367" s="94"/>
      <c r="G367" s="84"/>
      <c r="H367" s="84"/>
    </row>
    <row r="368" spans="1:8" x14ac:dyDescent="0.2">
      <c r="A368" s="34"/>
      <c r="B368" s="46"/>
      <c r="C368" s="46"/>
      <c r="D368" s="93"/>
      <c r="E368" s="93"/>
      <c r="F368" s="93"/>
    </row>
    <row r="369" spans="1:8" x14ac:dyDescent="0.2">
      <c r="A369" s="34"/>
      <c r="B369" s="46"/>
      <c r="C369" s="46"/>
      <c r="D369" s="93"/>
      <c r="E369" s="93"/>
      <c r="F369" s="93"/>
    </row>
    <row r="370" spans="1:8" x14ac:dyDescent="0.2">
      <c r="A370" s="34"/>
      <c r="B370" s="46"/>
      <c r="C370" s="46"/>
      <c r="D370" s="93"/>
      <c r="E370" s="93"/>
      <c r="F370" s="93"/>
      <c r="G370" s="38"/>
      <c r="H370" s="38"/>
    </row>
    <row r="371" spans="1:8" x14ac:dyDescent="0.2">
      <c r="A371" s="34"/>
      <c r="B371" s="46"/>
      <c r="C371" s="46"/>
      <c r="G371" s="38"/>
      <c r="H371" s="38"/>
    </row>
    <row r="372" spans="1:8" x14ac:dyDescent="0.2">
      <c r="A372" s="34"/>
      <c r="B372" s="46"/>
      <c r="C372" s="46"/>
      <c r="E372" s="45"/>
      <c r="F372" s="45"/>
    </row>
    <row r="373" spans="1:8" x14ac:dyDescent="0.2">
      <c r="A373" s="21"/>
      <c r="B373" s="21"/>
      <c r="C373" s="21"/>
      <c r="D373" s="100"/>
      <c r="E373" s="45"/>
      <c r="F373" s="45"/>
    </row>
    <row r="374" spans="1:8" x14ac:dyDescent="0.2">
      <c r="A374" s="34"/>
      <c r="B374" s="46"/>
      <c r="C374" s="46"/>
      <c r="D374" s="38"/>
      <c r="G374" s="38"/>
      <c r="H374" s="38"/>
    </row>
    <row r="375" spans="1:8" x14ac:dyDescent="0.2">
      <c r="A375" s="34"/>
      <c r="B375" s="46"/>
      <c r="C375" s="46"/>
      <c r="D375" s="38"/>
      <c r="G375" s="38"/>
      <c r="H375" s="38"/>
    </row>
    <row r="376" spans="1:8" x14ac:dyDescent="0.2">
      <c r="A376" s="34"/>
      <c r="B376" s="46"/>
      <c r="C376" s="46"/>
      <c r="D376" s="38"/>
      <c r="G376" s="38"/>
      <c r="H376" s="38"/>
    </row>
    <row r="377" spans="1:8" x14ac:dyDescent="0.2">
      <c r="A377" s="34"/>
      <c r="B377" s="46"/>
      <c r="C377" s="46"/>
      <c r="D377" s="38"/>
      <c r="G377" s="38"/>
      <c r="H377" s="38"/>
    </row>
    <row r="378" spans="1:8" x14ac:dyDescent="0.2">
      <c r="A378" s="34"/>
      <c r="B378" s="46"/>
      <c r="C378" s="46"/>
      <c r="D378" s="38"/>
      <c r="G378" s="38"/>
      <c r="H378" s="38"/>
    </row>
    <row r="379" spans="1:8" x14ac:dyDescent="0.2">
      <c r="A379" s="6"/>
      <c r="B379" s="6"/>
      <c r="C379" s="6"/>
      <c r="D379" s="38"/>
      <c r="E379" s="38"/>
      <c r="F379" s="38"/>
    </row>
    <row r="380" spans="1:8" x14ac:dyDescent="0.2">
      <c r="A380" s="2"/>
      <c r="B380" s="2"/>
      <c r="C380" s="2"/>
      <c r="D380" s="45"/>
      <c r="E380" s="45"/>
      <c r="F380" s="45"/>
    </row>
    <row r="381" spans="1:8" x14ac:dyDescent="0.2">
      <c r="A381" s="34"/>
      <c r="B381" s="2"/>
      <c r="C381" s="2"/>
      <c r="D381" s="94"/>
      <c r="E381" s="94"/>
      <c r="F381" s="94"/>
    </row>
    <row r="382" spans="1:8" x14ac:dyDescent="0.2">
      <c r="A382" s="2"/>
      <c r="B382" s="46"/>
      <c r="C382" s="46"/>
      <c r="D382" s="94"/>
      <c r="E382" s="45"/>
      <c r="F382" s="45"/>
    </row>
    <row r="383" spans="1:8" x14ac:dyDescent="0.2">
      <c r="A383" s="6"/>
      <c r="B383" s="46"/>
      <c r="C383" s="46"/>
      <c r="D383" s="38"/>
      <c r="E383" s="85"/>
      <c r="F383" s="38"/>
    </row>
    <row r="384" spans="1:8" x14ac:dyDescent="0.2">
      <c r="B384" s="46"/>
      <c r="C384" s="46"/>
    </row>
    <row r="385" spans="1:8" x14ac:dyDescent="0.2">
      <c r="B385" s="46"/>
      <c r="C385" s="46"/>
    </row>
    <row r="386" spans="1:8" x14ac:dyDescent="0.2">
      <c r="B386" s="46"/>
      <c r="C386" s="46"/>
    </row>
    <row r="387" spans="1:8" ht="15.75" x14ac:dyDescent="0.25">
      <c r="A387" s="17"/>
      <c r="B387" s="17"/>
      <c r="C387" s="17"/>
    </row>
    <row r="388" spans="1:8" x14ac:dyDescent="0.2">
      <c r="B388" s="46"/>
      <c r="C388" s="46"/>
      <c r="D388" s="38"/>
    </row>
    <row r="389" spans="1:8" x14ac:dyDescent="0.2">
      <c r="B389" s="68"/>
      <c r="C389" s="68"/>
    </row>
    <row r="390" spans="1:8" x14ac:dyDescent="0.2">
      <c r="B390" s="68"/>
      <c r="C390" s="68"/>
    </row>
    <row r="391" spans="1:8" x14ac:dyDescent="0.2">
      <c r="B391" s="46"/>
      <c r="C391" s="46"/>
      <c r="D391" s="38"/>
    </row>
    <row r="392" spans="1:8" x14ac:dyDescent="0.2">
      <c r="B392" s="46"/>
      <c r="C392" s="46"/>
      <c r="D392" s="38"/>
    </row>
    <row r="393" spans="1:8" x14ac:dyDescent="0.2">
      <c r="A393" s="6"/>
      <c r="B393" s="38"/>
      <c r="C393" s="38"/>
      <c r="D393" s="38"/>
    </row>
    <row r="394" spans="1:8" ht="15.75" x14ac:dyDescent="0.25">
      <c r="A394" s="17"/>
      <c r="B394" s="20"/>
      <c r="C394" s="20"/>
    </row>
    <row r="395" spans="1:8" x14ac:dyDescent="0.2">
      <c r="B395" s="46"/>
      <c r="C395" s="46"/>
      <c r="D395" s="38"/>
    </row>
    <row r="396" spans="1:8" x14ac:dyDescent="0.2">
      <c r="B396" s="46"/>
      <c r="C396" s="46"/>
      <c r="D396" s="38"/>
    </row>
    <row r="397" spans="1:8" x14ac:dyDescent="0.2">
      <c r="B397" s="46"/>
      <c r="C397" s="46"/>
      <c r="D397" s="38"/>
    </row>
    <row r="398" spans="1:8" x14ac:dyDescent="0.2">
      <c r="B398" s="46"/>
      <c r="C398" s="46"/>
      <c r="D398" s="38"/>
    </row>
    <row r="399" spans="1:8" x14ac:dyDescent="0.2">
      <c r="B399" s="46"/>
      <c r="C399" s="46"/>
      <c r="D399" s="38"/>
    </row>
    <row r="400" spans="1:8" x14ac:dyDescent="0.2">
      <c r="A400" s="6"/>
      <c r="B400" s="46"/>
      <c r="C400" s="46"/>
      <c r="G400" s="38"/>
      <c r="H400" s="38"/>
    </row>
    <row r="401" spans="1:8" x14ac:dyDescent="0.2">
      <c r="A401" s="6"/>
      <c r="G401" s="38"/>
      <c r="H401" s="38"/>
    </row>
    <row r="402" spans="1:8" ht="15.75" x14ac:dyDescent="0.25">
      <c r="A402" s="17"/>
      <c r="B402" s="20"/>
      <c r="C402" s="20"/>
    </row>
    <row r="403" spans="1:8" x14ac:dyDescent="0.2">
      <c r="A403" s="6"/>
      <c r="B403" s="46"/>
      <c r="C403" s="46"/>
      <c r="F403" s="83"/>
      <c r="G403" s="38"/>
      <c r="H403" s="38"/>
    </row>
    <row r="404" spans="1:8" x14ac:dyDescent="0.2">
      <c r="B404" s="46"/>
      <c r="C404" s="46"/>
      <c r="F404" s="83"/>
      <c r="G404" s="38"/>
      <c r="H404" s="38"/>
    </row>
    <row r="405" spans="1:8" x14ac:dyDescent="0.2">
      <c r="B405" s="46"/>
      <c r="C405" s="46"/>
      <c r="F405" s="85"/>
      <c r="G405" s="38"/>
      <c r="H405" s="38"/>
    </row>
    <row r="406" spans="1:8" x14ac:dyDescent="0.2">
      <c r="B406" s="46"/>
      <c r="C406" s="46"/>
      <c r="F406" s="85"/>
      <c r="G406" s="38"/>
      <c r="H406" s="38"/>
    </row>
    <row r="407" spans="1:8" x14ac:dyDescent="0.2">
      <c r="B407" s="46"/>
      <c r="C407" s="46"/>
      <c r="F407" s="85"/>
      <c r="G407" s="38"/>
      <c r="H407" s="38"/>
    </row>
    <row r="408" spans="1:8" x14ac:dyDescent="0.2">
      <c r="A408" s="6"/>
      <c r="B408" s="46"/>
      <c r="C408" s="46"/>
      <c r="F408" s="72"/>
      <c r="G408" s="38"/>
      <c r="H408" s="38"/>
    </row>
    <row r="409" spans="1:8" x14ac:dyDescent="0.2">
      <c r="A409" s="65"/>
    </row>
    <row r="410" spans="1:8" x14ac:dyDescent="0.2">
      <c r="A410" s="2"/>
      <c r="B410" s="27"/>
      <c r="C410" s="27"/>
      <c r="D410" s="94"/>
      <c r="E410" s="94"/>
      <c r="F410" s="94"/>
      <c r="G410" s="94"/>
      <c r="H410" s="94"/>
    </row>
    <row r="411" spans="1:8" x14ac:dyDescent="0.2">
      <c r="A411" s="2"/>
      <c r="B411" s="2"/>
      <c r="C411" s="2"/>
      <c r="D411" s="84"/>
      <c r="E411" s="84"/>
    </row>
    <row r="412" spans="1:8" x14ac:dyDescent="0.2">
      <c r="A412" s="44"/>
      <c r="B412" s="21"/>
      <c r="C412" s="21"/>
      <c r="D412" s="83"/>
      <c r="E412" s="83"/>
      <c r="G412" s="84"/>
      <c r="H412" s="84"/>
    </row>
    <row r="413" spans="1:8" x14ac:dyDescent="0.2">
      <c r="A413" s="32"/>
      <c r="B413" s="46"/>
      <c r="C413" s="46"/>
      <c r="D413" s="38"/>
      <c r="E413" s="38"/>
    </row>
    <row r="414" spans="1:8" x14ac:dyDescent="0.2">
      <c r="A414" s="32"/>
      <c r="B414" s="46"/>
      <c r="C414" s="46"/>
      <c r="D414" s="38"/>
      <c r="E414" s="38"/>
    </row>
    <row r="415" spans="1:8" x14ac:dyDescent="0.2">
      <c r="A415" s="32"/>
      <c r="B415" s="46"/>
      <c r="C415" s="46"/>
      <c r="D415" s="38"/>
      <c r="E415" s="38"/>
    </row>
    <row r="416" spans="1:8" x14ac:dyDescent="0.2">
      <c r="A416" s="32"/>
      <c r="B416" s="46"/>
      <c r="C416" s="46"/>
      <c r="G416" s="38"/>
      <c r="H416" s="38"/>
    </row>
    <row r="417" spans="1:8" x14ac:dyDescent="0.2">
      <c r="A417" s="35"/>
      <c r="B417" s="46"/>
      <c r="C417" s="46"/>
      <c r="D417" s="89"/>
      <c r="E417" s="89"/>
    </row>
    <row r="418" spans="1:8" x14ac:dyDescent="0.2">
      <c r="A418" s="18"/>
      <c r="B418" s="46"/>
      <c r="C418" s="46"/>
    </row>
    <row r="419" spans="1:8" x14ac:dyDescent="0.2">
      <c r="A419" s="18"/>
      <c r="B419" s="18"/>
      <c r="C419" s="18"/>
    </row>
    <row r="420" spans="1:8" x14ac:dyDescent="0.2">
      <c r="B420" s="46"/>
      <c r="C420" s="46"/>
      <c r="D420" s="45"/>
    </row>
    <row r="421" spans="1:8" x14ac:dyDescent="0.2">
      <c r="A421" s="6"/>
      <c r="B421" s="46"/>
      <c r="C421" s="46"/>
      <c r="D421" s="38"/>
    </row>
    <row r="422" spans="1:8" x14ac:dyDescent="0.2">
      <c r="A422" s="6"/>
      <c r="B422" s="46"/>
      <c r="C422" s="46"/>
      <c r="D422" s="38"/>
    </row>
    <row r="423" spans="1:8" x14ac:dyDescent="0.2">
      <c r="A423" s="6"/>
      <c r="B423" s="46"/>
      <c r="C423" s="46"/>
      <c r="G423" s="38"/>
      <c r="H423" s="38"/>
    </row>
    <row r="424" spans="1:8" x14ac:dyDescent="0.2">
      <c r="A424" s="18"/>
      <c r="B424" s="46"/>
      <c r="C424" s="46"/>
    </row>
    <row r="425" spans="1:8" x14ac:dyDescent="0.2">
      <c r="A425" s="18"/>
      <c r="B425" s="18"/>
      <c r="C425" s="18"/>
    </row>
    <row r="426" spans="1:8" x14ac:dyDescent="0.2">
      <c r="B426" s="46"/>
      <c r="C426" s="46"/>
      <c r="D426" s="45"/>
    </row>
    <row r="427" spans="1:8" x14ac:dyDescent="0.2">
      <c r="A427" s="6"/>
      <c r="B427" s="46"/>
      <c r="C427" s="46"/>
      <c r="D427" s="38"/>
    </row>
    <row r="428" spans="1:8" x14ac:dyDescent="0.2">
      <c r="A428" s="6"/>
      <c r="B428" s="46"/>
      <c r="C428" s="46"/>
      <c r="D428" s="38"/>
    </row>
    <row r="429" spans="1:8" x14ac:dyDescent="0.2">
      <c r="A429" s="6"/>
      <c r="B429" s="46"/>
      <c r="C429" s="46"/>
      <c r="D429" s="38"/>
    </row>
    <row r="430" spans="1:8" x14ac:dyDescent="0.2">
      <c r="A430" s="6"/>
      <c r="B430" s="46"/>
      <c r="C430" s="46"/>
      <c r="G430" s="38"/>
      <c r="H430" s="38"/>
    </row>
    <row r="431" spans="1:8" x14ac:dyDescent="0.2">
      <c r="A431" s="18"/>
      <c r="B431" s="46"/>
      <c r="C431" s="46"/>
    </row>
    <row r="432" spans="1:8" x14ac:dyDescent="0.2">
      <c r="A432" s="18"/>
      <c r="B432" s="18"/>
      <c r="C432" s="18"/>
    </row>
    <row r="433" spans="1:8" x14ac:dyDescent="0.2">
      <c r="B433" s="2"/>
      <c r="C433" s="2"/>
      <c r="D433" s="45"/>
    </row>
    <row r="434" spans="1:8" x14ac:dyDescent="0.2">
      <c r="B434" s="46"/>
      <c r="C434" s="46"/>
      <c r="D434" s="45"/>
    </row>
    <row r="435" spans="1:8" x14ac:dyDescent="0.2">
      <c r="A435" s="6"/>
      <c r="B435" s="46"/>
      <c r="C435" s="46"/>
      <c r="D435" s="38"/>
    </row>
    <row r="436" spans="1:8" x14ac:dyDescent="0.2">
      <c r="A436" s="6"/>
      <c r="B436" s="46"/>
      <c r="C436" s="46"/>
      <c r="D436" s="38"/>
    </row>
    <row r="437" spans="1:8" x14ac:dyDescent="0.2">
      <c r="A437" s="6"/>
      <c r="B437" s="46"/>
      <c r="C437" s="46"/>
      <c r="D437" s="38"/>
    </row>
    <row r="438" spans="1:8" x14ac:dyDescent="0.2">
      <c r="A438" s="6"/>
      <c r="B438" s="46"/>
      <c r="C438" s="46"/>
      <c r="G438" s="38"/>
      <c r="H438" s="38"/>
    </row>
    <row r="439" spans="1:8" x14ac:dyDescent="0.2">
      <c r="B439" s="46"/>
      <c r="C439" s="46"/>
    </row>
    <row r="440" spans="1:8" ht="15.75" x14ac:dyDescent="0.25">
      <c r="A440" s="17"/>
      <c r="B440" s="17"/>
      <c r="C440" s="17"/>
    </row>
    <row r="441" spans="1:8" x14ac:dyDescent="0.2">
      <c r="A441" s="32"/>
      <c r="B441" s="41"/>
      <c r="C441" s="41"/>
      <c r="F441" s="101"/>
      <c r="G441" s="83"/>
      <c r="H441" s="83"/>
    </row>
    <row r="442" spans="1:8" x14ac:dyDescent="0.2">
      <c r="A442" s="32"/>
      <c r="B442" s="46"/>
      <c r="C442" s="46"/>
      <c r="F442" s="85"/>
      <c r="G442" s="38"/>
      <c r="H442" s="38"/>
    </row>
    <row r="443" spans="1:8" x14ac:dyDescent="0.2">
      <c r="A443" s="32"/>
      <c r="B443" s="46"/>
      <c r="C443" s="46"/>
      <c r="F443" s="72"/>
      <c r="G443" s="38"/>
      <c r="H443" s="38"/>
    </row>
    <row r="444" spans="1:8" x14ac:dyDescent="0.2">
      <c r="A444" s="32"/>
      <c r="B444" s="46"/>
      <c r="C444" s="46"/>
      <c r="F444" s="72"/>
      <c r="G444" s="38"/>
      <c r="H444" s="38"/>
    </row>
    <row r="445" spans="1:8" x14ac:dyDescent="0.2">
      <c r="A445" s="32"/>
      <c r="B445" s="46"/>
      <c r="C445" s="46"/>
      <c r="F445" s="72"/>
      <c r="G445" s="38"/>
      <c r="H445" s="38"/>
    </row>
    <row r="446" spans="1:8" x14ac:dyDescent="0.2">
      <c r="A446" s="32"/>
      <c r="B446" s="6"/>
      <c r="C446" s="6"/>
      <c r="F446" s="72"/>
      <c r="G446" s="38"/>
      <c r="H446" s="38"/>
    </row>
    <row r="447" spans="1:8" x14ac:dyDescent="0.2">
      <c r="A447" s="32"/>
      <c r="B447" s="6"/>
      <c r="C447" s="6"/>
      <c r="D447" s="72"/>
      <c r="E447" s="38"/>
      <c r="F447" s="38"/>
    </row>
    <row r="448" spans="1:8" x14ac:dyDescent="0.2">
      <c r="A448" s="2"/>
      <c r="B448" s="70"/>
      <c r="C448" s="70"/>
      <c r="D448" s="89"/>
      <c r="E448" s="89"/>
      <c r="F448" s="89"/>
      <c r="G448" s="89"/>
      <c r="H448" s="89"/>
    </row>
    <row r="449" spans="1:8" x14ac:dyDescent="0.2">
      <c r="A449" s="6"/>
      <c r="B449" s="6"/>
      <c r="C449" s="6"/>
      <c r="D449" s="38"/>
      <c r="E449" s="38"/>
      <c r="F449" s="38"/>
    </row>
    <row r="450" spans="1:8" x14ac:dyDescent="0.2">
      <c r="A450" s="35"/>
      <c r="B450" s="35"/>
      <c r="C450" s="35"/>
      <c r="D450" s="89"/>
      <c r="E450" s="89"/>
      <c r="F450" s="89"/>
    </row>
    <row r="451" spans="1:8" x14ac:dyDescent="0.2">
      <c r="A451" s="35"/>
      <c r="B451" s="35"/>
      <c r="C451" s="35"/>
      <c r="D451" s="89"/>
      <c r="E451" s="89"/>
      <c r="F451" s="89"/>
    </row>
    <row r="452" spans="1:8" x14ac:dyDescent="0.2">
      <c r="A452" s="35"/>
      <c r="B452" s="35"/>
      <c r="C452" s="35"/>
      <c r="D452" s="89"/>
      <c r="E452" s="89"/>
      <c r="F452" s="89"/>
    </row>
    <row r="453" spans="1:8" x14ac:dyDescent="0.2">
      <c r="A453" s="35"/>
      <c r="B453" s="35"/>
      <c r="C453" s="35"/>
      <c r="D453" s="89"/>
      <c r="E453" s="89"/>
      <c r="F453" s="89"/>
    </row>
    <row r="454" spans="1:8" ht="15.75" x14ac:dyDescent="0.25">
      <c r="A454" s="17"/>
      <c r="B454" s="17"/>
      <c r="C454" s="17"/>
    </row>
    <row r="455" spans="1:8" x14ac:dyDescent="0.2">
      <c r="B455" s="41"/>
      <c r="C455" s="41"/>
      <c r="D455" s="100"/>
      <c r="E455" s="100"/>
      <c r="F455" s="100"/>
      <c r="G455" s="84"/>
      <c r="H455" s="84"/>
    </row>
    <row r="456" spans="1:8" x14ac:dyDescent="0.2">
      <c r="A456" s="25"/>
      <c r="B456" s="46"/>
      <c r="C456" s="46"/>
      <c r="D456" s="38"/>
      <c r="E456" s="38"/>
    </row>
    <row r="457" spans="1:8" x14ac:dyDescent="0.2">
      <c r="A457" s="25"/>
      <c r="B457" s="46"/>
      <c r="C457" s="46"/>
      <c r="D457" s="38"/>
      <c r="E457" s="38"/>
    </row>
    <row r="458" spans="1:8" x14ac:dyDescent="0.2">
      <c r="A458" s="25"/>
      <c r="B458" s="46"/>
      <c r="C458" s="46"/>
      <c r="G458" s="38"/>
      <c r="H458" s="38"/>
    </row>
    <row r="459" spans="1:8" x14ac:dyDescent="0.2">
      <c r="A459" s="25"/>
      <c r="B459" s="46"/>
      <c r="C459" s="46"/>
      <c r="G459" s="38"/>
      <c r="H459" s="38"/>
    </row>
    <row r="460" spans="1:8" x14ac:dyDescent="0.2">
      <c r="A460" s="18"/>
      <c r="B460" s="46"/>
      <c r="C460" s="46"/>
    </row>
    <row r="461" spans="1:8" ht="15.75" x14ac:dyDescent="0.25">
      <c r="A461" s="17"/>
      <c r="B461" s="20"/>
      <c r="C461" s="20"/>
    </row>
    <row r="462" spans="1:8" x14ac:dyDescent="0.2">
      <c r="B462" s="41"/>
      <c r="C462" s="41"/>
      <c r="D462" s="96"/>
      <c r="E462" s="96"/>
      <c r="F462" s="84"/>
    </row>
    <row r="463" spans="1:8" x14ac:dyDescent="0.2">
      <c r="B463" s="46"/>
      <c r="C463" s="46"/>
      <c r="D463" s="96"/>
      <c r="E463" s="83"/>
      <c r="F463" s="83"/>
    </row>
    <row r="464" spans="1:8" x14ac:dyDescent="0.2">
      <c r="A464" s="25"/>
      <c r="B464" s="46"/>
      <c r="C464" s="46"/>
      <c r="D464" s="38"/>
      <c r="E464" s="38"/>
      <c r="F464" s="38"/>
    </row>
    <row r="465" spans="1:8" x14ac:dyDescent="0.2">
      <c r="A465" s="25"/>
      <c r="B465" s="46"/>
      <c r="C465" s="46"/>
      <c r="D465" s="38"/>
      <c r="E465" s="38"/>
      <c r="F465" s="38"/>
    </row>
    <row r="466" spans="1:8" x14ac:dyDescent="0.2">
      <c r="A466" s="25"/>
      <c r="B466" s="46"/>
      <c r="C466" s="46"/>
      <c r="D466" s="38"/>
      <c r="G466" s="38"/>
      <c r="H466" s="38"/>
    </row>
    <row r="467" spans="1:8" x14ac:dyDescent="0.2">
      <c r="A467" s="25"/>
      <c r="B467" s="46"/>
      <c r="C467" s="46"/>
      <c r="D467" s="38"/>
      <c r="G467" s="38"/>
      <c r="H467" s="38"/>
    </row>
    <row r="468" spans="1:8" x14ac:dyDescent="0.2">
      <c r="A468" s="25"/>
      <c r="B468" s="46"/>
      <c r="C468" s="46"/>
      <c r="D468" s="38"/>
      <c r="G468" s="38"/>
      <c r="H468" s="38"/>
    </row>
    <row r="469" spans="1:8" ht="15.75" x14ac:dyDescent="0.25">
      <c r="A469" s="17"/>
      <c r="B469" s="20"/>
      <c r="C469" s="20"/>
    </row>
    <row r="470" spans="1:8" x14ac:dyDescent="0.2">
      <c r="B470" s="2"/>
      <c r="C470" s="2"/>
    </row>
    <row r="471" spans="1:8" x14ac:dyDescent="0.2">
      <c r="B471" s="46"/>
      <c r="C471" s="46"/>
    </row>
    <row r="472" spans="1:8" x14ac:dyDescent="0.2">
      <c r="A472" s="6"/>
      <c r="B472" s="46"/>
      <c r="C472" s="46"/>
      <c r="D472" s="38"/>
    </row>
    <row r="473" spans="1:8" x14ac:dyDescent="0.2">
      <c r="A473" s="6"/>
      <c r="B473" s="46"/>
      <c r="C473" s="46"/>
      <c r="D473" s="38"/>
    </row>
    <row r="474" spans="1:8" x14ac:dyDescent="0.2">
      <c r="A474" s="6"/>
      <c r="B474" s="46"/>
      <c r="C474" s="46"/>
      <c r="D474" s="38"/>
    </row>
    <row r="475" spans="1:8" x14ac:dyDescent="0.2">
      <c r="B475" s="46"/>
      <c r="C475" s="46"/>
    </row>
    <row r="476" spans="1:8" x14ac:dyDescent="0.2">
      <c r="B476" s="46"/>
      <c r="C476" s="46"/>
    </row>
    <row r="477" spans="1:8" ht="15.75" x14ac:dyDescent="0.25">
      <c r="A477" s="17"/>
      <c r="B477" s="17"/>
      <c r="C477" s="17"/>
    </row>
    <row r="478" spans="1:8" x14ac:dyDescent="0.2">
      <c r="B478" s="2"/>
      <c r="C478" s="2"/>
      <c r="D478" s="45"/>
    </row>
    <row r="479" spans="1:8" x14ac:dyDescent="0.2">
      <c r="B479" s="46"/>
      <c r="C479" s="46"/>
      <c r="D479" s="45"/>
    </row>
    <row r="480" spans="1:8" x14ac:dyDescent="0.2">
      <c r="A480" s="6"/>
      <c r="B480" s="46"/>
      <c r="C480" s="46"/>
      <c r="D480" s="38"/>
    </row>
    <row r="481" spans="1:8" x14ac:dyDescent="0.2">
      <c r="A481" s="6"/>
      <c r="B481" s="46"/>
      <c r="C481" s="46"/>
      <c r="D481" s="38"/>
    </row>
    <row r="482" spans="1:8" x14ac:dyDescent="0.2">
      <c r="A482" s="6"/>
      <c r="B482" s="46"/>
      <c r="C482" s="46"/>
      <c r="G482" s="38"/>
      <c r="H482" s="38"/>
    </row>
    <row r="483" spans="1:8" x14ac:dyDescent="0.2">
      <c r="A483" s="6"/>
      <c r="B483" s="46"/>
      <c r="C483" s="46"/>
      <c r="G483" s="38"/>
      <c r="H483" s="38"/>
    </row>
    <row r="484" spans="1:8" x14ac:dyDescent="0.2">
      <c r="A484" s="6"/>
      <c r="B484" s="46"/>
      <c r="C484" s="46"/>
      <c r="G484" s="38"/>
      <c r="H484" s="38"/>
    </row>
    <row r="485" spans="1:8" ht="15.75" x14ac:dyDescent="0.25">
      <c r="A485" s="17"/>
      <c r="B485" s="20"/>
      <c r="C485" s="20"/>
    </row>
    <row r="486" spans="1:8" x14ac:dyDescent="0.2">
      <c r="A486" s="2"/>
      <c r="B486" s="46"/>
      <c r="C486" s="46"/>
      <c r="D486" s="83"/>
      <c r="E486" s="83"/>
      <c r="F486" s="83"/>
    </row>
    <row r="487" spans="1:8" x14ac:dyDescent="0.2">
      <c r="B487" s="46"/>
      <c r="C487" s="46"/>
      <c r="D487" s="38"/>
      <c r="E487" s="38"/>
    </row>
    <row r="488" spans="1:8" x14ac:dyDescent="0.2">
      <c r="B488" s="46"/>
      <c r="C488" s="46"/>
      <c r="D488" s="38"/>
      <c r="E488" s="38"/>
    </row>
    <row r="489" spans="1:8" x14ac:dyDescent="0.2">
      <c r="B489" s="46"/>
      <c r="C489" s="46"/>
      <c r="D489" s="38"/>
      <c r="E489" s="38"/>
    </row>
    <row r="490" spans="1:8" x14ac:dyDescent="0.2">
      <c r="B490" s="46"/>
      <c r="C490" s="46"/>
      <c r="G490" s="38"/>
      <c r="H490" s="38"/>
    </row>
    <row r="491" spans="1:8" x14ac:dyDescent="0.2">
      <c r="B491" s="46"/>
      <c r="C491" s="46"/>
      <c r="G491" s="38"/>
      <c r="H491" s="38"/>
    </row>
    <row r="492" spans="1:8" x14ac:dyDescent="0.2">
      <c r="B492" s="46"/>
      <c r="C492" s="46"/>
      <c r="G492" s="38"/>
      <c r="H492" s="38"/>
    </row>
    <row r="493" spans="1:8" ht="15.75" x14ac:dyDescent="0.25">
      <c r="A493" s="17"/>
      <c r="B493" s="20"/>
      <c r="C493" s="20"/>
    </row>
    <row r="494" spans="1:8" x14ac:dyDescent="0.2">
      <c r="A494" s="2"/>
      <c r="B494" s="46"/>
      <c r="C494" s="46"/>
      <c r="D494" s="45"/>
      <c r="E494" s="45"/>
      <c r="F494" s="72"/>
    </row>
    <row r="495" spans="1:8" x14ac:dyDescent="0.2">
      <c r="B495" s="46"/>
      <c r="C495" s="46"/>
      <c r="D495" s="38"/>
      <c r="E495" s="38"/>
    </row>
    <row r="496" spans="1:8" x14ac:dyDescent="0.2">
      <c r="B496" s="46"/>
      <c r="C496" s="46"/>
      <c r="D496" s="38"/>
      <c r="E496" s="38"/>
    </row>
    <row r="497" spans="1:8" x14ac:dyDescent="0.2">
      <c r="B497" s="46"/>
      <c r="C497" s="46"/>
      <c r="D497" s="38"/>
      <c r="E497" s="38"/>
    </row>
    <row r="498" spans="1:8" x14ac:dyDescent="0.2">
      <c r="B498" s="46"/>
      <c r="C498" s="46"/>
      <c r="D498" s="38"/>
      <c r="E498" s="38"/>
    </row>
    <row r="499" spans="1:8" x14ac:dyDescent="0.2">
      <c r="B499" s="46"/>
      <c r="C499" s="46"/>
      <c r="G499" s="38"/>
      <c r="H499" s="38"/>
    </row>
    <row r="500" spans="1:8" x14ac:dyDescent="0.2">
      <c r="B500" s="46"/>
      <c r="C500" s="46"/>
      <c r="G500" s="38"/>
      <c r="H500" s="38"/>
    </row>
    <row r="501" spans="1:8" ht="15.75" x14ac:dyDescent="0.25">
      <c r="A501" s="17"/>
      <c r="B501" s="17"/>
      <c r="C501" s="17"/>
      <c r="G501" s="84"/>
      <c r="H501" s="84"/>
    </row>
    <row r="502" spans="1:8" x14ac:dyDescent="0.2">
      <c r="B502" s="46"/>
      <c r="C502" s="46"/>
      <c r="G502" s="14"/>
      <c r="H502" s="14"/>
    </row>
    <row r="503" spans="1:8" x14ac:dyDescent="0.2">
      <c r="B503" s="46"/>
      <c r="C503" s="46"/>
      <c r="G503" s="14"/>
      <c r="H503" s="14"/>
    </row>
    <row r="504" spans="1:8" ht="15.75" x14ac:dyDescent="0.25">
      <c r="A504" s="17"/>
      <c r="B504" s="17"/>
      <c r="C504" s="17"/>
    </row>
    <row r="505" spans="1:8" x14ac:dyDescent="0.2">
      <c r="B505" s="41"/>
      <c r="C505" s="41"/>
      <c r="D505" s="101"/>
      <c r="E505" s="101"/>
      <c r="F505" s="101"/>
    </row>
    <row r="506" spans="1:8" x14ac:dyDescent="0.2">
      <c r="B506" s="46"/>
      <c r="C506" s="46"/>
      <c r="D506" s="38"/>
      <c r="E506" s="38"/>
      <c r="F506" s="88"/>
    </row>
    <row r="507" spans="1:8" x14ac:dyDescent="0.2">
      <c r="B507" s="46"/>
      <c r="C507" s="46"/>
      <c r="D507" s="38"/>
      <c r="E507" s="38"/>
      <c r="F507" s="85"/>
    </row>
    <row r="508" spans="1:8" x14ac:dyDescent="0.2">
      <c r="B508" s="46"/>
      <c r="C508" s="46"/>
      <c r="D508" s="38"/>
      <c r="E508" s="38"/>
      <c r="F508" s="85"/>
    </row>
    <row r="509" spans="1:8" x14ac:dyDescent="0.2">
      <c r="A509" s="6"/>
      <c r="B509" s="46"/>
      <c r="C509" s="46"/>
      <c r="G509" s="38"/>
      <c r="H509" s="38"/>
    </row>
    <row r="510" spans="1:8" x14ac:dyDescent="0.2">
      <c r="A510" s="6"/>
      <c r="B510" s="46"/>
      <c r="C510" s="46"/>
      <c r="G510" s="38"/>
      <c r="H510" s="38"/>
    </row>
    <row r="511" spans="1:8" x14ac:dyDescent="0.2">
      <c r="A511" s="2"/>
      <c r="B511" s="37"/>
      <c r="C511" s="37"/>
    </row>
    <row r="512" spans="1:8" x14ac:dyDescent="0.2">
      <c r="B512" s="46"/>
      <c r="C512" s="46"/>
      <c r="D512" s="45"/>
    </row>
    <row r="513" spans="1:8" x14ac:dyDescent="0.2">
      <c r="A513" s="6"/>
      <c r="B513" s="46"/>
      <c r="C513" s="46"/>
      <c r="D513" s="38"/>
    </row>
    <row r="514" spans="1:8" x14ac:dyDescent="0.2">
      <c r="A514" s="6"/>
      <c r="B514" s="46"/>
      <c r="C514" s="46"/>
      <c r="D514" s="38"/>
    </row>
    <row r="515" spans="1:8" x14ac:dyDescent="0.2">
      <c r="A515" s="6"/>
      <c r="B515" s="46"/>
      <c r="C515" s="46"/>
      <c r="D515" s="38"/>
    </row>
    <row r="516" spans="1:8" x14ac:dyDescent="0.2">
      <c r="A516" s="6"/>
      <c r="B516" s="46"/>
      <c r="C516" s="46"/>
      <c r="G516" s="38"/>
      <c r="H516" s="38"/>
    </row>
    <row r="517" spans="1:8" x14ac:dyDescent="0.2">
      <c r="A517" s="6"/>
      <c r="B517" s="46"/>
      <c r="C517" s="46"/>
      <c r="G517" s="38"/>
      <c r="H517" s="38"/>
    </row>
    <row r="518" spans="1:8" x14ac:dyDescent="0.2">
      <c r="A518" s="2"/>
      <c r="B518" s="21"/>
      <c r="C518" s="21"/>
    </row>
    <row r="519" spans="1:8" x14ac:dyDescent="0.2">
      <c r="A519" s="6"/>
      <c r="B519" s="46"/>
      <c r="C519" s="46"/>
      <c r="D519" s="84"/>
    </row>
    <row r="520" spans="1:8" x14ac:dyDescent="0.2">
      <c r="B520" s="46"/>
      <c r="C520" s="46"/>
      <c r="D520" s="83"/>
    </row>
    <row r="521" spans="1:8" x14ac:dyDescent="0.2">
      <c r="A521" s="6"/>
      <c r="B521" s="46"/>
      <c r="C521" s="46"/>
      <c r="D521" s="38"/>
    </row>
    <row r="522" spans="1:8" x14ac:dyDescent="0.2">
      <c r="A522" s="6"/>
      <c r="B522" s="46"/>
      <c r="C522" s="46"/>
      <c r="D522" s="38"/>
    </row>
    <row r="523" spans="1:8" x14ac:dyDescent="0.2">
      <c r="A523" s="6"/>
      <c r="B523" s="46"/>
      <c r="C523" s="46"/>
      <c r="D523" s="38"/>
    </row>
    <row r="524" spans="1:8" x14ac:dyDescent="0.2">
      <c r="A524" s="6"/>
      <c r="B524" s="46"/>
      <c r="C524" s="46"/>
      <c r="G524" s="38"/>
      <c r="H524" s="38"/>
    </row>
    <row r="525" spans="1:8" x14ac:dyDescent="0.2">
      <c r="A525" s="6"/>
      <c r="G525" s="38"/>
      <c r="H525" s="38"/>
    </row>
    <row r="526" spans="1:8" ht="15.75" x14ac:dyDescent="0.25">
      <c r="A526" s="17"/>
      <c r="B526" s="20"/>
      <c r="C526" s="20"/>
    </row>
    <row r="527" spans="1:8" x14ac:dyDescent="0.2">
      <c r="B527" s="46"/>
      <c r="C527" s="46"/>
      <c r="D527" s="45"/>
    </row>
    <row r="528" spans="1:8" x14ac:dyDescent="0.2">
      <c r="B528" s="46"/>
      <c r="C528" s="46"/>
      <c r="D528" s="45"/>
    </row>
    <row r="529" spans="1:8" x14ac:dyDescent="0.2">
      <c r="A529" s="6"/>
      <c r="B529" s="46"/>
      <c r="C529" s="46"/>
      <c r="D529" s="38"/>
    </row>
    <row r="530" spans="1:8" x14ac:dyDescent="0.2">
      <c r="A530" s="6"/>
      <c r="B530" s="46"/>
      <c r="C530" s="46"/>
      <c r="D530" s="38"/>
    </row>
    <row r="531" spans="1:8" x14ac:dyDescent="0.2">
      <c r="A531" s="6"/>
      <c r="B531" s="46"/>
      <c r="C531" s="46"/>
      <c r="D531" s="38"/>
    </row>
    <row r="532" spans="1:8" x14ac:dyDescent="0.2">
      <c r="A532" s="6"/>
      <c r="B532" s="46"/>
      <c r="C532" s="46"/>
      <c r="G532" s="38"/>
      <c r="H532" s="38"/>
    </row>
    <row r="533" spans="1:8" x14ac:dyDescent="0.2">
      <c r="A533" s="6"/>
      <c r="G533" s="38"/>
      <c r="H533" s="38"/>
    </row>
    <row r="534" spans="1:8" ht="15.75" x14ac:dyDescent="0.25">
      <c r="A534" s="17"/>
      <c r="B534" s="20"/>
      <c r="C534" s="20"/>
    </row>
    <row r="535" spans="1:8" x14ac:dyDescent="0.2">
      <c r="B535" s="6"/>
      <c r="C535" s="6"/>
      <c r="D535" s="38"/>
    </row>
    <row r="536" spans="1:8" x14ac:dyDescent="0.2">
      <c r="A536" s="6"/>
      <c r="B536" s="46"/>
      <c r="C536" s="46"/>
      <c r="D536" s="38"/>
    </row>
    <row r="537" spans="1:8" x14ac:dyDescent="0.2">
      <c r="A537" s="6"/>
      <c r="B537" s="46"/>
      <c r="C537" s="46"/>
      <c r="D537" s="38"/>
    </row>
    <row r="538" spans="1:8" x14ac:dyDescent="0.2">
      <c r="A538" s="6"/>
      <c r="B538" s="46"/>
      <c r="C538" s="46"/>
      <c r="G538" s="38"/>
      <c r="H538" s="38"/>
    </row>
    <row r="539" spans="1:8" x14ac:dyDescent="0.2">
      <c r="A539" s="6"/>
      <c r="B539" s="46"/>
      <c r="C539" s="46"/>
      <c r="G539" s="38"/>
      <c r="H539" s="38"/>
    </row>
    <row r="540" spans="1:8" x14ac:dyDescent="0.2">
      <c r="A540" s="6"/>
      <c r="G540" s="38"/>
      <c r="H540" s="38"/>
    </row>
    <row r="541" spans="1:8" ht="15.75" x14ac:dyDescent="0.25">
      <c r="A541" s="17"/>
      <c r="B541" s="20"/>
      <c r="C541" s="20"/>
    </row>
    <row r="542" spans="1:8" x14ac:dyDescent="0.2">
      <c r="B542" s="6"/>
      <c r="C542" s="6"/>
      <c r="D542" s="83"/>
    </row>
    <row r="543" spans="1:8" x14ac:dyDescent="0.2">
      <c r="A543" s="6"/>
      <c r="B543" s="46"/>
      <c r="C543" s="46"/>
      <c r="D543" s="38"/>
    </row>
    <row r="544" spans="1:8" x14ac:dyDescent="0.2">
      <c r="A544" s="6"/>
      <c r="B544" s="46"/>
      <c r="C544" s="46"/>
      <c r="D544" s="38"/>
    </row>
    <row r="545" spans="1:8" x14ac:dyDescent="0.2">
      <c r="A545" s="6"/>
      <c r="B545" s="46"/>
      <c r="C545" s="46"/>
      <c r="G545" s="38"/>
      <c r="H545" s="38"/>
    </row>
    <row r="546" spans="1:8" x14ac:dyDescent="0.2">
      <c r="A546" s="6"/>
      <c r="G546" s="38"/>
      <c r="H546" s="38"/>
    </row>
    <row r="547" spans="1:8" x14ac:dyDescent="0.2">
      <c r="A547" s="6"/>
      <c r="G547" s="38"/>
      <c r="H547" s="38"/>
    </row>
    <row r="548" spans="1:8" ht="15.75" x14ac:dyDescent="0.25">
      <c r="A548" s="17"/>
      <c r="B548" s="20"/>
      <c r="C548" s="20"/>
    </row>
    <row r="549" spans="1:8" x14ac:dyDescent="0.2">
      <c r="A549" s="2"/>
      <c r="B549" s="46"/>
      <c r="C549" s="46"/>
      <c r="D549" s="45"/>
      <c r="E549" s="45"/>
      <c r="F549" s="83"/>
    </row>
    <row r="550" spans="1:8" x14ac:dyDescent="0.2">
      <c r="B550" s="46"/>
      <c r="C550" s="46"/>
      <c r="D550" s="38"/>
      <c r="E550" s="38"/>
    </row>
    <row r="551" spans="1:8" x14ac:dyDescent="0.2">
      <c r="A551" s="6"/>
      <c r="B551" s="46"/>
      <c r="C551" s="46"/>
      <c r="D551" s="38"/>
      <c r="E551" s="38"/>
    </row>
    <row r="552" spans="1:8" x14ac:dyDescent="0.2">
      <c r="B552" s="46"/>
      <c r="C552" s="46"/>
      <c r="D552" s="38"/>
      <c r="E552" s="38"/>
    </row>
    <row r="553" spans="1:8" x14ac:dyDescent="0.2">
      <c r="B553" s="46"/>
      <c r="C553" s="46"/>
      <c r="G553" s="38"/>
      <c r="H553" s="38"/>
    </row>
    <row r="554" spans="1:8" x14ac:dyDescent="0.2">
      <c r="B554" s="46"/>
      <c r="C554" s="46"/>
      <c r="G554" s="38"/>
      <c r="H554" s="38"/>
    </row>
    <row r="555" spans="1:8" x14ac:dyDescent="0.2">
      <c r="B555" s="46"/>
      <c r="C555" s="46"/>
      <c r="G555" s="38"/>
      <c r="H555" s="38"/>
    </row>
    <row r="556" spans="1:8" x14ac:dyDescent="0.2">
      <c r="B556" s="46"/>
      <c r="C556" s="46"/>
      <c r="G556" s="38"/>
      <c r="H556" s="38"/>
    </row>
    <row r="557" spans="1:8" x14ac:dyDescent="0.2">
      <c r="B557" s="46"/>
      <c r="C557" s="46"/>
      <c r="G557" s="38"/>
      <c r="H557" s="38"/>
    </row>
    <row r="558" spans="1:8" x14ac:dyDescent="0.2">
      <c r="B558" s="46"/>
      <c r="C558" s="46"/>
      <c r="G558" s="38"/>
      <c r="H558" s="38"/>
    </row>
    <row r="559" spans="1:8" x14ac:dyDescent="0.2">
      <c r="B559" s="46"/>
      <c r="C559" s="46"/>
      <c r="G559" s="38"/>
      <c r="H559" s="38"/>
    </row>
    <row r="560" spans="1:8" x14ac:dyDescent="0.2">
      <c r="B560" s="46"/>
      <c r="C560" s="46"/>
      <c r="G560" s="38"/>
      <c r="H560" s="38"/>
    </row>
    <row r="561" spans="1:8" x14ac:dyDescent="0.2">
      <c r="B561" s="46"/>
      <c r="C561" s="46"/>
      <c r="D561" s="38"/>
      <c r="E561" s="38"/>
    </row>
    <row r="562" spans="1:8" x14ac:dyDescent="0.2">
      <c r="B562" s="46"/>
      <c r="C562" s="46"/>
      <c r="D562" s="38"/>
      <c r="E562" s="38"/>
    </row>
    <row r="563" spans="1:8" x14ac:dyDescent="0.2">
      <c r="B563" s="46"/>
      <c r="C563" s="46"/>
      <c r="G563" s="38"/>
      <c r="H563" s="38"/>
    </row>
    <row r="564" spans="1:8" x14ac:dyDescent="0.2">
      <c r="B564" s="46"/>
      <c r="C564" s="46"/>
      <c r="G564" s="38"/>
      <c r="H564" s="38"/>
    </row>
    <row r="565" spans="1:8" x14ac:dyDescent="0.2">
      <c r="B565" s="6"/>
      <c r="C565" s="6"/>
      <c r="G565" s="38"/>
      <c r="H565" s="38"/>
    </row>
    <row r="566" spans="1:8" ht="15.75" x14ac:dyDescent="0.25">
      <c r="A566" s="17"/>
      <c r="B566" s="20"/>
      <c r="C566" s="20"/>
    </row>
    <row r="567" spans="1:8" x14ac:dyDescent="0.2">
      <c r="B567" s="46"/>
      <c r="C567" s="46"/>
      <c r="D567" s="38"/>
    </row>
    <row r="568" spans="1:8" x14ac:dyDescent="0.2">
      <c r="B568" s="46"/>
      <c r="C568" s="46"/>
      <c r="D568" s="38"/>
    </row>
    <row r="569" spans="1:8" x14ac:dyDescent="0.2">
      <c r="B569" s="46"/>
      <c r="C569" s="46"/>
      <c r="D569" s="38"/>
    </row>
    <row r="570" spans="1:8" x14ac:dyDescent="0.2">
      <c r="B570" s="46"/>
      <c r="C570" s="46"/>
      <c r="D570" s="38"/>
    </row>
    <row r="571" spans="1:8" x14ac:dyDescent="0.2">
      <c r="B571" s="46"/>
      <c r="C571" s="46"/>
      <c r="D571" s="38"/>
    </row>
    <row r="572" spans="1:8" x14ac:dyDescent="0.2">
      <c r="B572" s="46"/>
      <c r="C572" s="46"/>
      <c r="D572" s="38"/>
    </row>
    <row r="573" spans="1:8" x14ac:dyDescent="0.2">
      <c r="A573" s="6"/>
      <c r="B573" s="38"/>
      <c r="C573" s="38"/>
      <c r="D573" s="38"/>
    </row>
    <row r="574" spans="1:8" x14ac:dyDescent="0.2">
      <c r="A574" s="6"/>
      <c r="B574" s="38"/>
      <c r="C574" s="38"/>
      <c r="D574" s="38"/>
    </row>
    <row r="575" spans="1:8" ht="15.75" x14ac:dyDescent="0.25">
      <c r="A575" s="17"/>
      <c r="B575" s="20"/>
      <c r="C575" s="20"/>
    </row>
    <row r="576" spans="1:8" x14ac:dyDescent="0.2">
      <c r="A576" s="6"/>
      <c r="D576" s="45"/>
      <c r="E576" s="45"/>
      <c r="F576" s="83"/>
    </row>
    <row r="577" spans="1:8" x14ac:dyDescent="0.2">
      <c r="B577" s="46"/>
      <c r="C577" s="46"/>
      <c r="D577" s="38"/>
      <c r="E577" s="38"/>
    </row>
    <row r="578" spans="1:8" x14ac:dyDescent="0.2">
      <c r="B578" s="46"/>
      <c r="C578" s="46"/>
      <c r="G578" s="38"/>
      <c r="H578" s="38"/>
    </row>
    <row r="579" spans="1:8" x14ac:dyDescent="0.2">
      <c r="A579" s="6"/>
      <c r="B579" s="3"/>
      <c r="C579" s="3"/>
      <c r="G579" s="38"/>
      <c r="H579" s="38"/>
    </row>
  </sheetData>
  <mergeCells count="8">
    <mergeCell ref="B3:H3"/>
    <mergeCell ref="B6:H6"/>
    <mergeCell ref="B9:H9"/>
    <mergeCell ref="C35:F35"/>
    <mergeCell ref="B12:H12"/>
    <mergeCell ref="B4:H4"/>
    <mergeCell ref="B10:H10"/>
    <mergeCell ref="B7:H7"/>
  </mergeCells>
  <phoneticPr fontId="0" type="noConversion"/>
  <pageMargins left="0.74803149606299213" right="0.39370078740157483" top="1.5748031496062993" bottom="0.98425196850393704" header="0.51181102362204722" footer="0.51181102362204722"/>
  <pageSetup paperSize="9" scale="86" orientation="portrait" verticalDpi="300" r:id="rId1"/>
  <headerFooter alignWithMargins="0">
    <oddHeader>&amp;C&amp;"Arial,Bold"DEPARTMENT OF ENVIRONMENTAL AFFAIRS AND TOURISM
VOTE 27
NOTES TO THE APPROPRIATION STATEMENT
for the year ended 31 MARCH 2003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B1" zoomScaleNormal="100" workbookViewId="0">
      <selection activeCell="A13" sqref="A13"/>
    </sheetView>
  </sheetViews>
  <sheetFormatPr defaultColWidth="19.7109375" defaultRowHeight="12.75" x14ac:dyDescent="0.2"/>
  <cols>
    <col min="1" max="1" width="60.7109375" customWidth="1"/>
    <col min="2" max="2" width="5.28515625" style="13" bestFit="1" customWidth="1"/>
    <col min="3" max="3" width="13.7109375" customWidth="1"/>
    <col min="4" max="4" width="11.7109375" customWidth="1"/>
    <col min="5" max="5" width="10.7109375" customWidth="1"/>
    <col min="6" max="7" width="5.7109375" customWidth="1"/>
  </cols>
  <sheetData>
    <row r="1" spans="1:4" x14ac:dyDescent="0.2">
      <c r="A1" s="523"/>
      <c r="B1" s="523"/>
      <c r="C1" s="523"/>
      <c r="D1" s="523"/>
    </row>
    <row r="2" spans="1:4" x14ac:dyDescent="0.2">
      <c r="B2"/>
      <c r="C2" s="173"/>
      <c r="D2" s="5"/>
    </row>
    <row r="3" spans="1:4" x14ac:dyDescent="0.2">
      <c r="A3" s="1"/>
      <c r="B3"/>
      <c r="C3" s="173"/>
      <c r="D3" s="5"/>
    </row>
    <row r="4" spans="1:4" x14ac:dyDescent="0.2">
      <c r="A4" s="1"/>
      <c r="B4"/>
      <c r="C4" s="173"/>
      <c r="D4" s="5"/>
    </row>
    <row r="5" spans="1:4" x14ac:dyDescent="0.2">
      <c r="A5" s="523"/>
      <c r="B5" s="523"/>
      <c r="C5" s="523"/>
      <c r="D5" s="523"/>
    </row>
    <row r="6" spans="1:4" ht="25.5" x14ac:dyDescent="0.2">
      <c r="A6" s="44" t="s">
        <v>22</v>
      </c>
      <c r="B6" s="7" t="s">
        <v>0</v>
      </c>
      <c r="C6" s="4" t="s">
        <v>37</v>
      </c>
      <c r="D6" s="4" t="s">
        <v>38</v>
      </c>
    </row>
    <row r="7" spans="1:4" x14ac:dyDescent="0.2">
      <c r="A7" s="2"/>
      <c r="B7" s="12"/>
      <c r="C7" s="8"/>
      <c r="D7" s="8"/>
    </row>
    <row r="8" spans="1:4" x14ac:dyDescent="0.2">
      <c r="A8" s="2" t="s">
        <v>23</v>
      </c>
      <c r="B8" s="12"/>
      <c r="C8" s="442">
        <f>SUM(C9:C12)</f>
        <v>81691742.329999983</v>
      </c>
      <c r="D8" s="443">
        <f>SUM(D9:D12)</f>
        <v>32103</v>
      </c>
    </row>
    <row r="9" spans="1:4" x14ac:dyDescent="0.2">
      <c r="A9" s="295" t="s">
        <v>388</v>
      </c>
      <c r="B9" s="155">
        <v>12</v>
      </c>
      <c r="C9" s="444">
        <f>'NOTES TO FS'!F230</f>
        <v>772666.73999999987</v>
      </c>
      <c r="D9" s="429">
        <f>'NOTES TO FS'!G230</f>
        <v>773</v>
      </c>
    </row>
    <row r="10" spans="1:4" x14ac:dyDescent="0.2">
      <c r="A10" s="269" t="s">
        <v>24</v>
      </c>
      <c r="B10" s="85">
        <v>14</v>
      </c>
      <c r="C10" s="445">
        <f>'NOTES TO FS'!F262</f>
        <v>17000</v>
      </c>
      <c r="D10" s="446">
        <f>'NOTES TO FS'!G263</f>
        <v>26379</v>
      </c>
    </row>
    <row r="11" spans="1:4" x14ac:dyDescent="0.2">
      <c r="A11" s="269" t="s">
        <v>25</v>
      </c>
      <c r="B11" s="85">
        <v>15</v>
      </c>
      <c r="C11" s="445">
        <f>'NOTES TO FS'!F274</f>
        <v>72707950.209999993</v>
      </c>
      <c r="D11" s="446">
        <f>'NOTES TO FS'!G274</f>
        <v>4951</v>
      </c>
    </row>
    <row r="12" spans="1:4" ht="13.15" customHeight="1" x14ac:dyDescent="0.2">
      <c r="A12" s="293" t="s">
        <v>389</v>
      </c>
      <c r="B12" s="85">
        <v>3</v>
      </c>
      <c r="C12" s="447">
        <f>-'NOTES TO FS'!G60</f>
        <v>8194125.3799999999</v>
      </c>
      <c r="D12" s="448" t="s">
        <v>437</v>
      </c>
    </row>
    <row r="13" spans="1:4" ht="13.15" customHeight="1" x14ac:dyDescent="0.2">
      <c r="A13" s="8"/>
      <c r="B13" s="12"/>
      <c r="C13" s="449"/>
      <c r="D13" s="450"/>
    </row>
    <row r="14" spans="1:4" x14ac:dyDescent="0.2">
      <c r="A14" s="2" t="s">
        <v>26</v>
      </c>
      <c r="B14" s="12"/>
      <c r="C14" s="451">
        <f>SUM(C8)</f>
        <v>81691742.329999983</v>
      </c>
      <c r="D14" s="452">
        <f>SUM(D8)</f>
        <v>32103</v>
      </c>
    </row>
    <row r="15" spans="1:4" x14ac:dyDescent="0.2">
      <c r="A15" s="8"/>
      <c r="B15" s="12"/>
      <c r="C15" s="453"/>
      <c r="D15" s="48"/>
    </row>
    <row r="16" spans="1:4" x14ac:dyDescent="0.2">
      <c r="A16" s="2" t="s">
        <v>27</v>
      </c>
      <c r="B16" s="12"/>
      <c r="C16" s="453"/>
      <c r="D16" s="48"/>
    </row>
    <row r="17" spans="1:4" x14ac:dyDescent="0.2">
      <c r="A17" s="8"/>
      <c r="B17" s="12"/>
      <c r="C17" s="453"/>
      <c r="D17" s="48"/>
    </row>
    <row r="18" spans="1:4" x14ac:dyDescent="0.2">
      <c r="A18" s="2" t="s">
        <v>28</v>
      </c>
      <c r="B18" s="12"/>
      <c r="C18" s="442">
        <f>SUM(C19:C22)</f>
        <v>81659440.25</v>
      </c>
      <c r="D18" s="443">
        <f>SUM(D19:D22)</f>
        <v>12432</v>
      </c>
    </row>
    <row r="19" spans="1:4" x14ac:dyDescent="0.2">
      <c r="A19" s="269" t="s">
        <v>29</v>
      </c>
      <c r="B19" s="85">
        <v>16</v>
      </c>
      <c r="C19" s="444">
        <f>'NOTES TO FS'!F321</f>
        <v>34000457.920000002</v>
      </c>
      <c r="D19" s="429">
        <f>'NOTES TO FS'!G321</f>
        <v>11562</v>
      </c>
    </row>
    <row r="20" spans="1:4" x14ac:dyDescent="0.2">
      <c r="A20" s="269" t="s">
        <v>441</v>
      </c>
      <c r="B20" s="85">
        <v>14</v>
      </c>
      <c r="C20" s="421">
        <f>-'NOTES TO FS'!F261</f>
        <v>26925953.23</v>
      </c>
      <c r="D20" s="430" t="s">
        <v>437</v>
      </c>
    </row>
    <row r="21" spans="1:4" x14ac:dyDescent="0.2">
      <c r="A21" s="269" t="s">
        <v>30</v>
      </c>
      <c r="B21" s="85">
        <v>17</v>
      </c>
      <c r="C21" s="421">
        <f>'NOTES TO FS'!F331</f>
        <v>231437.64000000013</v>
      </c>
      <c r="D21" s="430">
        <f>'NOTES TO FS'!G331</f>
        <v>38</v>
      </c>
    </row>
    <row r="22" spans="1:4" x14ac:dyDescent="0.2">
      <c r="A22" s="269" t="s">
        <v>31</v>
      </c>
      <c r="B22" s="85">
        <v>18.100000000000001</v>
      </c>
      <c r="C22" s="422">
        <f>'NOTES TO FS'!F338</f>
        <v>20501591.460000001</v>
      </c>
      <c r="D22" s="431">
        <f>'NOTES TO FS'!G339</f>
        <v>832</v>
      </c>
    </row>
    <row r="23" spans="1:4" x14ac:dyDescent="0.2">
      <c r="A23" s="8"/>
      <c r="B23" s="12"/>
      <c r="C23" s="454"/>
      <c r="D23" s="455"/>
    </row>
    <row r="24" spans="1:4" x14ac:dyDescent="0.2">
      <c r="A24" s="2" t="s">
        <v>32</v>
      </c>
      <c r="B24" s="12"/>
      <c r="C24" s="453">
        <f>SUM(C18)</f>
        <v>81659440.25</v>
      </c>
      <c r="D24" s="450">
        <f>SUM(D18)</f>
        <v>12432</v>
      </c>
    </row>
    <row r="25" spans="1:4" x14ac:dyDescent="0.2">
      <c r="A25" s="8"/>
      <c r="B25" s="12"/>
      <c r="C25" s="454"/>
      <c r="D25" s="455"/>
    </row>
    <row r="26" spans="1:4" ht="13.5" thickBot="1" x14ac:dyDescent="0.25">
      <c r="A26" s="2" t="s">
        <v>33</v>
      </c>
      <c r="B26" s="12"/>
      <c r="C26" s="373">
        <f>SUM(C14,-C24)+500</f>
        <v>32802.079999983311</v>
      </c>
      <c r="D26" s="456">
        <f>SUM(D14,-D24)</f>
        <v>19671</v>
      </c>
    </row>
    <row r="27" spans="1:4" ht="13.5" thickTop="1" x14ac:dyDescent="0.2">
      <c r="A27" s="8"/>
      <c r="B27" s="12"/>
      <c r="C27" s="453"/>
      <c r="D27" s="450"/>
    </row>
    <row r="28" spans="1:4" x14ac:dyDescent="0.2">
      <c r="A28" s="2" t="s">
        <v>34</v>
      </c>
      <c r="B28" s="12"/>
      <c r="C28" s="453">
        <f>SUM(C29:C30)</f>
        <v>32502.080000000002</v>
      </c>
      <c r="D28" s="450">
        <f>SUM(D29:D30)</f>
        <v>19671</v>
      </c>
    </row>
    <row r="29" spans="1:4" x14ac:dyDescent="0.2">
      <c r="A29" s="269" t="s">
        <v>35</v>
      </c>
      <c r="B29" s="85"/>
      <c r="C29" s="444">
        <f>'CHANGES IN EQUITY'!C12</f>
        <v>32502.080000000002</v>
      </c>
      <c r="D29" s="429">
        <f>'CHANGES IN EQUITY'!D12</f>
        <v>62</v>
      </c>
    </row>
    <row r="30" spans="1:4" x14ac:dyDescent="0.2">
      <c r="A30" s="293" t="s">
        <v>252</v>
      </c>
      <c r="B30" s="12">
        <v>3</v>
      </c>
      <c r="C30" s="457" t="s">
        <v>437</v>
      </c>
      <c r="D30" s="458">
        <v>19609</v>
      </c>
    </row>
    <row r="31" spans="1:4" x14ac:dyDescent="0.2">
      <c r="A31" s="293"/>
      <c r="B31" s="12"/>
      <c r="C31" s="459"/>
      <c r="D31" s="460"/>
    </row>
    <row r="32" spans="1:4" ht="13.5" thickBot="1" x14ac:dyDescent="0.25">
      <c r="A32" s="2" t="s">
        <v>36</v>
      </c>
      <c r="B32" s="12"/>
      <c r="C32" s="461">
        <f>SUM(C28)</f>
        <v>32502.080000000002</v>
      </c>
      <c r="D32" s="436">
        <f>SUM(D29:D30)</f>
        <v>19671</v>
      </c>
    </row>
    <row r="33" spans="3:4" ht="13.5" thickTop="1" x14ac:dyDescent="0.2"/>
    <row r="34" spans="3:4" x14ac:dyDescent="0.2">
      <c r="C34" s="215"/>
      <c r="D34" s="208"/>
    </row>
    <row r="35" spans="3:4" x14ac:dyDescent="0.2">
      <c r="C35" s="215"/>
      <c r="D35" s="208"/>
    </row>
    <row r="36" spans="3:4" x14ac:dyDescent="0.2">
      <c r="C36" s="215"/>
      <c r="D36" s="208"/>
    </row>
    <row r="38" spans="3:4" x14ac:dyDescent="0.2">
      <c r="D38" s="208"/>
    </row>
  </sheetData>
  <mergeCells count="2">
    <mergeCell ref="A1:D1"/>
    <mergeCell ref="A5:D5"/>
  </mergeCells>
  <phoneticPr fontId="0" type="noConversion"/>
  <pageMargins left="0.75" right="0.75" top="1" bottom="1" header="0.5" footer="0.5"/>
  <pageSetup scale="88" orientation="portrait" verticalDpi="300" r:id="rId1"/>
  <headerFooter alignWithMargins="0">
    <oddHeader>&amp;C&amp;"Arial,Bold"DEPARTMENT OF ENVIRONMENTAL AFFAIRS AND TOURISM
VOTE 27
BALANCE SHEET (STATEMENT OF FINANCIAL POSITION)
at 31 MARCH 2003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zoomScaleNormal="100" workbookViewId="0"/>
  </sheetViews>
  <sheetFormatPr defaultRowHeight="12.75" x14ac:dyDescent="0.2"/>
  <cols>
    <col min="1" max="1" width="60.7109375" customWidth="1"/>
    <col min="2" max="2" width="5.140625" style="146" bestFit="1" customWidth="1"/>
    <col min="3" max="4" width="15.7109375" customWidth="1"/>
  </cols>
  <sheetData>
    <row r="3" spans="1:4" x14ac:dyDescent="0.2">
      <c r="A3" s="523"/>
      <c r="B3" s="523"/>
      <c r="C3" s="523"/>
      <c r="D3" s="523"/>
    </row>
    <row r="4" spans="1:4" x14ac:dyDescent="0.2">
      <c r="A4" s="523"/>
      <c r="B4" s="523"/>
      <c r="C4" s="523"/>
      <c r="D4" s="523"/>
    </row>
    <row r="5" spans="1:4" x14ac:dyDescent="0.2">
      <c r="A5" s="524"/>
      <c r="B5" s="524"/>
      <c r="C5" s="524"/>
      <c r="D5" s="524"/>
    </row>
    <row r="6" spans="1:4" ht="25.5" x14ac:dyDescent="0.2">
      <c r="A6" s="2"/>
      <c r="B6" s="3" t="s">
        <v>0</v>
      </c>
      <c r="C6" s="4" t="s">
        <v>37</v>
      </c>
      <c r="D6" s="4" t="s">
        <v>38</v>
      </c>
    </row>
    <row r="7" spans="1:4" x14ac:dyDescent="0.2">
      <c r="A7" s="6"/>
      <c r="B7" s="19"/>
      <c r="C7" s="6"/>
      <c r="D7" s="182"/>
    </row>
    <row r="8" spans="1:4" x14ac:dyDescent="0.2">
      <c r="A8" s="2" t="s">
        <v>35</v>
      </c>
      <c r="B8" s="19"/>
      <c r="C8" s="8"/>
      <c r="D8" s="197"/>
    </row>
    <row r="9" spans="1:4" x14ac:dyDescent="0.2">
      <c r="A9" s="6" t="s">
        <v>39</v>
      </c>
      <c r="B9" s="19"/>
      <c r="C9" s="352">
        <f>61205.55+300</f>
        <v>61505.55</v>
      </c>
      <c r="D9" s="435">
        <v>133</v>
      </c>
    </row>
    <row r="10" spans="1:4" x14ac:dyDescent="0.2">
      <c r="A10" s="6" t="s">
        <v>42</v>
      </c>
      <c r="B10" s="19"/>
      <c r="C10" s="352">
        <f>54273.72+800</f>
        <v>55073.72</v>
      </c>
      <c r="D10" s="435">
        <v>86</v>
      </c>
    </row>
    <row r="11" spans="1:4" x14ac:dyDescent="0.2">
      <c r="A11" s="6" t="s">
        <v>44</v>
      </c>
      <c r="B11" s="19"/>
      <c r="C11" s="352">
        <f>26470.25</f>
        <v>26470.25</v>
      </c>
      <c r="D11" s="435">
        <v>15</v>
      </c>
    </row>
    <row r="12" spans="1:4" ht="13.5" thickBot="1" x14ac:dyDescent="0.25">
      <c r="A12" s="6" t="s">
        <v>41</v>
      </c>
      <c r="B12" s="19"/>
      <c r="C12" s="461">
        <f>SUM(C9-C10+C11)-400</f>
        <v>32502.080000000002</v>
      </c>
      <c r="D12" s="436">
        <f>SUM(D9-D10+D11)</f>
        <v>62</v>
      </c>
    </row>
    <row r="13" spans="1:4" ht="13.5" thickTop="1" x14ac:dyDescent="0.2">
      <c r="A13" s="8"/>
      <c r="B13" s="19"/>
      <c r="C13" s="449"/>
      <c r="D13" s="450"/>
    </row>
    <row r="14" spans="1:4" x14ac:dyDescent="0.2">
      <c r="A14" s="2" t="s">
        <v>252</v>
      </c>
      <c r="B14" s="19"/>
      <c r="C14" s="449"/>
      <c r="D14" s="450"/>
    </row>
    <row r="15" spans="1:4" x14ac:dyDescent="0.2">
      <c r="A15" s="6" t="s">
        <v>39</v>
      </c>
      <c r="B15" s="19">
        <v>3</v>
      </c>
      <c r="C15" s="474">
        <f>'NOTES TO FS'!C60</f>
        <v>19609399.890000001</v>
      </c>
      <c r="D15" s="435">
        <v>5981</v>
      </c>
    </row>
    <row r="16" spans="1:4" x14ac:dyDescent="0.2">
      <c r="A16" s="6" t="s">
        <v>40</v>
      </c>
      <c r="B16" s="19">
        <v>3</v>
      </c>
      <c r="C16" s="474">
        <f>'NOTES TO FS'!D60</f>
        <v>26078905.729999997</v>
      </c>
      <c r="D16" s="435">
        <v>43153</v>
      </c>
    </row>
    <row r="17" spans="1:4" x14ac:dyDescent="0.2">
      <c r="A17" s="6" t="s">
        <v>376</v>
      </c>
      <c r="B17" s="19"/>
      <c r="C17" s="475">
        <v>-45688308.619999997</v>
      </c>
      <c r="D17" s="476">
        <v>-29525</v>
      </c>
    </row>
    <row r="18" spans="1:4" ht="13.5" thickBot="1" x14ac:dyDescent="0.25">
      <c r="A18" s="6" t="s">
        <v>41</v>
      </c>
      <c r="B18" s="19"/>
      <c r="C18" s="373" t="s">
        <v>437</v>
      </c>
      <c r="D18" s="456">
        <f>SUM(D15:D17)</f>
        <v>19609</v>
      </c>
    </row>
    <row r="19" spans="1:4" ht="13.5" thickTop="1" x14ac:dyDescent="0.2">
      <c r="A19" s="6"/>
      <c r="B19" s="19"/>
      <c r="C19" s="352"/>
      <c r="D19" s="435"/>
    </row>
    <row r="20" spans="1:4" ht="13.5" thickBot="1" x14ac:dyDescent="0.25">
      <c r="A20" s="2" t="s">
        <v>36</v>
      </c>
      <c r="B20" s="19"/>
      <c r="C20" s="461">
        <f>SUM(C12,C18)</f>
        <v>32502.080000000002</v>
      </c>
      <c r="D20" s="436">
        <f>SUM(D12,D18)</f>
        <v>19671</v>
      </c>
    </row>
    <row r="21" spans="1:4" ht="13.5" thickTop="1" x14ac:dyDescent="0.2"/>
    <row r="22" spans="1:4" x14ac:dyDescent="0.2">
      <c r="C22" s="208"/>
    </row>
    <row r="23" spans="1:4" x14ac:dyDescent="0.2">
      <c r="C23" s="290"/>
      <c r="D23" s="289"/>
    </row>
    <row r="24" spans="1:4" x14ac:dyDescent="0.2">
      <c r="C24" s="276"/>
      <c r="D24" s="69"/>
    </row>
    <row r="25" spans="1:4" x14ac:dyDescent="0.2">
      <c r="C25" s="249"/>
      <c r="D25" s="69"/>
    </row>
  </sheetData>
  <mergeCells count="3">
    <mergeCell ref="A3:D3"/>
    <mergeCell ref="A4:D4"/>
    <mergeCell ref="A5:D5"/>
  </mergeCells>
  <phoneticPr fontId="0" type="noConversion"/>
  <pageMargins left="0.75" right="0.75" top="1" bottom="1" header="0.5" footer="0.5"/>
  <pageSetup scale="87" orientation="portrait" verticalDpi="300" r:id="rId1"/>
  <headerFooter alignWithMargins="0">
    <oddHeader>&amp;C&amp;"Arial,Bold"DEPARTMENT OF ENVIRONMENTAL AFFAIRS AND TOURISM
VOTE 27
STATEMENT OF CHANGES IN NET ASSETS/EQUITY
for the year ended 31 MARCH 2003</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zoomScaleNormal="100" workbookViewId="0"/>
  </sheetViews>
  <sheetFormatPr defaultRowHeight="12.75" x14ac:dyDescent="0.2"/>
  <cols>
    <col min="1" max="1" width="67" customWidth="1"/>
    <col min="2" max="2" width="5.28515625" bestFit="1" customWidth="1"/>
    <col min="3" max="3" width="20.7109375" customWidth="1"/>
    <col min="4" max="4" width="18.7109375" customWidth="1"/>
  </cols>
  <sheetData>
    <row r="1" spans="1:6" x14ac:dyDescent="0.2">
      <c r="A1" s="1"/>
    </row>
    <row r="3" spans="1:6" x14ac:dyDescent="0.2">
      <c r="A3" s="523"/>
      <c r="B3" s="523"/>
      <c r="C3" s="523"/>
      <c r="D3" s="523"/>
    </row>
    <row r="4" spans="1:6" x14ac:dyDescent="0.2">
      <c r="A4" s="523"/>
      <c r="B4" s="523"/>
      <c r="C4" s="523"/>
      <c r="D4" s="523"/>
    </row>
    <row r="5" spans="1:6" x14ac:dyDescent="0.2">
      <c r="A5" s="523"/>
      <c r="B5" s="523"/>
      <c r="C5" s="523"/>
      <c r="D5" s="523"/>
    </row>
    <row r="6" spans="1:6" ht="25.5" x14ac:dyDescent="0.2">
      <c r="A6" s="2"/>
      <c r="B6" s="3" t="s">
        <v>0</v>
      </c>
      <c r="C6" s="4" t="s">
        <v>37</v>
      </c>
      <c r="D6" s="4" t="s">
        <v>38</v>
      </c>
    </row>
    <row r="7" spans="1:6" x14ac:dyDescent="0.2">
      <c r="A7" s="2" t="s">
        <v>45</v>
      </c>
      <c r="B7" s="12"/>
      <c r="C7" s="8"/>
      <c r="D7" s="8"/>
    </row>
    <row r="8" spans="1:6" x14ac:dyDescent="0.2">
      <c r="A8" s="6" t="s">
        <v>46</v>
      </c>
      <c r="B8" s="12">
        <v>19</v>
      </c>
      <c r="C8" s="437">
        <f>'NOTES TO FS'!F359</f>
        <v>249488578.68000001</v>
      </c>
      <c r="D8" s="438">
        <f>'NOTES TO FS'!G359</f>
        <v>215260</v>
      </c>
    </row>
    <row r="9" spans="1:6" x14ac:dyDescent="0.2">
      <c r="A9" s="6" t="s">
        <v>47</v>
      </c>
      <c r="B9" s="12">
        <v>20</v>
      </c>
      <c r="C9" s="439">
        <f>'NOTES TO FS'!F365</f>
        <v>-48116085.900000013</v>
      </c>
      <c r="D9" s="438">
        <f>'NOTES TO FS'!G365</f>
        <v>-7057</v>
      </c>
    </row>
    <row r="10" spans="1:6" x14ac:dyDescent="0.2">
      <c r="A10" s="6" t="s">
        <v>48</v>
      </c>
      <c r="B10" s="12">
        <v>21</v>
      </c>
      <c r="C10" s="439">
        <f>-'NOTES TO FS'!F373</f>
        <v>-13426832.489999998</v>
      </c>
      <c r="D10" s="438">
        <f>-'NOTES TO FS'!G373</f>
        <v>-45370</v>
      </c>
    </row>
    <row r="11" spans="1:6" x14ac:dyDescent="0.2">
      <c r="A11" s="2" t="s">
        <v>50</v>
      </c>
      <c r="B11" s="12"/>
      <c r="C11" s="440">
        <f>SUM(C8:C10)</f>
        <v>187945660.28999999</v>
      </c>
      <c r="D11" s="433">
        <f>SUM(D8:D10)</f>
        <v>162833</v>
      </c>
      <c r="F11" t="s">
        <v>485</v>
      </c>
    </row>
    <row r="12" spans="1:6" x14ac:dyDescent="0.2">
      <c r="A12" s="8"/>
      <c r="B12" s="12"/>
      <c r="C12" s="441"/>
      <c r="D12" s="432"/>
    </row>
    <row r="13" spans="1:6" x14ac:dyDescent="0.2">
      <c r="A13" s="2" t="s">
        <v>51</v>
      </c>
      <c r="B13" s="12"/>
      <c r="C13" s="419">
        <f>SUM(C14:C17)</f>
        <v>-241233853.43000001</v>
      </c>
      <c r="D13" s="428">
        <f>SUM(D14:D17)</f>
        <v>-181709</v>
      </c>
    </row>
    <row r="14" spans="1:6" x14ac:dyDescent="0.2">
      <c r="A14" s="269" t="s">
        <v>84</v>
      </c>
      <c r="B14" s="85"/>
      <c r="C14" s="420">
        <f>-'NOTES TO FS'!F357</f>
        <v>-241256664.91</v>
      </c>
      <c r="D14" s="429">
        <f>-'NOTES TO FS'!G357</f>
        <v>-182223</v>
      </c>
    </row>
    <row r="15" spans="1:6" x14ac:dyDescent="0.2">
      <c r="A15" s="269" t="s">
        <v>52</v>
      </c>
      <c r="B15" s="85">
        <v>2</v>
      </c>
      <c r="C15" s="421">
        <f>-'NOTES TO FS'!F355</f>
        <v>22811.48</v>
      </c>
      <c r="D15" s="430" t="s">
        <v>437</v>
      </c>
    </row>
    <row r="16" spans="1:6" x14ac:dyDescent="0.2">
      <c r="A16" s="269" t="s">
        <v>266</v>
      </c>
      <c r="B16" s="85"/>
      <c r="C16" s="422" t="s">
        <v>437</v>
      </c>
      <c r="D16" s="431">
        <f>-'NOTES TO FS'!G356</f>
        <v>514</v>
      </c>
    </row>
    <row r="17" spans="1:4" x14ac:dyDescent="0.2">
      <c r="A17" s="2"/>
      <c r="B17" s="12"/>
      <c r="C17" s="423"/>
      <c r="D17" s="432"/>
    </row>
    <row r="18" spans="1:4" x14ac:dyDescent="0.2">
      <c r="A18" s="2" t="s">
        <v>53</v>
      </c>
      <c r="B18" s="12"/>
      <c r="C18" s="424">
        <f>SUM(C11,C13)</f>
        <v>-53288193.140000015</v>
      </c>
      <c r="D18" s="433">
        <f>SUM(D11,D13)</f>
        <v>-18876</v>
      </c>
    </row>
    <row r="19" spans="1:4" x14ac:dyDescent="0.2">
      <c r="A19" s="6"/>
      <c r="B19" s="12"/>
      <c r="C19" s="425"/>
      <c r="D19" s="432"/>
    </row>
    <row r="20" spans="1:4" x14ac:dyDescent="0.2">
      <c r="A20" s="2" t="s">
        <v>54</v>
      </c>
      <c r="B20" s="12"/>
      <c r="C20" s="426">
        <f>SUM(C18)</f>
        <v>-53288193.140000015</v>
      </c>
      <c r="D20" s="434">
        <f>SUM(D18)</f>
        <v>-18876</v>
      </c>
    </row>
    <row r="21" spans="1:4" x14ac:dyDescent="0.2">
      <c r="A21" s="2" t="s">
        <v>55</v>
      </c>
      <c r="B21" s="12"/>
      <c r="C21" s="352">
        <v>26379122.969999999</v>
      </c>
      <c r="D21" s="435">
        <v>45255</v>
      </c>
    </row>
    <row r="22" spans="1:4" ht="13.5" thickBot="1" x14ac:dyDescent="0.25">
      <c r="A22" s="2" t="s">
        <v>56</v>
      </c>
      <c r="B22" s="12">
        <v>14</v>
      </c>
      <c r="C22" s="427">
        <f>SUM(C20,C21)</f>
        <v>-26909070.170000017</v>
      </c>
      <c r="D22" s="436">
        <f>SUM(D20,D21)</f>
        <v>26379</v>
      </c>
    </row>
    <row r="23" spans="1:4" ht="13.5" thickTop="1" x14ac:dyDescent="0.2">
      <c r="B23" s="5"/>
      <c r="C23" s="5"/>
      <c r="D23" s="5"/>
    </row>
    <row r="24" spans="1:4" x14ac:dyDescent="0.2">
      <c r="C24" s="208"/>
    </row>
    <row r="25" spans="1:4" x14ac:dyDescent="0.2">
      <c r="C25" s="208"/>
    </row>
    <row r="26" spans="1:4" x14ac:dyDescent="0.2">
      <c r="C26" s="208"/>
    </row>
  </sheetData>
  <mergeCells count="3">
    <mergeCell ref="A3:D3"/>
    <mergeCell ref="A4:D4"/>
    <mergeCell ref="A5:D5"/>
  </mergeCells>
  <phoneticPr fontId="0" type="noConversion"/>
  <pageMargins left="0.75" right="0.75" top="1" bottom="1" header="0.5" footer="0.5"/>
  <pageSetup scale="81" orientation="portrait" verticalDpi="300" r:id="rId1"/>
  <headerFooter alignWithMargins="0">
    <oddHeader>&amp;C&amp;"Arial,Bold"DEPARTMENT OF ENVIRONMENTAL AFFAIRS AND TOURISM
VOTE 27
CASH FLOW STATEMENT
for the year ended 31 MARCH 2003</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78"/>
  <sheetViews>
    <sheetView topLeftCell="A301" zoomScaleNormal="100" zoomScaleSheetLayoutView="100" workbookViewId="0">
      <selection activeCell="A307" sqref="A307"/>
    </sheetView>
  </sheetViews>
  <sheetFormatPr defaultRowHeight="12.75" x14ac:dyDescent="0.2"/>
  <cols>
    <col min="1" max="1" width="4.7109375" style="141" customWidth="1"/>
    <col min="2" max="2" width="50.7109375" customWidth="1"/>
    <col min="3" max="3" width="13.7109375" customWidth="1"/>
    <col min="4" max="4" width="13.28515625" customWidth="1"/>
    <col min="5" max="6" width="15.7109375" customWidth="1"/>
    <col min="7" max="7" width="14.7109375" customWidth="1"/>
    <col min="8" max="8" width="15.7109375" customWidth="1"/>
    <col min="9" max="9" width="13.7109375" customWidth="1"/>
    <col min="10" max="10" width="18.7109375" customWidth="1"/>
  </cols>
  <sheetData>
    <row r="2" spans="1:7" ht="15.6" customHeight="1" x14ac:dyDescent="0.25">
      <c r="A2" s="358" t="s">
        <v>405</v>
      </c>
      <c r="B2" s="20" t="s">
        <v>265</v>
      </c>
      <c r="C2" s="24"/>
      <c r="D2" s="24"/>
      <c r="E2" s="24"/>
      <c r="F2" s="24"/>
    </row>
    <row r="3" spans="1:7" ht="27" customHeight="1" x14ac:dyDescent="0.2">
      <c r="A3" s="60">
        <v>1.1000000000000001</v>
      </c>
      <c r="B3" s="525" t="s">
        <v>267</v>
      </c>
      <c r="C3" s="525"/>
      <c r="D3" s="525"/>
      <c r="E3" s="525"/>
      <c r="F3" s="525"/>
      <c r="G3" s="525"/>
    </row>
    <row r="4" spans="1:7" ht="38.25" x14ac:dyDescent="0.2">
      <c r="B4" s="165" t="s">
        <v>57</v>
      </c>
      <c r="C4" s="529" t="s">
        <v>219</v>
      </c>
      <c r="D4" s="529"/>
      <c r="E4" s="407" t="s">
        <v>58</v>
      </c>
      <c r="F4" s="407" t="s">
        <v>59</v>
      </c>
      <c r="G4" s="407" t="s">
        <v>218</v>
      </c>
    </row>
    <row r="5" spans="1:7" x14ac:dyDescent="0.2">
      <c r="B5" s="165"/>
      <c r="C5" s="43"/>
      <c r="D5" s="406" t="s">
        <v>174</v>
      </c>
      <c r="E5" s="406" t="s">
        <v>174</v>
      </c>
      <c r="F5" s="406" t="s">
        <v>174</v>
      </c>
      <c r="G5" s="406" t="s">
        <v>174</v>
      </c>
    </row>
    <row r="6" spans="1:7" x14ac:dyDescent="0.2">
      <c r="B6" s="174" t="s">
        <v>233</v>
      </c>
      <c r="C6" s="530">
        <v>68358541.090000004</v>
      </c>
      <c r="D6" s="530"/>
      <c r="E6" s="315">
        <v>68358541.090000004</v>
      </c>
      <c r="F6" s="344" t="s">
        <v>437</v>
      </c>
      <c r="G6" s="460">
        <v>73744</v>
      </c>
    </row>
    <row r="7" spans="1:7" x14ac:dyDescent="0.2">
      <c r="B7" s="174" t="s">
        <v>274</v>
      </c>
      <c r="C7" s="530">
        <v>267542094.31</v>
      </c>
      <c r="D7" s="530"/>
      <c r="E7" s="315">
        <v>267188094.31</v>
      </c>
      <c r="F7" s="344">
        <f>SUM(E7-C7)</f>
        <v>-354000</v>
      </c>
      <c r="G7" s="479">
        <v>57827</v>
      </c>
    </row>
    <row r="8" spans="1:7" x14ac:dyDescent="0.2">
      <c r="B8" s="174" t="s">
        <v>234</v>
      </c>
      <c r="C8" s="530">
        <v>253052784.78999999</v>
      </c>
      <c r="D8" s="530"/>
      <c r="E8" s="315">
        <v>253052784.78999999</v>
      </c>
      <c r="F8" s="344" t="s">
        <v>437</v>
      </c>
      <c r="G8" s="460">
        <v>257446</v>
      </c>
    </row>
    <row r="9" spans="1:7" ht="13.15" customHeight="1" x14ac:dyDescent="0.2">
      <c r="B9" s="174" t="s">
        <v>275</v>
      </c>
      <c r="C9" s="530">
        <v>334333256.72000003</v>
      </c>
      <c r="D9" s="530"/>
      <c r="E9" s="315">
        <v>334333256.72000003</v>
      </c>
      <c r="F9" s="344" t="s">
        <v>437</v>
      </c>
      <c r="G9" s="460">
        <v>328202</v>
      </c>
    </row>
    <row r="10" spans="1:7" ht="13.15" customHeight="1" x14ac:dyDescent="0.2">
      <c r="B10" s="174" t="s">
        <v>276</v>
      </c>
      <c r="C10" s="530">
        <v>121421638.84</v>
      </c>
      <c r="D10" s="530"/>
      <c r="E10" s="315">
        <f>118014301.63+300</f>
        <v>118014601.63</v>
      </c>
      <c r="F10" s="344">
        <f>SUM(E10-C10)</f>
        <v>-3407037.2100000083</v>
      </c>
      <c r="G10" s="460">
        <v>137326</v>
      </c>
    </row>
    <row r="11" spans="1:7" x14ac:dyDescent="0.2">
      <c r="B11" s="174" t="s">
        <v>352</v>
      </c>
      <c r="C11" s="530">
        <v>295274182.45999998</v>
      </c>
      <c r="D11" s="530"/>
      <c r="E11" s="315">
        <v>294994182.45999998</v>
      </c>
      <c r="F11" s="344">
        <f>SUM(E11-C11)</f>
        <v>-280000</v>
      </c>
      <c r="G11" s="460">
        <v>197218</v>
      </c>
    </row>
    <row r="12" spans="1:7" x14ac:dyDescent="0.2">
      <c r="B12" s="46" t="s">
        <v>277</v>
      </c>
      <c r="C12" s="530">
        <v>60463079.57</v>
      </c>
      <c r="D12" s="530"/>
      <c r="E12" s="315">
        <v>30504158.859999999</v>
      </c>
      <c r="F12" s="344">
        <f>SUM(E12-C12)</f>
        <v>-29958920.710000001</v>
      </c>
      <c r="G12" s="460">
        <v>26616</v>
      </c>
    </row>
    <row r="13" spans="1:7" x14ac:dyDescent="0.2">
      <c r="A13" s="142"/>
      <c r="B13" s="46" t="s">
        <v>363</v>
      </c>
      <c r="C13" s="530">
        <v>140422.22</v>
      </c>
      <c r="D13" s="530"/>
      <c r="E13" s="315">
        <v>140422.22</v>
      </c>
      <c r="F13" s="344" t="s">
        <v>437</v>
      </c>
      <c r="G13" s="460">
        <v>75</v>
      </c>
    </row>
    <row r="14" spans="1:7" ht="13.9" customHeight="1" thickBot="1" x14ac:dyDescent="0.25">
      <c r="B14" s="8" t="s">
        <v>60</v>
      </c>
      <c r="C14" s="531">
        <f>SUM(C6:D13)</f>
        <v>1400586000</v>
      </c>
      <c r="D14" s="531"/>
      <c r="E14" s="317">
        <f>SUM(E6:E13)</f>
        <v>1366586042.0799999</v>
      </c>
      <c r="F14" s="347">
        <f>SUM(F6:F13)</f>
        <v>-33999957.920000009</v>
      </c>
      <c r="G14" s="480">
        <f>SUM(G6:G13)</f>
        <v>1078454</v>
      </c>
    </row>
    <row r="15" spans="1:7" ht="13.5" thickTop="1" x14ac:dyDescent="0.2">
      <c r="B15" s="8"/>
      <c r="E15" s="14"/>
      <c r="F15" s="14"/>
      <c r="G15" s="14"/>
    </row>
    <row r="16" spans="1:7" x14ac:dyDescent="0.2">
      <c r="A16" s="242">
        <v>1.2</v>
      </c>
      <c r="B16" s="528" t="s">
        <v>61</v>
      </c>
      <c r="C16" s="528"/>
      <c r="D16" s="528"/>
      <c r="E16" s="528"/>
      <c r="F16" s="528"/>
      <c r="G16" s="528"/>
    </row>
    <row r="17" spans="1:7" x14ac:dyDescent="0.2">
      <c r="A17" s="242"/>
      <c r="B17" s="243"/>
      <c r="C17" s="243"/>
      <c r="D17" s="243"/>
      <c r="E17" s="243"/>
      <c r="F17" s="243"/>
      <c r="G17" s="243"/>
    </row>
    <row r="18" spans="1:7" ht="13.15" customHeight="1" x14ac:dyDescent="0.2">
      <c r="A18" s="60"/>
      <c r="B18" s="25" t="s">
        <v>349</v>
      </c>
      <c r="C18" s="25"/>
      <c r="D18" s="25"/>
      <c r="E18" s="11"/>
      <c r="F18" s="406" t="s">
        <v>174</v>
      </c>
      <c r="G18" s="25"/>
    </row>
    <row r="19" spans="1:7" ht="13.15" customHeight="1" x14ac:dyDescent="0.2">
      <c r="B19" t="s">
        <v>357</v>
      </c>
      <c r="F19" s="481">
        <v>354000</v>
      </c>
    </row>
    <row r="20" spans="1:7" x14ac:dyDescent="0.2">
      <c r="B20" t="s">
        <v>350</v>
      </c>
      <c r="F20" s="481"/>
    </row>
    <row r="21" spans="1:7" x14ac:dyDescent="0.2">
      <c r="B21" t="s">
        <v>487</v>
      </c>
      <c r="F21" s="481">
        <v>907337.21</v>
      </c>
    </row>
    <row r="22" spans="1:7" x14ac:dyDescent="0.2">
      <c r="B22" t="s">
        <v>488</v>
      </c>
      <c r="F22" s="481">
        <v>2500000</v>
      </c>
    </row>
    <row r="23" spans="1:7" x14ac:dyDescent="0.2">
      <c r="B23" t="s">
        <v>353</v>
      </c>
      <c r="F23" s="481"/>
    </row>
    <row r="24" spans="1:7" x14ac:dyDescent="0.2">
      <c r="B24" t="s">
        <v>489</v>
      </c>
      <c r="F24" s="481">
        <v>140000</v>
      </c>
    </row>
    <row r="25" spans="1:7" x14ac:dyDescent="0.2">
      <c r="B25" t="s">
        <v>490</v>
      </c>
      <c r="F25" s="481">
        <v>140000</v>
      </c>
    </row>
    <row r="26" spans="1:7" x14ac:dyDescent="0.2">
      <c r="A26" s="141" t="s">
        <v>354</v>
      </c>
      <c r="B26" t="s">
        <v>355</v>
      </c>
      <c r="F26" s="481"/>
    </row>
    <row r="27" spans="1:7" x14ac:dyDescent="0.2">
      <c r="B27" t="s">
        <v>358</v>
      </c>
      <c r="F27" s="481">
        <v>1000</v>
      </c>
    </row>
    <row r="28" spans="1:7" x14ac:dyDescent="0.2">
      <c r="B28" t="s">
        <v>364</v>
      </c>
      <c r="F28" s="481">
        <v>94682.91</v>
      </c>
    </row>
    <row r="29" spans="1:7" x14ac:dyDescent="0.2">
      <c r="B29" t="s">
        <v>356</v>
      </c>
      <c r="F29" s="481">
        <v>29863237.800000001</v>
      </c>
    </row>
    <row r="30" spans="1:7" ht="13.5" thickBot="1" x14ac:dyDescent="0.25">
      <c r="B30" s="8" t="s">
        <v>60</v>
      </c>
      <c r="F30" s="461">
        <f>SUM(F19:F29)</f>
        <v>34000257.920000002</v>
      </c>
    </row>
    <row r="31" spans="1:7" ht="13.5" thickTop="1" x14ac:dyDescent="0.2">
      <c r="B31" s="8"/>
      <c r="F31" s="256"/>
    </row>
    <row r="32" spans="1:7" x14ac:dyDescent="0.2">
      <c r="B32" s="8"/>
      <c r="F32" s="256"/>
    </row>
    <row r="33" spans="1:11" x14ac:dyDescent="0.2">
      <c r="B33" s="46" t="s">
        <v>351</v>
      </c>
    </row>
    <row r="34" spans="1:11" ht="15.6" customHeight="1" x14ac:dyDescent="0.25">
      <c r="A34" s="358" t="s">
        <v>406</v>
      </c>
      <c r="B34" s="20" t="s">
        <v>62</v>
      </c>
      <c r="F34" s="4"/>
      <c r="G34" s="4"/>
    </row>
    <row r="35" spans="1:11" ht="25.5" customHeight="1" x14ac:dyDescent="0.2">
      <c r="A35" s="151"/>
      <c r="B35" s="2" t="s">
        <v>63</v>
      </c>
      <c r="C35" s="5"/>
      <c r="D35" s="5"/>
      <c r="E35" s="27"/>
      <c r="F35" s="4" t="s">
        <v>37</v>
      </c>
      <c r="G35" s="4" t="s">
        <v>38</v>
      </c>
    </row>
    <row r="36" spans="1:11" ht="12.75" customHeight="1" x14ac:dyDescent="0.2">
      <c r="A36" s="151"/>
      <c r="B36" s="46" t="s">
        <v>52</v>
      </c>
      <c r="C36" s="5"/>
      <c r="D36" s="5"/>
      <c r="E36" s="25"/>
      <c r="F36" s="472">
        <v>22811.48</v>
      </c>
      <c r="G36" s="435" t="s">
        <v>437</v>
      </c>
    </row>
    <row r="37" spans="1:11" ht="12.75" customHeight="1" x14ac:dyDescent="0.2">
      <c r="A37" s="151"/>
      <c r="B37" s="46" t="s">
        <v>64</v>
      </c>
      <c r="C37" s="5"/>
      <c r="D37" s="5"/>
      <c r="E37" s="25"/>
      <c r="F37" s="472" t="s">
        <v>437</v>
      </c>
      <c r="G37" s="479">
        <v>-43</v>
      </c>
    </row>
    <row r="38" spans="1:11" ht="12.75" customHeight="1" x14ac:dyDescent="0.2">
      <c r="A38" s="151"/>
      <c r="B38" s="46" t="s">
        <v>65</v>
      </c>
      <c r="C38" s="5"/>
      <c r="D38" s="5"/>
      <c r="E38" s="25"/>
      <c r="F38" s="472">
        <v>143636.97</v>
      </c>
      <c r="G38" s="435">
        <v>280</v>
      </c>
    </row>
    <row r="39" spans="1:11" ht="12.75" customHeight="1" x14ac:dyDescent="0.2">
      <c r="A39" s="151"/>
      <c r="B39" s="46" t="s">
        <v>66</v>
      </c>
      <c r="C39" s="5"/>
      <c r="D39" s="5"/>
      <c r="E39" s="25"/>
      <c r="F39" s="472">
        <v>1891329.15</v>
      </c>
      <c r="G39" s="435">
        <v>2143</v>
      </c>
    </row>
    <row r="40" spans="1:11" ht="12.75" customHeight="1" thickBot="1" x14ac:dyDescent="0.25">
      <c r="A40" s="151"/>
      <c r="B40" s="46"/>
      <c r="C40" s="5"/>
      <c r="D40" s="5"/>
      <c r="E40" s="25"/>
      <c r="F40" s="461">
        <f>SUM(F36:F39)</f>
        <v>2057777.5999999999</v>
      </c>
      <c r="G40" s="436">
        <f>SUM(G36:G39)</f>
        <v>2380</v>
      </c>
    </row>
    <row r="41" spans="1:11" ht="12.75" customHeight="1" thickTop="1" x14ac:dyDescent="0.2">
      <c r="A41" s="151"/>
      <c r="B41" s="6"/>
      <c r="C41" s="5"/>
      <c r="D41" s="5"/>
      <c r="E41" s="19"/>
      <c r="F41" s="6"/>
      <c r="G41" s="6"/>
    </row>
    <row r="42" spans="1:11" ht="12.75" customHeight="1" x14ac:dyDescent="0.2">
      <c r="A42" s="151"/>
      <c r="B42" s="6"/>
      <c r="C42" s="5"/>
      <c r="D42" s="5"/>
      <c r="E42" s="19"/>
      <c r="F42" s="6"/>
      <c r="G42" s="6"/>
    </row>
    <row r="43" spans="1:11" x14ac:dyDescent="0.2">
      <c r="B43" s="46"/>
      <c r="E43" s="19"/>
    </row>
    <row r="44" spans="1:11" ht="15.6" customHeight="1" x14ac:dyDescent="0.25">
      <c r="A44" s="358" t="s">
        <v>409</v>
      </c>
      <c r="B44" s="20" t="s">
        <v>235</v>
      </c>
    </row>
    <row r="45" spans="1:11" s="35" customFormat="1" x14ac:dyDescent="0.2">
      <c r="A45" s="142"/>
      <c r="B45" s="2" t="s">
        <v>76</v>
      </c>
      <c r="C45" s="529" t="s">
        <v>68</v>
      </c>
      <c r="D45" s="529" t="s">
        <v>69</v>
      </c>
      <c r="E45" s="535" t="s">
        <v>70</v>
      </c>
      <c r="F45" s="535"/>
      <c r="G45" s="529" t="s">
        <v>71</v>
      </c>
      <c r="I45" s="3"/>
    </row>
    <row r="46" spans="1:11" s="34" customFormat="1" ht="12.75" customHeight="1" x14ac:dyDescent="0.2">
      <c r="A46" s="142"/>
      <c r="B46" s="42" t="s">
        <v>67</v>
      </c>
      <c r="C46" s="529"/>
      <c r="D46" s="529"/>
      <c r="E46" s="407" t="s">
        <v>7</v>
      </c>
      <c r="F46" s="407" t="s">
        <v>17</v>
      </c>
      <c r="G46" s="529"/>
      <c r="J46" s="2"/>
      <c r="K46" s="35"/>
    </row>
    <row r="47" spans="1:11" s="34" customFormat="1" x14ac:dyDescent="0.2">
      <c r="A47" s="144"/>
      <c r="B47" s="2" t="s">
        <v>72</v>
      </c>
      <c r="C47" s="406" t="s">
        <v>174</v>
      </c>
      <c r="D47" s="406" t="s">
        <v>174</v>
      </c>
      <c r="E47" s="406" t="s">
        <v>174</v>
      </c>
      <c r="F47" s="406" t="s">
        <v>174</v>
      </c>
      <c r="G47" s="406" t="s">
        <v>174</v>
      </c>
      <c r="J47" s="6"/>
      <c r="K47" s="35"/>
    </row>
    <row r="48" spans="1:11" s="34" customFormat="1" x14ac:dyDescent="0.2">
      <c r="A48" s="144"/>
      <c r="B48" s="5" t="s">
        <v>237</v>
      </c>
      <c r="C48" s="459">
        <v>471405.83</v>
      </c>
      <c r="D48" s="315">
        <f>3605253.25+300</f>
        <v>3605553.25</v>
      </c>
      <c r="E48" s="315">
        <v>4076659.08</v>
      </c>
      <c r="F48" s="315" t="s">
        <v>437</v>
      </c>
      <c r="G48" s="315" t="s">
        <v>437</v>
      </c>
      <c r="J48" s="6"/>
      <c r="K48" s="32"/>
    </row>
    <row r="49" spans="1:11" s="34" customFormat="1" x14ac:dyDescent="0.2">
      <c r="A49" s="144"/>
      <c r="B49" s="5" t="s">
        <v>238</v>
      </c>
      <c r="C49" s="459">
        <v>148005</v>
      </c>
      <c r="D49" s="315" t="s">
        <v>437</v>
      </c>
      <c r="E49" s="315">
        <v>148005</v>
      </c>
      <c r="F49" s="315" t="s">
        <v>437</v>
      </c>
      <c r="G49" s="315" t="s">
        <v>437</v>
      </c>
      <c r="J49" s="6"/>
      <c r="K49" s="32"/>
    </row>
    <row r="50" spans="1:11" s="34" customFormat="1" x14ac:dyDescent="0.2">
      <c r="A50" s="144"/>
      <c r="B50" s="5" t="s">
        <v>279</v>
      </c>
      <c r="C50" s="459" t="s">
        <v>437</v>
      </c>
      <c r="D50" s="315">
        <v>57275</v>
      </c>
      <c r="E50" s="315">
        <v>57275</v>
      </c>
      <c r="F50" s="315" t="s">
        <v>437</v>
      </c>
      <c r="G50" s="315" t="s">
        <v>437</v>
      </c>
      <c r="J50" s="6"/>
      <c r="K50" s="32"/>
    </row>
    <row r="51" spans="1:11" s="34" customFormat="1" x14ac:dyDescent="0.2">
      <c r="A51" s="144"/>
      <c r="B51" s="5" t="s">
        <v>475</v>
      </c>
      <c r="C51" s="459">
        <v>1000000</v>
      </c>
      <c r="D51" s="315">
        <v>600000</v>
      </c>
      <c r="E51" s="315">
        <v>1572089.18</v>
      </c>
      <c r="F51" s="315" t="s">
        <v>437</v>
      </c>
      <c r="G51" s="315">
        <f>C51+D51-E51</f>
        <v>27910.820000000065</v>
      </c>
      <c r="J51" s="6"/>
      <c r="K51" s="32"/>
    </row>
    <row r="52" spans="1:11" s="34" customFormat="1" x14ac:dyDescent="0.2">
      <c r="A52" s="144"/>
      <c r="B52" s="5" t="s">
        <v>239</v>
      </c>
      <c r="C52" s="459">
        <v>1945697.01</v>
      </c>
      <c r="D52" s="315">
        <v>11471997.17</v>
      </c>
      <c r="E52" s="315">
        <v>20301144.120000001</v>
      </c>
      <c r="F52" s="315" t="s">
        <v>437</v>
      </c>
      <c r="G52" s="344">
        <f>C52+D52-E52</f>
        <v>-6883449.9400000013</v>
      </c>
      <c r="J52" s="6"/>
      <c r="K52" s="32"/>
    </row>
    <row r="53" spans="1:11" s="34" customFormat="1" x14ac:dyDescent="0.2">
      <c r="A53" s="144"/>
      <c r="B53" s="5" t="s">
        <v>240</v>
      </c>
      <c r="C53" s="459">
        <v>7259345.3700000001</v>
      </c>
      <c r="D53" s="315">
        <v>1090975.6000000001</v>
      </c>
      <c r="E53" s="315">
        <v>9511293.4700000007</v>
      </c>
      <c r="F53" s="315">
        <v>561579.94999999995</v>
      </c>
      <c r="G53" s="344">
        <f>C53+D53-E53-F53</f>
        <v>-1722552.45</v>
      </c>
      <c r="J53" s="6"/>
      <c r="K53" s="32"/>
    </row>
    <row r="54" spans="1:11" s="34" customFormat="1" x14ac:dyDescent="0.2">
      <c r="A54" s="144"/>
      <c r="B54" s="5" t="s">
        <v>241</v>
      </c>
      <c r="C54" s="459">
        <v>7746173.4800000004</v>
      </c>
      <c r="D54" s="315">
        <v>4637007.49</v>
      </c>
      <c r="E54" s="315">
        <v>12383180.970000001</v>
      </c>
      <c r="F54" s="315" t="s">
        <v>437</v>
      </c>
      <c r="G54" s="315" t="s">
        <v>437</v>
      </c>
      <c r="J54" s="6"/>
      <c r="K54" s="32"/>
    </row>
    <row r="55" spans="1:11" s="34" customFormat="1" x14ac:dyDescent="0.2">
      <c r="A55" s="144"/>
      <c r="B55" s="5" t="s">
        <v>242</v>
      </c>
      <c r="C55" s="459">
        <v>89093.29</v>
      </c>
      <c r="D55" s="315">
        <v>3766094.72</v>
      </c>
      <c r="E55" s="315">
        <v>3855188.01</v>
      </c>
      <c r="F55" s="315" t="s">
        <v>437</v>
      </c>
      <c r="G55" s="315" t="s">
        <v>437</v>
      </c>
      <c r="J55" s="6"/>
      <c r="K55" s="32"/>
    </row>
    <row r="56" spans="1:11" s="34" customFormat="1" x14ac:dyDescent="0.2">
      <c r="A56" s="144"/>
      <c r="B56" s="5" t="s">
        <v>243</v>
      </c>
      <c r="C56" s="459">
        <v>306873.05</v>
      </c>
      <c r="D56" s="315" t="s">
        <v>437</v>
      </c>
      <c r="E56" s="315">
        <v>185849.73</v>
      </c>
      <c r="F56" s="315" t="s">
        <v>437</v>
      </c>
      <c r="G56" s="315">
        <f>C56-E56</f>
        <v>121023.31999999998</v>
      </c>
      <c r="J56" s="6"/>
      <c r="K56" s="32"/>
    </row>
    <row r="57" spans="1:11" s="34" customFormat="1" x14ac:dyDescent="0.2">
      <c r="A57" s="144"/>
      <c r="B57" s="5" t="s">
        <v>244</v>
      </c>
      <c r="C57" s="459">
        <v>126800.86</v>
      </c>
      <c r="D57" s="315" t="s">
        <v>437</v>
      </c>
      <c r="E57" s="315">
        <v>126800.86</v>
      </c>
      <c r="F57" s="315" t="s">
        <v>437</v>
      </c>
      <c r="G57" s="315" t="s">
        <v>437</v>
      </c>
      <c r="J57" s="32"/>
    </row>
    <row r="58" spans="1:11" s="34" customFormat="1" x14ac:dyDescent="0.2">
      <c r="A58" s="144"/>
      <c r="B58" s="5" t="s">
        <v>476</v>
      </c>
      <c r="C58" s="459">
        <v>26006</v>
      </c>
      <c r="D58" s="315">
        <v>850002.5</v>
      </c>
      <c r="E58" s="315">
        <v>613365.63</v>
      </c>
      <c r="F58" s="315" t="s">
        <v>437</v>
      </c>
      <c r="G58" s="315">
        <f>C58+D58-E58</f>
        <v>262642.87</v>
      </c>
      <c r="J58" s="32"/>
    </row>
    <row r="59" spans="1:11" s="34" customFormat="1" x14ac:dyDescent="0.2">
      <c r="A59" s="144"/>
      <c r="B59" s="5" t="s">
        <v>280</v>
      </c>
      <c r="C59" s="459">
        <v>490000</v>
      </c>
      <c r="D59" s="315" t="s">
        <v>437</v>
      </c>
      <c r="E59" s="315">
        <v>490000</v>
      </c>
      <c r="F59" s="315" t="s">
        <v>437</v>
      </c>
      <c r="G59" s="315" t="s">
        <v>437</v>
      </c>
      <c r="J59" s="32"/>
    </row>
    <row r="60" spans="1:11" s="34" customFormat="1" ht="13.5" thickBot="1" x14ac:dyDescent="0.25">
      <c r="A60" s="144"/>
      <c r="B60" s="46"/>
      <c r="C60" s="317">
        <f>SUM(C47:C59)</f>
        <v>19609399.890000001</v>
      </c>
      <c r="D60" s="317">
        <f>SUM(D47:D59)</f>
        <v>26078905.729999997</v>
      </c>
      <c r="E60" s="317">
        <f>SUM(E47:E59)-1000</f>
        <v>53319851.049999997</v>
      </c>
      <c r="F60" s="317">
        <f>SUM(F47:F59)</f>
        <v>561579.94999999995</v>
      </c>
      <c r="G60" s="347">
        <f>C60+D60-E60-F60-1000</f>
        <v>-8194125.3799999999</v>
      </c>
    </row>
    <row r="61" spans="1:11" s="34" customFormat="1" ht="13.5" thickTop="1" x14ac:dyDescent="0.2">
      <c r="A61" s="144"/>
      <c r="B61" s="46"/>
      <c r="C61" s="19"/>
      <c r="D61" s="19"/>
      <c r="E61" s="19"/>
      <c r="F61" s="36"/>
      <c r="G61" s="36"/>
      <c r="J61" s="19"/>
      <c r="K61" s="32"/>
    </row>
    <row r="62" spans="1:11" s="34" customFormat="1" ht="25.5" x14ac:dyDescent="0.2">
      <c r="A62" s="144"/>
      <c r="B62" s="44" t="s">
        <v>73</v>
      </c>
      <c r="C62" s="2"/>
      <c r="D62" s="2"/>
      <c r="E62" s="2"/>
      <c r="F62" s="4" t="s">
        <v>37</v>
      </c>
      <c r="G62" s="4" t="s">
        <v>38</v>
      </c>
      <c r="K62" s="32"/>
    </row>
    <row r="63" spans="1:11" s="34" customFormat="1" ht="12.75" customHeight="1" x14ac:dyDescent="0.2">
      <c r="A63" s="144"/>
      <c r="B63" s="244" t="s">
        <v>74</v>
      </c>
      <c r="C63" s="6"/>
      <c r="D63" s="6"/>
      <c r="E63" s="6"/>
      <c r="F63" s="344">
        <f>G60</f>
        <v>-8194125.3799999999</v>
      </c>
      <c r="G63" s="435" t="s">
        <v>437</v>
      </c>
      <c r="K63" s="32"/>
    </row>
    <row r="64" spans="1:11" s="34" customFormat="1" ht="12.75" customHeight="1" x14ac:dyDescent="0.2">
      <c r="A64" s="144"/>
      <c r="B64" s="46" t="s">
        <v>75</v>
      </c>
      <c r="C64" s="6"/>
      <c r="D64" s="6"/>
      <c r="E64" s="6"/>
      <c r="F64" s="344" t="s">
        <v>437</v>
      </c>
      <c r="G64" s="460">
        <v>19609</v>
      </c>
      <c r="K64" s="32"/>
    </row>
    <row r="65" spans="1:11" s="34" customFormat="1" ht="13.5" thickBot="1" x14ac:dyDescent="0.25">
      <c r="A65" s="144"/>
      <c r="B65" s="46"/>
      <c r="C65" s="6"/>
      <c r="D65" s="6"/>
      <c r="E65" s="6"/>
      <c r="F65" s="347">
        <f>SUM(F63:F64)</f>
        <v>-8194125.3799999999</v>
      </c>
      <c r="G65" s="178">
        <f>SUM(G63:G64)</f>
        <v>19609</v>
      </c>
      <c r="K65" s="32"/>
    </row>
    <row r="66" spans="1:11" s="34" customFormat="1" ht="13.5" thickTop="1" x14ac:dyDescent="0.2">
      <c r="A66" s="144"/>
      <c r="B66" s="46"/>
      <c r="C66" s="6"/>
      <c r="D66" s="6"/>
      <c r="E66" s="6"/>
      <c r="F66" s="6"/>
      <c r="G66" s="6"/>
      <c r="H66" s="6"/>
      <c r="I66" s="6"/>
      <c r="J66" s="6"/>
      <c r="K66" s="35"/>
    </row>
    <row r="67" spans="1:11" s="34" customFormat="1" x14ac:dyDescent="0.2">
      <c r="A67" s="144"/>
      <c r="B67" s="46"/>
      <c r="C67" s="6"/>
      <c r="D67" s="6"/>
      <c r="E67" s="6"/>
      <c r="F67" s="6"/>
      <c r="G67" s="6"/>
      <c r="H67" s="6"/>
      <c r="I67" s="6"/>
      <c r="J67" s="6"/>
      <c r="K67" s="35"/>
    </row>
    <row r="68" spans="1:11" s="34" customFormat="1" x14ac:dyDescent="0.2">
      <c r="A68" s="141"/>
    </row>
    <row r="69" spans="1:11" s="34" customFormat="1" x14ac:dyDescent="0.2">
      <c r="A69" s="141"/>
    </row>
    <row r="70" spans="1:11" s="34" customFormat="1" ht="15.6" customHeight="1" x14ac:dyDescent="0.25">
      <c r="A70" s="358" t="s">
        <v>408</v>
      </c>
      <c r="B70" s="17" t="s">
        <v>8</v>
      </c>
      <c r="C70"/>
      <c r="D70"/>
    </row>
    <row r="71" spans="1:11" s="34" customFormat="1" ht="25.15" customHeight="1" x14ac:dyDescent="0.2">
      <c r="A71" s="142">
        <v>4.0999999999999996</v>
      </c>
      <c r="B71" s="40" t="s">
        <v>83</v>
      </c>
      <c r="C71" s="7"/>
      <c r="D71" s="7"/>
      <c r="E71" s="73"/>
      <c r="F71" s="4" t="s">
        <v>37</v>
      </c>
      <c r="G71" s="4" t="s">
        <v>38</v>
      </c>
    </row>
    <row r="72" spans="1:11" s="34" customFormat="1" x14ac:dyDescent="0.2">
      <c r="A72" s="144"/>
      <c r="B72" s="46" t="s">
        <v>77</v>
      </c>
      <c r="C72" s="6"/>
      <c r="D72" s="6"/>
      <c r="E72" s="73"/>
      <c r="F72" s="352">
        <v>84486686.209999993</v>
      </c>
      <c r="G72" s="435">
        <v>81172</v>
      </c>
      <c r="I72" s="198">
        <f>79956+1216-8602+1</f>
        <v>72571</v>
      </c>
    </row>
    <row r="73" spans="1:11" s="34" customFormat="1" x14ac:dyDescent="0.2">
      <c r="A73" s="144"/>
      <c r="B73" s="46" t="s">
        <v>78</v>
      </c>
      <c r="C73" s="6"/>
      <c r="D73" s="6"/>
      <c r="E73" s="73"/>
      <c r="F73" s="352">
        <v>12325489.439999999</v>
      </c>
      <c r="G73" s="435">
        <v>12098</v>
      </c>
      <c r="I73" s="198">
        <f>12098-1288</f>
        <v>10810</v>
      </c>
    </row>
    <row r="74" spans="1:11" s="34" customFormat="1" x14ac:dyDescent="0.2">
      <c r="A74" s="144"/>
      <c r="B74" s="46" t="s">
        <v>79</v>
      </c>
      <c r="C74" s="6"/>
      <c r="D74" s="6"/>
      <c r="E74" s="73"/>
      <c r="F74" s="352">
        <v>6469700.7999999998</v>
      </c>
      <c r="G74" s="435">
        <v>6632</v>
      </c>
      <c r="I74" s="198">
        <f>6632-734</f>
        <v>5898</v>
      </c>
    </row>
    <row r="75" spans="1:11" s="34" customFormat="1" x14ac:dyDescent="0.2">
      <c r="A75" s="144"/>
      <c r="B75" s="46" t="s">
        <v>80</v>
      </c>
      <c r="C75" s="73"/>
      <c r="D75" s="73" t="s">
        <v>354</v>
      </c>
      <c r="E75" s="73"/>
      <c r="F75" s="321">
        <v>26221625.390000001</v>
      </c>
      <c r="G75" s="435">
        <v>26564</v>
      </c>
      <c r="I75" s="198">
        <f>26564-2988</f>
        <v>23576</v>
      </c>
    </row>
    <row r="76" spans="1:11" s="34" customFormat="1" ht="13.5" thickBot="1" x14ac:dyDescent="0.25">
      <c r="A76" s="144"/>
      <c r="B76" s="46"/>
      <c r="C76" s="73"/>
      <c r="D76" s="73"/>
      <c r="E76" s="73"/>
      <c r="F76" s="317">
        <f>SUM(F72:F75)</f>
        <v>129503501.83999999</v>
      </c>
      <c r="G76" s="178">
        <f>SUM(G72:G75)</f>
        <v>126466</v>
      </c>
      <c r="I76" s="413">
        <f>SUM(I72:I75)</f>
        <v>112855</v>
      </c>
    </row>
    <row r="77" spans="1:11" s="34" customFormat="1" ht="13.5" thickTop="1" x14ac:dyDescent="0.2">
      <c r="A77" s="144"/>
      <c r="B77" s="46"/>
      <c r="C77" s="6"/>
      <c r="D77" s="6"/>
      <c r="E77" s="73"/>
      <c r="F77" s="467"/>
      <c r="G77" s="467"/>
    </row>
    <row r="78" spans="1:11" s="34" customFormat="1" x14ac:dyDescent="0.2">
      <c r="A78" s="144"/>
      <c r="B78" s="46" t="s">
        <v>81</v>
      </c>
      <c r="C78" s="6"/>
      <c r="D78" s="6"/>
      <c r="E78" s="73"/>
      <c r="F78" s="460">
        <v>864</v>
      </c>
      <c r="G78" s="460">
        <v>1034</v>
      </c>
    </row>
    <row r="79" spans="1:11" x14ac:dyDescent="0.2">
      <c r="A79" s="144"/>
      <c r="B79" s="46"/>
      <c r="C79" s="5"/>
      <c r="D79" s="5"/>
      <c r="E79" s="5"/>
      <c r="F79" s="147"/>
      <c r="G79" s="188"/>
    </row>
    <row r="80" spans="1:11" ht="13.5" thickBot="1" x14ac:dyDescent="0.25">
      <c r="A80" s="144"/>
      <c r="B80" s="2" t="s">
        <v>82</v>
      </c>
      <c r="C80" s="5"/>
      <c r="D80" s="5"/>
      <c r="E80" s="5"/>
      <c r="F80" s="322">
        <f>SUM(F76)</f>
        <v>129503501.83999999</v>
      </c>
      <c r="G80" s="183">
        <f>SUM(G76)</f>
        <v>126466</v>
      </c>
    </row>
    <row r="81" spans="1:9" ht="13.5" thickTop="1" x14ac:dyDescent="0.2">
      <c r="A81" s="151"/>
      <c r="B81" s="5"/>
      <c r="C81" s="5"/>
      <c r="D81" s="5"/>
      <c r="E81" s="5"/>
      <c r="F81" s="5"/>
      <c r="G81" s="5"/>
    </row>
    <row r="82" spans="1:9" x14ac:dyDescent="0.2">
      <c r="A82" s="151"/>
      <c r="B82" s="5"/>
      <c r="C82" s="5"/>
      <c r="D82" s="5"/>
      <c r="E82" s="5"/>
      <c r="F82" s="5"/>
      <c r="G82" s="5"/>
    </row>
    <row r="83" spans="1:9" x14ac:dyDescent="0.2">
      <c r="A83" s="151"/>
      <c r="B83" s="5"/>
      <c r="C83" s="5"/>
      <c r="D83" s="5"/>
      <c r="E83" s="5"/>
      <c r="F83" s="5"/>
      <c r="G83" s="5"/>
    </row>
    <row r="84" spans="1:9" ht="15.6" customHeight="1" x14ac:dyDescent="0.25">
      <c r="A84" s="358" t="s">
        <v>407</v>
      </c>
      <c r="B84" s="17" t="s">
        <v>10</v>
      </c>
      <c r="C84" s="5"/>
      <c r="D84" s="5"/>
      <c r="E84" s="5"/>
      <c r="F84" s="4"/>
      <c r="G84" s="4"/>
    </row>
    <row r="85" spans="1:9" ht="13.15" customHeight="1" x14ac:dyDescent="0.2">
      <c r="A85" s="142">
        <v>5.0999999999999996</v>
      </c>
      <c r="B85" s="40" t="s">
        <v>83</v>
      </c>
      <c r="C85" s="51"/>
      <c r="D85" s="7"/>
      <c r="E85" s="7"/>
      <c r="F85" s="4"/>
      <c r="G85" s="4"/>
    </row>
    <row r="86" spans="1:9" ht="12.75" customHeight="1" x14ac:dyDescent="0.2">
      <c r="A86" s="55"/>
      <c r="B86" s="40" t="s">
        <v>85</v>
      </c>
      <c r="C86" s="51"/>
      <c r="D86" s="7"/>
      <c r="E86" s="7"/>
      <c r="F86" s="5"/>
      <c r="G86" s="5"/>
    </row>
    <row r="87" spans="1:9" x14ac:dyDescent="0.2">
      <c r="A87" s="144"/>
      <c r="B87" s="46" t="s">
        <v>281</v>
      </c>
      <c r="C87" s="51"/>
      <c r="D87" s="7"/>
      <c r="E87" s="6"/>
      <c r="F87" s="352">
        <v>1083147.3</v>
      </c>
      <c r="G87" s="435">
        <f>1246</f>
        <v>1246</v>
      </c>
      <c r="H87" s="200"/>
      <c r="I87" s="198">
        <f>1246-146</f>
        <v>1100</v>
      </c>
    </row>
    <row r="88" spans="1:9" x14ac:dyDescent="0.2">
      <c r="A88" s="144"/>
      <c r="B88" s="46" t="s">
        <v>282</v>
      </c>
      <c r="C88" s="51"/>
      <c r="D88" s="7"/>
      <c r="E88" s="6"/>
      <c r="F88" s="352">
        <v>1204406.02</v>
      </c>
      <c r="G88" s="435">
        <f>495+26</f>
        <v>521</v>
      </c>
      <c r="H88" s="200"/>
      <c r="I88" s="198">
        <f>495-106</f>
        <v>389</v>
      </c>
    </row>
    <row r="89" spans="1:9" x14ac:dyDescent="0.2">
      <c r="A89" s="144"/>
      <c r="B89" s="46" t="s">
        <v>283</v>
      </c>
      <c r="C89" s="51"/>
      <c r="D89" s="7"/>
      <c r="E89" s="6"/>
      <c r="F89" s="352">
        <f>2446438.23+300</f>
        <v>2446738.23</v>
      </c>
      <c r="G89" s="435">
        <f>1923</f>
        <v>1923</v>
      </c>
      <c r="H89" s="200"/>
      <c r="I89" s="198">
        <f>1923-122</f>
        <v>1801</v>
      </c>
    </row>
    <row r="90" spans="1:9" x14ac:dyDescent="0.2">
      <c r="A90" s="144"/>
      <c r="B90" s="46" t="s">
        <v>284</v>
      </c>
      <c r="C90" s="51"/>
      <c r="D90" s="7"/>
      <c r="E90" s="6"/>
      <c r="F90" s="352">
        <v>954277.72</v>
      </c>
      <c r="G90" s="435">
        <f>921</f>
        <v>921</v>
      </c>
      <c r="H90" s="200"/>
      <c r="I90" s="198">
        <f>921-40</f>
        <v>881</v>
      </c>
    </row>
    <row r="91" spans="1:9" x14ac:dyDescent="0.2">
      <c r="A91" s="144"/>
      <c r="B91" s="46" t="s">
        <v>285</v>
      </c>
      <c r="C91" s="51"/>
      <c r="D91" s="7"/>
      <c r="E91" s="6"/>
      <c r="F91" s="352">
        <v>1622139.12</v>
      </c>
      <c r="G91" s="435">
        <f>2026</f>
        <v>2026</v>
      </c>
      <c r="H91" s="200"/>
      <c r="I91" s="198">
        <f>2026-26</f>
        <v>2000</v>
      </c>
    </row>
    <row r="92" spans="1:9" x14ac:dyDescent="0.2">
      <c r="A92" s="144"/>
      <c r="B92" s="46" t="s">
        <v>286</v>
      </c>
      <c r="C92" s="51"/>
      <c r="D92" s="7"/>
      <c r="E92" s="6"/>
      <c r="F92" s="352">
        <v>165688.35</v>
      </c>
      <c r="G92" s="435">
        <f>314</f>
        <v>314</v>
      </c>
      <c r="H92" s="200"/>
      <c r="I92" s="198">
        <f>314-4</f>
        <v>310</v>
      </c>
    </row>
    <row r="93" spans="1:9" x14ac:dyDescent="0.2">
      <c r="A93" s="144"/>
      <c r="B93" s="46" t="s">
        <v>66</v>
      </c>
      <c r="C93" s="51"/>
      <c r="D93" s="7"/>
      <c r="E93" s="5"/>
      <c r="F93" s="323">
        <v>2093554.1</v>
      </c>
      <c r="G93" s="188">
        <f>1780+2419+332</f>
        <v>4531</v>
      </c>
      <c r="H93" s="310"/>
      <c r="I93" s="188">
        <f>1780+67</f>
        <v>1847</v>
      </c>
    </row>
    <row r="94" spans="1:9" x14ac:dyDescent="0.2">
      <c r="A94" s="144"/>
      <c r="B94" s="46"/>
      <c r="C94" s="51"/>
      <c r="D94" s="7"/>
      <c r="E94" s="6"/>
      <c r="F94" s="453">
        <f>SUM(F87:F93)</f>
        <v>9569950.8399999999</v>
      </c>
      <c r="G94" s="450">
        <f>SUM(G87:G93)</f>
        <v>11482</v>
      </c>
      <c r="H94" s="69"/>
      <c r="I94" s="248">
        <f>SUM(I87:I93)</f>
        <v>8328</v>
      </c>
    </row>
    <row r="95" spans="1:9" x14ac:dyDescent="0.2">
      <c r="A95" s="144"/>
      <c r="B95" s="46"/>
      <c r="C95" s="51"/>
      <c r="D95" s="7"/>
      <c r="E95" s="6"/>
      <c r="F95" s="324"/>
      <c r="G95" s="181"/>
    </row>
    <row r="96" spans="1:9" ht="12.75" customHeight="1" x14ac:dyDescent="0.2">
      <c r="A96" s="55">
        <v>5.2</v>
      </c>
      <c r="B96" s="40" t="s">
        <v>84</v>
      </c>
      <c r="C96" s="51"/>
      <c r="D96" s="7"/>
      <c r="E96" s="7"/>
      <c r="F96" s="173"/>
      <c r="G96" s="5"/>
    </row>
    <row r="97" spans="1:9" ht="12.75" customHeight="1" x14ac:dyDescent="0.2">
      <c r="A97" s="55"/>
      <c r="B97" s="40" t="s">
        <v>85</v>
      </c>
      <c r="C97" s="51"/>
      <c r="D97" s="7"/>
      <c r="E97" s="7"/>
      <c r="F97" s="173"/>
      <c r="G97" s="5"/>
    </row>
    <row r="98" spans="1:9" x14ac:dyDescent="0.2">
      <c r="A98" s="144"/>
      <c r="B98" s="46" t="s">
        <v>282</v>
      </c>
      <c r="C98" s="51"/>
      <c r="D98" s="7"/>
      <c r="E98" s="6"/>
      <c r="F98" s="352">
        <v>3687.59</v>
      </c>
      <c r="G98" s="352" t="s">
        <v>437</v>
      </c>
    </row>
    <row r="99" spans="1:9" x14ac:dyDescent="0.2">
      <c r="A99" s="144"/>
      <c r="B99" s="46" t="s">
        <v>287</v>
      </c>
      <c r="C99" s="51"/>
      <c r="D99" s="7"/>
      <c r="E99" s="6"/>
      <c r="F99" s="352">
        <v>206470.58</v>
      </c>
      <c r="G99" s="352" t="s">
        <v>437</v>
      </c>
    </row>
    <row r="100" spans="1:9" x14ac:dyDescent="0.2">
      <c r="A100" s="144"/>
      <c r="B100" s="46" t="s">
        <v>288</v>
      </c>
      <c r="C100" s="51"/>
      <c r="D100" s="7"/>
      <c r="E100" s="6"/>
      <c r="F100" s="352">
        <v>5851.87</v>
      </c>
      <c r="G100" s="352" t="s">
        <v>437</v>
      </c>
    </row>
    <row r="101" spans="1:9" x14ac:dyDescent="0.2">
      <c r="A101" s="144"/>
      <c r="B101" s="46" t="s">
        <v>66</v>
      </c>
      <c r="C101" s="51"/>
      <c r="D101" s="7"/>
      <c r="E101" s="5"/>
      <c r="F101" s="323">
        <v>22241.14</v>
      </c>
      <c r="G101" s="372" t="s">
        <v>437</v>
      </c>
    </row>
    <row r="102" spans="1:9" x14ac:dyDescent="0.2">
      <c r="A102" s="144"/>
      <c r="B102" s="46"/>
      <c r="C102" s="51"/>
      <c r="D102" s="7"/>
      <c r="E102" s="5"/>
      <c r="F102" s="325">
        <f>SUM(F98:F101)</f>
        <v>238251.18</v>
      </c>
      <c r="G102" s="352" t="s">
        <v>437</v>
      </c>
    </row>
    <row r="103" spans="1:9" x14ac:dyDescent="0.2">
      <c r="A103" s="144"/>
      <c r="B103" s="46"/>
      <c r="C103" s="51"/>
      <c r="D103" s="7"/>
      <c r="E103" s="5"/>
      <c r="F103" s="482"/>
      <c r="G103" s="147"/>
    </row>
    <row r="104" spans="1:9" ht="13.5" thickBot="1" x14ac:dyDescent="0.25">
      <c r="A104" s="144"/>
      <c r="B104" s="40" t="s">
        <v>86</v>
      </c>
      <c r="C104" s="51"/>
      <c r="D104" s="5"/>
      <c r="E104" s="5"/>
      <c r="F104" s="322">
        <f>SUM(F94,F102)</f>
        <v>9808202.0199999996</v>
      </c>
      <c r="G104" s="183">
        <f>SUM(G94,G102)</f>
        <v>11482</v>
      </c>
    </row>
    <row r="105" spans="1:9" ht="13.5" thickTop="1" x14ac:dyDescent="0.2">
      <c r="A105" s="144"/>
      <c r="B105" s="40"/>
      <c r="C105" s="51"/>
      <c r="D105" s="5"/>
      <c r="E105" s="5"/>
      <c r="F105" s="325"/>
      <c r="G105" s="192"/>
    </row>
    <row r="106" spans="1:9" x14ac:dyDescent="0.2">
      <c r="A106" s="144"/>
      <c r="B106" s="533"/>
      <c r="C106" s="533"/>
      <c r="D106" s="6"/>
      <c r="E106" s="6"/>
      <c r="F106" s="173"/>
      <c r="G106" s="5"/>
    </row>
    <row r="107" spans="1:9" x14ac:dyDescent="0.2">
      <c r="A107" s="144"/>
      <c r="B107" s="46"/>
      <c r="C107" s="46"/>
      <c r="D107" s="5"/>
      <c r="E107" s="5"/>
      <c r="F107" s="325"/>
      <c r="G107" s="83"/>
    </row>
    <row r="108" spans="1:9" ht="15.75" x14ac:dyDescent="0.25">
      <c r="A108" s="358" t="s">
        <v>411</v>
      </c>
      <c r="B108" s="20" t="s">
        <v>87</v>
      </c>
      <c r="C108" s="5"/>
      <c r="D108" s="5"/>
      <c r="E108" s="24"/>
      <c r="F108" s="319"/>
    </row>
    <row r="109" spans="1:9" x14ac:dyDescent="0.2">
      <c r="A109" s="144"/>
      <c r="B109" s="46"/>
      <c r="C109" s="5"/>
      <c r="D109" s="5"/>
      <c r="E109" s="263" t="s">
        <v>0</v>
      </c>
      <c r="F109" s="326"/>
      <c r="G109" s="4"/>
    </row>
    <row r="110" spans="1:9" x14ac:dyDescent="0.2">
      <c r="A110" s="144"/>
      <c r="B110" s="46" t="s">
        <v>378</v>
      </c>
      <c r="C110" s="5"/>
      <c r="D110" s="5"/>
      <c r="E110" s="27"/>
      <c r="F110" s="315">
        <v>2114232.04</v>
      </c>
      <c r="G110" s="435">
        <f>2138</f>
        <v>2138</v>
      </c>
      <c r="H110" s="198"/>
      <c r="I110" s="198">
        <f>2138-380</f>
        <v>1758</v>
      </c>
    </row>
    <row r="111" spans="1:9" x14ac:dyDescent="0.2">
      <c r="A111" s="144"/>
      <c r="B111" s="46" t="s">
        <v>17</v>
      </c>
      <c r="C111" s="5"/>
      <c r="D111" s="5"/>
      <c r="E111" s="19">
        <v>6.1</v>
      </c>
      <c r="F111" s="327">
        <f>F118</f>
        <v>4385514.41</v>
      </c>
      <c r="G111" s="179">
        <f>G118</f>
        <v>7550</v>
      </c>
    </row>
    <row r="112" spans="1:9" ht="13.5" thickBot="1" x14ac:dyDescent="0.25">
      <c r="A112" s="144"/>
      <c r="B112" s="46" t="s">
        <v>213</v>
      </c>
      <c r="C112" s="5"/>
      <c r="D112" s="5"/>
      <c r="E112" s="27"/>
      <c r="F112" s="322">
        <f>SUM(F110:F111)</f>
        <v>6499746.4500000002</v>
      </c>
      <c r="G112" s="183">
        <f>SUM(G110:G111)</f>
        <v>9688</v>
      </c>
    </row>
    <row r="113" spans="1:9" ht="13.5" thickTop="1" x14ac:dyDescent="0.2">
      <c r="A113" s="144"/>
      <c r="B113" s="46"/>
      <c r="C113" s="5"/>
      <c r="D113" s="5"/>
      <c r="E113" s="27"/>
      <c r="F113" s="321"/>
      <c r="G113" s="85"/>
    </row>
    <row r="114" spans="1:9" x14ac:dyDescent="0.2">
      <c r="A114" s="55">
        <v>6.1</v>
      </c>
      <c r="B114" s="40" t="s">
        <v>214</v>
      </c>
      <c r="C114" s="51"/>
      <c r="D114" s="53"/>
      <c r="E114" s="27"/>
      <c r="F114" s="352"/>
      <c r="G114" s="467"/>
    </row>
    <row r="115" spans="1:9" ht="12.75" customHeight="1" x14ac:dyDescent="0.2">
      <c r="A115" s="144"/>
      <c r="B115" s="46" t="s">
        <v>88</v>
      </c>
      <c r="C115" s="46"/>
      <c r="D115" s="5"/>
      <c r="E115" s="203"/>
      <c r="F115" s="315">
        <v>3242856.77</v>
      </c>
      <c r="G115" s="435">
        <f>5345</f>
        <v>5345</v>
      </c>
      <c r="H115" s="198"/>
      <c r="I115" s="198">
        <f>5345-840</f>
        <v>4505</v>
      </c>
    </row>
    <row r="116" spans="1:9" ht="12.75" customHeight="1" x14ac:dyDescent="0.2">
      <c r="A116" s="144"/>
      <c r="B116" s="46" t="s">
        <v>89</v>
      </c>
      <c r="C116" s="46"/>
      <c r="D116" s="5"/>
      <c r="E116" s="203"/>
      <c r="F116" s="315">
        <f>488576.85-500</f>
        <v>488076.85</v>
      </c>
      <c r="G116" s="435">
        <f>1465</f>
        <v>1465</v>
      </c>
      <c r="H116" s="198"/>
      <c r="I116" s="198">
        <f>1465-4</f>
        <v>1461</v>
      </c>
    </row>
    <row r="117" spans="1:9" ht="12.75" customHeight="1" x14ac:dyDescent="0.2">
      <c r="A117" s="144"/>
      <c r="B117" s="46" t="s">
        <v>90</v>
      </c>
      <c r="C117" s="46"/>
      <c r="D117" s="5"/>
      <c r="E117" s="203"/>
      <c r="F117" s="315">
        <v>654580.79</v>
      </c>
      <c r="G117" s="435">
        <f>740</f>
        <v>740</v>
      </c>
      <c r="H117" s="198"/>
      <c r="I117" s="198">
        <f>740+50</f>
        <v>790</v>
      </c>
    </row>
    <row r="118" spans="1:9" ht="13.5" thickBot="1" x14ac:dyDescent="0.25">
      <c r="A118" s="144"/>
      <c r="B118" s="46"/>
      <c r="C118" s="46"/>
      <c r="D118" s="5"/>
      <c r="E118" s="203"/>
      <c r="F118" s="317">
        <f>SUM(F115:F117)</f>
        <v>4385514.41</v>
      </c>
      <c r="G118" s="178">
        <f>SUM(G115:G117)</f>
        <v>7550</v>
      </c>
      <c r="I118" s="412">
        <f>SUM(I115:I117)</f>
        <v>6756</v>
      </c>
    </row>
    <row r="119" spans="1:9" ht="13.5" thickTop="1" x14ac:dyDescent="0.2">
      <c r="A119" s="144"/>
      <c r="B119" s="46"/>
      <c r="C119" s="46"/>
      <c r="D119" s="5"/>
      <c r="E119" s="203"/>
      <c r="F119" s="83"/>
      <c r="G119" s="192"/>
    </row>
    <row r="120" spans="1:9" x14ac:dyDescent="0.2">
      <c r="A120" s="144"/>
      <c r="B120" s="46"/>
      <c r="C120" s="46"/>
      <c r="D120" s="5"/>
      <c r="E120" s="203"/>
      <c r="F120" s="83"/>
      <c r="G120" s="192"/>
    </row>
    <row r="121" spans="1:9" x14ac:dyDescent="0.2">
      <c r="A121" s="202"/>
      <c r="B121" s="46"/>
      <c r="C121" s="46"/>
      <c r="D121" s="113"/>
      <c r="E121" s="204"/>
      <c r="F121" s="5"/>
      <c r="G121" s="5"/>
    </row>
    <row r="122" spans="1:9" ht="15.75" x14ac:dyDescent="0.25">
      <c r="A122" s="358" t="s">
        <v>412</v>
      </c>
      <c r="B122" s="17" t="s">
        <v>12</v>
      </c>
      <c r="C122" s="5"/>
      <c r="D122" s="5"/>
      <c r="E122" s="24"/>
      <c r="F122" s="4"/>
      <c r="G122" s="4"/>
    </row>
    <row r="123" spans="1:9" x14ac:dyDescent="0.2">
      <c r="A123" s="144"/>
      <c r="B123" s="46"/>
      <c r="C123" s="5"/>
      <c r="D123" s="5"/>
      <c r="E123" s="263" t="s">
        <v>0</v>
      </c>
      <c r="F123" s="4"/>
      <c r="G123" s="4"/>
    </row>
    <row r="124" spans="1:9" x14ac:dyDescent="0.2">
      <c r="A124" s="144"/>
      <c r="B124" s="46" t="s">
        <v>84</v>
      </c>
      <c r="C124" s="5"/>
      <c r="D124" s="5"/>
      <c r="E124" s="19">
        <v>7.1</v>
      </c>
      <c r="F124" s="323">
        <f>F129</f>
        <v>5169002.09</v>
      </c>
      <c r="G124" s="147">
        <f>G129</f>
        <v>800</v>
      </c>
    </row>
    <row r="125" spans="1:9" ht="13.5" thickBot="1" x14ac:dyDescent="0.25">
      <c r="A125" s="144"/>
      <c r="B125" s="46" t="s">
        <v>410</v>
      </c>
      <c r="C125" s="5"/>
      <c r="D125" s="5"/>
      <c r="E125" s="27"/>
      <c r="F125" s="322">
        <f>SUM(F124:F124)</f>
        <v>5169002.09</v>
      </c>
      <c r="G125" s="58">
        <f>SUM(G124:G124)</f>
        <v>800</v>
      </c>
    </row>
    <row r="126" spans="1:9" ht="15.75" thickTop="1" x14ac:dyDescent="0.2">
      <c r="A126" s="144"/>
      <c r="B126" s="534"/>
      <c r="C126" s="534"/>
      <c r="D126" s="2"/>
      <c r="E126" s="2"/>
      <c r="F126" s="352"/>
      <c r="G126" s="467"/>
    </row>
    <row r="127" spans="1:9" x14ac:dyDescent="0.2">
      <c r="A127" s="55">
        <v>7.1</v>
      </c>
      <c r="B127" s="37" t="s">
        <v>91</v>
      </c>
      <c r="C127" s="51"/>
      <c r="D127" s="53"/>
      <c r="E127" s="53"/>
      <c r="F127" s="352"/>
      <c r="G127" s="467"/>
    </row>
    <row r="128" spans="1:9" ht="12.75" customHeight="1" x14ac:dyDescent="0.2">
      <c r="A128" s="144"/>
      <c r="B128" s="5" t="s">
        <v>268</v>
      </c>
      <c r="C128" s="46"/>
      <c r="D128" s="6"/>
      <c r="E128" s="6"/>
      <c r="F128" s="352">
        <v>5169002.09</v>
      </c>
      <c r="G128" s="435">
        <v>800</v>
      </c>
    </row>
    <row r="129" spans="1:9" ht="13.5" thickBot="1" x14ac:dyDescent="0.25">
      <c r="A129" s="144"/>
      <c r="B129" s="46"/>
      <c r="C129" s="46"/>
      <c r="D129" s="5"/>
      <c r="E129" s="5"/>
      <c r="F129" s="317">
        <f>SUM(F128:F128)</f>
        <v>5169002.09</v>
      </c>
      <c r="G129" s="148">
        <f>SUM(G128:G128)</f>
        <v>800</v>
      </c>
    </row>
    <row r="130" spans="1:9" ht="13.5" thickTop="1" x14ac:dyDescent="0.2">
      <c r="A130" s="151"/>
      <c r="B130" s="46"/>
      <c r="C130" s="5"/>
      <c r="D130" s="5"/>
    </row>
    <row r="131" spans="1:9" x14ac:dyDescent="0.2">
      <c r="A131" s="151"/>
      <c r="B131" s="46"/>
      <c r="C131" s="5"/>
      <c r="D131" s="5"/>
    </row>
    <row r="132" spans="1:9" x14ac:dyDescent="0.2">
      <c r="A132" s="151"/>
      <c r="B132" s="46"/>
      <c r="C132" s="5"/>
      <c r="D132" s="5"/>
    </row>
    <row r="133" spans="1:9" x14ac:dyDescent="0.2">
      <c r="A133" s="151"/>
      <c r="B133" s="46"/>
      <c r="C133" s="5"/>
      <c r="D133" s="5"/>
    </row>
    <row r="134" spans="1:9" ht="15.75" x14ac:dyDescent="0.25">
      <c r="A134" s="358" t="s">
        <v>413</v>
      </c>
      <c r="B134" s="20" t="s">
        <v>13</v>
      </c>
      <c r="C134" s="5"/>
      <c r="D134" s="5"/>
    </row>
    <row r="135" spans="1:9" ht="26.45" customHeight="1" x14ac:dyDescent="0.2">
      <c r="A135" s="142">
        <v>8.1</v>
      </c>
      <c r="B135" s="40" t="s">
        <v>83</v>
      </c>
      <c r="C135" s="4"/>
      <c r="D135" s="4"/>
      <c r="E135" s="5"/>
      <c r="F135" s="4" t="s">
        <v>37</v>
      </c>
      <c r="G135" s="4" t="s">
        <v>38</v>
      </c>
    </row>
    <row r="136" spans="1:9" x14ac:dyDescent="0.2">
      <c r="A136" s="144"/>
      <c r="B136" s="46" t="s">
        <v>95</v>
      </c>
      <c r="C136" s="6"/>
      <c r="D136" s="6"/>
      <c r="E136" s="5"/>
      <c r="F136" s="352">
        <v>1782855.31</v>
      </c>
      <c r="G136" s="435">
        <v>1155</v>
      </c>
      <c r="H136" s="198"/>
      <c r="I136" s="198">
        <v>1155</v>
      </c>
    </row>
    <row r="137" spans="1:9" x14ac:dyDescent="0.2">
      <c r="A137" s="144"/>
      <c r="B137" s="46" t="s">
        <v>92</v>
      </c>
      <c r="C137" s="6"/>
      <c r="D137" s="6"/>
      <c r="E137" s="5"/>
      <c r="F137" s="352">
        <v>32128119.800000001</v>
      </c>
      <c r="G137" s="435">
        <f>46762-1</f>
        <v>46761</v>
      </c>
      <c r="H137" s="198"/>
      <c r="I137" s="198">
        <f>46762-1-976</f>
        <v>45785</v>
      </c>
    </row>
    <row r="138" spans="1:9" x14ac:dyDescent="0.2">
      <c r="A138" s="144"/>
      <c r="B138" s="46" t="s">
        <v>93</v>
      </c>
      <c r="C138" s="6"/>
      <c r="D138" s="6"/>
      <c r="E138" s="5"/>
      <c r="F138" s="352">
        <v>36479698.350000001</v>
      </c>
      <c r="G138" s="435">
        <f>28522</f>
        <v>28522</v>
      </c>
      <c r="H138" s="198"/>
      <c r="I138" s="198">
        <f>28522-482</f>
        <v>28040</v>
      </c>
    </row>
    <row r="139" spans="1:9" x14ac:dyDescent="0.2">
      <c r="A139" s="144"/>
      <c r="B139" s="46" t="s">
        <v>94</v>
      </c>
      <c r="C139" s="6"/>
      <c r="D139" s="6"/>
      <c r="E139" s="5"/>
      <c r="F139" s="352">
        <v>2723184.28</v>
      </c>
      <c r="G139" s="435">
        <f>1028</f>
        <v>1028</v>
      </c>
      <c r="H139" s="198"/>
      <c r="I139" s="198">
        <f>1028-574</f>
        <v>454</v>
      </c>
    </row>
    <row r="140" spans="1:9" x14ac:dyDescent="0.2">
      <c r="A140" s="144"/>
      <c r="B140" s="46" t="s">
        <v>66</v>
      </c>
      <c r="C140" s="5"/>
      <c r="D140" s="5"/>
      <c r="E140" s="5"/>
      <c r="F140" s="352">
        <v>2099227.9</v>
      </c>
      <c r="G140" s="435">
        <f>695</f>
        <v>695</v>
      </c>
      <c r="H140" s="198"/>
      <c r="I140" s="198">
        <f>695+190</f>
        <v>885</v>
      </c>
    </row>
    <row r="141" spans="1:9" x14ac:dyDescent="0.2">
      <c r="A141" s="144"/>
      <c r="B141" s="46"/>
      <c r="C141" s="5"/>
      <c r="D141" s="5"/>
      <c r="E141" s="5"/>
      <c r="F141" s="329">
        <f>SUM(F136:F140)</f>
        <v>75213085.640000015</v>
      </c>
      <c r="G141" s="196">
        <f>SUM(G136:G140)</f>
        <v>78161</v>
      </c>
      <c r="I141" s="412">
        <f>SUM(I136:I140)</f>
        <v>76319</v>
      </c>
    </row>
    <row r="142" spans="1:9" ht="13.15" customHeight="1" x14ac:dyDescent="0.2">
      <c r="A142" s="142">
        <v>8.1999999999999993</v>
      </c>
      <c r="B142" s="40" t="s">
        <v>84</v>
      </c>
      <c r="C142" s="7"/>
      <c r="D142" s="7"/>
      <c r="E142" s="5"/>
      <c r="F142" s="326"/>
      <c r="G142" s="197"/>
    </row>
    <row r="143" spans="1:9" x14ac:dyDescent="0.2">
      <c r="A143" s="144"/>
      <c r="B143" s="46" t="s">
        <v>92</v>
      </c>
      <c r="C143" s="6"/>
      <c r="D143" s="6"/>
      <c r="E143" s="5"/>
      <c r="F143" s="352">
        <v>266975.06</v>
      </c>
      <c r="G143" s="435">
        <v>715</v>
      </c>
    </row>
    <row r="144" spans="1:9" x14ac:dyDescent="0.2">
      <c r="A144" s="144"/>
      <c r="B144" s="46" t="s">
        <v>93</v>
      </c>
      <c r="C144" s="5"/>
      <c r="D144" s="5"/>
      <c r="E144" s="5"/>
      <c r="F144" s="372">
        <v>129667.19</v>
      </c>
      <c r="G144" s="435">
        <v>644</v>
      </c>
    </row>
    <row r="145" spans="1:9" x14ac:dyDescent="0.2">
      <c r="A145" s="144"/>
      <c r="B145" s="46"/>
      <c r="C145" s="5"/>
      <c r="D145" s="5"/>
      <c r="E145" s="5"/>
      <c r="F145" s="326">
        <f>SUM(F143:F144)</f>
        <v>396642.25</v>
      </c>
      <c r="G145" s="196">
        <f>SUM(G143:G144)</f>
        <v>1359</v>
      </c>
    </row>
    <row r="146" spans="1:9" x14ac:dyDescent="0.2">
      <c r="A146" s="144"/>
      <c r="B146" s="46"/>
      <c r="C146" s="5"/>
      <c r="D146" s="5"/>
      <c r="E146" s="5"/>
      <c r="F146" s="323"/>
      <c r="G146" s="188"/>
    </row>
    <row r="147" spans="1:9" ht="12.75" customHeight="1" thickBot="1" x14ac:dyDescent="0.25">
      <c r="A147" s="55"/>
      <c r="B147" s="40" t="s">
        <v>96</v>
      </c>
      <c r="C147" s="4"/>
      <c r="D147" s="4"/>
      <c r="E147" s="5"/>
      <c r="F147" s="461">
        <f>SUM(F141,F145)</f>
        <v>75609727.890000015</v>
      </c>
      <c r="G147" s="436">
        <f>SUM(G141,G145)</f>
        <v>79520</v>
      </c>
    </row>
    <row r="148" spans="1:9" ht="12.75" customHeight="1" thickTop="1" x14ac:dyDescent="0.2">
      <c r="A148" s="55"/>
      <c r="B148" s="40"/>
      <c r="C148" s="4"/>
      <c r="D148" s="4"/>
      <c r="E148" s="5"/>
      <c r="F148" s="331"/>
      <c r="G148" s="210"/>
    </row>
    <row r="149" spans="1:9" ht="12.75" customHeight="1" x14ac:dyDescent="0.2">
      <c r="A149" s="55"/>
      <c r="B149" s="40"/>
      <c r="C149" s="4"/>
      <c r="D149" s="4"/>
      <c r="E149" s="5"/>
      <c r="F149" s="331"/>
      <c r="G149" s="210"/>
    </row>
    <row r="150" spans="1:9" x14ac:dyDescent="0.2">
      <c r="F150" s="319"/>
    </row>
    <row r="151" spans="1:9" ht="15.75" x14ac:dyDescent="0.25">
      <c r="A151" s="358" t="s">
        <v>414</v>
      </c>
      <c r="B151" s="17" t="s">
        <v>14</v>
      </c>
      <c r="F151" s="326" t="s">
        <v>354</v>
      </c>
      <c r="G151" s="4"/>
    </row>
    <row r="152" spans="1:9" ht="13.15" customHeight="1" x14ac:dyDescent="0.2">
      <c r="A152" s="55"/>
      <c r="B152" s="5"/>
      <c r="C152" s="4"/>
      <c r="D152" s="4"/>
      <c r="E152" s="263" t="s">
        <v>0</v>
      </c>
      <c r="F152" s="326"/>
      <c r="G152" s="4"/>
    </row>
    <row r="153" spans="1:9" ht="13.15" customHeight="1" x14ac:dyDescent="0.2">
      <c r="A153" s="55"/>
      <c r="B153" t="s">
        <v>473</v>
      </c>
      <c r="C153" s="27"/>
      <c r="D153" s="292"/>
      <c r="E153" s="312" t="s">
        <v>380</v>
      </c>
      <c r="F153" s="315">
        <f>F159</f>
        <v>1098395000</v>
      </c>
      <c r="G153" s="182">
        <f>G159</f>
        <v>800771</v>
      </c>
      <c r="I153" t="s">
        <v>481</v>
      </c>
    </row>
    <row r="154" spans="1:9" s="5" customFormat="1" ht="13.5" thickBot="1" x14ac:dyDescent="0.25">
      <c r="A154" s="150"/>
      <c r="B154" s="40"/>
      <c r="E154" s="25"/>
      <c r="F154" s="477">
        <f>SUM(F153:F153)</f>
        <v>1098395000</v>
      </c>
      <c r="G154" s="478">
        <f>SUM(G153:G153)</f>
        <v>800771</v>
      </c>
    </row>
    <row r="155" spans="1:9" s="5" customFormat="1" ht="13.5" thickTop="1" x14ac:dyDescent="0.2">
      <c r="A155" s="150"/>
      <c r="B155" s="40"/>
      <c r="E155" s="25"/>
      <c r="F155" s="257"/>
      <c r="G155" s="258"/>
    </row>
    <row r="156" spans="1:9" s="5" customFormat="1" hidden="1" x14ac:dyDescent="0.2">
      <c r="A156" s="150"/>
      <c r="B156" s="241" t="s">
        <v>379</v>
      </c>
      <c r="C156" s="27"/>
      <c r="D156" s="292"/>
      <c r="E156" s="27"/>
      <c r="F156" s="51"/>
      <c r="G156" s="51"/>
    </row>
    <row r="157" spans="1:9" s="5" customFormat="1" hidden="1" x14ac:dyDescent="0.2">
      <c r="A157" s="150"/>
      <c r="B157" s="52" t="s">
        <v>17</v>
      </c>
      <c r="E157" s="182"/>
      <c r="F157" s="318">
        <v>230500000</v>
      </c>
      <c r="G157" s="182">
        <v>172000</v>
      </c>
      <c r="H157" s="182"/>
    </row>
    <row r="158" spans="1:9" s="5" customFormat="1" hidden="1" x14ac:dyDescent="0.2">
      <c r="A158" s="150"/>
      <c r="B158" s="52" t="s">
        <v>7</v>
      </c>
      <c r="E158" s="25"/>
      <c r="F158" s="318">
        <v>867895000</v>
      </c>
      <c r="G158" s="182">
        <f>628771</f>
        <v>628771</v>
      </c>
      <c r="H158" s="182"/>
      <c r="I158" s="182">
        <f>628771+23081</f>
        <v>651852</v>
      </c>
    </row>
    <row r="159" spans="1:9" s="5" customFormat="1" ht="13.5" hidden="1" thickBot="1" x14ac:dyDescent="0.25">
      <c r="A159" s="150"/>
      <c r="B159" s="52"/>
      <c r="E159" s="25"/>
      <c r="F159" s="371">
        <f>SUM(F157:F158)</f>
        <v>1098395000</v>
      </c>
      <c r="G159" s="187">
        <f>SUM(G157:G158)</f>
        <v>800771</v>
      </c>
    </row>
    <row r="160" spans="1:9" s="5" customFormat="1" ht="13.5" hidden="1" thickTop="1" x14ac:dyDescent="0.2">
      <c r="A160" s="150"/>
      <c r="F160" s="173"/>
    </row>
    <row r="161" spans="1:9" s="5" customFormat="1" x14ac:dyDescent="0.2">
      <c r="A161" s="151"/>
      <c r="F161" s="173"/>
    </row>
    <row r="162" spans="1:9" ht="15.75" x14ac:dyDescent="0.25">
      <c r="A162" s="358" t="s">
        <v>415</v>
      </c>
      <c r="B162" s="17" t="s">
        <v>15</v>
      </c>
      <c r="E162" s="24"/>
      <c r="F162" s="326"/>
      <c r="G162" s="4"/>
    </row>
    <row r="163" spans="1:9" ht="13.15" customHeight="1" x14ac:dyDescent="0.2">
      <c r="A163" s="142">
        <v>10.1</v>
      </c>
      <c r="B163" s="40" t="s">
        <v>83</v>
      </c>
      <c r="C163" s="4"/>
      <c r="D163" s="4"/>
      <c r="E163" s="263" t="s">
        <v>0</v>
      </c>
      <c r="F163" s="326"/>
      <c r="G163" s="4"/>
    </row>
    <row r="164" spans="1:9" ht="13.15" customHeight="1" x14ac:dyDescent="0.2">
      <c r="A164" s="151"/>
      <c r="B164" s="46" t="s">
        <v>97</v>
      </c>
      <c r="C164" s="46"/>
      <c r="D164" s="46"/>
      <c r="E164" s="19">
        <v>10.199999999999999</v>
      </c>
      <c r="F164" s="352">
        <f>F176</f>
        <v>3166</v>
      </c>
      <c r="G164" s="435">
        <f>G176</f>
        <v>33</v>
      </c>
    </row>
    <row r="165" spans="1:9" x14ac:dyDescent="0.2">
      <c r="A165" s="151"/>
      <c r="B165" s="46" t="s">
        <v>98</v>
      </c>
      <c r="C165" s="46"/>
      <c r="D165" s="46"/>
      <c r="E165" s="19">
        <v>10.3</v>
      </c>
      <c r="F165" s="352">
        <f>F185</f>
        <v>208116.29</v>
      </c>
      <c r="G165" s="435">
        <f>G185</f>
        <v>101</v>
      </c>
    </row>
    <row r="166" spans="1:9" ht="13.15" customHeight="1" x14ac:dyDescent="0.2">
      <c r="A166" s="151"/>
      <c r="B166" s="46" t="s">
        <v>264</v>
      </c>
      <c r="C166" s="46"/>
      <c r="D166" s="46"/>
      <c r="E166" s="27"/>
      <c r="F166" s="323" t="s">
        <v>437</v>
      </c>
      <c r="G166" s="188">
        <v>2000</v>
      </c>
    </row>
    <row r="167" spans="1:9" x14ac:dyDescent="0.2">
      <c r="A167" s="143"/>
      <c r="B167" s="46"/>
      <c r="C167" s="46"/>
      <c r="D167" s="46"/>
      <c r="E167" s="26"/>
      <c r="F167" s="453">
        <f>SUM(F164:F166)</f>
        <v>211282.29</v>
      </c>
      <c r="G167" s="450">
        <f>SUM(G164:G166)</f>
        <v>2134</v>
      </c>
    </row>
    <row r="168" spans="1:9" x14ac:dyDescent="0.2">
      <c r="A168" s="143"/>
      <c r="B168" s="46"/>
      <c r="C168" s="46"/>
      <c r="D168" s="46"/>
      <c r="E168" s="5"/>
      <c r="F168" s="323"/>
      <c r="G168" s="188"/>
    </row>
    <row r="169" spans="1:9" ht="13.5" thickBot="1" x14ac:dyDescent="0.25">
      <c r="A169" s="151"/>
      <c r="B169" s="40" t="s">
        <v>99</v>
      </c>
      <c r="C169" s="5"/>
      <c r="D169" s="5"/>
      <c r="E169" s="5"/>
      <c r="F169" s="322">
        <f>SUM(F167)</f>
        <v>211282.29</v>
      </c>
      <c r="G169" s="183">
        <f>SUM(G167)</f>
        <v>2134</v>
      </c>
    </row>
    <row r="170" spans="1:9" ht="13.5" thickTop="1" x14ac:dyDescent="0.2">
      <c r="A170" s="143"/>
      <c r="B170" s="46"/>
      <c r="C170" s="6"/>
      <c r="D170" s="6"/>
      <c r="E170" s="5"/>
      <c r="F170" s="5"/>
      <c r="G170" s="5"/>
    </row>
    <row r="171" spans="1:9" x14ac:dyDescent="0.2">
      <c r="A171" s="55">
        <v>10.199999999999999</v>
      </c>
      <c r="B171" s="37" t="s">
        <v>97</v>
      </c>
      <c r="C171" s="5"/>
      <c r="D171" s="5"/>
      <c r="E171" s="5"/>
      <c r="F171" s="4"/>
      <c r="G171" s="4"/>
    </row>
    <row r="172" spans="1:9" x14ac:dyDescent="0.2">
      <c r="A172" s="151"/>
      <c r="B172" s="40" t="s">
        <v>100</v>
      </c>
      <c r="C172" s="7"/>
      <c r="D172" s="5"/>
      <c r="E172" s="5"/>
      <c r="F172" s="5"/>
      <c r="G172" s="5"/>
    </row>
    <row r="173" spans="1:9" x14ac:dyDescent="0.2">
      <c r="A173" s="142"/>
      <c r="B173" s="5" t="s">
        <v>262</v>
      </c>
      <c r="C173" s="5"/>
      <c r="D173" s="5"/>
      <c r="E173" s="5"/>
      <c r="F173" s="352" t="s">
        <v>437</v>
      </c>
      <c r="G173" s="435">
        <f>16+15+2</f>
        <v>33</v>
      </c>
      <c r="I173" s="208"/>
    </row>
    <row r="174" spans="1:9" x14ac:dyDescent="0.2">
      <c r="A174" s="142"/>
      <c r="B174" s="46" t="s">
        <v>269</v>
      </c>
      <c r="C174" s="5"/>
      <c r="D174" s="5"/>
      <c r="E174" s="5"/>
      <c r="F174" s="352">
        <v>916</v>
      </c>
      <c r="G174" s="435" t="s">
        <v>437</v>
      </c>
      <c r="I174" s="208"/>
    </row>
    <row r="175" spans="1:9" x14ac:dyDescent="0.2">
      <c r="A175" s="142"/>
      <c r="B175" s="46" t="s">
        <v>299</v>
      </c>
      <c r="C175" s="5"/>
      <c r="D175" s="5"/>
      <c r="E175" s="5"/>
      <c r="F175" s="352">
        <v>2250</v>
      </c>
      <c r="G175" s="435" t="s">
        <v>437</v>
      </c>
      <c r="I175" s="208"/>
    </row>
    <row r="176" spans="1:9" ht="13.5" thickBot="1" x14ac:dyDescent="0.25">
      <c r="A176" s="142"/>
      <c r="B176" s="46"/>
      <c r="C176" s="5"/>
      <c r="D176" s="5"/>
      <c r="E176" s="5"/>
      <c r="F176" s="317">
        <f>SUM(F173:F175)</f>
        <v>3166</v>
      </c>
      <c r="G176" s="148">
        <f>SUM(G173:G175)</f>
        <v>33</v>
      </c>
      <c r="I176" s="208"/>
    </row>
    <row r="177" spans="1:9" ht="13.5" thickTop="1" x14ac:dyDescent="0.2">
      <c r="A177" s="55"/>
      <c r="B177" s="46"/>
      <c r="C177" s="5"/>
      <c r="D177" s="5"/>
      <c r="E177" s="5"/>
      <c r="F177" s="173"/>
      <c r="G177" s="5"/>
      <c r="I177" s="208"/>
    </row>
    <row r="178" spans="1:9" ht="25.5" customHeight="1" x14ac:dyDescent="0.2">
      <c r="A178" s="55">
        <v>10.3</v>
      </c>
      <c r="B178" s="526" t="s">
        <v>101</v>
      </c>
      <c r="C178" s="527"/>
      <c r="D178" s="527"/>
      <c r="E178" s="527"/>
      <c r="F178" s="326"/>
      <c r="G178" s="4"/>
      <c r="I178" s="208"/>
    </row>
    <row r="179" spans="1:9" x14ac:dyDescent="0.2">
      <c r="A179" s="151"/>
      <c r="B179" s="40" t="s">
        <v>102</v>
      </c>
      <c r="C179" s="7"/>
      <c r="D179" s="5"/>
      <c r="E179" s="5"/>
      <c r="F179" s="173"/>
      <c r="G179" s="5"/>
      <c r="I179" s="208"/>
    </row>
    <row r="180" spans="1:9" x14ac:dyDescent="0.2">
      <c r="A180" s="142"/>
      <c r="B180" s="46" t="s">
        <v>263</v>
      </c>
      <c r="C180" s="8"/>
      <c r="D180" s="5"/>
      <c r="E180" s="5"/>
      <c r="F180" s="352" t="s">
        <v>437</v>
      </c>
      <c r="G180" s="467">
        <v>100</v>
      </c>
      <c r="I180" s="208"/>
    </row>
    <row r="181" spans="1:9" x14ac:dyDescent="0.2">
      <c r="A181" s="142"/>
      <c r="B181" s="46" t="s">
        <v>482</v>
      </c>
      <c r="C181" s="8"/>
      <c r="D181" s="5"/>
      <c r="E181" s="5"/>
      <c r="F181" s="352" t="s">
        <v>437</v>
      </c>
      <c r="G181" s="467">
        <v>1</v>
      </c>
      <c r="I181" s="208"/>
    </row>
    <row r="182" spans="1:9" x14ac:dyDescent="0.2">
      <c r="A182" s="142"/>
      <c r="B182" s="46" t="s">
        <v>270</v>
      </c>
      <c r="C182" s="8"/>
      <c r="D182" s="5"/>
      <c r="E182" s="5"/>
      <c r="F182" s="352">
        <v>100000</v>
      </c>
      <c r="G182" s="467" t="s">
        <v>437</v>
      </c>
      <c r="I182" s="208"/>
    </row>
    <row r="183" spans="1:9" x14ac:dyDescent="0.2">
      <c r="A183" s="142"/>
      <c r="B183" s="46" t="s">
        <v>271</v>
      </c>
      <c r="C183" s="8"/>
      <c r="D183" s="5"/>
      <c r="E183" s="5"/>
      <c r="F183" s="352">
        <v>100000</v>
      </c>
      <c r="G183" s="467" t="s">
        <v>437</v>
      </c>
      <c r="I183" s="208"/>
    </row>
    <row r="184" spans="1:9" x14ac:dyDescent="0.2">
      <c r="A184" s="142"/>
      <c r="B184" s="46" t="s">
        <v>300</v>
      </c>
      <c r="C184" s="8"/>
      <c r="D184" s="5"/>
      <c r="E184" s="5"/>
      <c r="F184" s="352">
        <v>8116.29</v>
      </c>
      <c r="G184" s="435" t="s">
        <v>437</v>
      </c>
      <c r="I184" s="208"/>
    </row>
    <row r="185" spans="1:9" ht="13.5" thickBot="1" x14ac:dyDescent="0.25">
      <c r="A185" s="142"/>
      <c r="B185" s="46"/>
      <c r="C185" s="5"/>
      <c r="D185" s="5"/>
      <c r="E185" s="5"/>
      <c r="F185" s="317">
        <f>SUM(F180:F184)</f>
        <v>208116.29</v>
      </c>
      <c r="G185" s="148">
        <f>SUM(G180:G184)</f>
        <v>101</v>
      </c>
      <c r="I185" s="208"/>
    </row>
    <row r="186" spans="1:9" ht="13.5" thickTop="1" x14ac:dyDescent="0.2">
      <c r="A186" s="142"/>
      <c r="B186" s="46"/>
      <c r="C186" s="5"/>
      <c r="D186" s="5"/>
      <c r="E186" s="5"/>
      <c r="F186" s="14"/>
      <c r="G186" s="14"/>
      <c r="I186" s="208"/>
    </row>
    <row r="187" spans="1:9" x14ac:dyDescent="0.2">
      <c r="A187" s="142"/>
      <c r="B187" s="46"/>
      <c r="C187" s="8"/>
      <c r="I187" s="208"/>
    </row>
    <row r="188" spans="1:9" x14ac:dyDescent="0.2">
      <c r="B188" s="46"/>
      <c r="I188" s="208"/>
    </row>
    <row r="189" spans="1:9" ht="15.6" customHeight="1" x14ac:dyDescent="0.25">
      <c r="A189" s="358" t="s">
        <v>416</v>
      </c>
      <c r="B189" s="20" t="s">
        <v>103</v>
      </c>
      <c r="C189" t="s">
        <v>232</v>
      </c>
      <c r="I189" s="208"/>
    </row>
    <row r="190" spans="1:9" ht="25.5" x14ac:dyDescent="0.2">
      <c r="A190" s="55"/>
      <c r="B190" s="21"/>
      <c r="C190" s="5"/>
      <c r="D190" s="5"/>
      <c r="E190" s="263" t="s">
        <v>0</v>
      </c>
      <c r="F190" s="4" t="s">
        <v>37</v>
      </c>
      <c r="G190" s="4" t="s">
        <v>38</v>
      </c>
    </row>
    <row r="191" spans="1:9" x14ac:dyDescent="0.2">
      <c r="A191" s="151"/>
      <c r="B191" s="46" t="s">
        <v>104</v>
      </c>
      <c r="C191" s="6"/>
      <c r="D191" s="6"/>
      <c r="E191" s="19">
        <v>11.1</v>
      </c>
      <c r="F191" s="352">
        <f>F199</f>
        <v>8290.58</v>
      </c>
      <c r="G191" s="467">
        <f>G199</f>
        <v>3</v>
      </c>
    </row>
    <row r="192" spans="1:9" x14ac:dyDescent="0.2">
      <c r="A192" s="151"/>
      <c r="B192" s="46" t="s">
        <v>105</v>
      </c>
      <c r="C192" s="6"/>
      <c r="D192" s="6"/>
      <c r="E192" s="19">
        <v>11.2</v>
      </c>
      <c r="F192" s="352">
        <f>F204</f>
        <v>66737.460000000006</v>
      </c>
      <c r="G192" s="467">
        <f>G204</f>
        <v>36</v>
      </c>
    </row>
    <row r="193" spans="1:7" x14ac:dyDescent="0.2">
      <c r="A193" s="151"/>
      <c r="B193" s="46" t="s">
        <v>43</v>
      </c>
      <c r="C193" s="5"/>
      <c r="D193" s="5"/>
      <c r="E193" s="19">
        <v>11.4</v>
      </c>
      <c r="F193" s="352">
        <f>F218</f>
        <v>65394.18</v>
      </c>
      <c r="G193" s="467">
        <f>G218</f>
        <v>36</v>
      </c>
    </row>
    <row r="194" spans="1:7" ht="13.5" thickBot="1" x14ac:dyDescent="0.25">
      <c r="A194" s="143"/>
      <c r="B194" s="3"/>
      <c r="C194" s="5"/>
      <c r="D194" s="5"/>
      <c r="E194" s="26"/>
      <c r="F194" s="317">
        <f>SUM(F191:F193)</f>
        <v>140422.22</v>
      </c>
      <c r="G194" s="148">
        <f>SUM(G191:G193)</f>
        <v>75</v>
      </c>
    </row>
    <row r="195" spans="1:7" ht="13.5" thickTop="1" x14ac:dyDescent="0.2">
      <c r="A195" s="143"/>
      <c r="B195" s="3"/>
      <c r="C195" s="5"/>
      <c r="D195" s="5"/>
      <c r="E195" s="5"/>
      <c r="F195" s="325"/>
      <c r="G195" s="83"/>
    </row>
    <row r="196" spans="1:7" s="154" customFormat="1" ht="13.15" customHeight="1" x14ac:dyDescent="0.2">
      <c r="A196" s="167">
        <v>11.1</v>
      </c>
      <c r="B196" s="168" t="s">
        <v>104</v>
      </c>
      <c r="C196" s="205"/>
      <c r="D196" s="205"/>
      <c r="E196" s="205"/>
      <c r="F196" s="332"/>
      <c r="G196" s="169"/>
    </row>
    <row r="197" spans="1:7" s="34" customFormat="1" x14ac:dyDescent="0.2">
      <c r="A197" s="151"/>
      <c r="B197" s="2" t="s">
        <v>106</v>
      </c>
      <c r="C197" s="2"/>
      <c r="D197" s="73"/>
      <c r="E197" s="73"/>
      <c r="F197" s="326"/>
      <c r="G197" s="4"/>
    </row>
    <row r="198" spans="1:7" s="34" customFormat="1" x14ac:dyDescent="0.2">
      <c r="A198" s="142"/>
      <c r="B198" s="5" t="s">
        <v>245</v>
      </c>
      <c r="C198" s="8"/>
      <c r="D198" s="73"/>
      <c r="E198" s="73"/>
      <c r="F198" s="352">
        <v>8290.58</v>
      </c>
      <c r="G198" s="435">
        <v>3</v>
      </c>
    </row>
    <row r="199" spans="1:7" s="34" customFormat="1" ht="13.5" thickBot="1" x14ac:dyDescent="0.25">
      <c r="A199" s="142"/>
      <c r="B199" s="46"/>
      <c r="C199" s="73"/>
      <c r="D199" s="73"/>
      <c r="E199" s="73"/>
      <c r="F199" s="317">
        <f>SUM(F198:F198)</f>
        <v>8290.58</v>
      </c>
      <c r="G199" s="178">
        <f>SUM(G198:G198)</f>
        <v>3</v>
      </c>
    </row>
    <row r="200" spans="1:7" s="34" customFormat="1" ht="13.5" thickTop="1" x14ac:dyDescent="0.2">
      <c r="A200" s="142"/>
      <c r="B200" s="46"/>
      <c r="C200" s="73"/>
      <c r="D200" s="73"/>
      <c r="E200" s="73"/>
      <c r="F200" s="314"/>
      <c r="G200" s="184"/>
    </row>
    <row r="201" spans="1:7" ht="13.15" customHeight="1" x14ac:dyDescent="0.2">
      <c r="A201" s="167">
        <v>11.2</v>
      </c>
      <c r="B201" s="526" t="s">
        <v>107</v>
      </c>
      <c r="C201" s="527"/>
      <c r="D201" s="527"/>
      <c r="E201" s="527"/>
      <c r="F201" s="173"/>
      <c r="G201" s="5"/>
    </row>
    <row r="202" spans="1:7" s="34" customFormat="1" x14ac:dyDescent="0.2">
      <c r="A202" s="151"/>
      <c r="B202" s="2" t="s">
        <v>106</v>
      </c>
      <c r="C202" s="4"/>
      <c r="D202" s="73"/>
      <c r="E202" s="73"/>
      <c r="F202" s="326"/>
      <c r="G202" s="4"/>
    </row>
    <row r="203" spans="1:7" s="34" customFormat="1" x14ac:dyDescent="0.2">
      <c r="A203" s="142"/>
      <c r="B203" s="5" t="s">
        <v>246</v>
      </c>
      <c r="C203" s="8"/>
      <c r="D203" s="73"/>
      <c r="E203" s="73"/>
      <c r="F203" s="352">
        <v>66737.460000000006</v>
      </c>
      <c r="G203" s="435">
        <v>36</v>
      </c>
    </row>
    <row r="204" spans="1:7" s="34" customFormat="1" ht="13.5" thickBot="1" x14ac:dyDescent="0.25">
      <c r="A204" s="142"/>
      <c r="B204" s="46"/>
      <c r="C204" s="73"/>
      <c r="D204" s="73"/>
      <c r="E204" s="73"/>
      <c r="F204" s="317">
        <f>SUM(F203:F203)</f>
        <v>66737.460000000006</v>
      </c>
      <c r="G204" s="178">
        <f>SUM(G203:G203)</f>
        <v>36</v>
      </c>
    </row>
    <row r="205" spans="1:7" s="34" customFormat="1" ht="13.5" thickTop="1" x14ac:dyDescent="0.2">
      <c r="A205" s="55"/>
      <c r="B205" s="46"/>
      <c r="C205" s="73"/>
      <c r="D205" s="73"/>
      <c r="E205" s="73"/>
      <c r="F205" s="73"/>
      <c r="G205" s="73"/>
    </row>
    <row r="206" spans="1:7" ht="13.15" customHeight="1" x14ac:dyDescent="0.2">
      <c r="A206" s="60">
        <v>11.3</v>
      </c>
      <c r="B206" s="526" t="s">
        <v>108</v>
      </c>
      <c r="C206" s="527"/>
      <c r="D206" s="527"/>
      <c r="E206" s="527"/>
      <c r="F206" s="5"/>
      <c r="G206" s="5"/>
    </row>
    <row r="207" spans="1:7" s="34" customFormat="1" ht="25.5" x14ac:dyDescent="0.2">
      <c r="A207" s="151"/>
      <c r="B207" s="2" t="s">
        <v>106</v>
      </c>
      <c r="C207" s="532" t="s">
        <v>83</v>
      </c>
      <c r="D207" s="532"/>
      <c r="E207" s="7" t="s">
        <v>84</v>
      </c>
      <c r="F207" s="4" t="s">
        <v>37</v>
      </c>
      <c r="G207" s="4" t="s">
        <v>38</v>
      </c>
    </row>
    <row r="208" spans="1:7" s="34" customFormat="1" x14ac:dyDescent="0.2">
      <c r="A208" s="142"/>
      <c r="B208" s="5" t="s">
        <v>247</v>
      </c>
      <c r="C208" s="530" t="s">
        <v>437</v>
      </c>
      <c r="D208" s="530"/>
      <c r="E208" s="315" t="s">
        <v>437</v>
      </c>
      <c r="F208" s="352" t="s">
        <v>437</v>
      </c>
      <c r="G208" s="435">
        <v>30</v>
      </c>
    </row>
    <row r="209" spans="1:7" s="34" customFormat="1" x14ac:dyDescent="0.2">
      <c r="A209" s="142"/>
      <c r="B209" s="5" t="s">
        <v>365</v>
      </c>
      <c r="C209" s="530">
        <v>3936</v>
      </c>
      <c r="D209" s="530"/>
      <c r="E209" s="315" t="s">
        <v>437</v>
      </c>
      <c r="F209" s="352">
        <f>SUM(C209:E209)</f>
        <v>3936</v>
      </c>
      <c r="G209" s="435">
        <v>3</v>
      </c>
    </row>
    <row r="210" spans="1:7" s="34" customFormat="1" x14ac:dyDescent="0.2">
      <c r="A210" s="142"/>
      <c r="B210" s="5" t="s">
        <v>395</v>
      </c>
      <c r="C210" s="530">
        <v>31000</v>
      </c>
      <c r="D210" s="530"/>
      <c r="E210" s="315" t="s">
        <v>437</v>
      </c>
      <c r="F210" s="352">
        <f>SUM(C210:E210)</f>
        <v>31000</v>
      </c>
      <c r="G210" s="435">
        <v>22</v>
      </c>
    </row>
    <row r="211" spans="1:7" s="34" customFormat="1" x14ac:dyDescent="0.2">
      <c r="A211" s="151"/>
      <c r="B211" s="5" t="s">
        <v>272</v>
      </c>
      <c r="C211" s="530">
        <v>9430</v>
      </c>
      <c r="D211" s="530"/>
      <c r="E211" s="315" t="s">
        <v>437</v>
      </c>
      <c r="F211" s="352">
        <f>SUM(C211:E211)</f>
        <v>9430</v>
      </c>
      <c r="G211" s="435" t="s">
        <v>437</v>
      </c>
    </row>
    <row r="212" spans="1:7" s="34" customFormat="1" x14ac:dyDescent="0.2">
      <c r="A212" s="151"/>
      <c r="B212" s="73" t="s">
        <v>273</v>
      </c>
      <c r="C212" s="536">
        <v>951.02</v>
      </c>
      <c r="D212" s="536"/>
      <c r="E212" s="315" t="s">
        <v>437</v>
      </c>
      <c r="F212" s="352">
        <f>SUM(C212:E212)</f>
        <v>951.02</v>
      </c>
      <c r="G212" s="435" t="s">
        <v>437</v>
      </c>
    </row>
    <row r="213" spans="1:7" s="34" customFormat="1" ht="13.5" thickBot="1" x14ac:dyDescent="0.25">
      <c r="A213" s="151"/>
      <c r="B213" s="5"/>
      <c r="C213" s="538">
        <f>SUM(C208:D212)</f>
        <v>45317.02</v>
      </c>
      <c r="D213" s="538"/>
      <c r="E213" s="317" t="s">
        <v>437</v>
      </c>
      <c r="F213" s="317">
        <f>SUM(F208:F212)</f>
        <v>45317.02</v>
      </c>
      <c r="G213" s="178">
        <f>SUM(G208:G212)</f>
        <v>55</v>
      </c>
    </row>
    <row r="214" spans="1:7" s="34" customFormat="1" ht="13.5" thickTop="1" x14ac:dyDescent="0.2">
      <c r="A214" s="55"/>
      <c r="B214" s="46"/>
      <c r="C214" s="73"/>
      <c r="D214" s="73"/>
      <c r="E214" s="73"/>
      <c r="F214" s="73"/>
      <c r="G214" s="73"/>
    </row>
    <row r="215" spans="1:7" s="34" customFormat="1" x14ac:dyDescent="0.2">
      <c r="A215" s="60">
        <v>11.4</v>
      </c>
      <c r="B215" s="18" t="s">
        <v>109</v>
      </c>
      <c r="C215" s="73"/>
      <c r="D215" s="73"/>
      <c r="E215" s="73"/>
      <c r="F215" s="73"/>
      <c r="G215" s="73"/>
    </row>
    <row r="216" spans="1:7" s="34" customFormat="1" x14ac:dyDescent="0.2">
      <c r="A216" s="151"/>
      <c r="B216" s="2" t="s">
        <v>110</v>
      </c>
      <c r="C216" s="7"/>
      <c r="D216" s="73"/>
      <c r="E216" s="73"/>
      <c r="F216" s="4"/>
      <c r="G216" s="4"/>
    </row>
    <row r="217" spans="1:7" s="34" customFormat="1" x14ac:dyDescent="0.2">
      <c r="A217" s="142"/>
      <c r="B217" s="5" t="s">
        <v>248</v>
      </c>
      <c r="C217" s="8"/>
      <c r="D217" s="73"/>
      <c r="E217" s="73"/>
      <c r="F217" s="352">
        <v>65394.18</v>
      </c>
      <c r="G217" s="435">
        <v>36</v>
      </c>
    </row>
    <row r="218" spans="1:7" s="34" customFormat="1" ht="13.5" thickBot="1" x14ac:dyDescent="0.25">
      <c r="A218" s="142"/>
      <c r="B218" s="46"/>
      <c r="C218" s="73"/>
      <c r="D218" s="73"/>
      <c r="E218" s="73"/>
      <c r="F218" s="317">
        <f>SUM(F217:F217)</f>
        <v>65394.18</v>
      </c>
      <c r="G218" s="178">
        <f>SUM(G217:G217)</f>
        <v>36</v>
      </c>
    </row>
    <row r="219" spans="1:7" s="34" customFormat="1" ht="13.5" thickTop="1" x14ac:dyDescent="0.2">
      <c r="A219" s="142"/>
      <c r="B219" s="46"/>
      <c r="C219" s="73"/>
      <c r="D219" s="73"/>
      <c r="E219" s="73"/>
      <c r="F219" s="314"/>
      <c r="G219" s="184"/>
    </row>
    <row r="220" spans="1:7" s="34" customFormat="1" x14ac:dyDescent="0.2">
      <c r="A220" s="242">
        <v>11.5</v>
      </c>
      <c r="B220" s="245" t="s">
        <v>111</v>
      </c>
      <c r="C220" s="185"/>
      <c r="D220" s="73"/>
      <c r="E220" s="73"/>
      <c r="F220" s="333"/>
      <c r="G220" s="73"/>
    </row>
    <row r="221" spans="1:7" s="34" customFormat="1" x14ac:dyDescent="0.2">
      <c r="A221" s="246"/>
      <c r="B221" s="247" t="s">
        <v>112</v>
      </c>
      <c r="C221" s="186"/>
      <c r="D221" s="73"/>
      <c r="E221" s="73"/>
      <c r="F221" s="326"/>
      <c r="G221" s="4"/>
    </row>
    <row r="222" spans="1:7" s="34" customFormat="1" x14ac:dyDescent="0.2">
      <c r="A222" s="142"/>
      <c r="B222" s="46" t="s">
        <v>350</v>
      </c>
      <c r="C222" s="8"/>
      <c r="D222" s="73"/>
      <c r="E222" s="73"/>
      <c r="F222" s="352">
        <v>140422.22</v>
      </c>
      <c r="G222" s="467">
        <v>75</v>
      </c>
    </row>
    <row r="223" spans="1:7" s="34" customFormat="1" ht="13.5" thickBot="1" x14ac:dyDescent="0.25">
      <c r="A223" s="142"/>
      <c r="B223" s="46"/>
      <c r="C223" s="73"/>
      <c r="D223" s="73"/>
      <c r="E223" s="73"/>
      <c r="F223" s="317">
        <f>SUM(F222:F222)</f>
        <v>140422.22</v>
      </c>
      <c r="G223" s="148">
        <f>SUM(G222:G222)</f>
        <v>75</v>
      </c>
    </row>
    <row r="224" spans="1:7" s="34" customFormat="1" ht="13.5" thickTop="1" x14ac:dyDescent="0.2">
      <c r="A224" s="142"/>
      <c r="B224" s="46"/>
      <c r="C224" s="73"/>
      <c r="D224" s="73"/>
      <c r="E224" s="73"/>
      <c r="F224" s="314"/>
      <c r="G224" s="14"/>
    </row>
    <row r="225" spans="1:8" s="34" customFormat="1" x14ac:dyDescent="0.2">
      <c r="A225" s="142"/>
      <c r="B225" s="46"/>
      <c r="C225" s="73"/>
      <c r="D225" s="73"/>
      <c r="E225" s="73"/>
      <c r="F225" s="314"/>
      <c r="G225" s="14"/>
    </row>
    <row r="226" spans="1:8" s="34" customFormat="1" x14ac:dyDescent="0.2">
      <c r="A226" s="151"/>
      <c r="B226" s="46"/>
      <c r="C226" s="73"/>
      <c r="D226" s="73"/>
      <c r="E226" s="73"/>
      <c r="F226" s="333"/>
      <c r="G226" s="73"/>
    </row>
    <row r="227" spans="1:8" s="164" customFormat="1" ht="15.6" customHeight="1" x14ac:dyDescent="0.25">
      <c r="A227" s="358" t="s">
        <v>417</v>
      </c>
      <c r="B227" s="537" t="s">
        <v>113</v>
      </c>
      <c r="C227" s="537"/>
      <c r="D227" s="537"/>
      <c r="E227" s="537"/>
      <c r="F227" s="326"/>
      <c r="G227" s="4"/>
    </row>
    <row r="228" spans="1:8" s="34" customFormat="1" x14ac:dyDescent="0.2">
      <c r="A228" s="142"/>
      <c r="E228" s="263" t="s">
        <v>0</v>
      </c>
      <c r="F228" s="326"/>
      <c r="G228" s="4"/>
    </row>
    <row r="229" spans="1:8" s="34" customFormat="1" x14ac:dyDescent="0.2">
      <c r="A229" s="141"/>
      <c r="B229" s="46" t="s">
        <v>114</v>
      </c>
      <c r="E229" s="19">
        <v>12.2</v>
      </c>
      <c r="F229" s="315">
        <f>F243</f>
        <v>772666.73999999987</v>
      </c>
      <c r="G229" s="182">
        <f>G243</f>
        <v>773</v>
      </c>
    </row>
    <row r="230" spans="1:8" s="34" customFormat="1" ht="13.5" thickBot="1" x14ac:dyDescent="0.25">
      <c r="A230" s="143"/>
      <c r="B230" s="46"/>
      <c r="E230" s="27"/>
      <c r="F230" s="317">
        <f>SUM(F229:F229)</f>
        <v>772666.73999999987</v>
      </c>
      <c r="G230" s="178">
        <f>SUM(G229:G229)</f>
        <v>773</v>
      </c>
    </row>
    <row r="231" spans="1:8" s="34" customFormat="1" ht="13.5" thickTop="1" x14ac:dyDescent="0.2">
      <c r="A231" s="143"/>
      <c r="B231" s="46"/>
      <c r="E231" s="27"/>
      <c r="F231" s="325"/>
      <c r="G231" s="192"/>
    </row>
    <row r="232" spans="1:8" s="34" customFormat="1" ht="13.15" customHeight="1" x14ac:dyDescent="0.2">
      <c r="A232" s="167">
        <v>12.1</v>
      </c>
      <c r="B232" s="21" t="s">
        <v>117</v>
      </c>
      <c r="C232" s="7"/>
      <c r="D232"/>
      <c r="E232"/>
      <c r="F232" s="326"/>
      <c r="G232" s="4"/>
    </row>
    <row r="233" spans="1:8" s="34" customFormat="1" x14ac:dyDescent="0.2">
      <c r="A233" s="141"/>
      <c r="B233" s="46" t="s">
        <v>39</v>
      </c>
      <c r="C233" s="6"/>
      <c r="D233"/>
      <c r="E233"/>
      <c r="F233" s="481">
        <v>772966.74</v>
      </c>
      <c r="G233" s="483">
        <v>100</v>
      </c>
    </row>
    <row r="234" spans="1:8" s="34" customFormat="1" x14ac:dyDescent="0.2">
      <c r="A234" s="141"/>
      <c r="B234" s="46" t="s">
        <v>115</v>
      </c>
      <c r="C234" s="6"/>
      <c r="D234"/>
      <c r="E234"/>
      <c r="F234" s="481" t="s">
        <v>437</v>
      </c>
      <c r="G234" s="483">
        <v>673</v>
      </c>
    </row>
    <row r="235" spans="1:8" s="34" customFormat="1" ht="13.5" thickBot="1" x14ac:dyDescent="0.25">
      <c r="A235" s="141"/>
      <c r="B235" s="46" t="s">
        <v>41</v>
      </c>
      <c r="D235"/>
      <c r="E235"/>
      <c r="F235" s="317">
        <f>SUM(F233:F234)</f>
        <v>772966.74</v>
      </c>
      <c r="G235" s="178">
        <f>SUM(G233:G234)</f>
        <v>773</v>
      </c>
    </row>
    <row r="236" spans="1:8" s="34" customFormat="1" ht="13.5" thickTop="1" x14ac:dyDescent="0.2">
      <c r="A236" s="142"/>
      <c r="B236" s="2"/>
      <c r="C236" s="2"/>
      <c r="D236"/>
      <c r="E236"/>
      <c r="F236" s="484"/>
      <c r="G236" s="484"/>
    </row>
    <row r="237" spans="1:8" s="34" customFormat="1" ht="12.75" customHeight="1" x14ac:dyDescent="0.2">
      <c r="A237" s="60">
        <v>12.2</v>
      </c>
      <c r="B237" s="21" t="s">
        <v>114</v>
      </c>
      <c r="C237" s="64"/>
      <c r="D237" s="7"/>
      <c r="E237" s="7"/>
      <c r="F237" s="467"/>
      <c r="G237" s="467"/>
      <c r="H237" s="73"/>
    </row>
    <row r="238" spans="1:8" s="34" customFormat="1" x14ac:dyDescent="0.2">
      <c r="A238" s="151"/>
      <c r="B238" s="64" t="s">
        <v>116</v>
      </c>
      <c r="C238" s="539"/>
      <c r="D238" s="539"/>
      <c r="E238" s="539"/>
      <c r="F238" s="4"/>
      <c r="G238" s="4"/>
      <c r="H238" s="73"/>
    </row>
    <row r="239" spans="1:8" s="34" customFormat="1" x14ac:dyDescent="0.2">
      <c r="A239" s="151"/>
      <c r="B239" s="5" t="s">
        <v>249</v>
      </c>
      <c r="C239" s="540"/>
      <c r="D239" s="540"/>
      <c r="E239" s="540"/>
      <c r="F239" s="352">
        <v>673247.6</v>
      </c>
      <c r="G239" s="435">
        <v>673</v>
      </c>
      <c r="H239" s="73"/>
    </row>
    <row r="240" spans="1:8" s="34" customFormat="1" x14ac:dyDescent="0.2">
      <c r="A240" s="151"/>
      <c r="B240" s="5" t="s">
        <v>250</v>
      </c>
      <c r="C240" s="540"/>
      <c r="D240" s="540"/>
      <c r="E240" s="540"/>
      <c r="F240" s="352">
        <v>57584.74</v>
      </c>
      <c r="G240" s="435">
        <v>58</v>
      </c>
      <c r="H240" s="73"/>
    </row>
    <row r="241" spans="1:8" s="34" customFormat="1" x14ac:dyDescent="0.2">
      <c r="A241" s="151"/>
      <c r="B241" s="5" t="s">
        <v>251</v>
      </c>
      <c r="C241" s="540"/>
      <c r="D241" s="540"/>
      <c r="E241" s="540"/>
      <c r="F241" s="352">
        <v>15595.2</v>
      </c>
      <c r="G241" s="435">
        <v>16</v>
      </c>
      <c r="H241" s="73"/>
    </row>
    <row r="242" spans="1:8" s="34" customFormat="1" x14ac:dyDescent="0.2">
      <c r="A242" s="151"/>
      <c r="B242" s="5" t="s">
        <v>251</v>
      </c>
      <c r="C242" s="540"/>
      <c r="D242" s="540"/>
      <c r="E242" s="540"/>
      <c r="F242" s="352">
        <f>26539.2-300</f>
        <v>26239.200000000001</v>
      </c>
      <c r="G242" s="435">
        <v>26</v>
      </c>
      <c r="H242" s="73"/>
    </row>
    <row r="243" spans="1:8" s="34" customFormat="1" ht="13.5" thickBot="1" x14ac:dyDescent="0.25">
      <c r="A243" s="151"/>
      <c r="B243" s="46"/>
      <c r="C243" s="73"/>
      <c r="D243" s="73"/>
      <c r="E243" s="73"/>
      <c r="F243" s="317">
        <f>SUM(F239:F242)</f>
        <v>772666.73999999987</v>
      </c>
      <c r="G243" s="178">
        <f>SUM(G239:G242)</f>
        <v>773</v>
      </c>
      <c r="H243" s="73"/>
    </row>
    <row r="244" spans="1:8" s="34" customFormat="1" ht="13.5" thickTop="1" x14ac:dyDescent="0.2">
      <c r="A244" s="151"/>
      <c r="B244" s="46"/>
      <c r="C244" s="73"/>
      <c r="D244" s="2"/>
      <c r="E244" s="2"/>
      <c r="F244" s="73"/>
      <c r="G244" s="73"/>
      <c r="H244" s="73"/>
    </row>
    <row r="245" spans="1:8" s="34" customFormat="1" x14ac:dyDescent="0.2">
      <c r="A245" s="194"/>
      <c r="B245" s="176"/>
      <c r="C245" s="195"/>
      <c r="D245" s="195"/>
      <c r="E245" s="195"/>
      <c r="F245" s="73"/>
      <c r="G245" s="73"/>
      <c r="H245" s="73"/>
    </row>
    <row r="246" spans="1:8" s="34" customFormat="1" x14ac:dyDescent="0.2">
      <c r="A246" s="194"/>
      <c r="B246" s="176"/>
      <c r="C246" s="195"/>
      <c r="D246" s="195"/>
      <c r="E246" s="195"/>
      <c r="F246" s="73"/>
      <c r="G246" s="73"/>
      <c r="H246" s="73"/>
    </row>
    <row r="247" spans="1:8" s="34" customFormat="1" x14ac:dyDescent="0.2">
      <c r="A247" s="194"/>
      <c r="B247" s="176"/>
      <c r="C247" s="195"/>
      <c r="D247" s="195"/>
      <c r="E247" s="195"/>
      <c r="F247" s="73"/>
      <c r="G247" s="73"/>
      <c r="H247" s="73"/>
    </row>
    <row r="248" spans="1:8" ht="15.75" x14ac:dyDescent="0.25">
      <c r="A248" s="358" t="s">
        <v>418</v>
      </c>
      <c r="B248" s="17" t="s">
        <v>118</v>
      </c>
      <c r="C248" s="193"/>
      <c r="D248" s="193"/>
      <c r="E248" s="193"/>
      <c r="F248" s="5"/>
      <c r="G248" s="5"/>
      <c r="H248" s="5"/>
    </row>
    <row r="249" spans="1:8" ht="25.5" x14ac:dyDescent="0.25">
      <c r="A249" s="145"/>
      <c r="B249" s="17"/>
      <c r="C249" s="34"/>
      <c r="D249" s="34"/>
      <c r="F249" s="4" t="s">
        <v>37</v>
      </c>
      <c r="G249" s="4" t="s">
        <v>38</v>
      </c>
    </row>
    <row r="250" spans="1:8" x14ac:dyDescent="0.2">
      <c r="B250" s="5" t="s">
        <v>474</v>
      </c>
      <c r="C250" s="38"/>
      <c r="D250" s="73"/>
      <c r="E250" s="5"/>
      <c r="F250" s="352">
        <v>34000257.920000002</v>
      </c>
      <c r="G250" s="435">
        <v>11562</v>
      </c>
    </row>
    <row r="251" spans="1:8" x14ac:dyDescent="0.2">
      <c r="B251" s="5" t="s">
        <v>3</v>
      </c>
      <c r="C251" s="38"/>
      <c r="D251" s="73"/>
      <c r="E251" s="5"/>
      <c r="F251" s="485">
        <f>SUM(F252:F253)-1000</f>
        <v>-25745215.73</v>
      </c>
      <c r="G251" s="435">
        <f>SUM(G252:G253)</f>
        <v>21989</v>
      </c>
    </row>
    <row r="252" spans="1:8" x14ac:dyDescent="0.2">
      <c r="B252" s="170" t="s">
        <v>222</v>
      </c>
      <c r="C252" s="156"/>
      <c r="D252" s="73"/>
      <c r="E252" s="206"/>
      <c r="F252" s="486">
        <v>2058309.54</v>
      </c>
      <c r="G252" s="487">
        <v>2380</v>
      </c>
    </row>
    <row r="253" spans="1:8" x14ac:dyDescent="0.2">
      <c r="B253" s="170" t="s">
        <v>252</v>
      </c>
      <c r="C253" s="156"/>
      <c r="D253" s="73"/>
      <c r="E253" s="206"/>
      <c r="F253" s="346">
        <f>D60-E60-F60</f>
        <v>-27802525.27</v>
      </c>
      <c r="G253" s="458">
        <v>19609</v>
      </c>
    </row>
    <row r="254" spans="1:8" x14ac:dyDescent="0.2">
      <c r="B254" s="5"/>
      <c r="C254" s="6"/>
      <c r="D254" s="73"/>
      <c r="E254" s="206"/>
      <c r="F254" s="488"/>
      <c r="G254" s="435"/>
    </row>
    <row r="255" spans="1:8" ht="13.5" thickBot="1" x14ac:dyDescent="0.25">
      <c r="A255" s="143"/>
      <c r="B255" s="38" t="s">
        <v>157</v>
      </c>
      <c r="C255" s="38"/>
      <c r="D255" s="73"/>
      <c r="E255" s="206"/>
      <c r="F255" s="461">
        <f>SUM(F250:F251)</f>
        <v>8255042.1900000013</v>
      </c>
      <c r="G255" s="436">
        <f>SUM(G250:G251)</f>
        <v>33551</v>
      </c>
    </row>
    <row r="256" spans="1:8" ht="13.5" thickTop="1" x14ac:dyDescent="0.2">
      <c r="A256" s="143"/>
      <c r="B256" s="38"/>
      <c r="C256" s="38"/>
      <c r="D256" s="73"/>
      <c r="E256" s="5"/>
      <c r="F256" s="209"/>
      <c r="G256" s="210"/>
    </row>
    <row r="257" spans="1:7" x14ac:dyDescent="0.2">
      <c r="A257" s="143"/>
      <c r="B257" s="38"/>
      <c r="C257" s="38"/>
      <c r="D257" s="73"/>
      <c r="E257" s="5"/>
      <c r="F257" s="209"/>
      <c r="G257" s="210"/>
    </row>
    <row r="258" spans="1:7" x14ac:dyDescent="0.2">
      <c r="A258" s="143"/>
      <c r="B258" s="38"/>
      <c r="C258" s="38"/>
      <c r="D258" s="73"/>
      <c r="E258" s="5"/>
      <c r="F258" s="209"/>
      <c r="G258" s="210"/>
    </row>
    <row r="259" spans="1:7" x14ac:dyDescent="0.2">
      <c r="A259" s="143"/>
      <c r="B259" s="38"/>
      <c r="C259" s="38"/>
      <c r="D259" s="34"/>
      <c r="F259" s="69"/>
      <c r="G259" s="69"/>
    </row>
    <row r="260" spans="1:7" ht="15.75" x14ac:dyDescent="0.25">
      <c r="A260" s="358" t="s">
        <v>419</v>
      </c>
      <c r="B260" s="20" t="s">
        <v>377</v>
      </c>
      <c r="C260" s="34"/>
      <c r="D260" s="34"/>
      <c r="F260" s="4"/>
      <c r="G260" s="4"/>
    </row>
    <row r="261" spans="1:7" x14ac:dyDescent="0.2">
      <c r="B261" s="46" t="s">
        <v>442</v>
      </c>
      <c r="C261" s="6"/>
      <c r="D261" s="34"/>
      <c r="F261" s="489">
        <v>-26925953.23</v>
      </c>
      <c r="G261" s="435">
        <v>25407</v>
      </c>
    </row>
    <row r="262" spans="1:7" x14ac:dyDescent="0.2">
      <c r="B262" s="46" t="s">
        <v>119</v>
      </c>
      <c r="C262" s="6"/>
      <c r="D262" s="34"/>
      <c r="F262" s="481">
        <v>17000</v>
      </c>
      <c r="G262" s="435">
        <v>972</v>
      </c>
    </row>
    <row r="263" spans="1:7" ht="13.5" thickBot="1" x14ac:dyDescent="0.25">
      <c r="A263" s="143"/>
      <c r="B263" s="46"/>
      <c r="D263" s="34"/>
      <c r="F263" s="347">
        <f>SUM(F261:F262)</f>
        <v>-26908953.23</v>
      </c>
      <c r="G263" s="178">
        <f>SUM(G261:G262)</f>
        <v>26379</v>
      </c>
    </row>
    <row r="264" spans="1:7" ht="13.5" thickTop="1" x14ac:dyDescent="0.2">
      <c r="A264" s="143"/>
      <c r="D264" s="34"/>
      <c r="F264" s="38"/>
      <c r="G264" s="38"/>
    </row>
    <row r="265" spans="1:7" x14ac:dyDescent="0.2">
      <c r="A265" s="143"/>
      <c r="D265" s="34"/>
      <c r="F265" s="38"/>
      <c r="G265" s="38"/>
    </row>
    <row r="266" spans="1:7" x14ac:dyDescent="0.2">
      <c r="A266" s="143"/>
      <c r="D266" s="34"/>
      <c r="F266" s="38"/>
      <c r="G266" s="38"/>
    </row>
    <row r="267" spans="1:7" x14ac:dyDescent="0.2">
      <c r="A267" s="143"/>
      <c r="D267" s="34"/>
      <c r="F267" s="38"/>
      <c r="G267" s="38"/>
    </row>
    <row r="268" spans="1:7" ht="15.75" x14ac:dyDescent="0.25">
      <c r="A268" s="358" t="s">
        <v>420</v>
      </c>
      <c r="B268" s="20" t="s">
        <v>120</v>
      </c>
      <c r="C268" s="34"/>
      <c r="D268" s="34"/>
      <c r="E268" s="24"/>
    </row>
    <row r="269" spans="1:7" x14ac:dyDescent="0.2">
      <c r="A269" s="143"/>
      <c r="B269" s="46"/>
      <c r="C269" s="5"/>
      <c r="D269" s="5"/>
      <c r="E269" s="263" t="s">
        <v>0</v>
      </c>
      <c r="F269" s="4"/>
      <c r="G269" s="4"/>
    </row>
    <row r="270" spans="1:7" x14ac:dyDescent="0.2">
      <c r="A270" s="151"/>
      <c r="B270" s="46" t="s">
        <v>121</v>
      </c>
      <c r="C270" s="5"/>
      <c r="D270" s="206"/>
      <c r="E270" s="3"/>
      <c r="F270" s="315">
        <v>119941.75</v>
      </c>
      <c r="G270" s="182">
        <v>273</v>
      </c>
    </row>
    <row r="271" spans="1:7" x14ac:dyDescent="0.2">
      <c r="A271" s="151"/>
      <c r="B271" s="46" t="s">
        <v>122</v>
      </c>
      <c r="C271" s="5"/>
      <c r="D271" s="206"/>
      <c r="E271" s="19">
        <v>15.3</v>
      </c>
      <c r="F271" s="315">
        <f>F291</f>
        <v>366718.42</v>
      </c>
      <c r="G271" s="182">
        <f>G291</f>
        <v>661</v>
      </c>
    </row>
    <row r="272" spans="1:7" x14ac:dyDescent="0.2">
      <c r="A272" s="151"/>
      <c r="B272" s="46" t="s">
        <v>123</v>
      </c>
      <c r="C272" s="5"/>
      <c r="D272" s="206"/>
      <c r="E272" s="19">
        <v>15.4</v>
      </c>
      <c r="F272" s="315">
        <f>F302</f>
        <v>71904035.089999989</v>
      </c>
      <c r="G272" s="182">
        <f>G302</f>
        <v>3522</v>
      </c>
    </row>
    <row r="273" spans="1:7" x14ac:dyDescent="0.2">
      <c r="A273" s="151"/>
      <c r="B273" s="46" t="s">
        <v>124</v>
      </c>
      <c r="C273" s="5"/>
      <c r="D273" s="206"/>
      <c r="E273" s="19">
        <v>15.5</v>
      </c>
      <c r="F273" s="323">
        <f>F311</f>
        <v>317254.95</v>
      </c>
      <c r="G273" s="188">
        <f>G311</f>
        <v>495</v>
      </c>
    </row>
    <row r="274" spans="1:7" ht="13.5" thickBot="1" x14ac:dyDescent="0.25">
      <c r="A274" s="143"/>
      <c r="B274" s="46"/>
      <c r="C274" s="5"/>
      <c r="D274" s="206"/>
      <c r="E274" s="3"/>
      <c r="F274" s="322">
        <f>SUM(F270:F273)</f>
        <v>72707950.209999993</v>
      </c>
      <c r="G274" s="183">
        <f>SUM(G270:G273)</f>
        <v>4951</v>
      </c>
    </row>
    <row r="275" spans="1:7" ht="13.5" thickTop="1" x14ac:dyDescent="0.2">
      <c r="A275" s="143"/>
      <c r="B275" s="46"/>
      <c r="C275" s="5"/>
      <c r="D275" s="206"/>
      <c r="E275" s="3"/>
      <c r="F275" s="211"/>
      <c r="G275" s="192"/>
    </row>
    <row r="276" spans="1:7" x14ac:dyDescent="0.2">
      <c r="A276" s="143"/>
      <c r="B276" s="46"/>
      <c r="C276" s="5"/>
      <c r="D276" s="206"/>
      <c r="E276" s="3"/>
      <c r="F276" s="211"/>
      <c r="G276" s="192"/>
    </row>
    <row r="277" spans="1:7" x14ac:dyDescent="0.2">
      <c r="A277" s="55"/>
      <c r="B277" s="73"/>
      <c r="C277" s="73"/>
      <c r="D277" s="73"/>
      <c r="E277" s="5"/>
      <c r="F277" s="5"/>
      <c r="G277" s="5"/>
    </row>
    <row r="278" spans="1:7" ht="38.25" customHeight="1" x14ac:dyDescent="0.2">
      <c r="A278" s="142">
        <v>15.1</v>
      </c>
      <c r="B278" s="539" t="s">
        <v>278</v>
      </c>
      <c r="C278" s="539"/>
      <c r="D278" s="539"/>
      <c r="E278" s="539"/>
      <c r="F278" s="539"/>
      <c r="G278" s="539"/>
    </row>
    <row r="279" spans="1:7" ht="13.15" customHeight="1" x14ac:dyDescent="0.2">
      <c r="A279" s="142"/>
      <c r="B279" s="27"/>
      <c r="C279" s="27"/>
      <c r="D279" s="27"/>
      <c r="E279" s="27"/>
      <c r="F279" s="27"/>
      <c r="G279" s="27"/>
    </row>
    <row r="280" spans="1:7" ht="13.15" customHeight="1" x14ac:dyDescent="0.2">
      <c r="A280" s="144">
        <v>15.2</v>
      </c>
      <c r="B280" s="21" t="s">
        <v>127</v>
      </c>
      <c r="C280" s="7"/>
      <c r="D280" s="279"/>
      <c r="E280" s="5"/>
      <c r="F280" s="4"/>
      <c r="G280" s="4"/>
    </row>
    <row r="281" spans="1:7" x14ac:dyDescent="0.2">
      <c r="A281" s="144"/>
      <c r="B281" s="46" t="s">
        <v>125</v>
      </c>
      <c r="C281" s="6"/>
      <c r="D281" s="280"/>
      <c r="E281" s="5"/>
      <c r="F281" s="352">
        <v>72097988.790000007</v>
      </c>
      <c r="G281" s="435">
        <v>4434</v>
      </c>
    </row>
    <row r="282" spans="1:7" x14ac:dyDescent="0.2">
      <c r="A282" s="144"/>
      <c r="B282" s="46" t="s">
        <v>396</v>
      </c>
      <c r="C282" s="6"/>
      <c r="D282" s="280"/>
      <c r="E282" s="5"/>
      <c r="F282" s="352">
        <v>287366.59999999998</v>
      </c>
      <c r="G282" s="435">
        <v>163</v>
      </c>
    </row>
    <row r="283" spans="1:7" x14ac:dyDescent="0.2">
      <c r="A283" s="144"/>
      <c r="B283" s="46" t="s">
        <v>397</v>
      </c>
      <c r="C283" s="6"/>
      <c r="D283" s="277"/>
      <c r="E283" s="5"/>
      <c r="F283" s="352">
        <v>322594.82</v>
      </c>
      <c r="G283" s="435">
        <v>354</v>
      </c>
    </row>
    <row r="284" spans="1:7" ht="13.5" thickBot="1" x14ac:dyDescent="0.25">
      <c r="A284" s="144"/>
      <c r="B284" s="46"/>
      <c r="C284" s="5"/>
      <c r="D284" s="206"/>
      <c r="E284" s="5"/>
      <c r="F284" s="317">
        <f>SUM(F281:F283)</f>
        <v>72707950.209999993</v>
      </c>
      <c r="G284" s="178">
        <f>SUM(G281:G283)</f>
        <v>4951</v>
      </c>
    </row>
    <row r="285" spans="1:7" ht="13.5" thickTop="1" x14ac:dyDescent="0.2">
      <c r="A285" s="144"/>
      <c r="B285" s="46"/>
      <c r="C285" s="5"/>
      <c r="D285" s="206"/>
      <c r="E285" s="5"/>
      <c r="F285" s="325"/>
      <c r="G285" s="192"/>
    </row>
    <row r="286" spans="1:7" x14ac:dyDescent="0.2">
      <c r="A286" s="144"/>
      <c r="B286" s="46"/>
      <c r="C286" s="5"/>
      <c r="D286" s="206"/>
      <c r="E286" s="5"/>
      <c r="F286" s="325"/>
      <c r="G286" s="192"/>
    </row>
    <row r="287" spans="1:7" x14ac:dyDescent="0.2">
      <c r="A287" s="202"/>
      <c r="B287" s="46"/>
      <c r="C287" s="113"/>
      <c r="D287" s="278"/>
      <c r="E287" s="5"/>
      <c r="F287" s="173"/>
      <c r="G287" s="5"/>
    </row>
    <row r="288" spans="1:7" x14ac:dyDescent="0.2">
      <c r="A288" s="55">
        <v>15.3</v>
      </c>
      <c r="B288" s="18" t="s">
        <v>122</v>
      </c>
      <c r="C288" s="73"/>
      <c r="D288" s="73"/>
      <c r="E288" s="5"/>
      <c r="F288" s="173"/>
      <c r="G288" s="5"/>
    </row>
    <row r="289" spans="1:7" x14ac:dyDescent="0.2">
      <c r="A289" s="151"/>
      <c r="B289" s="1" t="s">
        <v>253</v>
      </c>
      <c r="C289" s="2"/>
      <c r="D289" s="73"/>
      <c r="E289" s="5"/>
      <c r="F289" s="326"/>
      <c r="G289" s="4"/>
    </row>
    <row r="290" spans="1:7" x14ac:dyDescent="0.2">
      <c r="A290" s="151"/>
      <c r="B290" s="5" t="s">
        <v>254</v>
      </c>
      <c r="C290" s="2"/>
      <c r="D290" s="73"/>
      <c r="E290" s="5"/>
      <c r="F290" s="352">
        <v>366718.42</v>
      </c>
      <c r="G290" s="435">
        <v>661</v>
      </c>
    </row>
    <row r="291" spans="1:7" ht="13.5" thickBot="1" x14ac:dyDescent="0.25">
      <c r="A291" s="143"/>
      <c r="B291" s="46"/>
      <c r="C291" s="5"/>
      <c r="D291" s="73"/>
      <c r="E291" s="5"/>
      <c r="F291" s="317">
        <f>SUM(F289:F290)</f>
        <v>366718.42</v>
      </c>
      <c r="G291" s="178">
        <f>SUM(G289:G290)</f>
        <v>661</v>
      </c>
    </row>
    <row r="292" spans="1:7" ht="13.5" thickTop="1" x14ac:dyDescent="0.2">
      <c r="A292" s="143"/>
      <c r="B292" s="46"/>
      <c r="C292" s="5"/>
      <c r="D292" s="73"/>
      <c r="E292" s="5"/>
      <c r="F292" s="325"/>
      <c r="G292" s="192"/>
    </row>
    <row r="293" spans="1:7" x14ac:dyDescent="0.2">
      <c r="A293" s="143"/>
      <c r="B293" s="46"/>
      <c r="C293" s="5"/>
      <c r="D293" s="73"/>
      <c r="E293" s="5"/>
      <c r="F293" s="325"/>
      <c r="G293" s="192"/>
    </row>
    <row r="294" spans="1:7" x14ac:dyDescent="0.2">
      <c r="A294" s="55"/>
      <c r="B294" s="46"/>
      <c r="C294" s="73"/>
      <c r="D294" s="73"/>
      <c r="E294" s="5"/>
      <c r="F294" s="467"/>
      <c r="G294" s="467"/>
    </row>
    <row r="295" spans="1:7" x14ac:dyDescent="0.2">
      <c r="A295" s="55">
        <v>15.4</v>
      </c>
      <c r="B295" s="18" t="s">
        <v>123</v>
      </c>
      <c r="C295" s="73"/>
      <c r="D295" s="73"/>
      <c r="E295" s="5"/>
      <c r="F295" s="467"/>
      <c r="G295" s="467"/>
    </row>
    <row r="296" spans="1:7" x14ac:dyDescent="0.2">
      <c r="A296" s="151"/>
      <c r="B296" s="1" t="s">
        <v>253</v>
      </c>
      <c r="C296" s="2"/>
      <c r="D296" s="73"/>
      <c r="E296" s="5"/>
      <c r="F296" s="4"/>
      <c r="G296" s="4"/>
    </row>
    <row r="297" spans="1:7" x14ac:dyDescent="0.2">
      <c r="A297" s="143"/>
      <c r="B297" s="5" t="s">
        <v>255</v>
      </c>
      <c r="C297" s="6"/>
      <c r="D297" s="73"/>
      <c r="E297" s="5"/>
      <c r="F297" s="352">
        <v>68404075.769999996</v>
      </c>
      <c r="G297" s="435">
        <v>915</v>
      </c>
    </row>
    <row r="298" spans="1:7" x14ac:dyDescent="0.2">
      <c r="A298" s="143"/>
      <c r="B298" s="5" t="s">
        <v>256</v>
      </c>
      <c r="C298" s="6"/>
      <c r="D298" s="73"/>
      <c r="E298" s="5"/>
      <c r="F298" s="352">
        <v>28556.83</v>
      </c>
      <c r="G298" s="435">
        <v>86</v>
      </c>
    </row>
    <row r="299" spans="1:7" x14ac:dyDescent="0.2">
      <c r="A299" s="143"/>
      <c r="B299" s="5" t="s">
        <v>257</v>
      </c>
      <c r="C299" s="6"/>
      <c r="D299" s="73"/>
      <c r="E299" s="5"/>
      <c r="F299" s="352">
        <v>239958.37</v>
      </c>
      <c r="G299" s="435">
        <v>181</v>
      </c>
    </row>
    <row r="300" spans="1:7" x14ac:dyDescent="0.2">
      <c r="A300" s="143"/>
      <c r="B300" s="5" t="s">
        <v>359</v>
      </c>
      <c r="C300" s="6"/>
      <c r="D300" s="73"/>
      <c r="E300" s="5"/>
      <c r="F300" s="352">
        <v>1785228.21</v>
      </c>
      <c r="G300" s="435">
        <v>1722</v>
      </c>
    </row>
    <row r="301" spans="1:7" x14ac:dyDescent="0.2">
      <c r="A301" s="143"/>
      <c r="B301" s="5" t="s">
        <v>258</v>
      </c>
      <c r="C301" s="6"/>
      <c r="D301" s="73"/>
      <c r="E301" s="5"/>
      <c r="F301" s="352">
        <v>1446215.91</v>
      </c>
      <c r="G301" s="435">
        <v>618</v>
      </c>
    </row>
    <row r="302" spans="1:7" ht="13.5" thickBot="1" x14ac:dyDescent="0.25">
      <c r="A302" s="143"/>
      <c r="B302" s="46"/>
      <c r="C302" s="5"/>
      <c r="D302" s="73"/>
      <c r="E302" s="5"/>
      <c r="F302" s="317">
        <f>SUM(F297:F301)</f>
        <v>71904035.089999989</v>
      </c>
      <c r="G302" s="178">
        <f>SUM(G296:G301)</f>
        <v>3522</v>
      </c>
    </row>
    <row r="303" spans="1:7" ht="13.5" thickTop="1" x14ac:dyDescent="0.2">
      <c r="A303" s="143"/>
      <c r="B303" s="46" t="s">
        <v>492</v>
      </c>
      <c r="C303" s="5"/>
      <c r="D303" s="73"/>
      <c r="E303" s="5"/>
      <c r="F303" s="325"/>
      <c r="G303" s="192"/>
    </row>
    <row r="304" spans="1:7" x14ac:dyDescent="0.2">
      <c r="A304" s="143"/>
      <c r="B304" s="46" t="s">
        <v>493</v>
      </c>
      <c r="C304" s="5"/>
      <c r="D304" s="73"/>
      <c r="E304" s="5"/>
      <c r="F304" s="325"/>
      <c r="G304" s="192"/>
    </row>
    <row r="305" spans="1:7" x14ac:dyDescent="0.2">
      <c r="A305" s="143"/>
      <c r="B305" s="46"/>
      <c r="C305" s="5"/>
      <c r="D305" s="73"/>
      <c r="E305" s="5"/>
      <c r="F305" s="325"/>
      <c r="G305" s="192"/>
    </row>
    <row r="306" spans="1:7" x14ac:dyDescent="0.2">
      <c r="A306" s="143"/>
      <c r="B306" s="46"/>
      <c r="C306" s="5"/>
      <c r="D306" s="73"/>
      <c r="E306" s="5"/>
      <c r="F306" s="325"/>
      <c r="G306" s="192"/>
    </row>
    <row r="307" spans="1:7" x14ac:dyDescent="0.2">
      <c r="A307" s="55"/>
      <c r="B307" s="46"/>
      <c r="C307" s="73"/>
      <c r="D307" s="73"/>
      <c r="E307" s="5"/>
      <c r="F307" s="173"/>
      <c r="G307" s="5"/>
    </row>
    <row r="308" spans="1:7" x14ac:dyDescent="0.2">
      <c r="A308" s="55">
        <v>15.5</v>
      </c>
      <c r="B308" s="18" t="s">
        <v>124</v>
      </c>
      <c r="C308" s="73"/>
      <c r="D308" s="73"/>
      <c r="E308" s="5"/>
      <c r="F308" s="173"/>
      <c r="G308" s="5"/>
    </row>
    <row r="309" spans="1:7" x14ac:dyDescent="0.2">
      <c r="A309" s="151"/>
      <c r="B309" s="1" t="s">
        <v>126</v>
      </c>
      <c r="C309" s="2"/>
      <c r="D309" s="73"/>
      <c r="E309" s="5"/>
      <c r="F309" s="326"/>
      <c r="G309" s="4"/>
    </row>
    <row r="310" spans="1:7" x14ac:dyDescent="0.2">
      <c r="A310" s="151"/>
      <c r="B310" s="5" t="s">
        <v>259</v>
      </c>
      <c r="C310" s="2"/>
      <c r="D310" s="73"/>
      <c r="E310" s="5"/>
      <c r="F310" s="352">
        <v>317254.95</v>
      </c>
      <c r="G310" s="435">
        <v>495</v>
      </c>
    </row>
    <row r="311" spans="1:7" ht="13.5" thickBot="1" x14ac:dyDescent="0.25">
      <c r="A311" s="143"/>
      <c r="B311" s="46"/>
      <c r="C311" s="5"/>
      <c r="D311" s="73"/>
      <c r="E311" s="5"/>
      <c r="F311" s="317">
        <f>SUM(F310:F310)</f>
        <v>317254.95</v>
      </c>
      <c r="G311" s="178">
        <f>SUM(G310:G310)</f>
        <v>495</v>
      </c>
    </row>
    <row r="312" spans="1:7" ht="13.5" thickTop="1" x14ac:dyDescent="0.2">
      <c r="A312" s="151"/>
      <c r="B312" s="46"/>
      <c r="C312" s="5"/>
      <c r="D312" s="5"/>
      <c r="E312" s="5"/>
      <c r="F312" s="5"/>
      <c r="G312" s="5"/>
    </row>
    <row r="313" spans="1:7" x14ac:dyDescent="0.2">
      <c r="A313" s="151"/>
      <c r="B313" s="46"/>
      <c r="C313" s="5"/>
      <c r="D313" s="5"/>
      <c r="E313" s="5"/>
      <c r="F313" s="5"/>
      <c r="G313" s="5"/>
    </row>
    <row r="314" spans="1:7" x14ac:dyDescent="0.2">
      <c r="A314" s="151"/>
      <c r="B314" s="46"/>
      <c r="C314" s="5"/>
      <c r="D314" s="5"/>
      <c r="E314" s="5"/>
      <c r="F314" s="5"/>
      <c r="G314" s="5"/>
    </row>
    <row r="315" spans="1:7" x14ac:dyDescent="0.2">
      <c r="A315" s="143"/>
      <c r="B315" s="46"/>
      <c r="D315" s="34"/>
      <c r="F315" s="38"/>
      <c r="G315" s="38"/>
    </row>
    <row r="316" spans="1:7" s="154" customFormat="1" ht="15.75" x14ac:dyDescent="0.25">
      <c r="A316" s="359" t="s">
        <v>421</v>
      </c>
      <c r="B316" s="163" t="s">
        <v>29</v>
      </c>
      <c r="C316" s="164"/>
      <c r="D316" s="164"/>
    </row>
    <row r="317" spans="1:7" x14ac:dyDescent="0.2">
      <c r="A317" s="142"/>
      <c r="B317" s="46"/>
      <c r="C317" s="7"/>
      <c r="D317" s="7"/>
      <c r="E317" s="263" t="s">
        <v>0</v>
      </c>
      <c r="F317" s="4"/>
      <c r="G317" s="4"/>
    </row>
    <row r="318" spans="1:7" x14ac:dyDescent="0.2">
      <c r="A318" s="151"/>
      <c r="B318" s="46" t="s">
        <v>39</v>
      </c>
      <c r="C318" s="6"/>
      <c r="D318" s="6"/>
      <c r="E318" s="294">
        <v>21</v>
      </c>
      <c r="F318" s="352">
        <f>11562675.04-200</f>
        <v>11562475.039999999</v>
      </c>
      <c r="G318" s="435">
        <v>43007</v>
      </c>
    </row>
    <row r="319" spans="1:7" x14ac:dyDescent="0.2">
      <c r="A319" s="151"/>
      <c r="B319" s="46" t="s">
        <v>128</v>
      </c>
      <c r="C319" s="6"/>
      <c r="D319" s="6"/>
      <c r="E319" s="26"/>
      <c r="F319" s="352">
        <f>SUM(F250)</f>
        <v>34000257.920000002</v>
      </c>
      <c r="G319" s="435">
        <v>11562</v>
      </c>
    </row>
    <row r="320" spans="1:7" x14ac:dyDescent="0.2">
      <c r="A320" s="151"/>
      <c r="B320" s="46" t="s">
        <v>129</v>
      </c>
      <c r="C320" s="5"/>
      <c r="D320" s="5"/>
      <c r="E320" s="294"/>
      <c r="F320" s="315">
        <f>11562675.04-400</f>
        <v>11562275.039999999</v>
      </c>
      <c r="G320" s="182">
        <v>43007</v>
      </c>
    </row>
    <row r="321" spans="1:7" ht="13.5" thickBot="1" x14ac:dyDescent="0.25">
      <c r="A321" s="151"/>
      <c r="B321" s="46" t="s">
        <v>41</v>
      </c>
      <c r="C321" s="5"/>
      <c r="D321" s="5"/>
      <c r="E321" s="26"/>
      <c r="F321" s="461">
        <f>F318+F319-F320</f>
        <v>34000457.920000002</v>
      </c>
      <c r="G321" s="436">
        <f>G318+G319-G320</f>
        <v>11562</v>
      </c>
    </row>
    <row r="322" spans="1:7" ht="13.5" thickTop="1" x14ac:dyDescent="0.2">
      <c r="A322" s="151"/>
      <c r="B322" s="46"/>
      <c r="C322" s="5"/>
      <c r="D322" s="5"/>
      <c r="E322" s="26"/>
      <c r="F322" s="256"/>
      <c r="G322" s="210"/>
    </row>
    <row r="323" spans="1:7" x14ac:dyDescent="0.2">
      <c r="A323" s="151"/>
      <c r="B323" s="46"/>
      <c r="C323" s="5"/>
      <c r="D323" s="5"/>
      <c r="E323" s="26"/>
      <c r="F323" s="256"/>
      <c r="G323" s="210"/>
    </row>
    <row r="324" spans="1:7" x14ac:dyDescent="0.2">
      <c r="A324" s="151"/>
      <c r="B324" s="46"/>
      <c r="C324" s="5"/>
      <c r="D324" s="5"/>
      <c r="E324" s="26"/>
      <c r="F324" s="256"/>
      <c r="G324" s="210"/>
    </row>
    <row r="325" spans="1:7" x14ac:dyDescent="0.2">
      <c r="A325" s="151"/>
      <c r="B325" s="46"/>
      <c r="C325" s="5"/>
      <c r="D325" s="5"/>
      <c r="E325" s="26"/>
      <c r="F325" s="256"/>
      <c r="G325" s="210"/>
    </row>
    <row r="326" spans="1:7" ht="15.75" x14ac:dyDescent="0.25">
      <c r="A326" s="358" t="s">
        <v>422</v>
      </c>
      <c r="B326" s="20" t="s">
        <v>30</v>
      </c>
      <c r="E326" s="24"/>
      <c r="F326" s="38"/>
      <c r="G326" s="38"/>
    </row>
    <row r="327" spans="1:7" ht="25.5" x14ac:dyDescent="0.25">
      <c r="A327" s="145"/>
      <c r="B327" s="20"/>
      <c r="C327" s="34"/>
      <c r="D327" s="34"/>
      <c r="E327" s="263" t="s">
        <v>0</v>
      </c>
      <c r="F327" s="4" t="s">
        <v>37</v>
      </c>
      <c r="G327" s="4" t="s">
        <v>38</v>
      </c>
    </row>
    <row r="328" spans="1:7" ht="13.15" customHeight="1" x14ac:dyDescent="0.2">
      <c r="B328" s="46" t="s">
        <v>39</v>
      </c>
      <c r="C328" s="6"/>
      <c r="D328" s="6"/>
      <c r="E328" s="5"/>
      <c r="F328" s="352">
        <v>38285.550000000003</v>
      </c>
      <c r="G328" s="435">
        <v>21</v>
      </c>
    </row>
    <row r="329" spans="1:7" ht="13.15" customHeight="1" x14ac:dyDescent="0.2">
      <c r="B329" s="525" t="s">
        <v>130</v>
      </c>
      <c r="C329" s="525"/>
      <c r="D329" s="525"/>
      <c r="E329" s="5"/>
      <c r="F329" s="352">
        <f>2004035.82+54273.72</f>
        <v>2058309.54</v>
      </c>
      <c r="G329" s="435">
        <f>2294+86</f>
        <v>2380</v>
      </c>
    </row>
    <row r="330" spans="1:7" x14ac:dyDescent="0.2">
      <c r="B330" s="46" t="s">
        <v>129</v>
      </c>
      <c r="C330" s="6"/>
      <c r="D330" s="6"/>
      <c r="E330" s="294">
        <v>21</v>
      </c>
      <c r="F330" s="352">
        <f>1864257.45+300</f>
        <v>1864557.45</v>
      </c>
      <c r="G330" s="435">
        <v>2363</v>
      </c>
    </row>
    <row r="331" spans="1:7" ht="13.5" thickBot="1" x14ac:dyDescent="0.25">
      <c r="B331" s="46" t="s">
        <v>41</v>
      </c>
      <c r="C331" s="5"/>
      <c r="D331" s="5"/>
      <c r="E331" s="5"/>
      <c r="F331" s="461">
        <f>SUM(F328:F329)-F330-600</f>
        <v>231437.64000000013</v>
      </c>
      <c r="G331" s="436">
        <f>SUM(G328:G329)-G330</f>
        <v>38</v>
      </c>
    </row>
    <row r="332" spans="1:7" ht="13.5" thickTop="1" x14ac:dyDescent="0.2">
      <c r="B332" s="46"/>
      <c r="C332" s="5"/>
      <c r="D332" s="5"/>
      <c r="E332" s="5"/>
      <c r="F332" s="331"/>
      <c r="G332" s="210"/>
    </row>
    <row r="333" spans="1:7" x14ac:dyDescent="0.2">
      <c r="B333" s="46"/>
      <c r="C333" s="5"/>
      <c r="D333" s="5"/>
      <c r="E333" s="5"/>
      <c r="F333" s="331"/>
      <c r="G333" s="210"/>
    </row>
    <row r="334" spans="1:7" x14ac:dyDescent="0.2">
      <c r="B334" s="46"/>
      <c r="C334" s="5"/>
      <c r="D334" s="5"/>
      <c r="E334" s="5"/>
      <c r="F334" s="331"/>
      <c r="G334" s="210"/>
    </row>
    <row r="335" spans="1:7" ht="15.75" x14ac:dyDescent="0.25">
      <c r="A335" s="358" t="s">
        <v>423</v>
      </c>
      <c r="B335" s="17" t="s">
        <v>131</v>
      </c>
      <c r="C335" s="34"/>
      <c r="D335" s="34"/>
      <c r="F335" s="319"/>
    </row>
    <row r="336" spans="1:7" x14ac:dyDescent="0.2">
      <c r="B336" s="41" t="s">
        <v>63</v>
      </c>
      <c r="C336" s="49"/>
      <c r="D336" s="49"/>
      <c r="E336" s="263" t="s">
        <v>0</v>
      </c>
      <c r="F336" s="326"/>
      <c r="G336" s="4"/>
    </row>
    <row r="337" spans="1:10" x14ac:dyDescent="0.2">
      <c r="B337" s="46" t="s">
        <v>132</v>
      </c>
      <c r="C337" s="177"/>
      <c r="D337" s="177"/>
      <c r="E337" s="264"/>
      <c r="F337" s="352">
        <f>74673.44+441.83</f>
        <v>75115.27</v>
      </c>
      <c r="G337" s="467" t="s">
        <v>437</v>
      </c>
    </row>
    <row r="338" spans="1:10" x14ac:dyDescent="0.2">
      <c r="B338" s="46" t="s">
        <v>133</v>
      </c>
      <c r="C338" s="6"/>
      <c r="D338" s="6"/>
      <c r="E338" s="19">
        <v>18.100000000000001</v>
      </c>
      <c r="F338" s="352">
        <f>F346</f>
        <v>20501591.460000001</v>
      </c>
      <c r="G338" s="467">
        <f>G346</f>
        <v>832</v>
      </c>
    </row>
    <row r="339" spans="1:10" ht="13.5" thickBot="1" x14ac:dyDescent="0.25">
      <c r="A339" s="143"/>
      <c r="B339" s="46"/>
      <c r="C339" s="5"/>
      <c r="D339" s="5"/>
      <c r="E339" s="5"/>
      <c r="F339" s="317">
        <f>SUM(F337:F338)</f>
        <v>20576706.73</v>
      </c>
      <c r="G339" s="148">
        <f>SUM(G337:G338)</f>
        <v>832</v>
      </c>
    </row>
    <row r="340" spans="1:10" ht="13.5" thickTop="1" x14ac:dyDescent="0.2">
      <c r="A340" s="143"/>
      <c r="B340" s="46"/>
      <c r="C340" s="5"/>
      <c r="D340" s="5"/>
      <c r="E340" s="5"/>
      <c r="F340" s="325"/>
      <c r="G340" s="83"/>
    </row>
    <row r="341" spans="1:10" x14ac:dyDescent="0.2">
      <c r="A341" s="143"/>
      <c r="B341" s="46"/>
      <c r="C341" s="5"/>
      <c r="D341" s="5"/>
      <c r="E341" s="5"/>
      <c r="F341" s="321"/>
      <c r="G341" s="85"/>
    </row>
    <row r="342" spans="1:10" x14ac:dyDescent="0.2">
      <c r="A342" s="144">
        <v>18.100000000000001</v>
      </c>
      <c r="B342" s="21" t="s">
        <v>133</v>
      </c>
      <c r="C342" s="73"/>
      <c r="D342" s="73"/>
      <c r="E342" s="5"/>
      <c r="F342" s="326"/>
      <c r="G342" s="4"/>
    </row>
    <row r="343" spans="1:10" x14ac:dyDescent="0.2">
      <c r="A343" s="151"/>
      <c r="B343" s="5" t="s">
        <v>260</v>
      </c>
      <c r="C343" s="7"/>
      <c r="D343" s="73"/>
      <c r="E343" s="268"/>
      <c r="F343" s="352">
        <v>15136909.810000001</v>
      </c>
      <c r="G343" s="435">
        <v>275</v>
      </c>
    </row>
    <row r="344" spans="1:10" x14ac:dyDescent="0.2">
      <c r="A344" s="143"/>
      <c r="B344" s="5" t="s">
        <v>261</v>
      </c>
      <c r="C344" s="6"/>
      <c r="D344" s="73"/>
      <c r="E344" s="268"/>
      <c r="F344" s="352">
        <f>431676.35</f>
        <v>431676.35</v>
      </c>
      <c r="G344" s="435">
        <v>557</v>
      </c>
    </row>
    <row r="345" spans="1:10" x14ac:dyDescent="0.2">
      <c r="A345" s="143"/>
      <c r="B345" s="5" t="s">
        <v>381</v>
      </c>
      <c r="C345" s="6"/>
      <c r="D345" s="73"/>
      <c r="E345" s="268"/>
      <c r="F345" s="352">
        <f>4931805.3+1000</f>
        <v>4932805.3</v>
      </c>
      <c r="G345" s="435" t="s">
        <v>437</v>
      </c>
    </row>
    <row r="346" spans="1:10" ht="13.5" thickBot="1" x14ac:dyDescent="0.25">
      <c r="A346" s="143"/>
      <c r="B346" s="46"/>
      <c r="C346" s="5"/>
      <c r="D346" s="73"/>
      <c r="E346" s="268"/>
      <c r="F346" s="317">
        <f>SUM(F343:F345)+200</f>
        <v>20501591.460000001</v>
      </c>
      <c r="G346" s="178">
        <f>SUM(G343:G344)</f>
        <v>832</v>
      </c>
    </row>
    <row r="347" spans="1:10" ht="13.5" thickTop="1" x14ac:dyDescent="0.2">
      <c r="A347" s="143"/>
      <c r="D347" s="34"/>
      <c r="E347" s="268"/>
      <c r="F347" s="38"/>
      <c r="G347" s="38"/>
    </row>
    <row r="348" spans="1:10" x14ac:dyDescent="0.2">
      <c r="A348" s="143"/>
      <c r="D348" s="34"/>
      <c r="E348" s="268"/>
      <c r="F348" s="38"/>
      <c r="G348" s="38"/>
      <c r="H348" s="414"/>
      <c r="I348" s="280">
        <v>494966.52</v>
      </c>
      <c r="J348" s="288" t="s">
        <v>374</v>
      </c>
    </row>
    <row r="349" spans="1:10" x14ac:dyDescent="0.2">
      <c r="B349" s="46"/>
      <c r="C349" s="6"/>
      <c r="D349" s="6"/>
      <c r="E349" s="207"/>
      <c r="F349" s="69"/>
      <c r="G349" s="69"/>
      <c r="H349" s="414"/>
      <c r="I349" s="280">
        <v>-317254.95</v>
      </c>
      <c r="J349" s="288" t="s">
        <v>375</v>
      </c>
    </row>
    <row r="350" spans="1:10" ht="15.75" x14ac:dyDescent="0.25">
      <c r="A350" s="358" t="s">
        <v>424</v>
      </c>
      <c r="B350" s="20" t="s">
        <v>46</v>
      </c>
      <c r="C350" s="34"/>
      <c r="D350" s="34"/>
      <c r="F350" s="271"/>
      <c r="G350" s="271"/>
      <c r="H350" s="69"/>
    </row>
    <row r="351" spans="1:10" ht="15.75" x14ac:dyDescent="0.25">
      <c r="A351" s="145"/>
      <c r="B351" s="20"/>
      <c r="C351" s="34"/>
      <c r="D351" s="34"/>
      <c r="F351" s="271"/>
      <c r="G351" s="271"/>
      <c r="H351" s="69"/>
    </row>
    <row r="352" spans="1:10" x14ac:dyDescent="0.2">
      <c r="B352" s="46" t="s">
        <v>134</v>
      </c>
      <c r="C352" s="6"/>
      <c r="D352" s="6"/>
      <c r="F352" s="481">
        <f>'INCOME STATEMENT'!C43</f>
        <v>8254725.25</v>
      </c>
      <c r="G352" s="483">
        <f>'INCOME STATEMENT'!D43</f>
        <v>33551</v>
      </c>
      <c r="H352" s="415"/>
      <c r="I352" s="206">
        <v>-317254.95</v>
      </c>
      <c r="J352" t="s">
        <v>373</v>
      </c>
    </row>
    <row r="353" spans="1:10" x14ac:dyDescent="0.2">
      <c r="A353" s="143"/>
      <c r="B353" s="46"/>
      <c r="C353" s="6"/>
      <c r="D353" s="6"/>
      <c r="F353" s="490"/>
      <c r="G353" s="483"/>
      <c r="H353" s="415"/>
      <c r="I353" s="287">
        <f>SUM(I352:I352)</f>
        <v>-317254.95</v>
      </c>
    </row>
    <row r="354" spans="1:10" x14ac:dyDescent="0.2">
      <c r="B354" s="46" t="s">
        <v>135</v>
      </c>
      <c r="C354" s="38"/>
      <c r="D354" s="275"/>
      <c r="F354" s="453">
        <f>SUM(F355:F357)</f>
        <v>241233853.43000001</v>
      </c>
      <c r="G354" s="450">
        <f>SUM(G355:G357)</f>
        <v>181709</v>
      </c>
      <c r="H354" s="415"/>
      <c r="I354" s="206">
        <v>-4456217.72</v>
      </c>
      <c r="J354" t="s">
        <v>382</v>
      </c>
    </row>
    <row r="355" spans="1:10" x14ac:dyDescent="0.2">
      <c r="B355" s="46" t="s">
        <v>425</v>
      </c>
      <c r="C355" s="69"/>
      <c r="D355" s="276"/>
      <c r="F355" s="345">
        <f>-F36</f>
        <v>-22811.48</v>
      </c>
      <c r="G355" s="189" t="str">
        <f>G36</f>
        <v>-</v>
      </c>
      <c r="H355" s="415"/>
      <c r="I355" s="287">
        <f>SUM(I353:I354)</f>
        <v>-4773472.67</v>
      </c>
    </row>
    <row r="356" spans="1:10" x14ac:dyDescent="0.2">
      <c r="B356" s="46" t="s">
        <v>426</v>
      </c>
      <c r="C356" s="69"/>
      <c r="D356" s="276"/>
      <c r="F356" s="342" t="s">
        <v>437</v>
      </c>
      <c r="G356" s="190">
        <v>-514</v>
      </c>
    </row>
    <row r="357" spans="1:10" x14ac:dyDescent="0.2">
      <c r="B357" s="46" t="s">
        <v>84</v>
      </c>
      <c r="C357" s="69"/>
      <c r="D357" s="276"/>
      <c r="F357" s="343">
        <f>'INCOME STATEMENT'!C29</f>
        <v>241256664.91</v>
      </c>
      <c r="G357" s="191">
        <f>'INCOME STATEMENT'!D29+514</f>
        <v>182223</v>
      </c>
      <c r="H357" s="248">
        <f>G357</f>
        <v>182223</v>
      </c>
    </row>
    <row r="358" spans="1:10" x14ac:dyDescent="0.2">
      <c r="B358" s="270"/>
      <c r="F358" s="315"/>
      <c r="G358" s="182"/>
    </row>
    <row r="359" spans="1:10" ht="13.5" thickBot="1" x14ac:dyDescent="0.25">
      <c r="B359" s="46" t="s">
        <v>46</v>
      </c>
      <c r="D359" s="208"/>
      <c r="F359" s="317">
        <f>SUM(F352,F354)</f>
        <v>249488578.68000001</v>
      </c>
      <c r="G359" s="178">
        <f>SUM(G352,G354)</f>
        <v>215260</v>
      </c>
    </row>
    <row r="360" spans="1:10" ht="13.5" thickTop="1" x14ac:dyDescent="0.2">
      <c r="B360" s="6"/>
      <c r="F360" s="213"/>
      <c r="G360" s="213"/>
      <c r="H360" s="264" t="s">
        <v>31</v>
      </c>
      <c r="I360" s="264" t="s">
        <v>31</v>
      </c>
    </row>
    <row r="361" spans="1:10" ht="15.75" x14ac:dyDescent="0.25">
      <c r="A361" s="358" t="s">
        <v>427</v>
      </c>
      <c r="B361" s="20" t="s">
        <v>47</v>
      </c>
      <c r="C361" s="34"/>
      <c r="D361" s="34"/>
      <c r="F361" s="490"/>
      <c r="G361" s="490"/>
      <c r="H361" s="281" t="s">
        <v>372</v>
      </c>
      <c r="I361" s="281" t="s">
        <v>371</v>
      </c>
    </row>
    <row r="362" spans="1:10" x14ac:dyDescent="0.2">
      <c r="B362" s="46" t="s">
        <v>136</v>
      </c>
      <c r="C362" s="6"/>
      <c r="D362" s="274"/>
      <c r="E362" s="208"/>
      <c r="F362" s="489">
        <f>-67934477.54-200</f>
        <v>-67934677.540000007</v>
      </c>
      <c r="G362" s="483">
        <v>217</v>
      </c>
      <c r="H362" s="282">
        <f>15568586.16+33402.08</f>
        <v>15601988.24</v>
      </c>
      <c r="I362" s="283">
        <v>831707.92</v>
      </c>
    </row>
    <row r="363" spans="1:10" x14ac:dyDescent="0.2">
      <c r="B363" s="46" t="s">
        <v>137</v>
      </c>
      <c r="C363" s="215"/>
      <c r="D363" s="274"/>
      <c r="E363" s="208"/>
      <c r="F363" s="481">
        <f>177711.57</f>
        <v>177711.57</v>
      </c>
      <c r="G363" s="483">
        <v>-955</v>
      </c>
      <c r="H363" s="291">
        <v>4931805.3</v>
      </c>
      <c r="I363" s="283">
        <v>61205.55</v>
      </c>
    </row>
    <row r="364" spans="1:10" x14ac:dyDescent="0.2">
      <c r="B364" s="270" t="s">
        <v>370</v>
      </c>
      <c r="C364" s="215"/>
      <c r="D364" s="274"/>
      <c r="E364" s="215"/>
      <c r="F364" s="481">
        <v>19640880.07</v>
      </c>
      <c r="G364" s="483">
        <f>-6319</f>
        <v>-6319</v>
      </c>
      <c r="H364" s="284">
        <f>SUM(H362:H363)</f>
        <v>20533793.539999999</v>
      </c>
      <c r="I364" s="285">
        <f>SUM(I362:I363)</f>
        <v>892913.47000000009</v>
      </c>
    </row>
    <row r="365" spans="1:10" ht="13.5" thickBot="1" x14ac:dyDescent="0.25">
      <c r="A365" s="143"/>
      <c r="B365" s="38"/>
      <c r="C365" s="38"/>
      <c r="D365" s="274"/>
      <c r="E365" s="215"/>
      <c r="F365" s="427">
        <f>SUM(F362:F364)</f>
        <v>-48116085.900000013</v>
      </c>
      <c r="G365" s="436">
        <f>SUM(G362:G364)</f>
        <v>-7057</v>
      </c>
      <c r="H365" s="286">
        <f>-I364</f>
        <v>-892913.47000000009</v>
      </c>
      <c r="I365" s="175"/>
    </row>
    <row r="366" spans="1:10" ht="13.5" thickTop="1" x14ac:dyDescent="0.2">
      <c r="A366" s="143"/>
      <c r="B366" s="38"/>
      <c r="C366" s="38"/>
      <c r="D366" s="274"/>
      <c r="F366" s="69"/>
      <c r="G366" s="249"/>
      <c r="H366" s="284">
        <f>SUM(H364:H365)</f>
        <v>19640880.07</v>
      </c>
      <c r="I366" s="283">
        <v>19609399.890000001</v>
      </c>
    </row>
    <row r="367" spans="1:10" x14ac:dyDescent="0.2">
      <c r="A367" s="143"/>
      <c r="B367" s="38"/>
      <c r="C367" s="38"/>
      <c r="D367" s="274"/>
      <c r="F367" s="256"/>
      <c r="G367" s="256"/>
      <c r="H367" s="286"/>
      <c r="I367" s="175"/>
    </row>
    <row r="368" spans="1:10" x14ac:dyDescent="0.2">
      <c r="A368" s="143"/>
      <c r="B368" s="38"/>
      <c r="C368" s="38"/>
      <c r="D368" s="274"/>
      <c r="F368" s="256"/>
      <c r="G368" s="256"/>
      <c r="I368" s="283">
        <v>19668683.539999999</v>
      </c>
    </row>
    <row r="369" spans="1:9" ht="15.75" x14ac:dyDescent="0.25">
      <c r="A369" s="358" t="s">
        <v>428</v>
      </c>
      <c r="B369" s="20" t="s">
        <v>48</v>
      </c>
      <c r="C369" s="34" t="s">
        <v>232</v>
      </c>
      <c r="D369" s="34"/>
      <c r="G369" s="215"/>
      <c r="I369" s="208">
        <f>SUM(I368:I368)</f>
        <v>19668683.539999999</v>
      </c>
    </row>
    <row r="370" spans="1:9" x14ac:dyDescent="0.2">
      <c r="A370" s="143"/>
      <c r="B370" s="5"/>
      <c r="C370" s="2"/>
      <c r="D370" s="2"/>
      <c r="E370" s="263" t="s">
        <v>0</v>
      </c>
      <c r="F370" s="4"/>
      <c r="G370" s="4"/>
      <c r="H370" s="264"/>
      <c r="I370" s="264"/>
    </row>
    <row r="371" spans="1:9" x14ac:dyDescent="0.2">
      <c r="A371" s="151"/>
      <c r="B371" s="46" t="s">
        <v>138</v>
      </c>
      <c r="C371" s="6"/>
      <c r="D371" s="212"/>
      <c r="E371" s="294">
        <v>16</v>
      </c>
      <c r="F371" s="352">
        <f>F320</f>
        <v>11562275.039999999</v>
      </c>
      <c r="G371" s="435">
        <f>SUM(G320)</f>
        <v>43007</v>
      </c>
      <c r="H371" s="281"/>
      <c r="I371" s="281"/>
    </row>
    <row r="372" spans="1:9" x14ac:dyDescent="0.2">
      <c r="A372" s="151"/>
      <c r="B372" s="46" t="s">
        <v>139</v>
      </c>
      <c r="C372" s="5"/>
      <c r="D372" s="5"/>
      <c r="E372" s="294">
        <v>17</v>
      </c>
      <c r="F372" s="315">
        <f>F330</f>
        <v>1864557.45</v>
      </c>
      <c r="G372" s="435">
        <v>2363</v>
      </c>
      <c r="H372" s="282"/>
      <c r="I372" s="283"/>
    </row>
    <row r="373" spans="1:9" ht="13.5" thickBot="1" x14ac:dyDescent="0.25">
      <c r="A373" s="143"/>
      <c r="B373" s="3"/>
      <c r="C373" s="5"/>
      <c r="D373" s="5"/>
      <c r="E373" s="5"/>
      <c r="F373" s="317">
        <f>SUM(F371:F372)</f>
        <v>13426832.489999998</v>
      </c>
      <c r="G373" s="178">
        <f>SUM(G371:G372)</f>
        <v>45370</v>
      </c>
      <c r="H373" s="368"/>
      <c r="I373" s="283"/>
    </row>
    <row r="374" spans="1:9" ht="13.5" thickTop="1" x14ac:dyDescent="0.2">
      <c r="H374" s="368"/>
      <c r="I374" s="369"/>
    </row>
    <row r="375" spans="1:9" x14ac:dyDescent="0.2">
      <c r="H375" s="286"/>
      <c r="I375" s="175"/>
    </row>
    <row r="376" spans="1:9" x14ac:dyDescent="0.2">
      <c r="H376" s="283"/>
      <c r="I376" s="175"/>
    </row>
    <row r="377" spans="1:9" x14ac:dyDescent="0.2">
      <c r="H377" s="286"/>
      <c r="I377" s="175"/>
    </row>
    <row r="378" spans="1:9" x14ac:dyDescent="0.2">
      <c r="I378" s="283"/>
    </row>
  </sheetData>
  <mergeCells count="36">
    <mergeCell ref="C240:E240"/>
    <mergeCell ref="C9:D9"/>
    <mergeCell ref="C10:D10"/>
    <mergeCell ref="C12:D12"/>
    <mergeCell ref="C11:D11"/>
    <mergeCell ref="B329:D329"/>
    <mergeCell ref="C238:E238"/>
    <mergeCell ref="C239:E239"/>
    <mergeCell ref="C241:E241"/>
    <mergeCell ref="B278:G278"/>
    <mergeCell ref="C242:E242"/>
    <mergeCell ref="C212:D212"/>
    <mergeCell ref="B227:E227"/>
    <mergeCell ref="C213:D213"/>
    <mergeCell ref="C209:D209"/>
    <mergeCell ref="C210:D210"/>
    <mergeCell ref="C211:D211"/>
    <mergeCell ref="B206:E206"/>
    <mergeCell ref="C207:D207"/>
    <mergeCell ref="G45:G46"/>
    <mergeCell ref="C208:D208"/>
    <mergeCell ref="B106:C106"/>
    <mergeCell ref="B126:C126"/>
    <mergeCell ref="C45:C46"/>
    <mergeCell ref="E45:F45"/>
    <mergeCell ref="D45:D46"/>
    <mergeCell ref="B3:G3"/>
    <mergeCell ref="B178:E178"/>
    <mergeCell ref="B201:E201"/>
    <mergeCell ref="B16:G16"/>
    <mergeCell ref="C4:D4"/>
    <mergeCell ref="C13:D13"/>
    <mergeCell ref="C14:D14"/>
    <mergeCell ref="C6:D6"/>
    <mergeCell ref="C7:D7"/>
    <mergeCell ref="C8:D8"/>
  </mergeCells>
  <phoneticPr fontId="0" type="noConversion"/>
  <pageMargins left="0.47244094488188981" right="0.19685039370078741" top="1.4566929133858268" bottom="0.55118110236220474" header="0.51181102362204722" footer="0.51181102362204722"/>
  <pageSetup paperSize="9" scale="72" orientation="portrait" r:id="rId1"/>
  <headerFooter alignWithMargins="0">
    <oddHeader xml:space="preserve">&amp;C&amp;"Arial,Bold"DEPARMENT OF ENVIRONMENTAL AFFAIRS AND TOURISM
VOTE 27
NOTES TO THE ANNUAL FINANCIAL STATEMENTS
for the year ended 31 MARCH 2003
</oddHeader>
  </headerFooter>
  <rowBreaks count="5" manualBreakCount="5">
    <brk id="68" max="6" man="1"/>
    <brk id="132" max="6" man="1"/>
    <brk id="187" max="6" man="1"/>
    <brk id="246" max="6" man="1"/>
    <brk id="315" max="6" man="1"/>
  </rowBreaks>
  <colBreaks count="1" manualBreakCount="1">
    <brk id="7" max="39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9"/>
  <sheetViews>
    <sheetView topLeftCell="C36" zoomScaleNormal="100" zoomScaleSheetLayoutView="100" workbookViewId="0">
      <selection activeCell="F46" sqref="F46"/>
    </sheetView>
  </sheetViews>
  <sheetFormatPr defaultRowHeight="12.75" x14ac:dyDescent="0.2"/>
  <cols>
    <col min="1" max="1" width="6.28515625" style="34" customWidth="1"/>
    <col min="2" max="2" width="40.7109375" style="34" customWidth="1"/>
    <col min="5" max="5" width="13.5703125" bestFit="1" customWidth="1"/>
    <col min="6" max="6" width="15.7109375" customWidth="1"/>
    <col min="7" max="7" width="13.28515625" customWidth="1"/>
    <col min="8" max="8" width="11.7109375" bestFit="1" customWidth="1"/>
    <col min="10" max="10" width="12.7109375" customWidth="1"/>
  </cols>
  <sheetData>
    <row r="2" spans="1:10" ht="68.25" customHeight="1" x14ac:dyDescent="0.2">
      <c r="A2" s="525" t="s">
        <v>163</v>
      </c>
      <c r="B2" s="525"/>
      <c r="C2" s="525"/>
      <c r="D2" s="525"/>
      <c r="E2" s="525"/>
      <c r="F2" s="525"/>
      <c r="G2" s="525"/>
    </row>
    <row r="3" spans="1:10" x14ac:dyDescent="0.2">
      <c r="A3" s="11"/>
      <c r="B3" s="11"/>
      <c r="C3" s="25"/>
      <c r="D3" s="25"/>
      <c r="E3" s="25"/>
      <c r="F3" s="25"/>
      <c r="G3" s="25"/>
    </row>
    <row r="4" spans="1:10" ht="15.75" x14ac:dyDescent="0.25">
      <c r="A4" s="360" t="s">
        <v>430</v>
      </c>
      <c r="B4" s="39" t="s">
        <v>140</v>
      </c>
      <c r="C4" s="25"/>
      <c r="D4" s="25"/>
      <c r="E4" s="25"/>
      <c r="F4" s="25"/>
      <c r="G4" s="25"/>
    </row>
    <row r="5" spans="1:10" ht="25.5" x14ac:dyDescent="0.2">
      <c r="B5" s="40" t="s">
        <v>141</v>
      </c>
      <c r="C5" s="3" t="s">
        <v>142</v>
      </c>
      <c r="D5" s="25"/>
      <c r="E5" s="267" t="s">
        <v>0</v>
      </c>
      <c r="F5" s="4" t="s">
        <v>37</v>
      </c>
      <c r="G5" s="4" t="s">
        <v>38</v>
      </c>
    </row>
    <row r="6" spans="1:10" x14ac:dyDescent="0.2">
      <c r="B6" s="11" t="s">
        <v>143</v>
      </c>
      <c r="C6" s="46" t="s">
        <v>144</v>
      </c>
      <c r="E6" s="313" t="s">
        <v>223</v>
      </c>
      <c r="F6" s="315">
        <v>101562.55</v>
      </c>
      <c r="G6" s="182">
        <v>361</v>
      </c>
    </row>
    <row r="7" spans="1:10" x14ac:dyDescent="0.2">
      <c r="B7" s="11" t="s">
        <v>145</v>
      </c>
      <c r="C7" s="46" t="s">
        <v>144</v>
      </c>
      <c r="E7" s="313" t="s">
        <v>223</v>
      </c>
      <c r="F7" s="481">
        <v>1737473.2</v>
      </c>
      <c r="G7" s="483">
        <v>1643</v>
      </c>
    </row>
    <row r="8" spans="1:10" ht="13.5" thickBot="1" x14ac:dyDescent="0.25">
      <c r="A8" s="40"/>
      <c r="B8" s="11"/>
      <c r="C8" s="25"/>
      <c r="D8" s="25"/>
      <c r="E8" s="25"/>
      <c r="F8" s="317">
        <f>SUM(F6:F7)</f>
        <v>1839035.75</v>
      </c>
      <c r="G8" s="178">
        <f>SUM(G6:G7)</f>
        <v>2004</v>
      </c>
    </row>
    <row r="9" spans="1:10" ht="13.5" thickTop="1" x14ac:dyDescent="0.2">
      <c r="A9" s="40"/>
      <c r="B9" s="11"/>
      <c r="C9" s="25"/>
      <c r="D9" s="25"/>
      <c r="E9" s="25"/>
      <c r="F9" s="325"/>
      <c r="G9" s="192"/>
    </row>
    <row r="10" spans="1:10" x14ac:dyDescent="0.2">
      <c r="A10" s="40"/>
      <c r="B10" s="11"/>
      <c r="C10" s="25"/>
      <c r="D10" s="25"/>
      <c r="E10" s="25"/>
      <c r="F10" s="325"/>
      <c r="G10" s="192"/>
    </row>
    <row r="11" spans="1:10" x14ac:dyDescent="0.2">
      <c r="A11" s="40"/>
      <c r="B11" s="37"/>
      <c r="F11" s="481"/>
      <c r="G11" s="484"/>
    </row>
    <row r="12" spans="1:10" ht="15.75" x14ac:dyDescent="0.25">
      <c r="A12" s="360" t="s">
        <v>431</v>
      </c>
      <c r="B12" s="39" t="s">
        <v>146</v>
      </c>
      <c r="F12" s="325"/>
      <c r="G12" s="83"/>
    </row>
    <row r="13" spans="1:10" x14ac:dyDescent="0.2">
      <c r="B13" s="37" t="s">
        <v>83</v>
      </c>
      <c r="F13" s="326"/>
      <c r="G13" s="4"/>
    </row>
    <row r="14" spans="1:10" x14ac:dyDescent="0.2">
      <c r="B14" s="73" t="s">
        <v>147</v>
      </c>
      <c r="F14" s="481">
        <v>11953080.48</v>
      </c>
      <c r="G14" s="483">
        <v>7030</v>
      </c>
      <c r="J14" s="208"/>
    </row>
    <row r="15" spans="1:10" x14ac:dyDescent="0.2">
      <c r="B15" s="73"/>
      <c r="E15" s="7"/>
      <c r="F15" s="329">
        <f>SUM(F14:F14)</f>
        <v>11953080.48</v>
      </c>
      <c r="G15" s="196">
        <f>SUM(G14:G14)</f>
        <v>7030</v>
      </c>
      <c r="J15" s="208"/>
    </row>
    <row r="16" spans="1:10" x14ac:dyDescent="0.2">
      <c r="B16" s="73"/>
      <c r="E16" s="7"/>
      <c r="F16" s="326"/>
      <c r="G16" s="197"/>
      <c r="J16" s="208"/>
    </row>
    <row r="17" spans="1:10" x14ac:dyDescent="0.2">
      <c r="B17" s="37" t="s">
        <v>84</v>
      </c>
      <c r="E17" s="7"/>
      <c r="F17" s="326"/>
      <c r="G17" s="4"/>
      <c r="J17" s="208"/>
    </row>
    <row r="18" spans="1:10" x14ac:dyDescent="0.2">
      <c r="B18" s="73" t="s">
        <v>147</v>
      </c>
      <c r="E18" s="12"/>
      <c r="F18" s="315">
        <v>5504403.2199999997</v>
      </c>
      <c r="G18" s="182">
        <v>3859</v>
      </c>
      <c r="J18" s="208"/>
    </row>
    <row r="19" spans="1:10" x14ac:dyDescent="0.2">
      <c r="B19" s="52"/>
      <c r="E19" s="19"/>
      <c r="F19" s="329">
        <f>SUM(F18:F18)</f>
        <v>5504403.2199999997</v>
      </c>
      <c r="G19" s="196">
        <f>SUM(G18:G18)</f>
        <v>3859</v>
      </c>
      <c r="J19" s="208"/>
    </row>
    <row r="20" spans="1:10" x14ac:dyDescent="0.2">
      <c r="B20" s="52"/>
      <c r="E20" s="19"/>
      <c r="F20" s="315"/>
      <c r="G20" s="182"/>
      <c r="J20" s="208"/>
    </row>
    <row r="21" spans="1:10" ht="13.5" thickBot="1" x14ac:dyDescent="0.25">
      <c r="B21" s="73" t="s">
        <v>148</v>
      </c>
      <c r="E21" s="19"/>
      <c r="F21" s="317">
        <f>SUM(F15,F19)</f>
        <v>17457483.699999999</v>
      </c>
      <c r="G21" s="178">
        <f>SUM(G15,G19)</f>
        <v>10889</v>
      </c>
      <c r="J21" s="208"/>
    </row>
    <row r="22" spans="1:10" ht="13.5" thickTop="1" x14ac:dyDescent="0.2">
      <c r="B22" s="73"/>
      <c r="E22" s="19"/>
      <c r="F22" s="214"/>
      <c r="G22" s="192"/>
      <c r="J22" s="208"/>
    </row>
    <row r="23" spans="1:10" x14ac:dyDescent="0.2">
      <c r="B23" s="73"/>
      <c r="E23" s="19"/>
      <c r="F23" s="214"/>
      <c r="G23" s="192"/>
      <c r="J23" s="208"/>
    </row>
    <row r="24" spans="1:10" x14ac:dyDescent="0.2">
      <c r="E24" s="19"/>
      <c r="F24" s="12"/>
      <c r="G24" s="12"/>
      <c r="J24" s="208"/>
    </row>
    <row r="25" spans="1:10" ht="15.75" x14ac:dyDescent="0.25">
      <c r="A25" s="360" t="s">
        <v>432</v>
      </c>
      <c r="B25" s="39" t="s">
        <v>149</v>
      </c>
      <c r="C25" t="s">
        <v>232</v>
      </c>
      <c r="E25" s="19"/>
      <c r="F25" s="484"/>
      <c r="G25" s="484"/>
      <c r="J25" s="208"/>
    </row>
    <row r="26" spans="1:10" x14ac:dyDescent="0.2">
      <c r="B26" s="73" t="s">
        <v>150</v>
      </c>
      <c r="E26" s="19"/>
      <c r="F26" s="4"/>
      <c r="G26" s="4"/>
      <c r="J26" s="208"/>
    </row>
    <row r="27" spans="1:10" x14ac:dyDescent="0.2">
      <c r="B27" s="113" t="s">
        <v>9</v>
      </c>
      <c r="E27" s="19"/>
      <c r="F27" s="481">
        <f>1400+200</f>
        <v>1600</v>
      </c>
      <c r="G27" s="483">
        <v>1</v>
      </c>
      <c r="J27" s="208"/>
    </row>
    <row r="28" spans="1:10" x14ac:dyDescent="0.2">
      <c r="B28" s="113" t="s">
        <v>10</v>
      </c>
      <c r="E28" s="19"/>
      <c r="F28" s="481">
        <v>48239.55</v>
      </c>
      <c r="G28" s="483">
        <v>83</v>
      </c>
      <c r="J28" s="208"/>
    </row>
    <row r="29" spans="1:10" x14ac:dyDescent="0.2">
      <c r="B29" s="113" t="s">
        <v>11</v>
      </c>
      <c r="E29" s="19"/>
      <c r="F29" s="481">
        <v>93070.2</v>
      </c>
      <c r="G29" s="483">
        <v>1339</v>
      </c>
      <c r="J29" s="208"/>
    </row>
    <row r="30" spans="1:10" x14ac:dyDescent="0.2">
      <c r="B30" s="113" t="s">
        <v>13</v>
      </c>
      <c r="E30" s="19"/>
      <c r="F30" s="481">
        <v>24304.07</v>
      </c>
      <c r="G30" s="483">
        <v>154</v>
      </c>
      <c r="J30" s="208"/>
    </row>
    <row r="31" spans="1:10" ht="13.5" thickBot="1" x14ac:dyDescent="0.25">
      <c r="A31" s="40"/>
      <c r="B31" s="113"/>
      <c r="E31" s="19"/>
      <c r="F31" s="317">
        <f>SUM(F27:F30)</f>
        <v>167213.82</v>
      </c>
      <c r="G31" s="178">
        <f>SUM(G27:G30)</f>
        <v>1577</v>
      </c>
      <c r="J31" s="208"/>
    </row>
    <row r="32" spans="1:10" ht="13.5" thickTop="1" x14ac:dyDescent="0.2">
      <c r="A32" s="40"/>
      <c r="B32" s="113"/>
      <c r="E32" s="19"/>
      <c r="F32" s="325"/>
      <c r="G32" s="192"/>
      <c r="J32" s="208"/>
    </row>
    <row r="33" spans="1:10" x14ac:dyDescent="0.2">
      <c r="B33" s="73" t="s">
        <v>151</v>
      </c>
      <c r="E33" s="19"/>
      <c r="F33" s="326"/>
      <c r="G33" s="4"/>
      <c r="J33" s="208"/>
    </row>
    <row r="34" spans="1:10" ht="13.15" customHeight="1" x14ac:dyDescent="0.2">
      <c r="B34" s="174" t="s">
        <v>182</v>
      </c>
      <c r="E34" s="19"/>
      <c r="F34" s="315">
        <f>44431.2+200</f>
        <v>44631.199999999997</v>
      </c>
      <c r="G34" s="182">
        <v>353</v>
      </c>
    </row>
    <row r="35" spans="1:10" ht="13.15" customHeight="1" x14ac:dyDescent="0.2">
      <c r="B35" s="174" t="s">
        <v>429</v>
      </c>
      <c r="E35" s="19"/>
      <c r="F35" s="315" t="s">
        <v>437</v>
      </c>
      <c r="G35" s="182">
        <v>301</v>
      </c>
    </row>
    <row r="36" spans="1:10" ht="13.15" customHeight="1" x14ac:dyDescent="0.2">
      <c r="B36" s="174" t="s">
        <v>303</v>
      </c>
      <c r="E36" s="19"/>
      <c r="F36" s="315">
        <v>66180</v>
      </c>
      <c r="G36" s="182">
        <v>187</v>
      </c>
    </row>
    <row r="37" spans="1:10" ht="13.15" customHeight="1" x14ac:dyDescent="0.2">
      <c r="B37" s="174" t="s">
        <v>304</v>
      </c>
      <c r="E37" s="19"/>
      <c r="F37" s="315">
        <v>28238.28</v>
      </c>
      <c r="G37" s="182">
        <v>65</v>
      </c>
    </row>
    <row r="38" spans="1:10" ht="13.15" customHeight="1" x14ac:dyDescent="0.2">
      <c r="B38" s="174" t="s">
        <v>305</v>
      </c>
      <c r="E38" s="19"/>
      <c r="F38" s="315">
        <v>28164.34</v>
      </c>
      <c r="G38" s="182">
        <v>671</v>
      </c>
    </row>
    <row r="39" spans="1:10" ht="13.5" thickBot="1" x14ac:dyDescent="0.25">
      <c r="B39" s="73"/>
      <c r="E39" s="19"/>
      <c r="F39" s="317">
        <f>SUM(F34:F38)</f>
        <v>167213.81999999998</v>
      </c>
      <c r="G39" s="178">
        <f>SUM(G34:G38)</f>
        <v>1577</v>
      </c>
    </row>
    <row r="40" spans="1:10" ht="13.5" thickTop="1" x14ac:dyDescent="0.2">
      <c r="B40" s="73"/>
      <c r="E40" s="19"/>
    </row>
    <row r="41" spans="1:10" x14ac:dyDescent="0.2">
      <c r="B41" s="73"/>
      <c r="E41" s="19"/>
    </row>
    <row r="42" spans="1:10" x14ac:dyDescent="0.2">
      <c r="B42" s="73"/>
      <c r="E42" s="19"/>
    </row>
    <row r="43" spans="1:10" ht="15.75" x14ac:dyDescent="0.25">
      <c r="A43" s="360" t="s">
        <v>433</v>
      </c>
      <c r="B43" s="39" t="s">
        <v>152</v>
      </c>
      <c r="E43" s="24"/>
    </row>
    <row r="44" spans="1:10" s="34" customFormat="1" ht="13.15" customHeight="1" x14ac:dyDescent="0.25">
      <c r="A44" s="20"/>
      <c r="B44" s="39"/>
      <c r="C44" s="71"/>
      <c r="D44" s="22"/>
      <c r="E44" s="71"/>
      <c r="F44" s="4"/>
      <c r="G44" s="4"/>
    </row>
    <row r="45" spans="1:10" s="34" customFormat="1" x14ac:dyDescent="0.2">
      <c r="B45" s="34" t="s">
        <v>153</v>
      </c>
      <c r="F45" s="352">
        <f>1450374.82+1628035.42+13281923.96</f>
        <v>16360334.200000001</v>
      </c>
      <c r="G45" s="435">
        <v>14532</v>
      </c>
    </row>
    <row r="46" spans="1:10" s="34" customFormat="1" x14ac:dyDescent="0.2">
      <c r="B46" s="34" t="s">
        <v>154</v>
      </c>
      <c r="C46" s="22"/>
      <c r="D46" s="22"/>
      <c r="E46" s="22"/>
      <c r="F46" s="352">
        <f>3514635.45</f>
        <v>3514635.45</v>
      </c>
      <c r="G46" s="435">
        <v>3932</v>
      </c>
    </row>
    <row r="47" spans="1:10" s="34" customFormat="1" x14ac:dyDescent="0.2">
      <c r="B47" s="34" t="s">
        <v>155</v>
      </c>
      <c r="E47" s="62"/>
      <c r="F47" s="372">
        <v>311464.74</v>
      </c>
      <c r="G47" s="435">
        <v>391</v>
      </c>
    </row>
    <row r="48" spans="1:10" s="34" customFormat="1" ht="13.5" thickBot="1" x14ac:dyDescent="0.25">
      <c r="B48" s="52"/>
      <c r="E48" s="62"/>
      <c r="F48" s="373">
        <f>SUM(F45:F47)</f>
        <v>20186434.390000001</v>
      </c>
      <c r="G48" s="436">
        <f>SUM(G45:G47)</f>
        <v>18855</v>
      </c>
    </row>
    <row r="49" spans="1:8" s="34" customFormat="1" ht="13.5" thickTop="1" x14ac:dyDescent="0.2">
      <c r="B49" s="52"/>
      <c r="E49" s="62"/>
      <c r="F49" s="260"/>
      <c r="G49" s="261"/>
    </row>
    <row r="50" spans="1:8" s="34" customFormat="1" x14ac:dyDescent="0.2"/>
    <row r="51" spans="1:8" s="34" customFormat="1" x14ac:dyDescent="0.2">
      <c r="B51" s="52"/>
      <c r="E51" s="62"/>
      <c r="F51" s="260"/>
      <c r="G51" s="261"/>
    </row>
    <row r="52" spans="1:8" s="34" customFormat="1" x14ac:dyDescent="0.2">
      <c r="B52" s="52"/>
      <c r="E52" s="62"/>
      <c r="F52" s="76"/>
      <c r="G52" s="76"/>
    </row>
    <row r="53" spans="1:8" s="34" customFormat="1" ht="15.75" x14ac:dyDescent="0.25">
      <c r="A53" s="360" t="s">
        <v>434</v>
      </c>
      <c r="B53" s="39" t="s">
        <v>156</v>
      </c>
      <c r="C53" s="34" t="s">
        <v>232</v>
      </c>
      <c r="E53" s="62"/>
    </row>
    <row r="54" spans="1:8" s="34" customFormat="1" ht="38.25" x14ac:dyDescent="0.2">
      <c r="A54" s="44">
        <v>26.1</v>
      </c>
      <c r="B54" s="21" t="s">
        <v>164</v>
      </c>
      <c r="D54" s="86"/>
      <c r="E54" s="51" t="s">
        <v>11</v>
      </c>
      <c r="F54" s="4" t="s">
        <v>165</v>
      </c>
      <c r="G54" s="4" t="s">
        <v>166</v>
      </c>
    </row>
    <row r="55" spans="1:8" s="34" customFormat="1" x14ac:dyDescent="0.2">
      <c r="B55" s="24"/>
      <c r="C55" s="75"/>
      <c r="D55" s="262"/>
      <c r="E55" s="250"/>
      <c r="F55" s="212"/>
      <c r="G55" s="212"/>
    </row>
    <row r="56" spans="1:8" x14ac:dyDescent="0.2">
      <c r="B56" s="26" t="s">
        <v>439</v>
      </c>
      <c r="C56" s="6"/>
      <c r="D56" s="38"/>
      <c r="E56" s="250"/>
      <c r="F56" s="212"/>
      <c r="G56" s="212"/>
    </row>
    <row r="57" spans="1:8" x14ac:dyDescent="0.2">
      <c r="B57" s="24" t="s">
        <v>440</v>
      </c>
      <c r="C57" s="6"/>
      <c r="D57" s="38"/>
      <c r="E57" s="315">
        <f>F57</f>
        <v>152960.51999999999</v>
      </c>
      <c r="F57" s="315">
        <v>152960.51999999999</v>
      </c>
      <c r="G57" s="315">
        <f>149824.73</f>
        <v>149824.73000000001</v>
      </c>
      <c r="H57" s="374"/>
    </row>
    <row r="58" spans="1:8" x14ac:dyDescent="0.2">
      <c r="B58" s="24" t="s">
        <v>224</v>
      </c>
      <c r="C58" s="6"/>
      <c r="D58" s="213"/>
      <c r="E58" s="315">
        <f>F58</f>
        <v>90797.92</v>
      </c>
      <c r="F58" s="315">
        <v>90797.92</v>
      </c>
      <c r="G58" s="315">
        <v>231502.65</v>
      </c>
      <c r="H58" s="374"/>
    </row>
    <row r="59" spans="1:8" x14ac:dyDescent="0.2">
      <c r="B59" s="24" t="s">
        <v>225</v>
      </c>
      <c r="C59" s="6"/>
      <c r="D59" s="213"/>
      <c r="E59" s="315" t="str">
        <f>F59</f>
        <v>-</v>
      </c>
      <c r="F59" s="315" t="s">
        <v>437</v>
      </c>
      <c r="G59" s="315">
        <v>12255.79</v>
      </c>
      <c r="H59" s="374"/>
    </row>
    <row r="60" spans="1:8" x14ac:dyDescent="0.2">
      <c r="B60" s="24"/>
      <c r="C60" s="6"/>
      <c r="D60" s="213"/>
      <c r="E60" s="328">
        <f>SUM(E57:E59)</f>
        <v>243758.44</v>
      </c>
      <c r="F60" s="328">
        <f>SUM(F57:F59)</f>
        <v>243758.44</v>
      </c>
      <c r="G60" s="328">
        <f>SUM(G57:G59)</f>
        <v>393583.17</v>
      </c>
      <c r="H60" s="375"/>
    </row>
    <row r="61" spans="1:8" x14ac:dyDescent="0.2">
      <c r="B61" s="24" t="s">
        <v>158</v>
      </c>
      <c r="C61" s="6"/>
      <c r="D61" s="213"/>
      <c r="E61" s="323" t="s">
        <v>437</v>
      </c>
      <c r="F61" s="323" t="s">
        <v>437</v>
      </c>
      <c r="G61" s="323" t="s">
        <v>437</v>
      </c>
    </row>
    <row r="62" spans="1:8" x14ac:dyDescent="0.2">
      <c r="B62" s="24" t="s">
        <v>159</v>
      </c>
      <c r="C62" s="6"/>
      <c r="D62" s="213"/>
      <c r="E62" s="315">
        <f>E60</f>
        <v>243758.44</v>
      </c>
      <c r="F62" s="315">
        <f>F60</f>
        <v>243758.44</v>
      </c>
      <c r="G62" s="315">
        <f>G60</f>
        <v>393583.17</v>
      </c>
    </row>
    <row r="63" spans="1:8" x14ac:dyDescent="0.2">
      <c r="B63" s="24"/>
      <c r="C63" s="6"/>
      <c r="D63" s="6"/>
      <c r="E63" s="315"/>
      <c r="F63" s="315"/>
      <c r="G63" s="315"/>
    </row>
    <row r="64" spans="1:8" x14ac:dyDescent="0.2">
      <c r="B64" s="26" t="s">
        <v>361</v>
      </c>
      <c r="C64" s="6"/>
      <c r="D64" s="38"/>
      <c r="E64" s="352"/>
      <c r="F64" s="315"/>
      <c r="G64" s="315"/>
    </row>
    <row r="65" spans="1:8" x14ac:dyDescent="0.2">
      <c r="B65" s="24" t="s">
        <v>440</v>
      </c>
      <c r="C65" s="6"/>
      <c r="D65" s="38"/>
      <c r="E65" s="315">
        <f>F65</f>
        <v>64017.8</v>
      </c>
      <c r="F65" s="315">
        <f>64417.8-400</f>
        <v>64017.8</v>
      </c>
      <c r="G65" s="315">
        <f>64417.8</f>
        <v>64417.8</v>
      </c>
      <c r="H65" s="374"/>
    </row>
    <row r="66" spans="1:8" x14ac:dyDescent="0.2">
      <c r="B66" s="24" t="s">
        <v>224</v>
      </c>
      <c r="C66" s="6"/>
      <c r="D66" s="213"/>
      <c r="E66" s="315">
        <f>F66</f>
        <v>5368.15</v>
      </c>
      <c r="F66" s="315">
        <v>5368.15</v>
      </c>
      <c r="G66" s="315">
        <v>69785.95</v>
      </c>
      <c r="H66" s="374"/>
    </row>
    <row r="67" spans="1:8" x14ac:dyDescent="0.2">
      <c r="B67" s="24" t="s">
        <v>225</v>
      </c>
      <c r="C67" s="6"/>
      <c r="D67" s="213"/>
      <c r="E67" s="315" t="str">
        <f>F67</f>
        <v>-</v>
      </c>
      <c r="F67" s="315" t="s">
        <v>437</v>
      </c>
      <c r="G67" s="315" t="s">
        <v>437</v>
      </c>
    </row>
    <row r="68" spans="1:8" x14ac:dyDescent="0.2">
      <c r="B68" s="24"/>
      <c r="C68" s="6"/>
      <c r="D68" s="213"/>
      <c r="E68" s="328">
        <f>SUM(E65:E67)</f>
        <v>69385.95</v>
      </c>
      <c r="F68" s="328">
        <f>SUM(F65:F67)</f>
        <v>69385.95</v>
      </c>
      <c r="G68" s="328">
        <f>SUM(G65:G67)-200</f>
        <v>134003.75</v>
      </c>
      <c r="H68" s="375"/>
    </row>
    <row r="69" spans="1:8" x14ac:dyDescent="0.2">
      <c r="B69" s="24" t="s">
        <v>158</v>
      </c>
      <c r="C69" s="6"/>
      <c r="D69" s="213"/>
      <c r="E69" s="323" t="s">
        <v>437</v>
      </c>
      <c r="F69" s="323" t="s">
        <v>437</v>
      </c>
      <c r="G69" s="323" t="s">
        <v>437</v>
      </c>
    </row>
    <row r="70" spans="1:8" x14ac:dyDescent="0.2">
      <c r="B70" s="24" t="s">
        <v>159</v>
      </c>
      <c r="C70" s="6"/>
      <c r="D70" s="213"/>
      <c r="E70" s="315">
        <f>E68</f>
        <v>69385.95</v>
      </c>
      <c r="F70" s="315">
        <f>F68</f>
        <v>69385.95</v>
      </c>
      <c r="G70" s="315">
        <f>G68</f>
        <v>134003.75</v>
      </c>
    </row>
    <row r="71" spans="1:8" x14ac:dyDescent="0.2">
      <c r="B71" s="24"/>
      <c r="C71" s="6"/>
      <c r="D71" s="38"/>
      <c r="E71" s="315"/>
      <c r="F71" s="315"/>
      <c r="G71" s="315"/>
    </row>
    <row r="72" spans="1:8" x14ac:dyDescent="0.2">
      <c r="B72" s="26" t="s">
        <v>362</v>
      </c>
      <c r="C72" s="6"/>
      <c r="D72" s="38"/>
      <c r="E72" s="352"/>
      <c r="F72" s="315"/>
      <c r="G72" s="315"/>
    </row>
    <row r="73" spans="1:8" x14ac:dyDescent="0.2">
      <c r="B73" s="24" t="s">
        <v>440</v>
      </c>
      <c r="C73" s="6"/>
      <c r="D73" s="38"/>
      <c r="E73" s="315">
        <f>F73</f>
        <v>398405.01</v>
      </c>
      <c r="F73" s="315">
        <f>398705.01-300</f>
        <v>398405.01</v>
      </c>
      <c r="G73" s="315">
        <v>447074.12</v>
      </c>
      <c r="H73" s="374"/>
    </row>
    <row r="74" spans="1:8" x14ac:dyDescent="0.2">
      <c r="B74" s="24" t="s">
        <v>224</v>
      </c>
      <c r="C74" s="6"/>
      <c r="D74" s="213"/>
      <c r="E74" s="315">
        <f>F74</f>
        <v>291784.94</v>
      </c>
      <c r="F74" s="315">
        <f>92029.44+199755.5</f>
        <v>291784.94</v>
      </c>
      <c r="G74" s="315">
        <f>598460.51-200</f>
        <v>598260.51</v>
      </c>
      <c r="H74" s="374"/>
    </row>
    <row r="75" spans="1:8" x14ac:dyDescent="0.2">
      <c r="B75" s="24" t="s">
        <v>225</v>
      </c>
      <c r="C75" s="6"/>
      <c r="D75" s="213"/>
      <c r="E75" s="315">
        <f>F75</f>
        <v>18193.14</v>
      </c>
      <c r="F75" s="315">
        <v>18193.14</v>
      </c>
      <c r="G75" s="315">
        <f>110222.58-200</f>
        <v>110022.58</v>
      </c>
      <c r="H75" s="374"/>
    </row>
    <row r="76" spans="1:8" x14ac:dyDescent="0.2">
      <c r="B76" s="24"/>
      <c r="C76" s="6"/>
      <c r="D76" s="213"/>
      <c r="E76" s="328">
        <f>SUM(E73:E75)-500</f>
        <v>707883.09</v>
      </c>
      <c r="F76" s="328">
        <f>SUM(F73:F75)-500</f>
        <v>707883.09</v>
      </c>
      <c r="G76" s="328">
        <f>SUM(G73:G75)</f>
        <v>1155357.21</v>
      </c>
      <c r="H76" s="375"/>
    </row>
    <row r="77" spans="1:8" x14ac:dyDescent="0.2">
      <c r="B77" s="24" t="s">
        <v>158</v>
      </c>
      <c r="C77" s="6"/>
      <c r="D77" s="213"/>
      <c r="E77" s="323" t="s">
        <v>437</v>
      </c>
      <c r="F77" s="323" t="s">
        <v>437</v>
      </c>
      <c r="G77" s="323" t="s">
        <v>437</v>
      </c>
    </row>
    <row r="78" spans="1:8" x14ac:dyDescent="0.2">
      <c r="A78" s="24"/>
      <c r="B78" s="24" t="s">
        <v>159</v>
      </c>
      <c r="C78" s="6"/>
      <c r="D78" s="213"/>
      <c r="E78" s="315">
        <f>E76</f>
        <v>707883.09</v>
      </c>
      <c r="F78" s="315">
        <f>F76</f>
        <v>707883.09</v>
      </c>
      <c r="G78" s="315">
        <f>G76</f>
        <v>1155357.21</v>
      </c>
      <c r="H78" s="375"/>
    </row>
    <row r="79" spans="1:8" x14ac:dyDescent="0.2">
      <c r="B79" s="52"/>
      <c r="C79" s="6"/>
      <c r="D79" s="38"/>
      <c r="E79" s="315"/>
      <c r="F79" s="321"/>
      <c r="G79" s="491"/>
      <c r="H79" s="375"/>
    </row>
    <row r="80" spans="1:8" ht="13.5" thickBot="1" x14ac:dyDescent="0.25">
      <c r="B80" s="24" t="s">
        <v>160</v>
      </c>
      <c r="C80" s="6"/>
      <c r="D80" s="213"/>
      <c r="E80" s="337">
        <f>SUM(E62+E70+E78)</f>
        <v>1021027.48</v>
      </c>
      <c r="F80" s="337">
        <f>SUM(F62+F70+F78)</f>
        <v>1021027.48</v>
      </c>
      <c r="G80" s="337">
        <f>SUM(G62+G70+G78)</f>
        <v>1682944.13</v>
      </c>
      <c r="H80" s="375"/>
    </row>
    <row r="81" spans="1:8" ht="13.5" thickTop="1" x14ac:dyDescent="0.2">
      <c r="A81" s="44"/>
      <c r="B81" s="40"/>
      <c r="C81" s="6"/>
      <c r="D81" s="6"/>
      <c r="E81" s="6"/>
      <c r="F81" s="6"/>
      <c r="G81" s="6"/>
      <c r="H81" s="375"/>
    </row>
    <row r="82" spans="1:8" x14ac:dyDescent="0.2">
      <c r="A82" s="44"/>
      <c r="B82" s="40"/>
      <c r="C82" s="6"/>
      <c r="D82" s="6"/>
      <c r="E82" s="6"/>
      <c r="F82" s="6"/>
      <c r="G82" s="6"/>
    </row>
    <row r="83" spans="1:8" ht="15.75" x14ac:dyDescent="0.25">
      <c r="A83" s="360" t="s">
        <v>435</v>
      </c>
      <c r="B83" s="39" t="s">
        <v>161</v>
      </c>
      <c r="C83" s="6"/>
      <c r="D83" s="6"/>
      <c r="E83" s="34"/>
      <c r="F83" s="4"/>
      <c r="G83" s="4"/>
    </row>
    <row r="84" spans="1:8" ht="25.5" x14ac:dyDescent="0.2">
      <c r="A84" s="18">
        <v>27.1</v>
      </c>
      <c r="B84" s="37" t="s">
        <v>162</v>
      </c>
      <c r="C84" s="6"/>
      <c r="D84" s="6"/>
      <c r="E84" s="49" t="s">
        <v>477</v>
      </c>
      <c r="F84" s="4" t="s">
        <v>37</v>
      </c>
      <c r="G84" s="4" t="s">
        <v>38</v>
      </c>
    </row>
    <row r="85" spans="1:8" x14ac:dyDescent="0.2">
      <c r="A85" s="18"/>
      <c r="B85" s="73" t="s">
        <v>383</v>
      </c>
      <c r="C85" s="6"/>
      <c r="D85" s="6"/>
      <c r="E85" s="492">
        <v>2</v>
      </c>
      <c r="F85" s="481">
        <v>1250240.31</v>
      </c>
      <c r="G85" s="481">
        <v>1151026.68</v>
      </c>
    </row>
    <row r="86" spans="1:8" x14ac:dyDescent="0.2">
      <c r="A86" s="18"/>
      <c r="B86" s="73" t="s">
        <v>384</v>
      </c>
      <c r="C86" s="6"/>
      <c r="D86" s="6"/>
      <c r="E86" s="484">
        <v>1</v>
      </c>
      <c r="F86" s="481">
        <v>736862.19</v>
      </c>
      <c r="G86" s="481">
        <v>636551.81000000006</v>
      </c>
    </row>
    <row r="87" spans="1:8" x14ac:dyDescent="0.2">
      <c r="A87" s="18"/>
      <c r="B87" s="73" t="s">
        <v>486</v>
      </c>
      <c r="C87" s="6"/>
      <c r="D87" s="6"/>
      <c r="E87" s="484">
        <v>4</v>
      </c>
      <c r="F87" s="481">
        <f>481480.79+501544.73+613056+487036.54</f>
        <v>2083118.06</v>
      </c>
      <c r="G87" s="481">
        <f>382627.33+472862.32+587592+98789.11</f>
        <v>1541870.76</v>
      </c>
    </row>
    <row r="88" spans="1:8" x14ac:dyDescent="0.2">
      <c r="A88" s="18"/>
      <c r="B88" s="73" t="s">
        <v>385</v>
      </c>
      <c r="C88" s="6"/>
      <c r="D88" s="6"/>
      <c r="E88" s="484">
        <v>2</v>
      </c>
      <c r="F88" s="481">
        <f>385923.84+412488.41+200</f>
        <v>798612.25</v>
      </c>
      <c r="G88" s="481">
        <f>355154.06+62029.46</f>
        <v>417183.52</v>
      </c>
    </row>
    <row r="89" spans="1:8" ht="13.5" thickBot="1" x14ac:dyDescent="0.25">
      <c r="A89" s="18"/>
      <c r="B89" s="37"/>
      <c r="C89" s="6"/>
      <c r="D89" s="6"/>
      <c r="E89" s="427">
        <f>SUM(E85:E88)</f>
        <v>9</v>
      </c>
      <c r="F89" s="461">
        <f>SUM(F85:F88)</f>
        <v>4868832.8100000005</v>
      </c>
      <c r="G89" s="461">
        <f>SUM(G85:G88)</f>
        <v>3746632.77</v>
      </c>
    </row>
    <row r="90" spans="1:8" ht="13.5" thickTop="1" x14ac:dyDescent="0.2">
      <c r="A90" s="18"/>
      <c r="B90" s="37"/>
      <c r="C90" s="6"/>
      <c r="D90" s="6"/>
      <c r="E90" s="34"/>
      <c r="F90" s="34"/>
      <c r="G90" s="34"/>
    </row>
    <row r="91" spans="1:8" x14ac:dyDescent="0.2">
      <c r="A91" s="34" t="s">
        <v>398</v>
      </c>
      <c r="B91" s="25"/>
      <c r="C91" s="25"/>
      <c r="D91" s="25"/>
      <c r="E91" s="25"/>
      <c r="F91" s="4"/>
      <c r="G91" s="4"/>
    </row>
    <row r="92" spans="1:8" s="5" customFormat="1" x14ac:dyDescent="0.2">
      <c r="A92" s="79"/>
      <c r="B92" s="80"/>
      <c r="C92" s="81"/>
      <c r="D92" s="156"/>
      <c r="E92" s="157"/>
      <c r="F92" s="38"/>
      <c r="G92" s="38"/>
    </row>
    <row r="93" spans="1:8" s="5" customFormat="1" x14ac:dyDescent="0.2">
      <c r="A93" s="123"/>
      <c r="B93" s="80"/>
      <c r="C93" s="81"/>
      <c r="D93" s="123"/>
      <c r="E93" s="158"/>
      <c r="F93" s="156"/>
      <c r="G93" s="156"/>
    </row>
    <row r="94" spans="1:8" s="5" customFormat="1" x14ac:dyDescent="0.2">
      <c r="A94" s="92"/>
      <c r="B94" s="92"/>
      <c r="C94" s="156"/>
      <c r="D94" s="156"/>
      <c r="E94" s="157"/>
      <c r="F94" s="84"/>
      <c r="G94" s="84"/>
    </row>
    <row r="95" spans="1:8" s="5" customFormat="1" x14ac:dyDescent="0.2">
      <c r="A95" s="79"/>
      <c r="B95" s="80"/>
      <c r="C95" s="156"/>
      <c r="D95" s="156"/>
      <c r="E95" s="83"/>
      <c r="F95" s="83"/>
      <c r="G95" s="83"/>
    </row>
    <row r="96" spans="1:8" s="5" customFormat="1" x14ac:dyDescent="0.2">
      <c r="A96" s="79"/>
      <c r="B96" s="80"/>
      <c r="C96" s="156"/>
      <c r="D96" s="156"/>
      <c r="E96" s="83"/>
      <c r="F96" s="38"/>
      <c r="G96" s="38"/>
    </row>
    <row r="97" spans="1:7" s="5" customFormat="1" x14ac:dyDescent="0.2">
      <c r="A97" s="79"/>
      <c r="B97" s="80"/>
      <c r="C97" s="156"/>
      <c r="D97" s="156"/>
      <c r="E97" s="83"/>
      <c r="F97" s="38"/>
      <c r="G97" s="38"/>
    </row>
    <row r="98" spans="1:7" s="5" customFormat="1" x14ac:dyDescent="0.2">
      <c r="A98" s="79"/>
      <c r="B98" s="80"/>
      <c r="C98" s="156"/>
      <c r="D98" s="156"/>
      <c r="E98" s="83"/>
      <c r="F98" s="38"/>
      <c r="G98" s="38"/>
    </row>
    <row r="99" spans="1:7" s="5" customFormat="1" x14ac:dyDescent="0.2">
      <c r="A99" s="79"/>
      <c r="B99" s="80"/>
      <c r="C99" s="156"/>
      <c r="D99" s="156"/>
      <c r="E99" s="83"/>
      <c r="F99" s="38"/>
      <c r="G99" s="38"/>
    </row>
    <row r="100" spans="1:7" s="5" customFormat="1" x14ac:dyDescent="0.2">
      <c r="A100" s="79"/>
      <c r="B100" s="80"/>
      <c r="C100" s="156"/>
      <c r="D100" s="156"/>
      <c r="E100" s="83"/>
      <c r="F100" s="38"/>
      <c r="G100" s="38"/>
    </row>
    <row r="101" spans="1:7" x14ac:dyDescent="0.2">
      <c r="A101" s="74"/>
      <c r="B101" s="78"/>
      <c r="C101" s="69"/>
      <c r="D101" s="78"/>
      <c r="E101" s="69"/>
      <c r="F101" s="38"/>
      <c r="G101" s="38"/>
    </row>
    <row r="102" spans="1:7" ht="15.75" x14ac:dyDescent="0.25">
      <c r="A102" s="82"/>
      <c r="B102" s="82"/>
      <c r="C102" s="78"/>
      <c r="D102" s="78"/>
      <c r="E102" s="69"/>
      <c r="F102" s="69"/>
      <c r="G102" s="69"/>
    </row>
    <row r="103" spans="1:7" x14ac:dyDescent="0.2">
      <c r="A103" s="78"/>
      <c r="B103" s="74"/>
      <c r="C103" s="38"/>
      <c r="D103" s="78"/>
      <c r="E103" s="69"/>
      <c r="F103" s="69"/>
      <c r="G103" s="69"/>
    </row>
    <row r="104" spans="1:7" x14ac:dyDescent="0.2">
      <c r="A104" s="74"/>
      <c r="B104" s="80"/>
      <c r="C104" s="38"/>
      <c r="D104" s="78"/>
      <c r="E104" s="69"/>
      <c r="F104" s="69"/>
      <c r="G104" s="69"/>
    </row>
    <row r="105" spans="1:7" x14ac:dyDescent="0.2">
      <c r="A105" s="74"/>
      <c r="B105" s="80"/>
      <c r="C105" s="38"/>
      <c r="D105" s="78"/>
      <c r="E105" s="69"/>
      <c r="F105" s="69"/>
      <c r="G105" s="69"/>
    </row>
    <row r="106" spans="1:7" x14ac:dyDescent="0.2">
      <c r="A106" s="74"/>
      <c r="B106" s="80"/>
      <c r="C106" s="69"/>
      <c r="D106" s="78"/>
      <c r="E106" s="69"/>
      <c r="F106" s="38"/>
      <c r="G106" s="38"/>
    </row>
    <row r="107" spans="1:7" x14ac:dyDescent="0.2">
      <c r="A107" s="74"/>
      <c r="B107" s="80"/>
      <c r="C107" s="69"/>
      <c r="D107" s="78"/>
      <c r="E107" s="69"/>
      <c r="F107" s="38"/>
      <c r="G107" s="38"/>
    </row>
    <row r="108" spans="1:7" x14ac:dyDescent="0.2">
      <c r="A108" s="74"/>
      <c r="B108" s="78"/>
      <c r="C108" s="69"/>
      <c r="D108" s="78"/>
      <c r="E108" s="69"/>
      <c r="F108" s="38"/>
      <c r="G108" s="38"/>
    </row>
    <row r="109" spans="1:7" ht="15.75" x14ac:dyDescent="0.25">
      <c r="A109" s="82"/>
      <c r="B109" s="82"/>
      <c r="C109" s="78"/>
      <c r="D109" s="78"/>
      <c r="E109" s="69"/>
      <c r="F109" s="69"/>
      <c r="G109" s="69"/>
    </row>
    <row r="110" spans="1:7" x14ac:dyDescent="0.2">
      <c r="A110" s="78"/>
      <c r="B110" s="74"/>
      <c r="C110" s="83"/>
      <c r="D110" s="78"/>
      <c r="E110" s="69"/>
      <c r="F110" s="69"/>
      <c r="G110" s="69"/>
    </row>
    <row r="111" spans="1:7" x14ac:dyDescent="0.2">
      <c r="A111" s="74"/>
      <c r="B111" s="80"/>
      <c r="C111" s="38"/>
      <c r="D111" s="78"/>
      <c r="E111" s="69"/>
      <c r="F111" s="69"/>
      <c r="G111" s="69"/>
    </row>
    <row r="112" spans="1:7" x14ac:dyDescent="0.2">
      <c r="A112" s="74"/>
      <c r="B112" s="80"/>
      <c r="C112" s="38"/>
      <c r="D112" s="78"/>
      <c r="E112" s="69"/>
      <c r="F112" s="69"/>
      <c r="G112" s="69"/>
    </row>
    <row r="113" spans="1:7" x14ac:dyDescent="0.2">
      <c r="A113" s="74"/>
      <c r="B113" s="80"/>
      <c r="C113" s="69"/>
      <c r="D113" s="78"/>
      <c r="E113" s="69"/>
      <c r="F113" s="38"/>
      <c r="G113" s="38"/>
    </row>
    <row r="114" spans="1:7" x14ac:dyDescent="0.2">
      <c r="A114" s="74"/>
      <c r="B114" s="78"/>
      <c r="C114" s="69"/>
      <c r="D114" s="78"/>
      <c r="E114" s="69"/>
      <c r="F114" s="38"/>
      <c r="G114" s="38"/>
    </row>
    <row r="115" spans="1:7" x14ac:dyDescent="0.2">
      <c r="A115" s="74"/>
      <c r="B115" s="78"/>
      <c r="C115" s="69"/>
      <c r="D115" s="78"/>
      <c r="E115" s="69"/>
      <c r="F115" s="38"/>
      <c r="G115" s="38"/>
    </row>
    <row r="116" spans="1:7" ht="15.75" x14ac:dyDescent="0.25">
      <c r="A116" s="82"/>
      <c r="B116" s="82"/>
      <c r="C116" s="78"/>
      <c r="D116" s="78"/>
      <c r="E116" s="69"/>
      <c r="F116" s="69"/>
      <c r="G116" s="69"/>
    </row>
    <row r="117" spans="1:7" x14ac:dyDescent="0.2">
      <c r="A117" s="14"/>
      <c r="B117" s="80"/>
      <c r="C117" s="45"/>
      <c r="D117" s="45"/>
      <c r="E117" s="83"/>
      <c r="F117" s="69"/>
      <c r="G117" s="69"/>
    </row>
    <row r="118" spans="1:7" x14ac:dyDescent="0.2">
      <c r="A118" s="78"/>
      <c r="B118" s="80"/>
      <c r="C118" s="38"/>
      <c r="D118" s="38"/>
      <c r="E118" s="69"/>
      <c r="F118" s="69"/>
      <c r="G118" s="69"/>
    </row>
    <row r="119" spans="1:7" x14ac:dyDescent="0.2">
      <c r="A119" s="74"/>
      <c r="B119" s="80"/>
      <c r="C119" s="38"/>
      <c r="D119" s="38"/>
      <c r="E119" s="69"/>
      <c r="F119" s="69"/>
      <c r="G119" s="69"/>
    </row>
    <row r="120" spans="1:7" x14ac:dyDescent="0.2">
      <c r="A120" s="78"/>
      <c r="B120" s="80"/>
      <c r="C120" s="38"/>
      <c r="D120" s="38"/>
      <c r="E120" s="69"/>
      <c r="F120" s="69"/>
      <c r="G120" s="69"/>
    </row>
    <row r="121" spans="1:7" x14ac:dyDescent="0.2">
      <c r="A121" s="78"/>
      <c r="B121" s="80"/>
      <c r="C121" s="69"/>
      <c r="D121" s="69"/>
      <c r="E121" s="69"/>
      <c r="F121" s="38"/>
      <c r="G121" s="38"/>
    </row>
    <row r="122" spans="1:7" x14ac:dyDescent="0.2">
      <c r="A122" s="78"/>
      <c r="B122" s="80"/>
      <c r="C122" s="69"/>
      <c r="D122" s="69"/>
      <c r="E122" s="69"/>
      <c r="F122" s="38"/>
      <c r="G122" s="38"/>
    </row>
    <row r="123" spans="1:7" x14ac:dyDescent="0.2">
      <c r="A123" s="78"/>
      <c r="B123" s="80"/>
      <c r="C123" s="69"/>
      <c r="D123" s="69"/>
      <c r="E123" s="69"/>
      <c r="F123" s="38"/>
      <c r="G123" s="38"/>
    </row>
    <row r="124" spans="1:7" x14ac:dyDescent="0.2">
      <c r="A124" s="78"/>
      <c r="B124" s="80"/>
      <c r="C124" s="69"/>
      <c r="D124" s="69"/>
      <c r="E124" s="69"/>
      <c r="F124" s="38"/>
      <c r="G124" s="38"/>
    </row>
    <row r="125" spans="1:7" x14ac:dyDescent="0.2">
      <c r="A125" s="78"/>
      <c r="B125" s="80"/>
      <c r="C125" s="69"/>
      <c r="D125" s="69"/>
      <c r="E125" s="69"/>
      <c r="F125" s="38"/>
      <c r="G125" s="38"/>
    </row>
    <row r="126" spans="1:7" x14ac:dyDescent="0.2">
      <c r="A126" s="78"/>
      <c r="B126" s="80"/>
      <c r="C126" s="69"/>
      <c r="D126" s="69"/>
      <c r="E126" s="69"/>
      <c r="F126" s="38"/>
      <c r="G126" s="38"/>
    </row>
    <row r="127" spans="1:7" x14ac:dyDescent="0.2">
      <c r="A127" s="78"/>
      <c r="B127" s="80"/>
      <c r="C127" s="69"/>
      <c r="D127" s="69"/>
      <c r="E127" s="69"/>
      <c r="F127" s="38"/>
      <c r="G127" s="38"/>
    </row>
    <row r="128" spans="1:7" x14ac:dyDescent="0.2">
      <c r="A128" s="78"/>
      <c r="B128" s="80"/>
      <c r="C128" s="69"/>
      <c r="D128" s="69"/>
      <c r="E128" s="69"/>
      <c r="F128" s="38"/>
      <c r="G128" s="38"/>
    </row>
    <row r="129" spans="1:7" x14ac:dyDescent="0.2">
      <c r="A129" s="78"/>
      <c r="B129" s="80"/>
      <c r="C129" s="38"/>
      <c r="D129" s="38"/>
      <c r="E129" s="69"/>
      <c r="F129" s="69"/>
      <c r="G129" s="69"/>
    </row>
    <row r="130" spans="1:7" x14ac:dyDescent="0.2">
      <c r="A130" s="78"/>
      <c r="B130" s="80"/>
      <c r="C130" s="38"/>
      <c r="D130" s="38"/>
      <c r="E130" s="69"/>
      <c r="F130" s="69"/>
      <c r="G130" s="69"/>
    </row>
    <row r="131" spans="1:7" x14ac:dyDescent="0.2">
      <c r="A131" s="78"/>
      <c r="B131" s="80"/>
      <c r="C131" s="69"/>
      <c r="D131" s="69"/>
      <c r="E131" s="69"/>
      <c r="F131" s="38"/>
      <c r="G131" s="38"/>
    </row>
    <row r="132" spans="1:7" x14ac:dyDescent="0.2">
      <c r="A132" s="78"/>
      <c r="B132" s="80"/>
      <c r="C132" s="69"/>
      <c r="D132" s="69"/>
      <c r="E132" s="69"/>
      <c r="F132" s="38"/>
      <c r="G132" s="38"/>
    </row>
    <row r="133" spans="1:7" x14ac:dyDescent="0.2">
      <c r="A133" s="78"/>
      <c r="B133" s="74"/>
      <c r="C133" s="69"/>
      <c r="D133" s="69"/>
      <c r="E133" s="69"/>
      <c r="F133" s="38"/>
      <c r="G133" s="38"/>
    </row>
    <row r="134" spans="1:7" ht="15.75" x14ac:dyDescent="0.25">
      <c r="A134" s="82"/>
      <c r="B134" s="82"/>
      <c r="C134" s="78"/>
      <c r="D134" s="78"/>
      <c r="E134" s="69"/>
      <c r="F134" s="69"/>
      <c r="G134" s="69"/>
    </row>
    <row r="135" spans="1:7" x14ac:dyDescent="0.2">
      <c r="A135" s="78"/>
      <c r="B135" s="80"/>
      <c r="C135" s="38"/>
      <c r="D135" s="78"/>
      <c r="E135" s="69"/>
      <c r="F135" s="69"/>
      <c r="G135" s="69"/>
    </row>
    <row r="136" spans="1:7" x14ac:dyDescent="0.2">
      <c r="A136" s="78"/>
      <c r="B136" s="80"/>
      <c r="C136" s="38"/>
      <c r="D136" s="78"/>
      <c r="E136" s="69"/>
      <c r="F136" s="69"/>
      <c r="G136" s="69"/>
    </row>
    <row r="137" spans="1:7" x14ac:dyDescent="0.2">
      <c r="A137" s="78"/>
      <c r="B137" s="80"/>
      <c r="C137" s="38"/>
      <c r="D137" s="78"/>
      <c r="E137" s="69"/>
      <c r="F137" s="69"/>
      <c r="G137" s="69"/>
    </row>
    <row r="138" spans="1:7" x14ac:dyDescent="0.2">
      <c r="A138" s="78"/>
      <c r="B138" s="80"/>
      <c r="C138" s="38"/>
      <c r="D138" s="78"/>
      <c r="E138" s="69"/>
      <c r="F138" s="69"/>
      <c r="G138" s="69"/>
    </row>
    <row r="139" spans="1:7" x14ac:dyDescent="0.2">
      <c r="A139" s="78"/>
      <c r="B139" s="80"/>
      <c r="C139" s="38"/>
      <c r="D139" s="78"/>
      <c r="E139" s="69"/>
      <c r="F139" s="69"/>
      <c r="G139" s="69"/>
    </row>
    <row r="140" spans="1:7" x14ac:dyDescent="0.2">
      <c r="A140" s="78"/>
      <c r="B140" s="80"/>
      <c r="C140" s="38"/>
      <c r="D140" s="78"/>
      <c r="E140" s="69"/>
      <c r="F140" s="69"/>
      <c r="G140" s="69"/>
    </row>
    <row r="141" spans="1:7" x14ac:dyDescent="0.2">
      <c r="A141" s="74"/>
      <c r="B141" s="74"/>
      <c r="C141" s="38"/>
      <c r="D141" s="78"/>
      <c r="E141" s="69"/>
      <c r="F141" s="69"/>
      <c r="G141" s="69"/>
    </row>
    <row r="142" spans="1:7" x14ac:dyDescent="0.2">
      <c r="A142" s="74"/>
      <c r="B142" s="74"/>
      <c r="C142" s="38"/>
      <c r="D142" s="78"/>
      <c r="E142" s="69"/>
      <c r="F142" s="69"/>
      <c r="G142" s="69"/>
    </row>
    <row r="143" spans="1:7" ht="15.75" x14ac:dyDescent="0.25">
      <c r="A143" s="82"/>
      <c r="B143" s="82"/>
      <c r="C143" s="78"/>
      <c r="D143" s="78"/>
      <c r="E143" s="69"/>
      <c r="F143" s="69"/>
      <c r="G143" s="69"/>
    </row>
    <row r="144" spans="1:7" x14ac:dyDescent="0.2">
      <c r="A144" s="74"/>
      <c r="B144" s="78"/>
      <c r="C144" s="45"/>
      <c r="D144" s="45"/>
      <c r="E144" s="83"/>
      <c r="F144" s="69"/>
      <c r="G144" s="69"/>
    </row>
    <row r="145" spans="1:7" x14ac:dyDescent="0.2">
      <c r="A145" s="78"/>
      <c r="B145" s="80"/>
      <c r="C145" s="38"/>
      <c r="D145" s="38"/>
      <c r="E145" s="69"/>
      <c r="F145" s="69"/>
      <c r="G145" s="69"/>
    </row>
    <row r="146" spans="1:7" x14ac:dyDescent="0.2">
      <c r="A146" s="78"/>
      <c r="B146" s="80"/>
      <c r="C146" s="69"/>
      <c r="D146" s="69"/>
      <c r="E146" s="69"/>
      <c r="F146" s="38"/>
      <c r="G146" s="38"/>
    </row>
    <row r="147" spans="1:7" x14ac:dyDescent="0.2">
      <c r="A147" s="74"/>
      <c r="B147" s="14"/>
      <c r="C147" s="69"/>
      <c r="D147" s="69"/>
      <c r="E147" s="69"/>
      <c r="F147" s="38"/>
      <c r="G147" s="38"/>
    </row>
    <row r="148" spans="1:7" x14ac:dyDescent="0.2">
      <c r="A148" s="78"/>
      <c r="B148" s="78"/>
      <c r="C148" s="69"/>
      <c r="D148" s="69"/>
      <c r="E148" s="69"/>
      <c r="F148" s="69"/>
      <c r="G148" s="69"/>
    </row>
    <row r="149" spans="1:7" x14ac:dyDescent="0.2">
      <c r="A149" s="78"/>
      <c r="B149" s="78"/>
      <c r="C149" s="69"/>
      <c r="D149" s="69"/>
      <c r="E149" s="69"/>
      <c r="F149" s="69"/>
      <c r="G149" s="69"/>
    </row>
    <row r="150" spans="1:7" x14ac:dyDescent="0.2">
      <c r="A150" s="78"/>
      <c r="B150" s="78"/>
      <c r="C150" s="69"/>
      <c r="D150" s="69"/>
      <c r="E150" s="69"/>
      <c r="F150" s="69"/>
      <c r="G150" s="69"/>
    </row>
    <row r="151" spans="1:7" x14ac:dyDescent="0.2">
      <c r="A151" s="78"/>
      <c r="B151" s="78"/>
      <c r="C151" s="69"/>
      <c r="D151" s="69"/>
      <c r="E151" s="69"/>
      <c r="F151" s="69"/>
      <c r="G151" s="69"/>
    </row>
    <row r="152" spans="1:7" x14ac:dyDescent="0.2">
      <c r="A152" s="78"/>
      <c r="B152" s="78"/>
      <c r="C152" s="69"/>
      <c r="D152" s="69"/>
      <c r="E152" s="69"/>
      <c r="F152" s="69"/>
      <c r="G152" s="69"/>
    </row>
    <row r="153" spans="1:7" x14ac:dyDescent="0.2">
      <c r="A153" s="78"/>
      <c r="B153" s="78"/>
      <c r="C153" s="69"/>
      <c r="D153" s="69"/>
      <c r="E153" s="69"/>
      <c r="F153" s="69"/>
      <c r="G153" s="69"/>
    </row>
    <row r="154" spans="1:7" x14ac:dyDescent="0.2">
      <c r="A154" s="78"/>
      <c r="B154" s="78"/>
      <c r="C154" s="69"/>
      <c r="D154" s="69"/>
      <c r="E154" s="69"/>
      <c r="F154" s="69"/>
      <c r="G154" s="69"/>
    </row>
    <row r="155" spans="1:7" x14ac:dyDescent="0.2">
      <c r="A155" s="78"/>
      <c r="B155" s="78"/>
      <c r="C155" s="69"/>
      <c r="D155" s="69"/>
      <c r="E155" s="69"/>
      <c r="F155" s="69"/>
      <c r="G155" s="69"/>
    </row>
    <row r="156" spans="1:7" x14ac:dyDescent="0.2">
      <c r="A156" s="78"/>
      <c r="B156" s="78"/>
      <c r="C156" s="69"/>
      <c r="D156" s="69"/>
      <c r="E156" s="69"/>
      <c r="F156" s="69"/>
      <c r="G156" s="69"/>
    </row>
    <row r="157" spans="1:7" x14ac:dyDescent="0.2">
      <c r="A157" s="78"/>
      <c r="B157" s="78"/>
      <c r="C157" s="69"/>
      <c r="D157" s="69"/>
      <c r="E157" s="69"/>
      <c r="F157" s="69"/>
      <c r="G157" s="69"/>
    </row>
    <row r="158" spans="1:7" x14ac:dyDescent="0.2">
      <c r="A158" s="78"/>
      <c r="B158" s="78"/>
      <c r="C158" s="69"/>
      <c r="D158" s="69"/>
      <c r="E158" s="69"/>
      <c r="F158" s="69"/>
      <c r="G158" s="69"/>
    </row>
    <row r="159" spans="1:7" x14ac:dyDescent="0.2">
      <c r="A159" s="78"/>
      <c r="B159" s="78"/>
      <c r="C159" s="69"/>
      <c r="D159" s="69"/>
      <c r="E159" s="69"/>
      <c r="F159" s="69"/>
      <c r="G159" s="69"/>
    </row>
    <row r="160" spans="1:7" x14ac:dyDescent="0.2">
      <c r="A160" s="78"/>
      <c r="B160" s="78"/>
      <c r="C160" s="69"/>
      <c r="D160" s="69"/>
      <c r="E160" s="69"/>
      <c r="F160" s="69"/>
      <c r="G160" s="69"/>
    </row>
    <row r="161" spans="1:7" x14ac:dyDescent="0.2">
      <c r="A161" s="78"/>
      <c r="B161" s="78"/>
      <c r="C161" s="69"/>
      <c r="D161" s="69"/>
      <c r="E161" s="69"/>
      <c r="F161" s="69"/>
      <c r="G161" s="69"/>
    </row>
    <row r="162" spans="1:7" x14ac:dyDescent="0.2">
      <c r="A162" s="78"/>
      <c r="B162" s="78"/>
      <c r="C162" s="69"/>
      <c r="D162" s="69"/>
      <c r="E162" s="69"/>
      <c r="F162" s="69"/>
      <c r="G162" s="69"/>
    </row>
    <row r="163" spans="1:7" x14ac:dyDescent="0.2">
      <c r="A163" s="78"/>
      <c r="B163" s="78"/>
      <c r="C163" s="69"/>
      <c r="D163" s="69"/>
      <c r="E163" s="69"/>
      <c r="F163" s="69"/>
      <c r="G163" s="69"/>
    </row>
    <row r="164" spans="1:7" x14ac:dyDescent="0.2">
      <c r="A164" s="78"/>
      <c r="B164" s="78"/>
      <c r="C164" s="69"/>
      <c r="D164" s="69"/>
      <c r="E164" s="69"/>
      <c r="F164" s="69"/>
      <c r="G164" s="69"/>
    </row>
    <row r="165" spans="1:7" x14ac:dyDescent="0.2">
      <c r="A165" s="78"/>
      <c r="B165" s="78"/>
      <c r="C165" s="69"/>
      <c r="D165" s="69"/>
      <c r="E165" s="69"/>
      <c r="F165" s="69"/>
      <c r="G165" s="69"/>
    </row>
    <row r="166" spans="1:7" x14ac:dyDescent="0.2">
      <c r="A166" s="78"/>
      <c r="B166" s="78"/>
      <c r="C166" s="69"/>
      <c r="D166" s="69"/>
      <c r="E166" s="69"/>
      <c r="F166" s="69"/>
      <c r="G166" s="69"/>
    </row>
    <row r="167" spans="1:7" x14ac:dyDescent="0.2">
      <c r="A167" s="78"/>
      <c r="B167" s="78"/>
      <c r="C167" s="69"/>
      <c r="D167" s="69"/>
      <c r="E167" s="69"/>
      <c r="F167" s="69"/>
      <c r="G167" s="69"/>
    </row>
    <row r="168" spans="1:7" x14ac:dyDescent="0.2">
      <c r="A168" s="78"/>
      <c r="B168" s="78"/>
      <c r="C168" s="69"/>
      <c r="D168" s="69"/>
      <c r="E168" s="69"/>
      <c r="F168" s="69"/>
      <c r="G168" s="69"/>
    </row>
    <row r="169" spans="1:7" x14ac:dyDescent="0.2">
      <c r="A169" s="78"/>
      <c r="B169" s="78"/>
      <c r="C169" s="69"/>
      <c r="D169" s="69"/>
      <c r="E169" s="69"/>
      <c r="F169" s="69"/>
      <c r="G169" s="69"/>
    </row>
    <row r="170" spans="1:7" x14ac:dyDescent="0.2">
      <c r="A170" s="78"/>
      <c r="B170" s="78"/>
      <c r="C170" s="69"/>
      <c r="D170" s="69"/>
      <c r="E170" s="69"/>
      <c r="F170" s="69"/>
      <c r="G170" s="69"/>
    </row>
    <row r="171" spans="1:7" x14ac:dyDescent="0.2">
      <c r="A171" s="78"/>
      <c r="B171" s="78"/>
      <c r="C171" s="69"/>
      <c r="D171" s="69"/>
      <c r="E171" s="69"/>
      <c r="F171" s="69"/>
      <c r="G171" s="69"/>
    </row>
    <row r="172" spans="1:7" x14ac:dyDescent="0.2">
      <c r="A172" s="78"/>
      <c r="B172" s="78"/>
      <c r="C172" s="69"/>
      <c r="D172" s="69"/>
      <c r="E172" s="69"/>
      <c r="F172" s="69"/>
      <c r="G172" s="69"/>
    </row>
    <row r="173" spans="1:7" x14ac:dyDescent="0.2">
      <c r="A173" s="78"/>
      <c r="B173" s="78"/>
      <c r="C173" s="69"/>
      <c r="D173" s="69"/>
      <c r="E173" s="69"/>
      <c r="F173" s="69"/>
      <c r="G173" s="69"/>
    </row>
    <row r="174" spans="1:7" x14ac:dyDescent="0.2">
      <c r="A174" s="78"/>
      <c r="B174" s="78"/>
      <c r="C174" s="69"/>
      <c r="D174" s="69"/>
      <c r="E174" s="69"/>
      <c r="F174" s="69"/>
      <c r="G174" s="69"/>
    </row>
    <row r="175" spans="1:7" x14ac:dyDescent="0.2">
      <c r="A175" s="78"/>
      <c r="B175" s="78"/>
      <c r="C175" s="69"/>
      <c r="D175" s="69"/>
      <c r="E175" s="69"/>
      <c r="F175" s="69"/>
      <c r="G175" s="69"/>
    </row>
    <row r="176" spans="1:7" x14ac:dyDescent="0.2">
      <c r="A176" s="78"/>
      <c r="B176" s="78"/>
      <c r="C176" s="69"/>
      <c r="D176" s="69"/>
      <c r="E176" s="69"/>
      <c r="F176" s="69"/>
      <c r="G176" s="69"/>
    </row>
    <row r="177" spans="1:7" x14ac:dyDescent="0.2">
      <c r="A177" s="78"/>
      <c r="B177" s="78"/>
      <c r="C177" s="69"/>
      <c r="D177" s="69"/>
      <c r="E177" s="69"/>
      <c r="F177" s="69"/>
      <c r="G177" s="69"/>
    </row>
    <row r="178" spans="1:7" x14ac:dyDescent="0.2">
      <c r="A178" s="78"/>
      <c r="B178" s="78"/>
      <c r="C178" s="69"/>
      <c r="D178" s="69"/>
      <c r="E178" s="69"/>
      <c r="F178" s="69"/>
      <c r="G178" s="69"/>
    </row>
    <row r="179" spans="1:7" x14ac:dyDescent="0.2">
      <c r="A179" s="78"/>
      <c r="B179" s="78"/>
      <c r="C179" s="69"/>
      <c r="D179" s="69"/>
      <c r="E179" s="69"/>
      <c r="F179" s="69"/>
      <c r="G179" s="69"/>
    </row>
    <row r="180" spans="1:7" x14ac:dyDescent="0.2">
      <c r="A180" s="78"/>
      <c r="B180" s="78"/>
      <c r="C180" s="69"/>
      <c r="D180" s="69"/>
      <c r="E180" s="69"/>
      <c r="F180" s="69"/>
      <c r="G180" s="69"/>
    </row>
    <row r="181" spans="1:7" x14ac:dyDescent="0.2">
      <c r="A181" s="78"/>
      <c r="B181" s="78"/>
      <c r="C181" s="69"/>
      <c r="D181" s="69"/>
      <c r="E181" s="69"/>
      <c r="F181" s="69"/>
      <c r="G181" s="69"/>
    </row>
    <row r="182" spans="1:7" x14ac:dyDescent="0.2">
      <c r="A182" s="78"/>
      <c r="B182" s="78"/>
      <c r="C182" s="69"/>
      <c r="D182" s="69"/>
      <c r="E182" s="69"/>
      <c r="F182" s="69"/>
      <c r="G182" s="69"/>
    </row>
    <row r="183" spans="1:7" x14ac:dyDescent="0.2">
      <c r="A183" s="78"/>
      <c r="B183" s="78"/>
      <c r="C183" s="69"/>
      <c r="D183" s="69"/>
      <c r="E183" s="69"/>
      <c r="F183" s="69"/>
      <c r="G183" s="69"/>
    </row>
    <row r="184" spans="1:7" x14ac:dyDescent="0.2">
      <c r="A184" s="78"/>
      <c r="B184" s="78"/>
      <c r="C184" s="69"/>
      <c r="D184" s="69"/>
      <c r="E184" s="69"/>
      <c r="F184" s="69"/>
      <c r="G184" s="69"/>
    </row>
    <row r="185" spans="1:7" x14ac:dyDescent="0.2">
      <c r="A185" s="78"/>
      <c r="B185" s="78"/>
      <c r="C185" s="69"/>
      <c r="D185" s="69"/>
      <c r="E185" s="69"/>
      <c r="F185" s="69"/>
      <c r="G185" s="69"/>
    </row>
    <row r="186" spans="1:7" x14ac:dyDescent="0.2">
      <c r="A186" s="78"/>
      <c r="B186" s="78"/>
      <c r="C186" s="69"/>
      <c r="D186" s="69"/>
      <c r="E186" s="69"/>
      <c r="F186" s="69"/>
      <c r="G186" s="69"/>
    </row>
    <row r="187" spans="1:7" x14ac:dyDescent="0.2">
      <c r="A187" s="78"/>
      <c r="B187" s="78"/>
      <c r="C187" s="69"/>
      <c r="D187" s="69"/>
      <c r="E187" s="69"/>
      <c r="F187" s="69"/>
      <c r="G187" s="69"/>
    </row>
    <row r="188" spans="1:7" x14ac:dyDescent="0.2">
      <c r="A188" s="78"/>
      <c r="B188" s="78"/>
      <c r="C188" s="69"/>
      <c r="D188" s="69"/>
      <c r="E188" s="69"/>
      <c r="F188" s="69"/>
      <c r="G188" s="69"/>
    </row>
    <row r="189" spans="1:7" x14ac:dyDescent="0.2">
      <c r="A189" s="78"/>
      <c r="B189" s="78"/>
      <c r="C189" s="69"/>
      <c r="D189" s="69"/>
      <c r="E189" s="69"/>
      <c r="F189" s="69"/>
      <c r="G189" s="69"/>
    </row>
    <row r="190" spans="1:7" x14ac:dyDescent="0.2">
      <c r="A190" s="78"/>
      <c r="B190" s="78"/>
      <c r="C190" s="69"/>
      <c r="D190" s="69"/>
      <c r="E190" s="69"/>
      <c r="F190" s="69"/>
      <c r="G190" s="69"/>
    </row>
    <row r="191" spans="1:7" x14ac:dyDescent="0.2">
      <c r="A191" s="78"/>
      <c r="B191" s="78"/>
      <c r="C191" s="69"/>
      <c r="D191" s="69"/>
      <c r="E191" s="69"/>
      <c r="F191" s="69"/>
      <c r="G191" s="69"/>
    </row>
    <row r="192" spans="1:7" x14ac:dyDescent="0.2">
      <c r="A192" s="78"/>
      <c r="B192" s="78"/>
      <c r="C192" s="69"/>
      <c r="D192" s="69"/>
      <c r="E192" s="69"/>
      <c r="F192" s="69"/>
      <c r="G192" s="69"/>
    </row>
    <row r="193" spans="1:7" x14ac:dyDescent="0.2">
      <c r="A193" s="78"/>
      <c r="B193" s="78"/>
      <c r="C193" s="69"/>
      <c r="D193" s="69"/>
      <c r="E193" s="69"/>
      <c r="F193" s="69"/>
      <c r="G193" s="69"/>
    </row>
    <row r="194" spans="1:7" x14ac:dyDescent="0.2">
      <c r="A194" s="78"/>
      <c r="B194" s="78"/>
      <c r="C194" s="69"/>
      <c r="D194" s="69"/>
      <c r="E194" s="69"/>
      <c r="F194" s="69"/>
      <c r="G194" s="69"/>
    </row>
    <row r="195" spans="1:7" x14ac:dyDescent="0.2">
      <c r="A195" s="78"/>
      <c r="B195" s="78"/>
      <c r="C195" s="69"/>
      <c r="D195" s="69"/>
      <c r="E195" s="69"/>
      <c r="F195" s="69"/>
      <c r="G195" s="69"/>
    </row>
    <row r="196" spans="1:7" x14ac:dyDescent="0.2">
      <c r="A196" s="78"/>
      <c r="B196" s="78"/>
      <c r="C196" s="69"/>
      <c r="D196" s="69"/>
      <c r="E196" s="69"/>
      <c r="F196" s="69"/>
      <c r="G196" s="69"/>
    </row>
    <row r="197" spans="1:7" x14ac:dyDescent="0.2">
      <c r="A197" s="78"/>
      <c r="B197" s="78"/>
      <c r="C197" s="69"/>
      <c r="D197" s="69"/>
      <c r="E197" s="69"/>
      <c r="F197" s="69"/>
      <c r="G197" s="69"/>
    </row>
    <row r="198" spans="1:7" x14ac:dyDescent="0.2">
      <c r="A198" s="78"/>
      <c r="B198" s="78"/>
      <c r="C198" s="69"/>
      <c r="D198" s="69"/>
      <c r="E198" s="69"/>
      <c r="F198" s="69"/>
      <c r="G198" s="69"/>
    </row>
    <row r="199" spans="1:7" x14ac:dyDescent="0.2">
      <c r="A199" s="78"/>
      <c r="B199" s="78"/>
      <c r="C199" s="69"/>
      <c r="D199" s="69"/>
      <c r="E199" s="69"/>
      <c r="F199" s="69"/>
      <c r="G199" s="69"/>
    </row>
    <row r="200" spans="1:7" x14ac:dyDescent="0.2">
      <c r="A200" s="78"/>
      <c r="B200" s="78"/>
      <c r="C200" s="69"/>
      <c r="D200" s="69"/>
      <c r="E200" s="69"/>
      <c r="F200" s="69"/>
      <c r="G200" s="69"/>
    </row>
    <row r="201" spans="1:7" x14ac:dyDescent="0.2">
      <c r="A201" s="78"/>
      <c r="B201" s="78"/>
      <c r="C201" s="69"/>
      <c r="D201" s="69"/>
      <c r="E201" s="69"/>
      <c r="F201" s="69"/>
      <c r="G201" s="69"/>
    </row>
    <row r="202" spans="1:7" x14ac:dyDescent="0.2">
      <c r="A202" s="78"/>
      <c r="B202" s="78"/>
      <c r="C202" s="69"/>
      <c r="D202" s="69"/>
      <c r="E202" s="69"/>
      <c r="F202" s="69"/>
      <c r="G202" s="69"/>
    </row>
    <row r="203" spans="1:7" x14ac:dyDescent="0.2">
      <c r="A203" s="78"/>
      <c r="B203" s="78"/>
      <c r="C203" s="69"/>
      <c r="D203" s="69"/>
      <c r="E203" s="69"/>
      <c r="F203" s="69"/>
      <c r="G203" s="69"/>
    </row>
    <row r="204" spans="1:7" x14ac:dyDescent="0.2">
      <c r="A204" s="78"/>
      <c r="B204" s="78"/>
      <c r="C204" s="69"/>
      <c r="D204" s="69"/>
      <c r="E204" s="69"/>
      <c r="F204" s="69"/>
      <c r="G204" s="69"/>
    </row>
    <row r="205" spans="1:7" x14ac:dyDescent="0.2">
      <c r="A205" s="78"/>
      <c r="B205" s="78"/>
      <c r="C205" s="69"/>
      <c r="D205" s="69"/>
      <c r="E205" s="69"/>
      <c r="F205" s="69"/>
      <c r="G205" s="69"/>
    </row>
    <row r="206" spans="1:7" x14ac:dyDescent="0.2">
      <c r="A206" s="78"/>
      <c r="B206" s="78"/>
      <c r="C206" s="69"/>
      <c r="D206" s="69"/>
      <c r="E206" s="69"/>
      <c r="F206" s="69"/>
      <c r="G206" s="69"/>
    </row>
    <row r="207" spans="1:7" x14ac:dyDescent="0.2">
      <c r="A207" s="78"/>
      <c r="B207" s="78"/>
      <c r="C207" s="69"/>
      <c r="D207" s="69"/>
      <c r="E207" s="69"/>
      <c r="F207" s="69"/>
      <c r="G207" s="69"/>
    </row>
    <row r="208" spans="1:7" x14ac:dyDescent="0.2">
      <c r="A208" s="78"/>
      <c r="B208" s="78"/>
      <c r="C208" s="69"/>
      <c r="D208" s="69"/>
      <c r="E208" s="69"/>
      <c r="F208" s="69"/>
      <c r="G208" s="69"/>
    </row>
    <row r="209" spans="1:7" x14ac:dyDescent="0.2">
      <c r="A209" s="78"/>
      <c r="B209" s="78"/>
      <c r="C209" s="69"/>
      <c r="D209" s="69"/>
      <c r="E209" s="69"/>
      <c r="F209" s="69"/>
      <c r="G209" s="69"/>
    </row>
    <row r="210" spans="1:7" x14ac:dyDescent="0.2">
      <c r="A210" s="78"/>
      <c r="B210" s="78"/>
      <c r="C210" s="69"/>
      <c r="D210" s="69"/>
      <c r="E210" s="69"/>
      <c r="F210" s="69"/>
      <c r="G210" s="69"/>
    </row>
    <row r="211" spans="1:7" x14ac:dyDescent="0.2">
      <c r="A211" s="78"/>
      <c r="B211" s="78"/>
      <c r="C211" s="69"/>
      <c r="D211" s="69"/>
      <c r="E211" s="69"/>
      <c r="F211" s="69"/>
      <c r="G211" s="69"/>
    </row>
    <row r="212" spans="1:7" x14ac:dyDescent="0.2">
      <c r="A212" s="78"/>
      <c r="B212" s="78"/>
      <c r="C212" s="69"/>
      <c r="D212" s="69"/>
      <c r="E212" s="69"/>
      <c r="F212" s="69"/>
      <c r="G212" s="69"/>
    </row>
    <row r="213" spans="1:7" x14ac:dyDescent="0.2">
      <c r="A213" s="78"/>
      <c r="B213" s="78"/>
      <c r="C213" s="69"/>
      <c r="D213" s="69"/>
      <c r="E213" s="69"/>
      <c r="F213" s="69"/>
      <c r="G213" s="69"/>
    </row>
    <row r="214" spans="1:7" x14ac:dyDescent="0.2">
      <c r="A214" s="78"/>
      <c r="B214" s="78"/>
      <c r="C214" s="69"/>
      <c r="D214" s="69"/>
      <c r="E214" s="69"/>
      <c r="F214" s="69"/>
      <c r="G214" s="69"/>
    </row>
    <row r="215" spans="1:7" x14ac:dyDescent="0.2">
      <c r="A215" s="78"/>
      <c r="B215" s="78"/>
      <c r="C215" s="69"/>
      <c r="D215" s="69"/>
      <c r="E215" s="69"/>
      <c r="F215" s="69"/>
      <c r="G215" s="69"/>
    </row>
    <row r="216" spans="1:7" x14ac:dyDescent="0.2">
      <c r="A216" s="78"/>
      <c r="B216" s="78"/>
      <c r="C216" s="69"/>
      <c r="D216" s="69"/>
      <c r="E216" s="69"/>
      <c r="F216" s="69"/>
      <c r="G216" s="69"/>
    </row>
    <row r="217" spans="1:7" x14ac:dyDescent="0.2">
      <c r="A217" s="78"/>
      <c r="B217" s="78"/>
      <c r="C217" s="69"/>
      <c r="D217" s="69"/>
      <c r="E217" s="69"/>
      <c r="F217" s="69"/>
      <c r="G217" s="69"/>
    </row>
    <row r="218" spans="1:7" x14ac:dyDescent="0.2">
      <c r="A218" s="78"/>
      <c r="B218" s="78"/>
      <c r="C218" s="69"/>
      <c r="D218" s="69"/>
      <c r="E218" s="69"/>
      <c r="F218" s="69"/>
      <c r="G218" s="69"/>
    </row>
    <row r="219" spans="1:7" x14ac:dyDescent="0.2">
      <c r="A219" s="78"/>
      <c r="B219" s="78"/>
      <c r="C219" s="69"/>
      <c r="D219" s="69"/>
      <c r="E219" s="69"/>
      <c r="F219" s="69"/>
      <c r="G219" s="69"/>
    </row>
    <row r="220" spans="1:7" x14ac:dyDescent="0.2">
      <c r="A220" s="78"/>
      <c r="B220" s="78"/>
      <c r="C220" s="69"/>
      <c r="D220" s="69"/>
      <c r="E220" s="69"/>
      <c r="F220" s="69"/>
      <c r="G220" s="69"/>
    </row>
    <row r="221" spans="1:7" x14ac:dyDescent="0.2">
      <c r="A221" s="78"/>
      <c r="B221" s="78"/>
      <c r="C221" s="69"/>
      <c r="D221" s="69"/>
      <c r="E221" s="69"/>
      <c r="F221" s="69"/>
      <c r="G221" s="69"/>
    </row>
    <row r="222" spans="1:7" x14ac:dyDescent="0.2">
      <c r="A222" s="78"/>
      <c r="B222" s="78"/>
      <c r="C222" s="69"/>
      <c r="D222" s="69"/>
      <c r="E222" s="69"/>
      <c r="F222" s="69"/>
      <c r="G222" s="69"/>
    </row>
    <row r="223" spans="1:7" x14ac:dyDescent="0.2">
      <c r="A223" s="78"/>
      <c r="B223" s="78"/>
      <c r="C223" s="69"/>
      <c r="D223" s="69"/>
      <c r="E223" s="69"/>
      <c r="F223" s="69"/>
      <c r="G223" s="69"/>
    </row>
    <row r="224" spans="1:7" x14ac:dyDescent="0.2">
      <c r="A224" s="78"/>
      <c r="B224" s="78"/>
      <c r="C224" s="69"/>
      <c r="D224" s="69"/>
      <c r="E224" s="69"/>
      <c r="F224" s="69"/>
      <c r="G224" s="69"/>
    </row>
    <row r="225" spans="1:7" x14ac:dyDescent="0.2">
      <c r="A225" s="78"/>
      <c r="B225" s="78"/>
      <c r="C225" s="69"/>
      <c r="D225" s="69"/>
      <c r="E225" s="69"/>
      <c r="F225" s="69"/>
      <c r="G225" s="69"/>
    </row>
    <row r="226" spans="1:7" x14ac:dyDescent="0.2">
      <c r="A226" s="78"/>
      <c r="B226" s="78"/>
      <c r="C226" s="69"/>
      <c r="D226" s="69"/>
      <c r="E226" s="69"/>
      <c r="F226" s="69"/>
      <c r="G226" s="69"/>
    </row>
    <row r="227" spans="1:7" x14ac:dyDescent="0.2">
      <c r="A227" s="78"/>
      <c r="B227" s="78"/>
      <c r="C227" s="69"/>
      <c r="D227" s="69"/>
      <c r="E227" s="69"/>
      <c r="F227" s="69"/>
      <c r="G227" s="69"/>
    </row>
    <row r="228" spans="1:7" x14ac:dyDescent="0.2">
      <c r="A228" s="78"/>
      <c r="B228" s="78"/>
      <c r="C228" s="69"/>
      <c r="D228" s="69"/>
      <c r="E228" s="69"/>
      <c r="F228" s="69"/>
      <c r="G228" s="69"/>
    </row>
    <row r="229" spans="1:7" x14ac:dyDescent="0.2">
      <c r="A229" s="78"/>
      <c r="B229" s="78"/>
      <c r="C229" s="69"/>
      <c r="D229" s="69"/>
      <c r="E229" s="69"/>
      <c r="F229" s="69"/>
      <c r="G229" s="69"/>
    </row>
    <row r="230" spans="1:7" x14ac:dyDescent="0.2">
      <c r="A230" s="78"/>
      <c r="B230" s="78"/>
      <c r="C230" s="69"/>
      <c r="D230" s="69"/>
      <c r="E230" s="69"/>
      <c r="F230" s="69"/>
      <c r="G230" s="69"/>
    </row>
    <row r="231" spans="1:7" x14ac:dyDescent="0.2">
      <c r="A231" s="78"/>
      <c r="B231" s="78"/>
      <c r="C231" s="69"/>
      <c r="D231" s="69"/>
      <c r="E231" s="69"/>
      <c r="F231" s="69"/>
      <c r="G231" s="69"/>
    </row>
    <row r="232" spans="1:7" x14ac:dyDescent="0.2">
      <c r="A232" s="78"/>
      <c r="B232" s="78"/>
      <c r="C232" s="69"/>
      <c r="D232" s="69"/>
      <c r="E232" s="69"/>
      <c r="F232" s="69"/>
      <c r="G232" s="69"/>
    </row>
    <row r="233" spans="1:7" x14ac:dyDescent="0.2">
      <c r="A233" s="78"/>
      <c r="B233" s="78"/>
      <c r="C233" s="69"/>
      <c r="D233" s="69"/>
      <c r="E233" s="69"/>
      <c r="F233" s="69"/>
      <c r="G233" s="69"/>
    </row>
    <row r="234" spans="1:7" x14ac:dyDescent="0.2">
      <c r="A234" s="78"/>
      <c r="B234" s="78"/>
      <c r="C234" s="69"/>
      <c r="D234" s="69"/>
      <c r="E234" s="69"/>
      <c r="F234" s="69"/>
      <c r="G234" s="69"/>
    </row>
    <row r="235" spans="1:7" x14ac:dyDescent="0.2">
      <c r="A235" s="78"/>
      <c r="B235" s="78"/>
      <c r="C235" s="69"/>
      <c r="D235" s="69"/>
      <c r="E235" s="69"/>
      <c r="F235" s="69"/>
      <c r="G235" s="69"/>
    </row>
    <row r="236" spans="1:7" x14ac:dyDescent="0.2">
      <c r="A236" s="78"/>
      <c r="B236" s="78"/>
      <c r="C236" s="69"/>
      <c r="D236" s="69"/>
      <c r="E236" s="69"/>
      <c r="F236" s="69"/>
      <c r="G236" s="69"/>
    </row>
    <row r="237" spans="1:7" x14ac:dyDescent="0.2">
      <c r="A237" s="78"/>
      <c r="B237" s="78"/>
      <c r="C237" s="69"/>
      <c r="D237" s="69"/>
      <c r="E237" s="69"/>
      <c r="F237" s="69"/>
      <c r="G237" s="69"/>
    </row>
    <row r="238" spans="1:7" x14ac:dyDescent="0.2">
      <c r="A238" s="78"/>
      <c r="B238" s="78"/>
      <c r="C238" s="69"/>
      <c r="D238" s="69"/>
      <c r="E238" s="69"/>
      <c r="F238" s="69"/>
      <c r="G238" s="69"/>
    </row>
    <row r="239" spans="1:7" x14ac:dyDescent="0.2">
      <c r="A239" s="78"/>
      <c r="B239" s="78"/>
      <c r="C239" s="69"/>
      <c r="D239" s="69"/>
      <c r="E239" s="69"/>
      <c r="F239" s="69"/>
      <c r="G239" s="69"/>
    </row>
    <row r="240" spans="1:7" x14ac:dyDescent="0.2">
      <c r="A240" s="78"/>
      <c r="B240" s="78"/>
      <c r="C240" s="69"/>
      <c r="D240" s="69"/>
      <c r="E240" s="69"/>
      <c r="F240" s="69"/>
      <c r="G240" s="69"/>
    </row>
    <row r="241" spans="1:7" x14ac:dyDescent="0.2">
      <c r="A241" s="78"/>
      <c r="B241" s="78"/>
      <c r="C241" s="69"/>
      <c r="D241" s="69"/>
      <c r="E241" s="69"/>
      <c r="F241" s="69"/>
      <c r="G241" s="69"/>
    </row>
    <row r="242" spans="1:7" x14ac:dyDescent="0.2">
      <c r="A242" s="78"/>
      <c r="B242" s="78"/>
      <c r="C242" s="69"/>
      <c r="D242" s="69"/>
      <c r="E242" s="69"/>
      <c r="F242" s="69"/>
      <c r="G242" s="69"/>
    </row>
    <row r="243" spans="1:7" x14ac:dyDescent="0.2">
      <c r="A243" s="78"/>
      <c r="B243" s="78"/>
      <c r="C243" s="69"/>
      <c r="D243" s="69"/>
      <c r="E243" s="69"/>
      <c r="F243" s="69"/>
      <c r="G243" s="69"/>
    </row>
    <row r="244" spans="1:7" x14ac:dyDescent="0.2">
      <c r="A244" s="78"/>
      <c r="B244" s="78"/>
      <c r="C244" s="69"/>
      <c r="D244" s="69"/>
      <c r="E244" s="69"/>
      <c r="F244" s="69"/>
      <c r="G244" s="69"/>
    </row>
    <row r="245" spans="1:7" x14ac:dyDescent="0.2">
      <c r="A245" s="78"/>
      <c r="B245" s="78"/>
      <c r="C245" s="69"/>
      <c r="D245" s="69"/>
      <c r="E245" s="69"/>
      <c r="F245" s="69"/>
      <c r="G245" s="69"/>
    </row>
    <row r="246" spans="1:7" x14ac:dyDescent="0.2">
      <c r="A246" s="78"/>
      <c r="B246" s="78"/>
      <c r="C246" s="69"/>
      <c r="D246" s="69"/>
      <c r="E246" s="69"/>
      <c r="F246" s="69"/>
      <c r="G246" s="69"/>
    </row>
    <row r="247" spans="1:7" x14ac:dyDescent="0.2">
      <c r="A247" s="78"/>
      <c r="B247" s="78"/>
      <c r="C247" s="69"/>
      <c r="D247" s="69"/>
      <c r="E247" s="69"/>
      <c r="F247" s="69"/>
      <c r="G247" s="69"/>
    </row>
    <row r="248" spans="1:7" x14ac:dyDescent="0.2">
      <c r="A248" s="78"/>
      <c r="B248" s="78"/>
      <c r="C248" s="69"/>
      <c r="D248" s="69"/>
      <c r="E248" s="69"/>
      <c r="F248" s="69"/>
      <c r="G248" s="69"/>
    </row>
    <row r="249" spans="1:7" x14ac:dyDescent="0.2">
      <c r="A249" s="78"/>
      <c r="B249" s="78"/>
      <c r="C249" s="69"/>
      <c r="D249" s="69"/>
      <c r="E249" s="69"/>
      <c r="F249" s="69"/>
      <c r="G249" s="69"/>
    </row>
    <row r="250" spans="1:7" x14ac:dyDescent="0.2">
      <c r="A250" s="78"/>
      <c r="B250" s="78"/>
      <c r="C250" s="69"/>
      <c r="D250" s="69"/>
      <c r="E250" s="69"/>
      <c r="F250" s="69"/>
      <c r="G250" s="69"/>
    </row>
    <row r="251" spans="1:7" x14ac:dyDescent="0.2">
      <c r="A251" s="78"/>
      <c r="B251" s="78"/>
      <c r="C251" s="69"/>
      <c r="D251" s="69"/>
      <c r="E251" s="69"/>
      <c r="F251" s="69"/>
      <c r="G251" s="69"/>
    </row>
    <row r="252" spans="1:7" x14ac:dyDescent="0.2">
      <c r="A252" s="78"/>
      <c r="B252" s="78"/>
      <c r="C252" s="69"/>
      <c r="D252" s="69"/>
      <c r="E252" s="69"/>
      <c r="F252" s="69"/>
      <c r="G252" s="69"/>
    </row>
    <row r="253" spans="1:7" x14ac:dyDescent="0.2">
      <c r="A253" s="78"/>
      <c r="B253" s="78"/>
      <c r="C253" s="69"/>
      <c r="D253" s="69"/>
      <c r="E253" s="69"/>
      <c r="F253" s="69"/>
      <c r="G253" s="69"/>
    </row>
    <row r="254" spans="1:7" x14ac:dyDescent="0.2">
      <c r="A254" s="78"/>
      <c r="B254" s="78"/>
      <c r="C254" s="69"/>
      <c r="D254" s="69"/>
      <c r="E254" s="69"/>
      <c r="F254" s="69"/>
      <c r="G254" s="69"/>
    </row>
    <row r="255" spans="1:7" x14ac:dyDescent="0.2">
      <c r="A255" s="78"/>
      <c r="B255" s="78"/>
      <c r="C255" s="69"/>
      <c r="D255" s="69"/>
      <c r="E255" s="69"/>
      <c r="F255" s="69"/>
      <c r="G255" s="69"/>
    </row>
    <row r="256" spans="1:7" x14ac:dyDescent="0.2">
      <c r="A256" s="78"/>
      <c r="B256" s="78"/>
      <c r="C256" s="69"/>
      <c r="D256" s="69"/>
      <c r="E256" s="69"/>
      <c r="F256" s="69"/>
      <c r="G256" s="69"/>
    </row>
    <row r="257" spans="1:7" x14ac:dyDescent="0.2">
      <c r="A257" s="78"/>
      <c r="B257" s="78"/>
      <c r="C257" s="69"/>
      <c r="D257" s="69"/>
      <c r="E257" s="69"/>
      <c r="F257" s="69"/>
      <c r="G257" s="69"/>
    </row>
    <row r="258" spans="1:7" x14ac:dyDescent="0.2">
      <c r="A258" s="78"/>
      <c r="B258" s="78"/>
      <c r="C258" s="69"/>
      <c r="D258" s="69"/>
      <c r="E258" s="69"/>
      <c r="F258" s="69"/>
      <c r="G258" s="69"/>
    </row>
    <row r="259" spans="1:7" x14ac:dyDescent="0.2">
      <c r="A259" s="78"/>
      <c r="B259" s="78"/>
      <c r="C259" s="69"/>
      <c r="D259" s="69"/>
      <c r="E259" s="69"/>
      <c r="F259" s="69"/>
      <c r="G259" s="69"/>
    </row>
    <row r="260" spans="1:7" x14ac:dyDescent="0.2">
      <c r="A260" s="78"/>
      <c r="B260" s="78"/>
      <c r="C260" s="69"/>
      <c r="D260" s="69"/>
      <c r="E260" s="69"/>
      <c r="F260" s="69"/>
      <c r="G260" s="69"/>
    </row>
    <row r="261" spans="1:7" x14ac:dyDescent="0.2">
      <c r="A261" s="78"/>
      <c r="B261" s="78"/>
      <c r="C261" s="69"/>
      <c r="D261" s="69"/>
      <c r="E261" s="69"/>
      <c r="F261" s="69"/>
      <c r="G261" s="69"/>
    </row>
    <row r="262" spans="1:7" x14ac:dyDescent="0.2">
      <c r="A262" s="78"/>
      <c r="B262" s="78"/>
      <c r="C262" s="69"/>
      <c r="D262" s="69"/>
      <c r="E262" s="69"/>
      <c r="F262" s="69"/>
      <c r="G262" s="69"/>
    </row>
    <row r="263" spans="1:7" x14ac:dyDescent="0.2">
      <c r="A263" s="78"/>
      <c r="B263" s="78"/>
      <c r="C263" s="69"/>
      <c r="D263" s="69"/>
      <c r="E263" s="69"/>
      <c r="F263" s="69"/>
      <c r="G263" s="69"/>
    </row>
    <row r="264" spans="1:7" x14ac:dyDescent="0.2">
      <c r="A264" s="78"/>
      <c r="B264" s="78"/>
      <c r="C264" s="69"/>
      <c r="D264" s="69"/>
      <c r="E264" s="69"/>
      <c r="F264" s="69"/>
      <c r="G264" s="69"/>
    </row>
    <row r="265" spans="1:7" x14ac:dyDescent="0.2">
      <c r="A265" s="78"/>
      <c r="B265" s="78"/>
      <c r="C265" s="69"/>
      <c r="D265" s="69"/>
      <c r="E265" s="69"/>
      <c r="F265" s="69"/>
      <c r="G265" s="69"/>
    </row>
    <row r="266" spans="1:7" x14ac:dyDescent="0.2">
      <c r="A266" s="78"/>
      <c r="B266" s="78"/>
      <c r="C266" s="69"/>
      <c r="D266" s="69"/>
      <c r="E266" s="69"/>
      <c r="F266" s="69"/>
      <c r="G266" s="69"/>
    </row>
    <row r="267" spans="1:7" x14ac:dyDescent="0.2">
      <c r="A267" s="78"/>
      <c r="B267" s="78"/>
      <c r="C267" s="69"/>
      <c r="D267" s="69"/>
      <c r="E267" s="69"/>
      <c r="F267" s="69"/>
      <c r="G267" s="69"/>
    </row>
    <row r="268" spans="1:7" x14ac:dyDescent="0.2">
      <c r="A268" s="78"/>
      <c r="B268" s="78"/>
      <c r="C268" s="69"/>
      <c r="D268" s="69"/>
      <c r="E268" s="69"/>
      <c r="F268" s="69"/>
      <c r="G268" s="69"/>
    </row>
    <row r="269" spans="1:7" x14ac:dyDescent="0.2">
      <c r="A269" s="78"/>
      <c r="B269" s="78"/>
      <c r="C269" s="69"/>
      <c r="D269" s="69"/>
      <c r="E269" s="69"/>
      <c r="F269" s="69"/>
      <c r="G269" s="69"/>
    </row>
  </sheetData>
  <mergeCells count="1">
    <mergeCell ref="A2:G2"/>
  </mergeCells>
  <phoneticPr fontId="0" type="noConversion"/>
  <pageMargins left="0.47244094488188981" right="0.19685039370078741" top="1.4566929133858268" bottom="0.55118110236220474" header="0.51181102362204722" footer="0.51181102362204722"/>
  <pageSetup paperSize="9" scale="72" orientation="portrait" verticalDpi="300" r:id="rId1"/>
  <headerFooter alignWithMargins="0">
    <oddHeader>&amp;C&amp;"Arial,Bold"DEPARTMENT OF ENVIRONMENTAL AFFAIRS AND TOURISM
VOTE 27
DISCLOSURE NOTES TO THE ANNUAL FINANCIAL STATEMENTS
for the year ended 31 MARCH 2003</oddHeader>
  </headerFooter>
  <rowBreaks count="1" manualBreakCount="1">
    <brk id="51" max="7" man="1"/>
  </rowBreaks>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topLeftCell="A12" zoomScale="90" zoomScaleNormal="90" workbookViewId="0">
      <selection activeCell="A25" sqref="A25"/>
    </sheetView>
  </sheetViews>
  <sheetFormatPr defaultRowHeight="12.75" x14ac:dyDescent="0.2"/>
  <cols>
    <col min="1" max="1" width="7.7109375" customWidth="1"/>
    <col min="2" max="2" width="30" customWidth="1"/>
    <col min="3" max="4" width="14.28515625" customWidth="1"/>
    <col min="5" max="5" width="10.28515625" bestFit="1" customWidth="1"/>
    <col min="6" max="7" width="12.7109375" customWidth="1"/>
    <col min="8" max="8" width="11.28515625" customWidth="1"/>
    <col min="9" max="9" width="13.140625" customWidth="1"/>
    <col min="10" max="10" width="12.7109375" customWidth="1"/>
    <col min="11" max="11" width="13.7109375" customWidth="1"/>
  </cols>
  <sheetData>
    <row r="1" spans="1:11" ht="15.75" x14ac:dyDescent="0.25">
      <c r="A1" s="20" t="s">
        <v>390</v>
      </c>
      <c r="B1" s="239"/>
      <c r="C1" s="240"/>
      <c r="D1" s="240"/>
      <c r="E1" s="240"/>
      <c r="F1" s="240"/>
      <c r="G1" s="240"/>
      <c r="H1" s="240"/>
      <c r="I1" s="240"/>
      <c r="J1" s="240"/>
      <c r="K1" s="240"/>
    </row>
    <row r="3" spans="1:11" ht="15.75" x14ac:dyDescent="0.25">
      <c r="A3" s="20" t="s">
        <v>392</v>
      </c>
      <c r="B3" s="239"/>
      <c r="C3" s="240"/>
      <c r="D3" s="240"/>
      <c r="E3" s="240"/>
      <c r="F3" s="240"/>
      <c r="G3" s="240"/>
      <c r="H3" s="240"/>
      <c r="I3" s="240"/>
      <c r="J3" s="240"/>
      <c r="K3" s="240"/>
    </row>
    <row r="4" spans="1:11" s="5" customFormat="1" x14ac:dyDescent="0.2">
      <c r="A4" s="539"/>
      <c r="B4" s="539"/>
      <c r="C4" s="539"/>
      <c r="D4" s="539"/>
      <c r="E4" s="539"/>
      <c r="F4" s="539"/>
      <c r="G4" s="539"/>
      <c r="H4" s="539"/>
      <c r="I4" s="539"/>
      <c r="J4" s="539"/>
      <c r="K4" s="539"/>
    </row>
    <row r="5" spans="1:11" s="265" customFormat="1" x14ac:dyDescent="0.2">
      <c r="A5" s="543" t="s">
        <v>436</v>
      </c>
      <c r="B5" s="544"/>
      <c r="C5" s="549" t="s">
        <v>221</v>
      </c>
      <c r="D5" s="550"/>
      <c r="E5" s="550"/>
      <c r="F5" s="551"/>
      <c r="G5" s="549" t="s">
        <v>6</v>
      </c>
      <c r="H5" s="550"/>
      <c r="I5" s="550"/>
      <c r="J5" s="550"/>
      <c r="K5" s="552"/>
    </row>
    <row r="6" spans="1:11" s="265" customFormat="1" ht="51" x14ac:dyDescent="0.2">
      <c r="A6" s="545"/>
      <c r="B6" s="546"/>
      <c r="C6" s="296" t="s">
        <v>391</v>
      </c>
      <c r="D6" s="296" t="s">
        <v>289</v>
      </c>
      <c r="E6" s="296" t="s">
        <v>220</v>
      </c>
      <c r="F6" s="296" t="s">
        <v>226</v>
      </c>
      <c r="G6" s="297" t="s">
        <v>367</v>
      </c>
      <c r="H6" s="296" t="s">
        <v>368</v>
      </c>
      <c r="I6" s="296" t="s">
        <v>369</v>
      </c>
      <c r="J6" s="296" t="s">
        <v>17</v>
      </c>
      <c r="K6" s="296" t="s">
        <v>7</v>
      </c>
    </row>
    <row r="7" spans="1:11" s="265" customFormat="1" x14ac:dyDescent="0.2">
      <c r="A7" s="547"/>
      <c r="B7" s="548"/>
      <c r="C7" s="298" t="s">
        <v>174</v>
      </c>
      <c r="D7" s="298" t="s">
        <v>174</v>
      </c>
      <c r="E7" s="298" t="s">
        <v>174</v>
      </c>
      <c r="F7" s="298" t="s">
        <v>174</v>
      </c>
      <c r="G7" s="298" t="s">
        <v>174</v>
      </c>
      <c r="H7" s="298" t="s">
        <v>174</v>
      </c>
      <c r="I7" s="298"/>
      <c r="J7" s="298" t="s">
        <v>174</v>
      </c>
      <c r="K7" s="298" t="s">
        <v>174</v>
      </c>
    </row>
    <row r="8" spans="1:11" s="69" customFormat="1" x14ac:dyDescent="0.2">
      <c r="A8" s="542" t="s">
        <v>290</v>
      </c>
      <c r="B8" s="542"/>
      <c r="C8" s="363" t="s">
        <v>354</v>
      </c>
      <c r="D8" s="354">
        <f>8025+147000</f>
        <v>155025</v>
      </c>
      <c r="E8" s="365" t="s">
        <v>437</v>
      </c>
      <c r="F8" s="354">
        <f>SUM(D8:E8)</f>
        <v>155025</v>
      </c>
      <c r="G8" s="354">
        <f>8025+147000</f>
        <v>155025</v>
      </c>
      <c r="H8" s="354" t="s">
        <v>437</v>
      </c>
      <c r="I8" s="225">
        <f t="shared" ref="I8:I17" si="0">+G8/F8*100</f>
        <v>100</v>
      </c>
      <c r="J8" s="354">
        <v>147000</v>
      </c>
      <c r="K8" s="354">
        <v>8025</v>
      </c>
    </row>
    <row r="9" spans="1:11" s="69" customFormat="1" x14ac:dyDescent="0.2">
      <c r="A9" s="542" t="s">
        <v>291</v>
      </c>
      <c r="B9" s="542"/>
      <c r="C9" s="266" t="s">
        <v>437</v>
      </c>
      <c r="D9" s="354">
        <f>75246+1006+2094</f>
        <v>78346</v>
      </c>
      <c r="E9" s="355" t="s">
        <v>437</v>
      </c>
      <c r="F9" s="354">
        <f t="shared" ref="F9:F17" si="1">SUM(D9:E9)</f>
        <v>78346</v>
      </c>
      <c r="G9" s="354">
        <f>75246+1006+2094</f>
        <v>78346</v>
      </c>
      <c r="H9" s="354" t="s">
        <v>437</v>
      </c>
      <c r="I9" s="225">
        <f t="shared" si="0"/>
        <v>100</v>
      </c>
      <c r="J9" s="354" t="s">
        <v>437</v>
      </c>
      <c r="K9" s="354">
        <v>78346</v>
      </c>
    </row>
    <row r="10" spans="1:11" s="69" customFormat="1" x14ac:dyDescent="0.2">
      <c r="A10" s="93" t="s">
        <v>438</v>
      </c>
      <c r="B10" s="93"/>
      <c r="C10" s="266" t="s">
        <v>437</v>
      </c>
      <c r="D10" s="354">
        <v>150000</v>
      </c>
      <c r="E10" s="355" t="s">
        <v>437</v>
      </c>
      <c r="F10" s="354">
        <f t="shared" si="1"/>
        <v>150000</v>
      </c>
      <c r="G10" s="354">
        <v>150000</v>
      </c>
      <c r="H10" s="354" t="s">
        <v>437</v>
      </c>
      <c r="I10" s="225">
        <f t="shared" si="0"/>
        <v>100</v>
      </c>
      <c r="J10" s="354" t="s">
        <v>437</v>
      </c>
      <c r="K10" s="354">
        <v>150000</v>
      </c>
    </row>
    <row r="11" spans="1:11" s="69" customFormat="1" x14ac:dyDescent="0.2">
      <c r="A11" s="93" t="s">
        <v>292</v>
      </c>
      <c r="B11" s="93"/>
      <c r="C11" s="266" t="s">
        <v>437</v>
      </c>
      <c r="D11" s="354">
        <f>68668+580</f>
        <v>69248</v>
      </c>
      <c r="E11" s="355" t="s">
        <v>437</v>
      </c>
      <c r="F11" s="354">
        <f t="shared" si="1"/>
        <v>69248</v>
      </c>
      <c r="G11" s="354">
        <f>68668+580</f>
        <v>69248</v>
      </c>
      <c r="H11" s="354" t="s">
        <v>437</v>
      </c>
      <c r="I11" s="225">
        <f t="shared" si="0"/>
        <v>100</v>
      </c>
      <c r="J11" s="354" t="s">
        <v>437</v>
      </c>
      <c r="K11" s="354">
        <v>69248</v>
      </c>
    </row>
    <row r="12" spans="1:11" s="69" customFormat="1" x14ac:dyDescent="0.2">
      <c r="A12" s="93" t="s">
        <v>293</v>
      </c>
      <c r="B12" s="93"/>
      <c r="C12" s="266" t="s">
        <v>437</v>
      </c>
      <c r="D12" s="354">
        <f>108752+2000</f>
        <v>110752</v>
      </c>
      <c r="E12" s="355" t="s">
        <v>437</v>
      </c>
      <c r="F12" s="354">
        <f t="shared" si="1"/>
        <v>110752</v>
      </c>
      <c r="G12" s="354">
        <f>108752+2000</f>
        <v>110752</v>
      </c>
      <c r="H12" s="354" t="s">
        <v>437</v>
      </c>
      <c r="I12" s="225">
        <f t="shared" si="0"/>
        <v>100</v>
      </c>
      <c r="J12" s="354">
        <v>74000</v>
      </c>
      <c r="K12" s="354">
        <v>36752</v>
      </c>
    </row>
    <row r="13" spans="1:11" s="69" customFormat="1" x14ac:dyDescent="0.2">
      <c r="A13" s="542" t="s">
        <v>294</v>
      </c>
      <c r="B13" s="542"/>
      <c r="C13" s="266" t="s">
        <v>437</v>
      </c>
      <c r="D13" s="354">
        <v>57090</v>
      </c>
      <c r="E13" s="355" t="s">
        <v>437</v>
      </c>
      <c r="F13" s="354">
        <f t="shared" si="1"/>
        <v>57090</v>
      </c>
      <c r="G13" s="354">
        <v>57090</v>
      </c>
      <c r="H13" s="354" t="s">
        <v>437</v>
      </c>
      <c r="I13" s="225">
        <f t="shared" si="0"/>
        <v>100</v>
      </c>
      <c r="J13" s="354">
        <v>9500</v>
      </c>
      <c r="K13" s="354">
        <v>47590</v>
      </c>
    </row>
    <row r="14" spans="1:11" s="69" customFormat="1" x14ac:dyDescent="0.2">
      <c r="A14" s="542" t="s">
        <v>295</v>
      </c>
      <c r="B14" s="542"/>
      <c r="C14" s="266" t="s">
        <v>437</v>
      </c>
      <c r="D14" s="354">
        <v>247600</v>
      </c>
      <c r="E14" s="355" t="s">
        <v>437</v>
      </c>
      <c r="F14" s="354">
        <f t="shared" si="1"/>
        <v>247600</v>
      </c>
      <c r="G14" s="354">
        <v>247600</v>
      </c>
      <c r="H14" s="354" t="s">
        <v>437</v>
      </c>
      <c r="I14" s="225">
        <f t="shared" si="0"/>
        <v>100</v>
      </c>
      <c r="J14" s="354" t="s">
        <v>437</v>
      </c>
      <c r="K14" s="354">
        <v>247600</v>
      </c>
    </row>
    <row r="15" spans="1:11" s="69" customFormat="1" x14ac:dyDescent="0.2">
      <c r="A15" s="93" t="s">
        <v>296</v>
      </c>
      <c r="B15" s="93"/>
      <c r="C15" s="266" t="s">
        <v>437</v>
      </c>
      <c r="D15" s="354">
        <v>2500</v>
      </c>
      <c r="E15" s="355" t="s">
        <v>437</v>
      </c>
      <c r="F15" s="354">
        <f t="shared" si="1"/>
        <v>2500</v>
      </c>
      <c r="G15" s="354">
        <v>2500</v>
      </c>
      <c r="H15" s="354" t="s">
        <v>437</v>
      </c>
      <c r="I15" s="225">
        <f t="shared" si="0"/>
        <v>100</v>
      </c>
      <c r="J15" s="354" t="s">
        <v>437</v>
      </c>
      <c r="K15" s="354">
        <v>2500</v>
      </c>
    </row>
    <row r="16" spans="1:11" s="69" customFormat="1" x14ac:dyDescent="0.2">
      <c r="A16" s="542" t="s">
        <v>297</v>
      </c>
      <c r="B16" s="542"/>
      <c r="C16" s="266" t="s">
        <v>437</v>
      </c>
      <c r="D16" s="354">
        <f>22500+66900+20400+116200</f>
        <v>226000</v>
      </c>
      <c r="E16" s="355" t="s">
        <v>437</v>
      </c>
      <c r="F16" s="354">
        <f t="shared" si="1"/>
        <v>226000</v>
      </c>
      <c r="G16" s="354">
        <f>22500+66900+20400+116200</f>
        <v>226000</v>
      </c>
      <c r="H16" s="354" t="s">
        <v>437</v>
      </c>
      <c r="I16" s="225">
        <f t="shared" si="0"/>
        <v>100</v>
      </c>
      <c r="J16" s="356" t="s">
        <v>437</v>
      </c>
      <c r="K16" s="354">
        <v>226000</v>
      </c>
    </row>
    <row r="17" spans="1:11" s="69" customFormat="1" x14ac:dyDescent="0.2">
      <c r="A17" s="542" t="s">
        <v>298</v>
      </c>
      <c r="B17" s="542"/>
      <c r="C17" s="266" t="s">
        <v>437</v>
      </c>
      <c r="D17" s="356">
        <f>854+1000+1+140+140+334</f>
        <v>2469</v>
      </c>
      <c r="E17" s="355" t="s">
        <v>437</v>
      </c>
      <c r="F17" s="354">
        <f t="shared" si="1"/>
        <v>2469</v>
      </c>
      <c r="G17" s="356">
        <v>1834</v>
      </c>
      <c r="H17" s="354">
        <f>SUM(F17-G17)</f>
        <v>635</v>
      </c>
      <c r="I17" s="225">
        <f t="shared" si="0"/>
        <v>74.281085459700279</v>
      </c>
      <c r="J17" s="356" t="s">
        <v>437</v>
      </c>
      <c r="K17" s="354">
        <v>1834</v>
      </c>
    </row>
    <row r="18" spans="1:11" ht="13.5" thickBot="1" x14ac:dyDescent="0.25">
      <c r="A18" s="542"/>
      <c r="B18" s="542"/>
      <c r="C18" s="364" t="s">
        <v>437</v>
      </c>
      <c r="D18" s="357">
        <f>SUM(D8:D17)</f>
        <v>1099030</v>
      </c>
      <c r="E18" s="366" t="s">
        <v>437</v>
      </c>
      <c r="F18" s="357">
        <f>SUM(F8:F17)</f>
        <v>1099030</v>
      </c>
      <c r="G18" s="357">
        <f>SUM(G8:G17)</f>
        <v>1098395</v>
      </c>
      <c r="H18" s="357">
        <f>SUM(H8:H17)</f>
        <v>635</v>
      </c>
      <c r="J18" s="357">
        <f>SUM(J8:J17)</f>
        <v>230500</v>
      </c>
      <c r="K18" s="357">
        <f>SUM(K8:K17)</f>
        <v>867895</v>
      </c>
    </row>
    <row r="19" spans="1:11" ht="13.5" thickTop="1" x14ac:dyDescent="0.2">
      <c r="A19" s="542"/>
      <c r="B19" s="542"/>
    </row>
    <row r="20" spans="1:11" ht="26.25" customHeight="1" x14ac:dyDescent="0.2">
      <c r="A20" s="171"/>
      <c r="B20" s="541"/>
      <c r="C20" s="541"/>
      <c r="D20" s="541"/>
      <c r="E20" s="541"/>
      <c r="F20" s="541"/>
      <c r="G20" s="541"/>
      <c r="H20" s="541"/>
      <c r="I20" s="541"/>
      <c r="J20" s="541"/>
      <c r="K20" s="541"/>
    </row>
    <row r="24" spans="1:11" x14ac:dyDescent="0.2">
      <c r="A24" t="s">
        <v>498</v>
      </c>
    </row>
  </sheetData>
  <mergeCells count="13">
    <mergeCell ref="A9:B9"/>
    <mergeCell ref="A8:B8"/>
    <mergeCell ref="A4:K4"/>
    <mergeCell ref="A5:B7"/>
    <mergeCell ref="C5:F5"/>
    <mergeCell ref="G5:K5"/>
    <mergeCell ref="B20:K20"/>
    <mergeCell ref="A14:B14"/>
    <mergeCell ref="A13:B13"/>
    <mergeCell ref="A18:B18"/>
    <mergeCell ref="A19:B19"/>
    <mergeCell ref="A16:B16"/>
    <mergeCell ref="A17:B17"/>
  </mergeCells>
  <phoneticPr fontId="0" type="noConversion"/>
  <pageMargins left="0.51181102362204722" right="0.31496062992125984" top="1.3779527559055118" bottom="0.98425196850393704" header="0.51181102362204722" footer="0.51181102362204722"/>
  <pageSetup paperSize="9" scale="87" orientation="landscape" r:id="rId1"/>
  <headerFooter alignWithMargins="0">
    <oddHeader>&amp;C&amp;"Arial,Bold"DEPARTMENT OF ENVIRONMENTAL AFFAIRS AND TOURISM
VOTE 27
ANNEXURES TO THE ANNUAL FINANCIAL STATEMENTS
for the year ended 31 MARCH 2003</oddHeader>
  </headerFooter>
  <rowBreaks count="1" manualBreakCount="1">
    <brk id="1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tabSelected="1" topLeftCell="D16" zoomScale="90" zoomScaleNormal="90" workbookViewId="0">
      <selection activeCell="E20" sqref="E20"/>
    </sheetView>
  </sheetViews>
  <sheetFormatPr defaultRowHeight="12.75" x14ac:dyDescent="0.2"/>
  <cols>
    <col min="1" max="1" width="44.28515625" style="5" customWidth="1"/>
    <col min="2" max="2" width="57.7109375" style="5" customWidth="1"/>
    <col min="3" max="3" width="59" style="5" customWidth="1"/>
    <col min="4" max="4" width="20.7109375" style="5" customWidth="1"/>
    <col min="5" max="5" width="27.7109375" style="5" customWidth="1"/>
    <col min="6" max="16384" width="9.140625" style="5"/>
  </cols>
  <sheetData>
    <row r="1" spans="1:5" ht="15.75" x14ac:dyDescent="0.25">
      <c r="A1" s="20" t="s">
        <v>443</v>
      </c>
      <c r="B1" s="376"/>
      <c r="C1" s="376"/>
      <c r="D1" s="376"/>
      <c r="E1" s="376"/>
    </row>
    <row r="2" spans="1:5" x14ac:dyDescent="0.2">
      <c r="A2" s="376"/>
      <c r="B2" s="376"/>
      <c r="C2" s="376"/>
      <c r="D2" s="376"/>
      <c r="E2" s="376"/>
    </row>
    <row r="3" spans="1:5" s="377" customFormat="1" ht="15.75" x14ac:dyDescent="0.25">
      <c r="A3" s="20" t="s">
        <v>444</v>
      </c>
      <c r="B3" s="302"/>
      <c r="C3" s="302"/>
      <c r="D3" s="302"/>
      <c r="E3" s="302"/>
    </row>
    <row r="4" spans="1:5" s="377" customFormat="1" ht="9.75" customHeight="1" x14ac:dyDescent="0.25">
      <c r="A4" s="239"/>
      <c r="B4" s="302"/>
      <c r="C4" s="302"/>
      <c r="D4" s="302"/>
      <c r="E4" s="302"/>
    </row>
    <row r="5" spans="1:5" s="377" customFormat="1" ht="15.75" x14ac:dyDescent="0.25">
      <c r="A5" s="239"/>
      <c r="B5" s="302"/>
      <c r="C5" s="302"/>
      <c r="D5" s="302"/>
      <c r="E5" s="302"/>
    </row>
    <row r="6" spans="1:5" x14ac:dyDescent="0.2">
      <c r="A6" s="1"/>
    </row>
    <row r="7" spans="1:5" ht="38.25" customHeight="1" x14ac:dyDescent="0.2">
      <c r="A7" s="555" t="s">
        <v>445</v>
      </c>
      <c r="B7" s="555" t="s">
        <v>446</v>
      </c>
      <c r="C7" s="555" t="s">
        <v>447</v>
      </c>
      <c r="D7" s="557" t="s">
        <v>448</v>
      </c>
      <c r="E7" s="378" t="s">
        <v>449</v>
      </c>
    </row>
    <row r="8" spans="1:5" ht="31.15" customHeight="1" x14ac:dyDescent="0.2">
      <c r="A8" s="556"/>
      <c r="B8" s="556"/>
      <c r="C8" s="556"/>
      <c r="D8" s="558"/>
      <c r="E8" s="379" t="s">
        <v>450</v>
      </c>
    </row>
    <row r="9" spans="1:5" ht="61.15" customHeight="1" x14ac:dyDescent="0.2">
      <c r="A9" s="380" t="s">
        <v>451</v>
      </c>
      <c r="B9" s="381" t="s">
        <v>452</v>
      </c>
      <c r="C9" s="380" t="s">
        <v>504</v>
      </c>
      <c r="D9" s="382" t="s">
        <v>453</v>
      </c>
      <c r="E9" s="382" t="s">
        <v>454</v>
      </c>
    </row>
    <row r="10" spans="1:5" ht="15" x14ac:dyDescent="0.2">
      <c r="A10" s="383"/>
      <c r="B10" s="384"/>
      <c r="C10" s="383"/>
      <c r="D10" s="383"/>
      <c r="E10" s="383"/>
    </row>
    <row r="11" spans="1:5" ht="31.15" customHeight="1" x14ac:dyDescent="0.2">
      <c r="A11" s="383" t="s">
        <v>455</v>
      </c>
      <c r="B11" s="384" t="s">
        <v>456</v>
      </c>
      <c r="C11" s="383" t="s">
        <v>503</v>
      </c>
      <c r="D11" s="385" t="s">
        <v>453</v>
      </c>
      <c r="E11" s="385" t="s">
        <v>454</v>
      </c>
    </row>
    <row r="12" spans="1:5" ht="16.899999999999999" customHeight="1" x14ac:dyDescent="0.2">
      <c r="A12" s="383"/>
      <c r="B12" s="384"/>
      <c r="C12" s="383"/>
      <c r="D12" s="385"/>
      <c r="E12" s="385"/>
    </row>
    <row r="13" spans="1:5" ht="33" customHeight="1" x14ac:dyDescent="0.2">
      <c r="A13" s="383" t="s">
        <v>457</v>
      </c>
      <c r="B13" s="384" t="s">
        <v>458</v>
      </c>
      <c r="C13" s="383" t="s">
        <v>502</v>
      </c>
      <c r="D13" s="385" t="s">
        <v>453</v>
      </c>
      <c r="E13" s="385" t="s">
        <v>491</v>
      </c>
    </row>
    <row r="14" spans="1:5" ht="15" x14ac:dyDescent="0.2">
      <c r="A14" s="383"/>
      <c r="B14" s="384"/>
      <c r="C14" s="383"/>
      <c r="D14" s="383"/>
      <c r="E14" s="383"/>
    </row>
    <row r="15" spans="1:5" ht="47.45" customHeight="1" x14ac:dyDescent="0.2">
      <c r="A15" s="383" t="s">
        <v>460</v>
      </c>
      <c r="B15" s="384" t="s">
        <v>461</v>
      </c>
      <c r="C15" s="383" t="s">
        <v>462</v>
      </c>
      <c r="D15" s="385" t="s">
        <v>453</v>
      </c>
      <c r="E15" s="385" t="s">
        <v>459</v>
      </c>
    </row>
    <row r="16" spans="1:5" ht="15" x14ac:dyDescent="0.2">
      <c r="A16" s="383"/>
      <c r="B16" s="384"/>
      <c r="C16" s="383"/>
      <c r="D16" s="383"/>
      <c r="E16" s="383"/>
    </row>
    <row r="17" spans="1:5" ht="46.9" customHeight="1" x14ac:dyDescent="0.2">
      <c r="A17" s="383" t="s">
        <v>463</v>
      </c>
      <c r="B17" s="384" t="s">
        <v>464</v>
      </c>
      <c r="C17" s="383" t="s">
        <v>501</v>
      </c>
      <c r="D17" s="385" t="s">
        <v>453</v>
      </c>
      <c r="E17" s="385" t="s">
        <v>454</v>
      </c>
    </row>
    <row r="18" spans="1:5" ht="16.899999999999999" customHeight="1" x14ac:dyDescent="0.2">
      <c r="A18" s="383"/>
      <c r="B18" s="384"/>
      <c r="C18" s="383"/>
      <c r="D18" s="383"/>
      <c r="E18" s="383"/>
    </row>
    <row r="19" spans="1:5" ht="30.6" customHeight="1" x14ac:dyDescent="0.2">
      <c r="A19" s="383" t="s">
        <v>465</v>
      </c>
      <c r="B19" s="384" t="s">
        <v>466</v>
      </c>
      <c r="C19" s="383" t="s">
        <v>500</v>
      </c>
      <c r="D19" s="385" t="s">
        <v>453</v>
      </c>
      <c r="E19" s="385" t="s">
        <v>505</v>
      </c>
    </row>
    <row r="20" spans="1:5" ht="15" x14ac:dyDescent="0.2">
      <c r="A20" s="383"/>
      <c r="B20" s="384"/>
      <c r="C20" s="383"/>
      <c r="D20" s="383"/>
      <c r="E20" s="383"/>
    </row>
    <row r="21" spans="1:5" ht="16.899999999999999" customHeight="1" x14ac:dyDescent="0.2">
      <c r="A21" s="383" t="s">
        <v>467</v>
      </c>
      <c r="B21" s="384" t="s">
        <v>468</v>
      </c>
      <c r="C21" s="383" t="s">
        <v>499</v>
      </c>
      <c r="D21" s="385" t="s">
        <v>453</v>
      </c>
      <c r="E21" s="385" t="s">
        <v>505</v>
      </c>
    </row>
    <row r="22" spans="1:5" ht="15" x14ac:dyDescent="0.2">
      <c r="A22" s="386"/>
      <c r="B22" s="387"/>
      <c r="C22" s="388"/>
      <c r="D22" s="388"/>
      <c r="E22" s="388"/>
    </row>
    <row r="23" spans="1:5" x14ac:dyDescent="0.2">
      <c r="A23" s="8"/>
      <c r="B23" s="8"/>
      <c r="C23" s="8"/>
      <c r="D23" s="8"/>
    </row>
    <row r="24" spans="1:5" x14ac:dyDescent="0.2">
      <c r="A24" s="8"/>
      <c r="B24" s="8"/>
      <c r="C24" s="8"/>
      <c r="D24" s="8"/>
    </row>
    <row r="25" spans="1:5" x14ac:dyDescent="0.2">
      <c r="A25" s="8"/>
      <c r="B25" s="8"/>
      <c r="C25" s="8"/>
      <c r="D25" s="8"/>
    </row>
    <row r="26" spans="1:5" x14ac:dyDescent="0.2">
      <c r="A26" s="8"/>
      <c r="B26" s="8"/>
      <c r="C26" s="8"/>
      <c r="D26" s="8"/>
    </row>
    <row r="27" spans="1:5" x14ac:dyDescent="0.2">
      <c r="A27" s="8"/>
      <c r="B27" s="8"/>
      <c r="C27" s="8"/>
      <c r="D27" s="8"/>
    </row>
    <row r="28" spans="1:5" x14ac:dyDescent="0.2">
      <c r="A28" s="8"/>
      <c r="B28" s="8"/>
      <c r="C28" s="8"/>
      <c r="D28" s="8"/>
    </row>
    <row r="29" spans="1:5" x14ac:dyDescent="0.2">
      <c r="A29" s="8"/>
      <c r="B29" s="8"/>
      <c r="C29" s="8"/>
      <c r="D29" s="8"/>
    </row>
    <row r="30" spans="1:5" x14ac:dyDescent="0.2">
      <c r="A30" s="8"/>
      <c r="B30" s="8"/>
      <c r="C30" s="8"/>
      <c r="D30" s="8"/>
    </row>
    <row r="31" spans="1:5" x14ac:dyDescent="0.2">
      <c r="A31" s="1"/>
    </row>
    <row r="32" spans="1:5" s="1" customFormat="1" x14ac:dyDescent="0.2">
      <c r="C32" s="553"/>
      <c r="D32" s="554"/>
    </row>
    <row r="33" spans="3:4" x14ac:dyDescent="0.2">
      <c r="C33" s="554"/>
      <c r="D33" s="554"/>
    </row>
  </sheetData>
  <mergeCells count="5">
    <mergeCell ref="C32:D33"/>
    <mergeCell ref="A7:A8"/>
    <mergeCell ref="B7:B8"/>
    <mergeCell ref="C7:C8"/>
    <mergeCell ref="D7:D8"/>
  </mergeCells>
  <phoneticPr fontId="0" type="noConversion"/>
  <pageMargins left="0.39370078740157483" right="0.54" top="1.3779527559055118" bottom="0.98425196850393704" header="0.51181102362204722" footer="0.51181102362204722"/>
  <pageSetup paperSize="9" scale="65" orientation="landscape" r:id="rId1"/>
  <headerFooter alignWithMargins="0">
    <oddHeader>&amp;C&amp;"Arial,Bold"DEPARTMENT OF ENVIRONMENTAL AFFAIRS AND TOURISM
VOTE 27
ANNEXURES TO THE ANNUAL FINANCIAL STATEMENTS
for the year ended 31 MARCH 2003</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topLeftCell="D16" zoomScale="90" zoomScaleNormal="90" workbookViewId="0">
      <selection activeCell="F28" sqref="F28"/>
    </sheetView>
  </sheetViews>
  <sheetFormatPr defaultRowHeight="12.75" x14ac:dyDescent="0.2"/>
  <cols>
    <col min="1" max="1" width="25.7109375" customWidth="1"/>
    <col min="2" max="2" width="15.7109375" customWidth="1"/>
    <col min="3" max="4" width="13.28515625" customWidth="1"/>
    <col min="5" max="5" width="14.42578125" customWidth="1"/>
    <col min="6" max="6" width="16.7109375" bestFit="1" customWidth="1"/>
    <col min="7" max="7" width="16.7109375" customWidth="1"/>
    <col min="8" max="9" width="13.28515625" customWidth="1"/>
  </cols>
  <sheetData>
    <row r="1" spans="1:9" ht="15.75" x14ac:dyDescent="0.25">
      <c r="A1" s="20" t="s">
        <v>215</v>
      </c>
      <c r="B1" s="240"/>
      <c r="C1" s="240"/>
      <c r="D1" s="240"/>
      <c r="E1" s="240"/>
      <c r="F1" s="240"/>
      <c r="G1" s="240"/>
      <c r="H1" s="240"/>
      <c r="I1" s="240"/>
    </row>
    <row r="2" spans="1:9" x14ac:dyDescent="0.2">
      <c r="A2" s="240"/>
      <c r="B2" s="240"/>
      <c r="C2" s="240"/>
      <c r="D2" s="240"/>
      <c r="E2" s="240"/>
      <c r="F2" s="240"/>
      <c r="G2" s="240"/>
      <c r="H2" s="240"/>
      <c r="I2" s="240"/>
    </row>
    <row r="3" spans="1:9" ht="15.75" x14ac:dyDescent="0.25">
      <c r="A3" s="565" t="s">
        <v>167</v>
      </c>
      <c r="B3" s="565"/>
      <c r="C3" s="565"/>
      <c r="D3" s="565"/>
      <c r="E3" s="565"/>
      <c r="F3" s="565"/>
      <c r="G3" s="565"/>
      <c r="H3" s="565"/>
      <c r="I3" s="565"/>
    </row>
    <row r="4" spans="1:9" x14ac:dyDescent="0.2">
      <c r="A4" s="1"/>
    </row>
    <row r="5" spans="1:9" x14ac:dyDescent="0.2">
      <c r="A5" s="241" t="s">
        <v>360</v>
      </c>
      <c r="C5" s="1"/>
    </row>
    <row r="6" spans="1:9" x14ac:dyDescent="0.2">
      <c r="A6" s="1"/>
    </row>
    <row r="7" spans="1:9" s="146" customFormat="1" ht="53.25" customHeight="1" x14ac:dyDescent="0.2">
      <c r="A7" s="562" t="s">
        <v>168</v>
      </c>
      <c r="B7" s="559" t="s">
        <v>169</v>
      </c>
      <c r="C7" s="566" t="s">
        <v>346</v>
      </c>
      <c r="D7" s="566" t="s">
        <v>469</v>
      </c>
      <c r="E7" s="566" t="s">
        <v>347</v>
      </c>
      <c r="F7" s="566" t="s">
        <v>393</v>
      </c>
      <c r="G7" s="566" t="s">
        <v>483</v>
      </c>
      <c r="H7" s="562" t="s">
        <v>348</v>
      </c>
      <c r="I7" s="562" t="s">
        <v>170</v>
      </c>
    </row>
    <row r="8" spans="1:9" s="146" customFormat="1" x14ac:dyDescent="0.2">
      <c r="A8" s="563"/>
      <c r="B8" s="560"/>
      <c r="C8" s="567"/>
      <c r="D8" s="567"/>
      <c r="E8" s="567"/>
      <c r="F8" s="567"/>
      <c r="G8" s="567"/>
      <c r="H8" s="568"/>
      <c r="I8" s="568"/>
    </row>
    <row r="9" spans="1:9" s="98" customFormat="1" x14ac:dyDescent="0.2">
      <c r="A9" s="564"/>
      <c r="B9" s="561"/>
      <c r="C9" s="238" t="s">
        <v>174</v>
      </c>
      <c r="D9" s="238" t="s">
        <v>174</v>
      </c>
      <c r="E9" s="238" t="s">
        <v>174</v>
      </c>
      <c r="F9" s="238" t="s">
        <v>174</v>
      </c>
      <c r="G9" s="238" t="s">
        <v>174</v>
      </c>
      <c r="H9" s="237" t="s">
        <v>174</v>
      </c>
      <c r="I9" s="237" t="s">
        <v>174</v>
      </c>
    </row>
    <row r="10" spans="1:9" s="69" customFormat="1" ht="25.5" x14ac:dyDescent="0.2">
      <c r="A10" s="14"/>
      <c r="B10" s="3" t="s">
        <v>145</v>
      </c>
      <c r="C10" s="14"/>
      <c r="D10" s="14"/>
      <c r="E10" s="14"/>
      <c r="F10" s="14"/>
      <c r="G10" s="14"/>
      <c r="H10" s="14"/>
      <c r="I10" s="14"/>
    </row>
    <row r="11" spans="1:9" s="69" customFormat="1" x14ac:dyDescent="0.2">
      <c r="A11" s="74" t="s">
        <v>335</v>
      </c>
      <c r="B11" s="14"/>
      <c r="C11" s="335">
        <v>947841.57</v>
      </c>
      <c r="D11" s="321">
        <v>131283</v>
      </c>
      <c r="E11" s="335">
        <v>33000</v>
      </c>
      <c r="F11" s="321" t="s">
        <v>437</v>
      </c>
      <c r="G11" s="398" t="s">
        <v>437</v>
      </c>
      <c r="H11" s="335">
        <f>SUM(D11+E11)</f>
        <v>164283</v>
      </c>
      <c r="I11" s="398" t="s">
        <v>437</v>
      </c>
    </row>
    <row r="12" spans="1:9" s="69" customFormat="1" x14ac:dyDescent="0.2">
      <c r="A12" s="74" t="s">
        <v>336</v>
      </c>
      <c r="B12" s="14"/>
      <c r="C12" s="335">
        <v>72000</v>
      </c>
      <c r="D12" s="321">
        <v>14400</v>
      </c>
      <c r="E12" s="321" t="s">
        <v>437</v>
      </c>
      <c r="F12" s="321" t="s">
        <v>437</v>
      </c>
      <c r="G12" s="398" t="s">
        <v>437</v>
      </c>
      <c r="H12" s="335">
        <f>SUM(D12)</f>
        <v>14400</v>
      </c>
      <c r="I12" s="398" t="s">
        <v>437</v>
      </c>
    </row>
    <row r="13" spans="1:9" s="69" customFormat="1" x14ac:dyDescent="0.2">
      <c r="A13" s="74" t="s">
        <v>337</v>
      </c>
      <c r="B13" s="14"/>
      <c r="C13" s="335">
        <f>752500-100</f>
        <v>752400</v>
      </c>
      <c r="D13" s="321">
        <f>85501-200</f>
        <v>85301</v>
      </c>
      <c r="E13" s="335">
        <f>78580</f>
        <v>78580</v>
      </c>
      <c r="F13" s="335">
        <v>23000</v>
      </c>
      <c r="G13" s="398" t="s">
        <v>437</v>
      </c>
      <c r="H13" s="335">
        <f>SUM(D13+E13-F13)</f>
        <v>140881</v>
      </c>
      <c r="I13" s="398" t="s">
        <v>437</v>
      </c>
    </row>
    <row r="14" spans="1:9" s="69" customFormat="1" x14ac:dyDescent="0.2">
      <c r="A14" s="74" t="s">
        <v>484</v>
      </c>
      <c r="B14" s="14"/>
      <c r="C14" s="335">
        <v>1265113</v>
      </c>
      <c r="D14" s="321">
        <v>246828</v>
      </c>
      <c r="E14" s="335">
        <f>50400-100</f>
        <v>50300</v>
      </c>
      <c r="F14" s="335">
        <f>18400+14000</f>
        <v>32400</v>
      </c>
      <c r="G14" s="398" t="s">
        <v>437</v>
      </c>
      <c r="H14" s="335">
        <f>SUM(D14+E14-F14)</f>
        <v>264728</v>
      </c>
      <c r="I14" s="398" t="s">
        <v>437</v>
      </c>
    </row>
    <row r="15" spans="1:9" s="69" customFormat="1" x14ac:dyDescent="0.2">
      <c r="A15" s="74" t="s">
        <v>338</v>
      </c>
      <c r="B15" s="14"/>
      <c r="C15" s="335">
        <v>327900</v>
      </c>
      <c r="D15" s="321">
        <v>48007</v>
      </c>
      <c r="E15" s="321" t="s">
        <v>437</v>
      </c>
      <c r="F15" s="321" t="s">
        <v>437</v>
      </c>
      <c r="G15" s="398" t="s">
        <v>437</v>
      </c>
      <c r="H15" s="335">
        <f>SUM(D15)</f>
        <v>48007</v>
      </c>
      <c r="I15" s="398" t="s">
        <v>437</v>
      </c>
    </row>
    <row r="16" spans="1:9" s="69" customFormat="1" x14ac:dyDescent="0.2">
      <c r="A16" s="74" t="s">
        <v>339</v>
      </c>
      <c r="B16" s="14"/>
      <c r="C16" s="335">
        <v>3976528</v>
      </c>
      <c r="D16" s="321">
        <f>667337.2+300</f>
        <v>667637.19999999995</v>
      </c>
      <c r="E16" s="335">
        <f>177150+200</f>
        <v>177350</v>
      </c>
      <c r="F16" s="335">
        <v>120411</v>
      </c>
      <c r="G16" s="398" t="s">
        <v>437</v>
      </c>
      <c r="H16" s="335">
        <f>SUM(D16+E16-F16)</f>
        <v>724576.2</v>
      </c>
      <c r="I16" s="398" t="s">
        <v>437</v>
      </c>
    </row>
    <row r="17" spans="1:9" s="69" customFormat="1" x14ac:dyDescent="0.2">
      <c r="A17" s="74" t="s">
        <v>340</v>
      </c>
      <c r="B17" s="14"/>
      <c r="C17" s="335">
        <v>218738</v>
      </c>
      <c r="D17" s="321">
        <v>19862</v>
      </c>
      <c r="E17" s="335">
        <v>23459</v>
      </c>
      <c r="F17" s="321" t="s">
        <v>437</v>
      </c>
      <c r="G17" s="398" t="s">
        <v>437</v>
      </c>
      <c r="H17" s="335">
        <f>SUM(D17+E17)</f>
        <v>43321</v>
      </c>
      <c r="I17" s="398" t="s">
        <v>437</v>
      </c>
    </row>
    <row r="18" spans="1:9" s="69" customFormat="1" x14ac:dyDescent="0.2">
      <c r="A18" s="74" t="s">
        <v>341</v>
      </c>
      <c r="B18" s="14"/>
      <c r="C18" s="335">
        <v>77935</v>
      </c>
      <c r="D18" s="321">
        <v>25386</v>
      </c>
      <c r="E18" s="321" t="s">
        <v>437</v>
      </c>
      <c r="F18" s="335">
        <v>9860</v>
      </c>
      <c r="G18" s="398" t="s">
        <v>437</v>
      </c>
      <c r="H18" s="335">
        <f>SUM(D18-F18)-1000</f>
        <v>14526</v>
      </c>
      <c r="I18" s="398" t="s">
        <v>437</v>
      </c>
    </row>
    <row r="19" spans="1:9" s="69" customFormat="1" x14ac:dyDescent="0.2">
      <c r="A19" s="74" t="s">
        <v>342</v>
      </c>
      <c r="B19" s="14"/>
      <c r="C19" s="335">
        <v>78000</v>
      </c>
      <c r="D19" s="321">
        <v>45258</v>
      </c>
      <c r="E19" s="321" t="s">
        <v>437</v>
      </c>
      <c r="F19" s="335">
        <v>29658</v>
      </c>
      <c r="G19" s="398" t="s">
        <v>437</v>
      </c>
      <c r="H19" s="335">
        <f>SUM(D19-F19)-1000</f>
        <v>14600</v>
      </c>
      <c r="I19" s="398" t="s">
        <v>437</v>
      </c>
    </row>
    <row r="20" spans="1:9" s="69" customFormat="1" x14ac:dyDescent="0.2">
      <c r="A20" s="74" t="s">
        <v>343</v>
      </c>
      <c r="B20" s="14"/>
      <c r="C20" s="335">
        <v>707375</v>
      </c>
      <c r="D20" s="321">
        <f>182474+100</f>
        <v>182574</v>
      </c>
      <c r="E20" s="321" t="s">
        <v>437</v>
      </c>
      <c r="F20" s="335">
        <v>42458</v>
      </c>
      <c r="G20" s="398" t="s">
        <v>437</v>
      </c>
      <c r="H20" s="335">
        <f>SUM(D20-F20)+1000</f>
        <v>141116</v>
      </c>
      <c r="I20" s="398" t="s">
        <v>437</v>
      </c>
    </row>
    <row r="21" spans="1:9" s="69" customFormat="1" x14ac:dyDescent="0.2">
      <c r="A21" s="74" t="s">
        <v>344</v>
      </c>
      <c r="B21" s="14"/>
      <c r="C21" s="335">
        <v>859433</v>
      </c>
      <c r="D21" s="321">
        <v>162877</v>
      </c>
      <c r="E21" s="335">
        <f>14200+8800</f>
        <v>23000</v>
      </c>
      <c r="F21" s="335">
        <v>19542</v>
      </c>
      <c r="G21" s="398" t="s">
        <v>437</v>
      </c>
      <c r="H21" s="335">
        <f>SUM(D21+E21-F21)</f>
        <v>166335</v>
      </c>
      <c r="I21" s="398" t="s">
        <v>437</v>
      </c>
    </row>
    <row r="22" spans="1:9" s="69" customFormat="1" x14ac:dyDescent="0.2">
      <c r="A22" s="74" t="s">
        <v>345</v>
      </c>
      <c r="B22" s="14"/>
      <c r="C22" s="321" t="s">
        <v>437</v>
      </c>
      <c r="D22" s="321">
        <v>13800</v>
      </c>
      <c r="E22" s="321" t="s">
        <v>437</v>
      </c>
      <c r="F22" s="335">
        <v>13800</v>
      </c>
      <c r="G22" s="398" t="s">
        <v>437</v>
      </c>
      <c r="H22" s="321" t="s">
        <v>437</v>
      </c>
      <c r="I22" s="398" t="s">
        <v>437</v>
      </c>
    </row>
    <row r="23" spans="1:9" s="69" customFormat="1" ht="13.5" thickBot="1" x14ac:dyDescent="0.25">
      <c r="A23" s="79" t="s">
        <v>157</v>
      </c>
      <c r="B23" s="79"/>
      <c r="C23" s="399">
        <f t="shared" ref="C23:H23" si="0">SUM(C10:C22)</f>
        <v>9283263.5700000003</v>
      </c>
      <c r="D23" s="405">
        <f t="shared" si="0"/>
        <v>1643213.2</v>
      </c>
      <c r="E23" s="399">
        <f>SUM(E10:E22)-1000</f>
        <v>384689</v>
      </c>
      <c r="F23" s="399">
        <f t="shared" si="0"/>
        <v>291129</v>
      </c>
      <c r="G23" s="400" t="s">
        <v>437</v>
      </c>
      <c r="H23" s="399">
        <f t="shared" si="0"/>
        <v>1736773.2</v>
      </c>
      <c r="I23" s="400" t="s">
        <v>437</v>
      </c>
    </row>
    <row r="24" spans="1:9" s="69" customFormat="1" ht="13.5" thickTop="1" x14ac:dyDescent="0.2">
      <c r="A24" s="159"/>
    </row>
    <row r="25" spans="1:9" s="69" customFormat="1" x14ac:dyDescent="0.2">
      <c r="A25" s="156"/>
    </row>
    <row r="26" spans="1:9" s="69" customFormat="1" ht="25.5" x14ac:dyDescent="0.2">
      <c r="A26" s="156"/>
      <c r="B26" s="3" t="s">
        <v>143</v>
      </c>
    </row>
    <row r="27" spans="1:9" x14ac:dyDescent="0.2">
      <c r="A27" s="5"/>
    </row>
    <row r="28" spans="1:9" x14ac:dyDescent="0.2">
      <c r="A28" s="74" t="s">
        <v>394</v>
      </c>
      <c r="C28" s="401">
        <v>593600</v>
      </c>
      <c r="D28" s="401">
        <v>361310.51</v>
      </c>
      <c r="E28" s="402" t="s">
        <v>437</v>
      </c>
      <c r="F28" s="401">
        <f>259747.96-300</f>
        <v>259447.96</v>
      </c>
      <c r="G28" s="398" t="s">
        <v>437</v>
      </c>
      <c r="H28" s="335">
        <f>SUM(D28-F28)</f>
        <v>101862.55000000002</v>
      </c>
      <c r="I28" s="403" t="s">
        <v>437</v>
      </c>
    </row>
    <row r="29" spans="1:9" ht="13.5" thickBot="1" x14ac:dyDescent="0.25">
      <c r="A29" s="79" t="s">
        <v>157</v>
      </c>
      <c r="C29" s="320">
        <f>SUM(C28:C28)</f>
        <v>593600</v>
      </c>
      <c r="D29" s="320">
        <f>SUM(D28:D28)</f>
        <v>361310.51</v>
      </c>
      <c r="E29" s="404" t="s">
        <v>437</v>
      </c>
      <c r="F29" s="320">
        <f>SUM(F28:F28)</f>
        <v>259447.96</v>
      </c>
      <c r="G29" s="404" t="s">
        <v>437</v>
      </c>
      <c r="H29" s="320">
        <f>SUM(H28:H28)</f>
        <v>101862.55000000002</v>
      </c>
      <c r="I29" s="404" t="s">
        <v>437</v>
      </c>
    </row>
    <row r="30" spans="1:9" ht="13.5" thickTop="1" x14ac:dyDescent="0.2"/>
  </sheetData>
  <mergeCells count="10">
    <mergeCell ref="B7:B9"/>
    <mergeCell ref="A7:A9"/>
    <mergeCell ref="A3:I3"/>
    <mergeCell ref="C7:C8"/>
    <mergeCell ref="D7:D8"/>
    <mergeCell ref="H7:H8"/>
    <mergeCell ref="I7:I8"/>
    <mergeCell ref="E7:E8"/>
    <mergeCell ref="F7:F8"/>
    <mergeCell ref="G7:G8"/>
  </mergeCells>
  <phoneticPr fontId="0" type="noConversion"/>
  <pageMargins left="0.59055118110236227" right="0.59055118110236227" top="1.3779527559055118" bottom="0.98425196850393704" header="0.51181102362204722" footer="0.51181102362204722"/>
  <pageSetup paperSize="9" scale="95" orientation="landscape" r:id="rId1"/>
  <headerFooter alignWithMargins="0">
    <oddHeader>&amp;C&amp;"Arial,Bold"DEPARTMENT OF ENVIRONMENTAL AFFAIRS AND TOURISM
VOTE 27
ANNEXURES TO THE ANNUAL FINANCIAL STATEMENTS
for the year ended 31 MARCH 2003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INCOME STATEMENT</vt:lpstr>
      <vt:lpstr>BALANCE SHEET</vt:lpstr>
      <vt:lpstr>CHANGES IN EQUITY</vt:lpstr>
      <vt:lpstr>CASH FLOW STATEMENT</vt:lpstr>
      <vt:lpstr>NOTES TO FS</vt:lpstr>
      <vt:lpstr>DISCLOSURE NOTES</vt:lpstr>
      <vt:lpstr>ANNEXURE 1D</vt:lpstr>
      <vt:lpstr>ANNEXURE 2A</vt:lpstr>
      <vt:lpstr>ANNEXURE 3</vt:lpstr>
      <vt:lpstr>ANNEXURE 4 </vt:lpstr>
      <vt:lpstr>APPROPRIATION STATEMENT</vt:lpstr>
      <vt:lpstr>NOTES TO APPR. STATEMENT</vt:lpstr>
      <vt:lpstr>'APPROPRIATION STATEMENT'!Print_Area</vt:lpstr>
      <vt:lpstr>'CASH FLOW STATEMENT'!Print_Area</vt:lpstr>
      <vt:lpstr>'DISCLOSURE NOTES'!Print_Area</vt:lpstr>
      <vt:lpstr>'INCOME STATEMENT'!Print_Area</vt:lpstr>
      <vt:lpstr>'NOTES TO FS'!Print_Area</vt:lpstr>
      <vt:lpstr>'ANNEXURE 1D'!Print_Titles</vt:lpstr>
    </vt:vector>
  </TitlesOfParts>
  <Company> FMIP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FMIP2062</dc:creator>
  <cp:lastModifiedBy>Ben Zorn</cp:lastModifiedBy>
  <cp:lastPrinted>2003-08-19T14:30:30Z</cp:lastPrinted>
  <dcterms:created xsi:type="dcterms:W3CDTF">2003-01-31T07:15:51Z</dcterms:created>
  <dcterms:modified xsi:type="dcterms:W3CDTF">2018-06-14T00:27:34Z</dcterms:modified>
</cp:coreProperties>
</file>