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A9DE608D-F01C-48FB-BBC2-EB8F2841A033}" xr6:coauthVersionLast="34" xr6:coauthVersionMax="34" xr10:uidLastSave="{00000000-0000-0000-0000-000000000000}"/>
  <bookViews>
    <workbookView xWindow="120" yWindow="120" windowWidth="11700" windowHeight="6285"/>
  </bookViews>
  <sheets>
    <sheet name="Unaudited Dec 03" sheetId="1" r:id="rId1"/>
  </sheets>
  <externalReferences>
    <externalReference r:id="rId2"/>
    <externalReference r:id="rId3"/>
  </externalReferences>
  <definedNames>
    <definedName name="_xlnm.Print_Area" localSheetId="0">'Unaudited Dec 03'!$B$1:$U$47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S6" i="1"/>
  <c r="Q7" i="1"/>
  <c r="R7" i="1"/>
  <c r="S7" i="1"/>
  <c r="T7" i="1"/>
  <c r="S8" i="1"/>
  <c r="G10" i="1"/>
  <c r="D10" i="1" s="1"/>
  <c r="H10" i="1"/>
  <c r="E10" i="1" s="1"/>
  <c r="G11" i="1"/>
  <c r="D11" i="1" s="1"/>
  <c r="H11" i="1"/>
  <c r="H20" i="1" s="1"/>
  <c r="H22" i="1" s="1"/>
  <c r="H25" i="1" s="1"/>
  <c r="R11" i="1"/>
  <c r="S11" i="1"/>
  <c r="Q11" i="1" s="1"/>
  <c r="G12" i="1"/>
  <c r="D12" i="1" s="1"/>
  <c r="H12" i="1"/>
  <c r="E12" i="1" s="1"/>
  <c r="R12" i="1"/>
  <c r="S12" i="1"/>
  <c r="Q12" i="1" s="1"/>
  <c r="Y12" i="1"/>
  <c r="Y20" i="1" s="1"/>
  <c r="Y22" i="1" s="1"/>
  <c r="Y25" i="1" s="1"/>
  <c r="Y27" i="1" s="1"/>
  <c r="Y32" i="1" s="1"/>
  <c r="Z12" i="1"/>
  <c r="Z20" i="1" s="1"/>
  <c r="Z22" i="1" s="1"/>
  <c r="Z25" i="1" s="1"/>
  <c r="Z27" i="1" s="1"/>
  <c r="Z32" i="1" s="1"/>
  <c r="R13" i="1"/>
  <c r="R14" i="1" s="1"/>
  <c r="S13" i="1"/>
  <c r="S14" i="1" s="1"/>
  <c r="D14" i="1"/>
  <c r="E14" i="1"/>
  <c r="G14" i="1"/>
  <c r="H14" i="1"/>
  <c r="T14" i="1"/>
  <c r="U14" i="1"/>
  <c r="G15" i="1"/>
  <c r="D15" i="1" s="1"/>
  <c r="H15" i="1"/>
  <c r="E15" i="1" s="1"/>
  <c r="AG15" i="1"/>
  <c r="AH15" i="1"/>
  <c r="AI15" i="1"/>
  <c r="G16" i="1"/>
  <c r="D16" i="1" s="1"/>
  <c r="H16" i="1"/>
  <c r="E16" i="1" s="1"/>
  <c r="G17" i="1"/>
  <c r="D17" i="1" s="1"/>
  <c r="H17" i="1"/>
  <c r="E17" i="1" s="1"/>
  <c r="R17" i="1"/>
  <c r="S17" i="1"/>
  <c r="Q17" i="1" s="1"/>
  <c r="Y17" i="1"/>
  <c r="Z17" i="1"/>
  <c r="G18" i="1"/>
  <c r="D18" i="1" s="1"/>
  <c r="H18" i="1"/>
  <c r="E18" i="1" s="1"/>
  <c r="Q18" i="1"/>
  <c r="R18" i="1"/>
  <c r="S18" i="1"/>
  <c r="G19" i="1"/>
  <c r="D19" i="1" s="1"/>
  <c r="H19" i="1"/>
  <c r="E19" i="1" s="1"/>
  <c r="J20" i="1"/>
  <c r="J22" i="1" s="1"/>
  <c r="J25" i="1" s="1"/>
  <c r="J30" i="1" s="1"/>
  <c r="AA20" i="1"/>
  <c r="AA22" i="1" s="1"/>
  <c r="G21" i="1"/>
  <c r="D21" i="1" s="1"/>
  <c r="H21" i="1"/>
  <c r="E21" i="1" s="1"/>
  <c r="U21" i="1"/>
  <c r="G23" i="1"/>
  <c r="D23" i="1" s="1"/>
  <c r="H23" i="1"/>
  <c r="E23" i="1" s="1"/>
  <c r="R23" i="1"/>
  <c r="R26" i="1" s="1"/>
  <c r="S23" i="1"/>
  <c r="S26" i="1" s="1"/>
  <c r="AG23" i="1"/>
  <c r="AH23" i="1"/>
  <c r="AI23" i="1"/>
  <c r="G24" i="1"/>
  <c r="D24" i="1" s="1"/>
  <c r="H24" i="1"/>
  <c r="E24" i="1" s="1"/>
  <c r="R24" i="1"/>
  <c r="S24" i="1"/>
  <c r="Q24" i="1" s="1"/>
  <c r="Q25" i="1"/>
  <c r="S25" i="1"/>
  <c r="T25" i="1"/>
  <c r="R25" i="1" s="1"/>
  <c r="T26" i="1"/>
  <c r="U26" i="1"/>
  <c r="AG27" i="1"/>
  <c r="AH27" i="1"/>
  <c r="D30" i="1"/>
  <c r="E30" i="1"/>
  <c r="G30" i="1"/>
  <c r="H30" i="1"/>
  <c r="AG30" i="1"/>
  <c r="AH30" i="1"/>
  <c r="AI30" i="1"/>
  <c r="AA32" i="1"/>
  <c r="Y36" i="1"/>
  <c r="Z36" i="1"/>
  <c r="AA36" i="1"/>
  <c r="D20" i="1" l="1"/>
  <c r="D22" i="1" s="1"/>
  <c r="D25" i="1" s="1"/>
  <c r="T19" i="1"/>
  <c r="S19" i="1"/>
  <c r="Q13" i="1"/>
  <c r="Q14" i="1" s="1"/>
  <c r="Q23" i="1"/>
  <c r="Q26" i="1" s="1"/>
  <c r="G20" i="1"/>
  <c r="G22" i="1" s="1"/>
  <c r="G25" i="1" s="1"/>
  <c r="E11" i="1"/>
  <c r="E20" i="1" s="1"/>
  <c r="E22" i="1" s="1"/>
  <c r="E25" i="1" s="1"/>
  <c r="R19" i="1" l="1"/>
  <c r="T20" i="1"/>
  <c r="R20" i="1" s="1"/>
  <c r="Q19" i="1"/>
  <c r="S20" i="1"/>
  <c r="Q20" i="1" s="1"/>
  <c r="S21" i="1" l="1"/>
  <c r="Q21" i="1"/>
  <c r="AJ19" i="1"/>
  <c r="AK19" i="1"/>
  <c r="R21" i="1"/>
  <c r="T21" i="1"/>
</calcChain>
</file>

<file path=xl/sharedStrings.xml><?xml version="1.0" encoding="utf-8"?>
<sst xmlns="http://schemas.openxmlformats.org/spreadsheetml/2006/main" count="191" uniqueCount="101">
  <si>
    <t>THERMAX LIMITED</t>
  </si>
  <si>
    <t>Regd. Office : D-13, M.I.D.C. Industrial Area, R. D. Aga Road, Chinchwad, Pune - 411 019</t>
  </si>
  <si>
    <t>Corp. Office : Thermax House, 4, Mumbai Pune Road, Shivajinagar, Pune 411 005</t>
  </si>
  <si>
    <t>UNAUDITED FINANCIAL RESULTS FOR THE THREE MONTHS ENDED 31ST DECEMBER 2003</t>
  </si>
  <si>
    <t>(Rs. in Crores)</t>
  </si>
  <si>
    <t>Segmentwise Revenue, Results and Capital Employed</t>
  </si>
  <si>
    <t>(Rs. in crores)</t>
  </si>
  <si>
    <t xml:space="preserve">Unaudited Consolidated Financial Results </t>
  </si>
  <si>
    <t>Three Months ended</t>
  </si>
  <si>
    <t>Nine Months ended</t>
  </si>
  <si>
    <t>Year ended</t>
  </si>
  <si>
    <t>Particulars</t>
  </si>
  <si>
    <t>Half Year ended</t>
  </si>
  <si>
    <t>31/12/2003</t>
  </si>
  <si>
    <t>31/12/2002</t>
  </si>
  <si>
    <t>31/03/2003</t>
  </si>
  <si>
    <t>30.09.2003</t>
  </si>
  <si>
    <t>30.09.2002</t>
  </si>
  <si>
    <t>31.03.2003</t>
  </si>
  <si>
    <t>(Unaudited)</t>
  </si>
  <si>
    <t>(Audited)</t>
  </si>
  <si>
    <t>Sales &amp; Services (including Excise Duty)</t>
  </si>
  <si>
    <t xml:space="preserve">Segment Revenue </t>
  </si>
  <si>
    <t>Other Income from Operations</t>
  </si>
  <si>
    <t>a</t>
  </si>
  <si>
    <t>Energy</t>
  </si>
  <si>
    <t>Other Income</t>
  </si>
  <si>
    <t>b</t>
  </si>
  <si>
    <t>Environment</t>
  </si>
  <si>
    <t>Total Expenditure</t>
  </si>
  <si>
    <t>c</t>
  </si>
  <si>
    <t>Others</t>
  </si>
  <si>
    <t xml:space="preserve">   a)(Increase)/Decrease in Stock in Trade</t>
  </si>
  <si>
    <t>Net Sales</t>
  </si>
  <si>
    <t xml:space="preserve">   b) Consumption of Raw Materials</t>
  </si>
  <si>
    <t>Segment Results</t>
  </si>
  <si>
    <t xml:space="preserve">   c) Staff Cost</t>
  </si>
  <si>
    <t>Profit/(Loss) Before Tax and Interest</t>
  </si>
  <si>
    <t xml:space="preserve">   d) Other Expenditure </t>
  </si>
  <si>
    <t>Interest</t>
  </si>
  <si>
    <t>Depreciation</t>
  </si>
  <si>
    <t>Less :</t>
  </si>
  <si>
    <t>Profit Before Tax &amp; Before Extraordinary Items</t>
  </si>
  <si>
    <t>Add :</t>
  </si>
  <si>
    <t>Other Unallocable Income net of Unallocable Expenses</t>
  </si>
  <si>
    <t>Extraordinary Items of Income/(Expenses)</t>
  </si>
  <si>
    <t>Total Profit Before Tax</t>
  </si>
  <si>
    <t>Extraordinary Items of Income / (Expenses)</t>
  </si>
  <si>
    <t>Profit Before Tax &amp; After Extraordinary Items</t>
  </si>
  <si>
    <t>Capital employed</t>
  </si>
  <si>
    <t>Add:</t>
  </si>
  <si>
    <t>Provision for Current Tax</t>
  </si>
  <si>
    <t>Provision for Deferred Tax</t>
  </si>
  <si>
    <t>Net Profit</t>
  </si>
  <si>
    <t>Unallocable Capital Employed</t>
  </si>
  <si>
    <t>Net Profit Before Minority Interest</t>
  </si>
  <si>
    <t>Paid-up Equity Share Capital</t>
  </si>
  <si>
    <t>Total Capital Employed</t>
  </si>
  <si>
    <t>Minority Interest</t>
  </si>
  <si>
    <t>(Face Value of Rs. 10/- each)</t>
  </si>
  <si>
    <t>Net Profit After Minority Interest</t>
  </si>
  <si>
    <t>Reserves (excluding Revaluation Reserves)</t>
  </si>
  <si>
    <t>---</t>
  </si>
  <si>
    <t>For the nine months ended 31st December, 2003, extra-ordinary item of Rs. 4.35 crores (previous year Rs. 4.35 crores) represents</t>
  </si>
  <si>
    <t>Weighted Average number of Equity Shares</t>
  </si>
  <si>
    <t>amortised amount of payment under Voluntary Retirement Scheme (VRS) for staff and workers. Payment under  VRS is being</t>
  </si>
  <si>
    <t>Basic and Diluted Earnings Per Share (Rs)</t>
  </si>
  <si>
    <t>amortised over a period of three years.</t>
  </si>
  <si>
    <t>Total</t>
  </si>
  <si>
    <t>(not annualised)</t>
  </si>
  <si>
    <t>Aggregate of Non-promoter Shareholding</t>
  </si>
  <si>
    <t>Information on investor complaints pursuant to clause 41 of the listing agreement for the quarter ended 31st December 2003 :</t>
  </si>
  <si>
    <t xml:space="preserve"> -  Number of shares</t>
  </si>
  <si>
    <t xml:space="preserve"> -  Percentage of shareholding</t>
  </si>
  <si>
    <t>(Nos.)</t>
  </si>
  <si>
    <t>Notes :</t>
  </si>
  <si>
    <t>Complaints pending at the beginning of the quarter</t>
  </si>
  <si>
    <t>Nil</t>
  </si>
  <si>
    <t xml:space="preserve">1.  The above results, reviewed by the Audit Committee, were taken on record at the meeting of the Board of </t>
  </si>
  <si>
    <t>Complaints received during the quarter</t>
  </si>
  <si>
    <t xml:space="preserve">      Directors held on 30th January, 2004</t>
  </si>
  <si>
    <t>Resolved during the quarter</t>
  </si>
  <si>
    <t xml:space="preserve">2.  The results for the quarter ended 31st December, 2003 have undergone "Limited Review" by the Statutory </t>
  </si>
  <si>
    <t>Complaints pending at the end of the quarter</t>
  </si>
  <si>
    <t xml:space="preserve">     Auditors of the Company.</t>
  </si>
  <si>
    <t>3.  In respect of Construction Contracts commenced on or after 1st April, 2003, contract revenue and costs have</t>
  </si>
  <si>
    <t>Previous year's figures have been regrouped, wherever necessary, to conform to current year's classification.</t>
  </si>
  <si>
    <t xml:space="preserve">     been recognised in accordance with Accounting Standard 7 ( Revised) issued by The Institute of Chartered</t>
  </si>
  <si>
    <t xml:space="preserve">     Accountants of India. However, the impact on profits on account of this is not material.</t>
  </si>
  <si>
    <t>For Thermax Limited</t>
  </si>
  <si>
    <t xml:space="preserve">4   Other Expenditure includes Rs. 2.18 crores for the quarter ended 31st December 2003 (previous year nil) </t>
  </si>
  <si>
    <t xml:space="preserve">     and Rs. 4.36 crores for the nine months ended 31st December 2003 (previous year nil) on account of provision </t>
  </si>
  <si>
    <t>Pune</t>
  </si>
  <si>
    <t>Mrs. A.R. Aga</t>
  </si>
  <si>
    <t>30th January, 2004</t>
  </si>
  <si>
    <t>Chairperson</t>
  </si>
  <si>
    <t>Sustainable Solutions in Energy &amp; Environment</t>
  </si>
  <si>
    <r>
      <t>Less</t>
    </r>
    <r>
      <rPr>
        <sz val="12"/>
        <rFont val="Times New Roman"/>
        <family val="1"/>
      </rPr>
      <t>: Inter Segment Revenue</t>
    </r>
  </si>
  <si>
    <r>
      <t>Less</t>
    </r>
    <r>
      <rPr>
        <sz val="12"/>
        <rFont val="Times New Roman"/>
        <family val="1"/>
      </rPr>
      <t>: i) Interest</t>
    </r>
  </si>
  <si>
    <r>
      <t>Add</t>
    </r>
    <r>
      <rPr>
        <sz val="12"/>
        <rFont val="Times New Roman"/>
        <family val="1"/>
      </rPr>
      <t>:</t>
    </r>
  </si>
  <si>
    <t xml:space="preserve">     for dimunition in value of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</si>
</sst>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0.00_);\(0.00\)"/>
    <numFmt numFmtId="174" formatCode="0_);\(0\)"/>
    <numFmt numFmtId="177" formatCode="mmmm\ d\,\ yyyy"/>
  </numFmts>
  <fonts count="19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Courier"/>
    </font>
    <font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sz val="11"/>
      <name val="Times New Roman"/>
      <family val="1"/>
    </font>
    <font>
      <b/>
      <sz val="10"/>
      <name val="Arial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</font>
    <font>
      <sz val="10"/>
      <name val="Times New Roman"/>
      <family val="1"/>
    </font>
    <font>
      <sz val="12"/>
      <color indexed="8"/>
      <name val="Times New Roman"/>
      <family val="1"/>
    </font>
    <font>
      <u/>
      <sz val="12"/>
      <name val="Times New Roman"/>
      <family val="1"/>
    </font>
    <font>
      <b/>
      <sz val="12"/>
      <name val="Times New Roman"/>
    </font>
    <font>
      <sz val="12"/>
      <color indexed="12"/>
      <name val="Times New Roman"/>
      <family val="1"/>
    </font>
    <font>
      <sz val="11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1" fontId="4" fillId="0" borderId="0" xfId="2" applyNumberFormat="1" applyFont="1"/>
    <xf numFmtId="1" fontId="7" fillId="0" borderId="0" xfId="2" applyNumberFormat="1" applyFont="1" applyAlignment="1">
      <alignment horizontal="right"/>
    </xf>
    <xf numFmtId="1" fontId="7" fillId="0" borderId="0" xfId="2" applyNumberFormat="1" applyFont="1" applyAlignment="1">
      <alignment horizontal="left"/>
    </xf>
    <xf numFmtId="1" fontId="4" fillId="0" borderId="1" xfId="2" applyNumberFormat="1" applyFont="1" applyBorder="1"/>
    <xf numFmtId="1" fontId="4" fillId="0" borderId="0" xfId="2" applyNumberFormat="1" applyFont="1" applyBorder="1"/>
    <xf numFmtId="1" fontId="6" fillId="0" borderId="0" xfId="2" applyNumberFormat="1" applyFont="1" applyBorder="1" applyAlignment="1">
      <alignment horizontal="right"/>
    </xf>
    <xf numFmtId="1" fontId="6" fillId="0" borderId="0" xfId="2" applyNumberFormat="1" applyFont="1" applyBorder="1" applyAlignment="1">
      <alignment horizontal="center"/>
    </xf>
    <xf numFmtId="0" fontId="6" fillId="0" borderId="0" xfId="1" applyFont="1" applyBorder="1"/>
    <xf numFmtId="1" fontId="6" fillId="0" borderId="2" xfId="2" applyNumberFormat="1" applyFont="1" applyBorder="1" applyAlignment="1">
      <alignment horizontal="right"/>
    </xf>
    <xf numFmtId="1" fontId="6" fillId="0" borderId="3" xfId="2" applyNumberFormat="1" applyFont="1" applyBorder="1" applyAlignment="1">
      <alignment horizontal="right"/>
    </xf>
    <xf numFmtId="1" fontId="6" fillId="0" borderId="0" xfId="2" applyNumberFormat="1" applyFont="1"/>
    <xf numFmtId="1" fontId="6" fillId="0" borderId="0" xfId="2" applyNumberFormat="1" applyFont="1" applyAlignment="1">
      <alignment horizontal="right"/>
    </xf>
    <xf numFmtId="1" fontId="6" fillId="0" borderId="4" xfId="2" applyNumberFormat="1" applyFont="1" applyBorder="1" applyAlignment="1">
      <alignment horizontal="center"/>
    </xf>
    <xf numFmtId="1" fontId="6" fillId="0" borderId="5" xfId="2" applyNumberFormat="1" applyFont="1" applyBorder="1" applyAlignment="1">
      <alignment horizontal="centerContinuous"/>
    </xf>
    <xf numFmtId="1" fontId="6" fillId="0" borderId="6" xfId="2" applyNumberFormat="1" applyFont="1" applyBorder="1" applyAlignment="1">
      <alignment horizontal="centerContinuous"/>
    </xf>
    <xf numFmtId="1" fontId="6" fillId="0" borderId="4" xfId="2" applyNumberFormat="1" applyFont="1" applyBorder="1" applyAlignment="1">
      <alignment horizontal="left"/>
    </xf>
    <xf numFmtId="1" fontId="4" fillId="0" borderId="5" xfId="2" applyNumberFormat="1" applyFont="1" applyBorder="1"/>
    <xf numFmtId="1" fontId="4" fillId="0" borderId="7" xfId="2" applyNumberFormat="1" applyFont="1" applyBorder="1"/>
    <xf numFmtId="1" fontId="4" fillId="0" borderId="6" xfId="2" applyNumberFormat="1" applyFont="1" applyBorder="1"/>
    <xf numFmtId="1" fontId="6" fillId="0" borderId="8" xfId="2" applyNumberFormat="1" applyFont="1" applyBorder="1" applyAlignment="1">
      <alignment horizontal="left"/>
    </xf>
    <xf numFmtId="1" fontId="6" fillId="0" borderId="9" xfId="2" applyNumberFormat="1" applyFont="1" applyBorder="1" applyAlignment="1">
      <alignment horizontal="center" vertical="center"/>
    </xf>
    <xf numFmtId="1" fontId="8" fillId="0" borderId="4" xfId="2" applyNumberFormat="1" applyFont="1" applyBorder="1" applyAlignment="1">
      <alignment horizontal="center" vertical="top" wrapText="1"/>
    </xf>
    <xf numFmtId="1" fontId="6" fillId="0" borderId="10" xfId="2" applyNumberFormat="1" applyFont="1" applyBorder="1" applyAlignment="1">
      <alignment horizontal="center"/>
    </xf>
    <xf numFmtId="1" fontId="8" fillId="0" borderId="4" xfId="2" quotePrefix="1" applyNumberFormat="1" applyFont="1" applyBorder="1" applyAlignment="1">
      <alignment horizontal="center"/>
    </xf>
    <xf numFmtId="1" fontId="8" fillId="0" borderId="0" xfId="2" applyNumberFormat="1" applyFont="1" applyBorder="1" applyAlignment="1">
      <alignment horizontal="center"/>
    </xf>
    <xf numFmtId="1" fontId="10" fillId="0" borderId="0" xfId="2" applyNumberFormat="1" applyFont="1" applyBorder="1" applyAlignment="1">
      <alignment horizontal="center"/>
    </xf>
    <xf numFmtId="1" fontId="11" fillId="0" borderId="9" xfId="2" applyNumberFormat="1" applyFont="1" applyBorder="1" applyAlignment="1">
      <alignment horizontal="right" vertical="top" wrapText="1"/>
    </xf>
    <xf numFmtId="0" fontId="4" fillId="0" borderId="0" xfId="1" applyFont="1" applyBorder="1"/>
    <xf numFmtId="1" fontId="8" fillId="0" borderId="11" xfId="2" quotePrefix="1" applyNumberFormat="1" applyFont="1" applyBorder="1" applyAlignment="1">
      <alignment horizontal="center"/>
    </xf>
    <xf numFmtId="1" fontId="10" fillId="0" borderId="10" xfId="2" applyNumberFormat="1" applyFont="1" applyBorder="1" applyAlignment="1">
      <alignment horizontal="center"/>
    </xf>
    <xf numFmtId="1" fontId="8" fillId="0" borderId="10" xfId="2" applyNumberFormat="1" applyFont="1" applyBorder="1" applyAlignment="1">
      <alignment horizontal="center" vertical="top" wrapText="1"/>
    </xf>
    <xf numFmtId="1" fontId="6" fillId="0" borderId="8" xfId="2" applyNumberFormat="1" applyFont="1" applyBorder="1" applyAlignment="1">
      <alignment horizontal="center"/>
    </xf>
    <xf numFmtId="1" fontId="8" fillId="0" borderId="8" xfId="2" applyNumberFormat="1" applyFont="1" applyBorder="1" applyAlignment="1">
      <alignment horizontal="center"/>
    </xf>
    <xf numFmtId="1" fontId="4" fillId="0" borderId="9" xfId="2" applyNumberFormat="1" applyFont="1" applyBorder="1"/>
    <xf numFmtId="1" fontId="4" fillId="0" borderId="0" xfId="2" applyNumberFormat="1" applyFont="1" applyBorder="1" applyAlignment="1">
      <alignment vertical="top" wrapText="1"/>
    </xf>
    <xf numFmtId="1" fontId="12" fillId="0" borderId="8" xfId="2" applyNumberFormat="1" applyFont="1" applyBorder="1" applyAlignment="1">
      <alignment horizontal="center"/>
    </xf>
    <xf numFmtId="1" fontId="4" fillId="0" borderId="2" xfId="2" applyNumberFormat="1" applyFont="1" applyBorder="1"/>
    <xf numFmtId="1" fontId="4" fillId="0" borderId="10" xfId="2" applyNumberFormat="1" applyFont="1" applyBorder="1"/>
    <xf numFmtId="1" fontId="4" fillId="0" borderId="4" xfId="2" applyNumberFormat="1" applyFont="1" applyBorder="1"/>
    <xf numFmtId="1" fontId="4" fillId="0" borderId="10" xfId="2" applyNumberFormat="1" applyFont="1" applyBorder="1" applyAlignment="1">
      <alignment horizontal="right"/>
    </xf>
    <xf numFmtId="1" fontId="4" fillId="0" borderId="0" xfId="2" applyNumberFormat="1" applyFont="1" applyBorder="1" applyAlignment="1">
      <alignment horizontal="right"/>
    </xf>
    <xf numFmtId="1" fontId="10" fillId="0" borderId="10" xfId="2" quotePrefix="1" applyNumberFormat="1" applyFont="1" applyBorder="1" applyAlignment="1">
      <alignment horizontal="left" vertical="top" wrapText="1"/>
    </xf>
    <xf numFmtId="1" fontId="13" fillId="0" borderId="12" xfId="2" quotePrefix="1" applyNumberFormat="1" applyFont="1" applyBorder="1" applyAlignment="1">
      <alignment horizontal="left" vertical="top" wrapText="1"/>
    </xf>
    <xf numFmtId="1" fontId="13" fillId="0" borderId="12" xfId="2" quotePrefix="1" applyNumberFormat="1" applyFont="1" applyBorder="1" applyAlignment="1">
      <alignment horizontal="right" vertical="top" wrapText="1"/>
    </xf>
    <xf numFmtId="1" fontId="13" fillId="0" borderId="4" xfId="2" quotePrefix="1" applyNumberFormat="1" applyFont="1" applyBorder="1" applyAlignment="1">
      <alignment horizontal="left" vertical="top" wrapText="1"/>
    </xf>
    <xf numFmtId="1" fontId="13" fillId="0" borderId="4" xfId="2" quotePrefix="1" applyNumberFormat="1" applyFont="1" applyBorder="1" applyAlignment="1">
      <alignment horizontal="right" vertical="top" wrapText="1"/>
    </xf>
    <xf numFmtId="2" fontId="4" fillId="0" borderId="10" xfId="2" applyNumberFormat="1" applyFont="1" applyFill="1" applyBorder="1"/>
    <xf numFmtId="2" fontId="4" fillId="0" borderId="0" xfId="2" applyNumberFormat="1" applyFont="1" applyBorder="1"/>
    <xf numFmtId="2" fontId="4" fillId="0" borderId="0" xfId="2" applyNumberFormat="1" applyFont="1" applyBorder="1" applyAlignment="1">
      <alignment horizontal="right"/>
    </xf>
    <xf numFmtId="0" fontId="4" fillId="0" borderId="0" xfId="2" applyNumberFormat="1" applyFont="1" applyBorder="1" applyAlignment="1">
      <alignment horizontal="right"/>
    </xf>
    <xf numFmtId="0" fontId="6" fillId="0" borderId="9" xfId="1" applyFont="1" applyBorder="1"/>
    <xf numFmtId="1" fontId="6" fillId="0" borderId="0" xfId="2" applyNumberFormat="1" applyFont="1" applyBorder="1"/>
    <xf numFmtId="2" fontId="4" fillId="0" borderId="10" xfId="2" applyNumberFormat="1" applyFont="1" applyBorder="1"/>
    <xf numFmtId="2" fontId="4" fillId="0" borderId="12" xfId="2" applyNumberFormat="1" applyFont="1" applyBorder="1"/>
    <xf numFmtId="2" fontId="14" fillId="0" borderId="12" xfId="2" applyNumberFormat="1" applyFont="1" applyBorder="1"/>
    <xf numFmtId="1" fontId="14" fillId="0" borderId="10" xfId="2" applyNumberFormat="1" applyFont="1" applyBorder="1"/>
    <xf numFmtId="0" fontId="4" fillId="0" borderId="9" xfId="1" applyFont="1" applyBorder="1"/>
    <xf numFmtId="1" fontId="4" fillId="0" borderId="0" xfId="2" applyNumberFormat="1" applyFont="1" applyBorder="1" applyAlignment="1">
      <alignment horizontal="center"/>
    </xf>
    <xf numFmtId="2" fontId="14" fillId="0" borderId="10" xfId="2" applyNumberFormat="1" applyFont="1" applyBorder="1"/>
    <xf numFmtId="0" fontId="4" fillId="0" borderId="0" xfId="2" applyNumberFormat="1" applyFont="1" applyBorder="1"/>
    <xf numFmtId="0" fontId="15" fillId="0" borderId="0" xfId="2" applyNumberFormat="1" applyFont="1" applyBorder="1"/>
    <xf numFmtId="1" fontId="4" fillId="0" borderId="0" xfId="2" quotePrefix="1" applyNumberFormat="1" applyFont="1" applyBorder="1" applyAlignment="1">
      <alignment horizontal="center"/>
    </xf>
    <xf numFmtId="173" fontId="4" fillId="0" borderId="10" xfId="2" applyNumberFormat="1" applyFont="1" applyFill="1" applyBorder="1"/>
    <xf numFmtId="2" fontId="14" fillId="0" borderId="11" xfId="2" applyNumberFormat="1" applyFont="1" applyBorder="1"/>
    <xf numFmtId="2" fontId="14" fillId="0" borderId="13" xfId="2" applyNumberFormat="1" applyFont="1" applyBorder="1"/>
    <xf numFmtId="0" fontId="6" fillId="0" borderId="0" xfId="2" applyNumberFormat="1" applyFont="1" applyBorder="1"/>
    <xf numFmtId="2" fontId="4" fillId="0" borderId="11" xfId="2" applyNumberFormat="1" applyFont="1" applyBorder="1"/>
    <xf numFmtId="2" fontId="4" fillId="0" borderId="0" xfId="2" quotePrefix="1" applyNumberFormat="1" applyFont="1" applyBorder="1" applyAlignment="1">
      <alignment horizontal="right"/>
    </xf>
    <xf numFmtId="0" fontId="4" fillId="0" borderId="0" xfId="2" quotePrefix="1" applyNumberFormat="1" applyFont="1" applyBorder="1" applyAlignment="1">
      <alignment horizontal="right"/>
    </xf>
    <xf numFmtId="2" fontId="4" fillId="0" borderId="10" xfId="2" applyNumberFormat="1" applyFont="1" applyFill="1" applyBorder="1" applyAlignment="1">
      <alignment horizontal="right"/>
    </xf>
    <xf numFmtId="2" fontId="4" fillId="0" borderId="0" xfId="2" applyNumberFormat="1" applyFont="1"/>
    <xf numFmtId="1" fontId="4" fillId="0" borderId="10" xfId="2" applyNumberFormat="1" applyFont="1" applyBorder="1" applyAlignment="1">
      <alignment wrapText="1"/>
    </xf>
    <xf numFmtId="2" fontId="4" fillId="0" borderId="10" xfId="2" applyNumberFormat="1" applyFont="1" applyBorder="1" applyAlignment="1">
      <alignment vertical="top" wrapText="1"/>
    </xf>
    <xf numFmtId="0" fontId="15" fillId="0" borderId="0" xfId="2" applyNumberFormat="1" applyFont="1" applyBorder="1" applyAlignment="1">
      <alignment vertical="top"/>
    </xf>
    <xf numFmtId="0" fontId="4" fillId="0" borderId="0" xfId="2" applyNumberFormat="1" applyFont="1" applyBorder="1" applyAlignment="1">
      <alignment wrapText="1"/>
    </xf>
    <xf numFmtId="174" fontId="4" fillId="0" borderId="9" xfId="2" applyNumberFormat="1" applyFont="1" applyBorder="1" applyAlignment="1">
      <alignment horizontal="right"/>
    </xf>
    <xf numFmtId="1" fontId="4" fillId="0" borderId="0" xfId="2" applyNumberFormat="1" applyFont="1" applyBorder="1" applyAlignment="1">
      <alignment horizontal="left"/>
    </xf>
    <xf numFmtId="2" fontId="4" fillId="0" borderId="12" xfId="2" applyNumberFormat="1" applyFont="1" applyFill="1" applyBorder="1"/>
    <xf numFmtId="0" fontId="4" fillId="0" borderId="0" xfId="2" applyNumberFormat="1" applyFont="1" applyBorder="1" applyAlignment="1">
      <alignment vertical="top" wrapText="1"/>
    </xf>
    <xf numFmtId="2" fontId="4" fillId="0" borderId="10" xfId="2" quotePrefix="1" applyNumberFormat="1" applyFont="1" applyFill="1" applyBorder="1" applyAlignment="1">
      <alignment horizontal="right"/>
    </xf>
    <xf numFmtId="1" fontId="15" fillId="0" borderId="0" xfId="2" applyNumberFormat="1" applyFont="1" applyBorder="1" applyAlignment="1">
      <alignment horizontal="center"/>
    </xf>
    <xf numFmtId="2" fontId="14" fillId="0" borderId="10" xfId="2" applyNumberFormat="1" applyFont="1" applyBorder="1" applyAlignment="1">
      <alignment horizontal="right"/>
    </xf>
    <xf numFmtId="0" fontId="4" fillId="0" borderId="1" xfId="1" applyFont="1" applyBorder="1"/>
    <xf numFmtId="1" fontId="4" fillId="0" borderId="2" xfId="2" applyNumberFormat="1" applyFont="1" applyBorder="1" applyAlignment="1">
      <alignment horizontal="center"/>
    </xf>
    <xf numFmtId="2" fontId="4" fillId="0" borderId="2" xfId="2" applyNumberFormat="1" applyFont="1" applyBorder="1"/>
    <xf numFmtId="1" fontId="10" fillId="0" borderId="10" xfId="2" applyNumberFormat="1" applyFont="1" applyBorder="1"/>
    <xf numFmtId="2" fontId="14" fillId="0" borderId="10" xfId="2" quotePrefix="1" applyNumberFormat="1" applyFont="1" applyBorder="1" applyAlignment="1">
      <alignment horizontal="right"/>
    </xf>
    <xf numFmtId="1" fontId="4" fillId="0" borderId="12" xfId="2" applyNumberFormat="1" applyFont="1" applyBorder="1"/>
    <xf numFmtId="1" fontId="14" fillId="0" borderId="10" xfId="2" quotePrefix="1" applyNumberFormat="1" applyFont="1" applyBorder="1" applyAlignment="1">
      <alignment horizontal="right"/>
    </xf>
    <xf numFmtId="173" fontId="14" fillId="0" borderId="10" xfId="2" applyNumberFormat="1" applyFont="1" applyBorder="1" applyAlignment="1">
      <alignment horizontal="right"/>
    </xf>
    <xf numFmtId="1" fontId="4" fillId="0" borderId="0" xfId="2" quotePrefix="1" applyNumberFormat="1" applyFont="1" applyBorder="1" applyAlignment="1">
      <alignment horizontal="right"/>
    </xf>
    <xf numFmtId="0" fontId="14" fillId="0" borderId="10" xfId="2" quotePrefix="1" applyNumberFormat="1" applyFont="1" applyBorder="1" applyAlignment="1">
      <alignment horizontal="right"/>
    </xf>
    <xf numFmtId="1" fontId="4" fillId="0" borderId="0" xfId="2" quotePrefix="1" applyNumberFormat="1" applyFont="1"/>
    <xf numFmtId="0" fontId="4" fillId="0" borderId="10" xfId="2" applyNumberFormat="1" applyFont="1" applyBorder="1"/>
    <xf numFmtId="1" fontId="4" fillId="0" borderId="8" xfId="2" applyNumberFormat="1" applyFont="1" applyBorder="1"/>
    <xf numFmtId="10" fontId="14" fillId="0" borderId="8" xfId="3" quotePrefix="1" applyNumberFormat="1" applyFont="1" applyBorder="1" applyAlignment="1">
      <alignment horizontal="right"/>
    </xf>
    <xf numFmtId="10" fontId="4" fillId="0" borderId="8" xfId="3" applyNumberFormat="1" applyFont="1" applyBorder="1" applyAlignment="1">
      <alignment horizontal="right"/>
    </xf>
    <xf numFmtId="1" fontId="6" fillId="0" borderId="11" xfId="2" applyNumberFormat="1" applyFont="1" applyBorder="1" applyAlignment="1">
      <alignment horizontal="center"/>
    </xf>
    <xf numFmtId="1" fontId="16" fillId="0" borderId="9" xfId="2" applyNumberFormat="1" applyFont="1" applyBorder="1"/>
    <xf numFmtId="1" fontId="4" fillId="0" borderId="12" xfId="2" applyNumberFormat="1" applyFont="1" applyBorder="1" applyAlignment="1">
      <alignment horizontal="center"/>
    </xf>
    <xf numFmtId="1" fontId="4" fillId="0" borderId="0" xfId="2" quotePrefix="1" applyNumberFormat="1" applyFont="1" applyBorder="1"/>
    <xf numFmtId="10" fontId="14" fillId="0" borderId="3" xfId="3" quotePrefix="1" applyNumberFormat="1" applyFont="1" applyBorder="1" applyAlignment="1">
      <alignment horizontal="right"/>
    </xf>
    <xf numFmtId="10" fontId="14" fillId="0" borderId="0" xfId="3" quotePrefix="1" applyNumberFormat="1" applyFont="1" applyBorder="1" applyAlignment="1">
      <alignment horizontal="right"/>
    </xf>
    <xf numFmtId="0" fontId="4" fillId="0" borderId="9" xfId="1" applyFont="1" applyBorder="1" applyAlignment="1">
      <alignment horizontal="left"/>
    </xf>
    <xf numFmtId="1" fontId="4" fillId="0" borderId="3" xfId="2" applyNumberFormat="1" applyFont="1" applyBorder="1"/>
    <xf numFmtId="1" fontId="4" fillId="0" borderId="3" xfId="2" applyNumberFormat="1" applyFont="1" applyBorder="1" applyAlignment="1">
      <alignment horizontal="center"/>
    </xf>
    <xf numFmtId="1" fontId="11" fillId="0" borderId="0" xfId="2" applyNumberFormat="1" applyFont="1" applyBorder="1"/>
    <xf numFmtId="1" fontId="4" fillId="0" borderId="0" xfId="2" applyNumberFormat="1" applyFont="1" applyBorder="1" applyAlignment="1">
      <alignment vertical="top"/>
    </xf>
    <xf numFmtId="1" fontId="17" fillId="0" borderId="0" xfId="2" applyNumberFormat="1" applyFont="1"/>
    <xf numFmtId="173" fontId="4" fillId="0" borderId="0" xfId="2" quotePrefix="1" applyNumberFormat="1" applyFont="1" applyBorder="1" applyAlignment="1">
      <alignment horizontal="right"/>
    </xf>
    <xf numFmtId="1" fontId="16" fillId="0" borderId="12" xfId="2" applyNumberFormat="1" applyFont="1" applyBorder="1" applyAlignment="1">
      <alignment horizontal="right"/>
    </xf>
    <xf numFmtId="1" fontId="4" fillId="0" borderId="12" xfId="2" applyNumberFormat="1" applyFont="1" applyBorder="1" applyAlignment="1">
      <alignment horizontal="right"/>
    </xf>
    <xf numFmtId="1" fontId="18" fillId="0" borderId="14" xfId="2" applyNumberFormat="1" applyFont="1" applyBorder="1"/>
    <xf numFmtId="177" fontId="4" fillId="0" borderId="0" xfId="2" quotePrefix="1" applyNumberFormat="1" applyFont="1" applyBorder="1" applyAlignment="1">
      <alignment horizontal="left"/>
    </xf>
    <xf numFmtId="1" fontId="5" fillId="0" borderId="5" xfId="2" applyNumberFormat="1" applyFont="1" applyBorder="1" applyAlignment="1">
      <alignment horizontal="center" vertical="top" wrapText="1"/>
    </xf>
    <xf numFmtId="0" fontId="2" fillId="0" borderId="7" xfId="1" applyBorder="1" applyAlignment="1">
      <alignment horizontal="center" vertical="top" wrapText="1"/>
    </xf>
    <xf numFmtId="0" fontId="2" fillId="0" borderId="6" xfId="1" applyBorder="1" applyAlignment="1">
      <alignment horizontal="center" vertical="top" wrapText="1"/>
    </xf>
    <xf numFmtId="1" fontId="6" fillId="0" borderId="9" xfId="2" applyNumberFormat="1" applyFont="1" applyBorder="1" applyAlignment="1">
      <alignment horizontal="center" vertical="top" wrapText="1"/>
    </xf>
    <xf numFmtId="0" fontId="2" fillId="0" borderId="0" xfId="1" applyBorder="1" applyAlignment="1">
      <alignment horizontal="center" vertical="top" wrapText="1"/>
    </xf>
    <xf numFmtId="0" fontId="2" fillId="0" borderId="12" xfId="1" applyBorder="1" applyAlignment="1">
      <alignment horizontal="center" vertical="top" wrapText="1"/>
    </xf>
    <xf numFmtId="1" fontId="5" fillId="0" borderId="16" xfId="2" applyNumberFormat="1" applyFont="1" applyBorder="1" applyAlignment="1">
      <alignment horizontal="center" vertical="top" wrapText="1"/>
    </xf>
    <xf numFmtId="0" fontId="2" fillId="0" borderId="17" xfId="1" applyBorder="1" applyAlignment="1">
      <alignment horizontal="center" vertical="top" wrapText="1"/>
    </xf>
    <xf numFmtId="0" fontId="2" fillId="0" borderId="18" xfId="1" applyBorder="1" applyAlignment="1">
      <alignment horizontal="center" vertical="top" wrapText="1"/>
    </xf>
    <xf numFmtId="1" fontId="6" fillId="0" borderId="15" xfId="2" applyNumberFormat="1" applyFont="1" applyBorder="1" applyAlignment="1">
      <alignment horizontal="center"/>
    </xf>
    <xf numFmtId="1" fontId="6" fillId="0" borderId="13" xfId="2" applyNumberFormat="1" applyFont="1" applyBorder="1" applyAlignment="1">
      <alignment horizontal="center"/>
    </xf>
    <xf numFmtId="1" fontId="8" fillId="0" borderId="1" xfId="2" applyNumberFormat="1" applyFont="1" applyBorder="1" applyAlignment="1">
      <alignment horizontal="center"/>
    </xf>
    <xf numFmtId="1" fontId="8" fillId="0" borderId="3" xfId="2" applyNumberFormat="1" applyFont="1" applyBorder="1" applyAlignment="1">
      <alignment horizontal="center"/>
    </xf>
    <xf numFmtId="1" fontId="6" fillId="0" borderId="4" xfId="2" applyNumberFormat="1" applyFont="1" applyBorder="1" applyAlignment="1">
      <alignment horizontal="center" vertical="center"/>
    </xf>
    <xf numFmtId="1" fontId="6" fillId="0" borderId="10" xfId="2" applyNumberFormat="1" applyFont="1" applyBorder="1" applyAlignment="1">
      <alignment horizontal="center" vertical="center"/>
    </xf>
    <xf numFmtId="1" fontId="6" fillId="0" borderId="8" xfId="2" applyNumberFormat="1" applyFont="1" applyBorder="1" applyAlignment="1">
      <alignment horizontal="center" vertical="center"/>
    </xf>
    <xf numFmtId="1" fontId="6" fillId="0" borderId="5" xfId="2" applyNumberFormat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</cellXfs>
  <cellStyles count="4">
    <cellStyle name="Normal" xfId="0" builtinId="0"/>
    <cellStyle name="Normal_Audited Sept 2003" xfId="1"/>
    <cellStyle name="Normal_UNAUDIT0999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Anand/P&amp;L%202004/2003%2012/Thermax%20Ltd/TL%20Final%20Accounts-Dec%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Anand/P&amp;L%202004/2003%2012/Thermax%20Ltd/Segment%20Results%202003%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Control Sheet"/>
      <sheetName val="MOC"/>
      <sheetName val="Moc Dec"/>
      <sheetName val="Sch"/>
      <sheetName val="Link"/>
      <sheetName val="Final"/>
      <sheetName val="Ratios-link"/>
      <sheetName val="Ratios"/>
      <sheetName val="Unaudited Dec 03"/>
      <sheetName val="FCF"/>
      <sheetName val="Other Liabilities"/>
      <sheetName val="MISC"/>
    </sheetNames>
    <sheetDataSet>
      <sheetData sheetId="0"/>
      <sheetData sheetId="1"/>
      <sheetData sheetId="2"/>
      <sheetData sheetId="3"/>
      <sheetData sheetId="4"/>
      <sheetData sheetId="5"/>
      <sheetData sheetId="6">
        <row r="98">
          <cell r="H98">
            <v>4756.5620568999984</v>
          </cell>
          <cell r="J98">
            <v>4185.7337243999982</v>
          </cell>
        </row>
        <row r="100">
          <cell r="H100">
            <v>7046.9075293000005</v>
          </cell>
          <cell r="J100">
            <v>6498.9250706000012</v>
          </cell>
        </row>
        <row r="102">
          <cell r="H102">
            <v>2290.5164368999999</v>
          </cell>
          <cell r="J102">
            <v>1742.9626084000001</v>
          </cell>
        </row>
        <row r="104">
          <cell r="H104">
            <v>640.52617779999991</v>
          </cell>
          <cell r="J104">
            <v>794.72121400000003</v>
          </cell>
        </row>
        <row r="106">
          <cell r="H106">
            <v>37.018472200000005</v>
          </cell>
          <cell r="J106">
            <v>43.897321300000002</v>
          </cell>
        </row>
        <row r="116">
          <cell r="H116">
            <v>-434.9957799</v>
          </cell>
          <cell r="J116">
            <v>-434.99576999999999</v>
          </cell>
        </row>
        <row r="127">
          <cell r="H127">
            <v>3795.4589539000121</v>
          </cell>
          <cell r="J127">
            <v>2111.2010429999877</v>
          </cell>
        </row>
        <row r="131">
          <cell r="H131">
            <v>-820</v>
          </cell>
          <cell r="J131">
            <v>-900</v>
          </cell>
        </row>
        <row r="132">
          <cell r="H132">
            <v>92</v>
          </cell>
          <cell r="J132">
            <v>230</v>
          </cell>
        </row>
        <row r="161">
          <cell r="D161">
            <v>3.670868037181986</v>
          </cell>
          <cell r="F161">
            <v>2.1424061753344059</v>
          </cell>
          <cell r="H161">
            <v>12.49799858313022</v>
          </cell>
          <cell r="J161">
            <v>6.0475234754687239</v>
          </cell>
        </row>
        <row r="562">
          <cell r="H562">
            <v>36991.195497300003</v>
          </cell>
          <cell r="J562">
            <v>35936.583931299996</v>
          </cell>
        </row>
        <row r="580">
          <cell r="H580">
            <v>921.7368199</v>
          </cell>
          <cell r="J580">
            <v>1047.4725145</v>
          </cell>
        </row>
        <row r="607">
          <cell r="H607">
            <v>2084.1175859</v>
          </cell>
          <cell r="J607">
            <v>486.4887645</v>
          </cell>
        </row>
        <row r="616">
          <cell r="H616">
            <v>31.463090000000001</v>
          </cell>
          <cell r="J616">
            <v>96.247910000000005</v>
          </cell>
        </row>
        <row r="652">
          <cell r="H652">
            <v>21453.31319619999</v>
          </cell>
          <cell r="J652">
            <v>22166.446368600009</v>
          </cell>
        </row>
        <row r="671">
          <cell r="H671">
            <v>-426.78560999999991</v>
          </cell>
          <cell r="J671">
            <v>-412.09000000000015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55"/>
      <sheetName val="Sch P&amp;L link"/>
      <sheetName val="Cap Empl"/>
      <sheetName val="Divn P&amp;L Link"/>
      <sheetName val="MOC"/>
      <sheetName val=" PBT 1"/>
      <sheetName val="Divn P&amp;L"/>
      <sheetName val="Inv"/>
      <sheetName val="Segment P&amp;L"/>
      <sheetName val="OB"/>
      <sheetName val="Divn BS link"/>
      <sheetName val="secondary input"/>
      <sheetName val="secondary"/>
      <sheetName val="Primary"/>
    </sheetNames>
    <sheetDataSet>
      <sheetData sheetId="0"/>
      <sheetData sheetId="1"/>
      <sheetData sheetId="2">
        <row r="130">
          <cell r="G130">
            <v>3982.8713516645221</v>
          </cell>
          <cell r="L130">
            <v>4109.411702558722</v>
          </cell>
          <cell r="V130">
            <v>32028.035497876757</v>
          </cell>
        </row>
      </sheetData>
      <sheetData sheetId="3"/>
      <sheetData sheetId="4"/>
      <sheetData sheetId="5"/>
      <sheetData sheetId="6"/>
      <sheetData sheetId="7"/>
      <sheetData sheetId="8">
        <row r="27">
          <cell r="G27">
            <v>25662.624243530448</v>
          </cell>
          <cell r="L27">
            <v>13743.850784969552</v>
          </cell>
          <cell r="X27">
            <v>-1493.5406713</v>
          </cell>
        </row>
        <row r="81">
          <cell r="G81">
            <v>2557.6006159815101</v>
          </cell>
          <cell r="L81">
            <v>1043.6998932481047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59"/>
  <sheetViews>
    <sheetView tabSelected="1" topLeftCell="A25" zoomScale="80" workbookViewId="0">
      <selection activeCell="B46" sqref="B46"/>
    </sheetView>
  </sheetViews>
  <sheetFormatPr defaultColWidth="10.1640625" defaultRowHeight="15.75" x14ac:dyDescent="0.25"/>
  <cols>
    <col min="1" max="1" width="0.1640625" style="1" customWidth="1"/>
    <col min="2" max="2" width="53.83203125" style="1" customWidth="1"/>
    <col min="3" max="3" width="1.5" style="1" customWidth="1"/>
    <col min="4" max="4" width="13.33203125" style="1" customWidth="1"/>
    <col min="5" max="5" width="13.1640625" style="1" customWidth="1"/>
    <col min="6" max="6" width="1.5" style="1" customWidth="1"/>
    <col min="7" max="8" width="13.33203125" style="1" customWidth="1"/>
    <col min="9" max="9" width="1.5" style="1" customWidth="1"/>
    <col min="10" max="10" width="14.1640625" style="1" customWidth="1"/>
    <col min="11" max="11" width="1.5" style="1" customWidth="1"/>
    <col min="12" max="12" width="2.33203125" style="1" customWidth="1"/>
    <col min="13" max="13" width="3.83203125" style="1" customWidth="1"/>
    <col min="14" max="14" width="8.1640625" style="1" customWidth="1"/>
    <col min="15" max="15" width="62.83203125" style="1" bestFit="1" customWidth="1"/>
    <col min="16" max="16" width="2" style="1" customWidth="1"/>
    <col min="17" max="17" width="14.5" style="1" customWidth="1"/>
    <col min="18" max="18" width="14.6640625" style="1" customWidth="1"/>
    <col min="19" max="20" width="14.5" style="1" customWidth="1"/>
    <col min="21" max="21" width="15.83203125" style="1" customWidth="1"/>
    <col min="22" max="22" width="4.5" style="1" customWidth="1"/>
    <col min="23" max="23" width="52.6640625" style="1" hidden="1" customWidth="1"/>
    <col min="24" max="24" width="2.5" style="1" hidden="1" customWidth="1"/>
    <col min="25" max="26" width="19.33203125" style="1" hidden="1" customWidth="1"/>
    <col min="27" max="27" width="16.83203125" style="1" hidden="1" customWidth="1"/>
    <col min="28" max="28" width="2.6640625" style="1" hidden="1" customWidth="1"/>
    <col min="29" max="29" width="5.1640625" style="1" hidden="1" customWidth="1"/>
    <col min="30" max="30" width="7.83203125" style="1" hidden="1" customWidth="1"/>
    <col min="31" max="31" width="38.1640625" style="1" hidden="1" customWidth="1"/>
    <col min="32" max="32" width="1.6640625" style="1" hidden="1" customWidth="1"/>
    <col min="33" max="34" width="18.83203125" style="1" hidden="1" customWidth="1"/>
    <col min="35" max="35" width="15.83203125" style="1" hidden="1" customWidth="1"/>
    <col min="36" max="16384" width="10.1640625" style="1"/>
  </cols>
  <sheetData>
    <row r="1" spans="2:35" ht="20.25" customHeight="1" x14ac:dyDescent="0.25">
      <c r="B1" s="115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7"/>
    </row>
    <row r="2" spans="2:35" ht="15.75" customHeight="1" x14ac:dyDescent="0.25">
      <c r="B2" s="118" t="s">
        <v>1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20"/>
    </row>
    <row r="3" spans="2:35" ht="15.75" customHeight="1" x14ac:dyDescent="0.25">
      <c r="B3" s="118" t="s">
        <v>2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20"/>
      <c r="Y3" s="2"/>
      <c r="Z3" s="2"/>
      <c r="AA3" s="3"/>
    </row>
    <row r="4" spans="2:35" x14ac:dyDescent="0.25">
      <c r="B4" s="118" t="s">
        <v>3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</row>
    <row r="5" spans="2:35" ht="15.75" customHeight="1" x14ac:dyDescent="0.25">
      <c r="B5" s="4"/>
      <c r="C5" s="5"/>
      <c r="D5" s="5"/>
      <c r="E5" s="5"/>
      <c r="F5" s="5"/>
      <c r="G5" s="5"/>
      <c r="H5" s="5"/>
      <c r="I5" s="5"/>
      <c r="J5" s="6" t="s">
        <v>4</v>
      </c>
      <c r="K5" s="5"/>
      <c r="L5" s="7"/>
      <c r="M5" s="8" t="s">
        <v>5</v>
      </c>
      <c r="N5" s="5"/>
      <c r="O5" s="5"/>
      <c r="P5" s="5"/>
      <c r="Q5" s="5"/>
      <c r="R5" s="5"/>
      <c r="S5" s="5"/>
      <c r="T5" s="9"/>
      <c r="U5" s="10" t="s">
        <v>6</v>
      </c>
      <c r="W5" s="11" t="s">
        <v>7</v>
      </c>
      <c r="X5" s="11"/>
      <c r="AA5" s="12" t="s">
        <v>6</v>
      </c>
      <c r="AC5" s="8" t="s">
        <v>5</v>
      </c>
      <c r="AD5" s="5"/>
      <c r="AE5" s="5"/>
      <c r="AF5" s="5"/>
      <c r="AG5" s="5"/>
      <c r="AH5" s="5"/>
      <c r="AI5" s="12" t="s">
        <v>4</v>
      </c>
    </row>
    <row r="6" spans="2:35" ht="15.75" customHeight="1" x14ac:dyDescent="0.25">
      <c r="B6" s="13"/>
      <c r="C6" s="7"/>
      <c r="D6" s="124" t="s">
        <v>8</v>
      </c>
      <c r="E6" s="125"/>
      <c r="F6" s="7"/>
      <c r="G6" s="14" t="s">
        <v>9</v>
      </c>
      <c r="H6" s="15"/>
      <c r="I6" s="6"/>
      <c r="J6" s="16" t="s">
        <v>10</v>
      </c>
      <c r="K6" s="6"/>
      <c r="L6" s="5"/>
      <c r="M6" s="17"/>
      <c r="N6" s="18"/>
      <c r="O6" s="18"/>
      <c r="P6" s="19"/>
      <c r="Q6" s="124" t="str">
        <f>+D6</f>
        <v>Three Months ended</v>
      </c>
      <c r="R6" s="125"/>
      <c r="S6" s="124" t="str">
        <f>+G6</f>
        <v>Nine Months ended</v>
      </c>
      <c r="T6" s="125"/>
      <c r="U6" s="20" t="s">
        <v>10</v>
      </c>
      <c r="W6" s="128" t="s">
        <v>11</v>
      </c>
      <c r="X6" s="21"/>
      <c r="Y6" s="22" t="s">
        <v>12</v>
      </c>
      <c r="Z6" s="22" t="s">
        <v>12</v>
      </c>
      <c r="AA6" s="22" t="s">
        <v>10</v>
      </c>
      <c r="AC6" s="131" t="s">
        <v>11</v>
      </c>
      <c r="AD6" s="132"/>
      <c r="AE6" s="132"/>
      <c r="AF6" s="18"/>
      <c r="AG6" s="22" t="s">
        <v>12</v>
      </c>
      <c r="AH6" s="22" t="s">
        <v>12</v>
      </c>
      <c r="AI6" s="22" t="s">
        <v>10</v>
      </c>
    </row>
    <row r="7" spans="2:35" ht="15.75" customHeight="1" x14ac:dyDescent="0.25">
      <c r="B7" s="23" t="s">
        <v>11</v>
      </c>
      <c r="C7" s="7"/>
      <c r="D7" s="24" t="s">
        <v>13</v>
      </c>
      <c r="E7" s="24" t="s">
        <v>14</v>
      </c>
      <c r="F7" s="25"/>
      <c r="G7" s="24" t="s">
        <v>13</v>
      </c>
      <c r="H7" s="24" t="s">
        <v>14</v>
      </c>
      <c r="I7" s="26"/>
      <c r="J7" s="24" t="s">
        <v>15</v>
      </c>
      <c r="K7" s="26"/>
      <c r="L7" s="5"/>
      <c r="M7" s="27"/>
      <c r="N7" s="28"/>
      <c r="O7" s="28"/>
      <c r="P7" s="28"/>
      <c r="Q7" s="29" t="str">
        <f>+D7</f>
        <v>31/12/2003</v>
      </c>
      <c r="R7" s="29" t="str">
        <f>+E7</f>
        <v>31/12/2002</v>
      </c>
      <c r="S7" s="29" t="str">
        <f>+G7</f>
        <v>31/12/2003</v>
      </c>
      <c r="T7" s="29" t="str">
        <f>+H7</f>
        <v>31/12/2002</v>
      </c>
      <c r="U7" s="30" t="s">
        <v>15</v>
      </c>
      <c r="W7" s="129"/>
      <c r="X7" s="21"/>
      <c r="Y7" s="31" t="s">
        <v>16</v>
      </c>
      <c r="Z7" s="31" t="s">
        <v>17</v>
      </c>
      <c r="AA7" s="31" t="s">
        <v>18</v>
      </c>
      <c r="AC7" s="133"/>
      <c r="AD7" s="134"/>
      <c r="AE7" s="134"/>
      <c r="AF7" s="28"/>
      <c r="AG7" s="31" t="s">
        <v>16</v>
      </c>
      <c r="AH7" s="31" t="s">
        <v>17</v>
      </c>
      <c r="AI7" s="31" t="s">
        <v>18</v>
      </c>
    </row>
    <row r="8" spans="2:35" ht="15.75" customHeight="1" x14ac:dyDescent="0.25">
      <c r="B8" s="32"/>
      <c r="C8" s="7"/>
      <c r="D8" s="126" t="s">
        <v>19</v>
      </c>
      <c r="E8" s="127"/>
      <c r="F8" s="7"/>
      <c r="G8" s="126" t="s">
        <v>19</v>
      </c>
      <c r="H8" s="127"/>
      <c r="I8" s="7"/>
      <c r="J8" s="33" t="s">
        <v>20</v>
      </c>
      <c r="K8" s="25"/>
      <c r="L8" s="5"/>
      <c r="M8" s="34"/>
      <c r="N8" s="5"/>
      <c r="O8" s="35"/>
      <c r="P8" s="5"/>
      <c r="Q8" s="126" t="s">
        <v>19</v>
      </c>
      <c r="R8" s="127"/>
      <c r="S8" s="126" t="str">
        <f>+G8</f>
        <v>(Unaudited)</v>
      </c>
      <c r="T8" s="127"/>
      <c r="U8" s="33" t="s">
        <v>20</v>
      </c>
      <c r="W8" s="130"/>
      <c r="X8" s="21"/>
      <c r="Y8" s="33" t="s">
        <v>19</v>
      </c>
      <c r="Z8" s="36" t="s">
        <v>19</v>
      </c>
      <c r="AA8" s="33" t="s">
        <v>20</v>
      </c>
      <c r="AC8" s="135"/>
      <c r="AD8" s="136"/>
      <c r="AE8" s="136"/>
      <c r="AF8" s="37"/>
      <c r="AG8" s="36" t="s">
        <v>19</v>
      </c>
      <c r="AH8" s="36" t="s">
        <v>19</v>
      </c>
      <c r="AI8" s="36" t="s">
        <v>20</v>
      </c>
    </row>
    <row r="9" spans="2:35" ht="15.75" customHeight="1" x14ac:dyDescent="0.25">
      <c r="B9" s="38"/>
      <c r="C9" s="5"/>
      <c r="D9" s="39"/>
      <c r="E9" s="39"/>
      <c r="F9" s="5"/>
      <c r="G9" s="40"/>
      <c r="H9" s="40"/>
      <c r="I9" s="41"/>
      <c r="J9" s="40"/>
      <c r="K9" s="41"/>
      <c r="L9" s="5"/>
      <c r="M9" s="34"/>
      <c r="N9" s="5"/>
      <c r="O9" s="35"/>
      <c r="P9" s="5"/>
      <c r="Q9" s="42"/>
      <c r="R9" s="43"/>
      <c r="S9" s="42"/>
      <c r="T9" s="43"/>
      <c r="U9" s="44"/>
      <c r="W9" s="38"/>
      <c r="X9" s="38"/>
      <c r="Y9" s="19"/>
      <c r="Z9" s="19"/>
      <c r="AA9" s="19"/>
      <c r="AC9" s="34"/>
      <c r="AD9" s="5"/>
      <c r="AE9" s="35"/>
      <c r="AF9" s="5"/>
      <c r="AG9" s="45"/>
      <c r="AH9" s="45"/>
      <c r="AI9" s="46"/>
    </row>
    <row r="10" spans="2:35" ht="15.75" customHeight="1" x14ac:dyDescent="0.25">
      <c r="B10" s="38" t="s">
        <v>21</v>
      </c>
      <c r="C10" s="5"/>
      <c r="D10" s="47">
        <f>G10-229.02</f>
        <v>140.89195497300003</v>
      </c>
      <c r="E10" s="47">
        <f>H10-244.35</f>
        <v>115.01583931299999</v>
      </c>
      <c r="F10" s="48"/>
      <c r="G10" s="47">
        <f>[1]Final!$H$562/100</f>
        <v>369.91195497300004</v>
      </c>
      <c r="H10" s="47">
        <f>[1]Final!$J$562/100</f>
        <v>359.36583931299998</v>
      </c>
      <c r="I10" s="49"/>
      <c r="J10" s="47">
        <v>538.58000000000004</v>
      </c>
      <c r="K10" s="50"/>
      <c r="L10" s="5"/>
      <c r="M10" s="51">
        <v>1</v>
      </c>
      <c r="N10" s="52" t="s">
        <v>22</v>
      </c>
      <c r="O10" s="52"/>
      <c r="P10" s="48"/>
      <c r="Q10" s="53"/>
      <c r="R10" s="54"/>
      <c r="S10" s="53"/>
      <c r="T10" s="54"/>
      <c r="U10" s="55"/>
      <c r="W10" s="38" t="s">
        <v>21</v>
      </c>
      <c r="X10" s="38"/>
      <c r="Y10" s="54">
        <v>319.69</v>
      </c>
      <c r="Z10" s="54">
        <v>329.35</v>
      </c>
      <c r="AA10" s="54">
        <v>729.26</v>
      </c>
      <c r="AC10" s="51">
        <v>1</v>
      </c>
      <c r="AD10" s="52" t="s">
        <v>22</v>
      </c>
      <c r="AE10" s="52"/>
      <c r="AF10" s="48"/>
      <c r="AG10" s="53"/>
      <c r="AH10" s="53"/>
      <c r="AI10" s="56"/>
    </row>
    <row r="11" spans="2:35" ht="15.75" customHeight="1" x14ac:dyDescent="0.25">
      <c r="B11" s="38" t="s">
        <v>23</v>
      </c>
      <c r="C11" s="5"/>
      <c r="D11" s="47">
        <f>G11-6.31</f>
        <v>2.9073681989999995</v>
      </c>
      <c r="E11" s="47">
        <f>+H11-6.47</f>
        <v>4.004725145000001</v>
      </c>
      <c r="F11" s="48"/>
      <c r="G11" s="47">
        <f>[1]Final!$H$580/100</f>
        <v>9.2173681989999992</v>
      </c>
      <c r="H11" s="47">
        <f>[1]Final!$J$580/100</f>
        <v>10.474725145000001</v>
      </c>
      <c r="I11" s="49"/>
      <c r="J11" s="47">
        <v>16.03</v>
      </c>
      <c r="K11" s="50"/>
      <c r="L11" s="5"/>
      <c r="M11" s="57"/>
      <c r="N11" s="58" t="s">
        <v>24</v>
      </c>
      <c r="O11" s="5" t="s">
        <v>25</v>
      </c>
      <c r="P11" s="48"/>
      <c r="Q11" s="53">
        <f>+S11-162.07</f>
        <v>94.556242435304512</v>
      </c>
      <c r="R11" s="59">
        <f>+T11-177.39</f>
        <v>81.971391859418361</v>
      </c>
      <c r="S11" s="53">
        <f>'[2]Segment P&amp;L'!$G$27/100</f>
        <v>256.6262424353045</v>
      </c>
      <c r="T11" s="59">
        <v>259.36139185941835</v>
      </c>
      <c r="U11" s="55">
        <v>374.49</v>
      </c>
      <c r="W11" s="38" t="s">
        <v>23</v>
      </c>
      <c r="X11" s="38"/>
      <c r="Y11" s="54">
        <v>10.24</v>
      </c>
      <c r="Z11" s="54">
        <v>7.12</v>
      </c>
      <c r="AA11" s="54">
        <v>19.11</v>
      </c>
      <c r="AC11" s="57"/>
      <c r="AD11" s="58" t="s">
        <v>24</v>
      </c>
      <c r="AE11" s="5" t="s">
        <v>25</v>
      </c>
      <c r="AF11" s="48"/>
      <c r="AG11" s="59">
        <v>262.29000000000002</v>
      </c>
      <c r="AH11" s="55">
        <v>276.45999999999998</v>
      </c>
      <c r="AI11" s="54">
        <v>589.61</v>
      </c>
    </row>
    <row r="12" spans="2:35" ht="15.75" customHeight="1" x14ac:dyDescent="0.25">
      <c r="B12" s="38" t="s">
        <v>26</v>
      </c>
      <c r="C12" s="5"/>
      <c r="D12" s="47">
        <f>G12-15.63-0.1</f>
        <v>5.4258067590000003</v>
      </c>
      <c r="E12" s="53">
        <f>+H12-4.5194</f>
        <v>1.3079667450000008</v>
      </c>
      <c r="F12" s="48"/>
      <c r="G12" s="47">
        <f>+([1]Final!H607+[1]Final!H616)/100</f>
        <v>21.155806759000001</v>
      </c>
      <c r="H12" s="53">
        <f>+([1]Final!J616+[1]Final!J607)/100</f>
        <v>5.8273667450000008</v>
      </c>
      <c r="I12" s="49"/>
      <c r="J12" s="47">
        <v>22.84</v>
      </c>
      <c r="K12" s="50"/>
      <c r="L12" s="60"/>
      <c r="M12" s="57"/>
      <c r="N12" s="58" t="s">
        <v>27</v>
      </c>
      <c r="O12" s="5" t="s">
        <v>28</v>
      </c>
      <c r="P12" s="48"/>
      <c r="Q12" s="53">
        <f>+S12-80.33</f>
        <v>57.108507849695528</v>
      </c>
      <c r="R12" s="59">
        <f>+T12-78.86</f>
        <v>41.309123443581669</v>
      </c>
      <c r="S12" s="53">
        <f>'[2]Segment P&amp;L'!$L$27/100</f>
        <v>137.43850784969553</v>
      </c>
      <c r="T12" s="59">
        <v>120.16912344358167</v>
      </c>
      <c r="U12" s="55">
        <v>194.25</v>
      </c>
      <c r="W12" s="38" t="s">
        <v>26</v>
      </c>
      <c r="X12" s="38"/>
      <c r="Y12" s="54">
        <f>17.38+0.08</f>
        <v>17.459999999999997</v>
      </c>
      <c r="Z12" s="54">
        <f>2.96+0.82</f>
        <v>3.78</v>
      </c>
      <c r="AA12" s="54">
        <v>22.88</v>
      </c>
      <c r="AC12" s="57"/>
      <c r="AD12" s="58" t="s">
        <v>27</v>
      </c>
      <c r="AE12" s="5" t="s">
        <v>28</v>
      </c>
      <c r="AF12" s="48"/>
      <c r="AG12" s="59">
        <v>82.43</v>
      </c>
      <c r="AH12" s="55">
        <v>85.47</v>
      </c>
      <c r="AI12" s="54">
        <v>208.96</v>
      </c>
    </row>
    <row r="13" spans="2:35" ht="15.75" customHeight="1" x14ac:dyDescent="0.25">
      <c r="B13" s="38" t="s">
        <v>29</v>
      </c>
      <c r="C13" s="5"/>
      <c r="D13" s="47"/>
      <c r="E13" s="47"/>
      <c r="F13" s="48"/>
      <c r="G13" s="47"/>
      <c r="H13" s="47"/>
      <c r="I13" s="49"/>
      <c r="J13" s="47"/>
      <c r="K13" s="50"/>
      <c r="L13" s="60"/>
      <c r="M13" s="57"/>
      <c r="N13" s="61" t="s">
        <v>97</v>
      </c>
      <c r="O13" s="5"/>
      <c r="P13" s="48"/>
      <c r="Q13" s="53">
        <f>+S13-7.07</f>
        <v>7.8654067129999987</v>
      </c>
      <c r="R13" s="59">
        <f>+T13-5.43</f>
        <v>4.2600999999999996</v>
      </c>
      <c r="S13" s="53">
        <f>'[2]Segment P&amp;L'!$X$27/-100</f>
        <v>14.935406712999999</v>
      </c>
      <c r="T13" s="59">
        <v>9.6900999999999993</v>
      </c>
      <c r="U13" s="55">
        <v>14.13</v>
      </c>
      <c r="W13" s="38" t="s">
        <v>29</v>
      </c>
      <c r="X13" s="38"/>
      <c r="Y13" s="54"/>
      <c r="Z13" s="54"/>
      <c r="AA13" s="54"/>
      <c r="AC13" s="34"/>
      <c r="AD13" s="62" t="s">
        <v>30</v>
      </c>
      <c r="AE13" s="5" t="s">
        <v>31</v>
      </c>
      <c r="AF13" s="5"/>
      <c r="AG13" s="53">
        <v>2.16</v>
      </c>
      <c r="AH13" s="54">
        <v>3.1</v>
      </c>
      <c r="AI13" s="54">
        <v>6.43</v>
      </c>
    </row>
    <row r="14" spans="2:35" ht="15.75" customHeight="1" x14ac:dyDescent="0.25">
      <c r="B14" s="38" t="s">
        <v>32</v>
      </c>
      <c r="C14" s="5"/>
      <c r="D14" s="63">
        <f>+G14--0.34</f>
        <v>-3.9278560999999996</v>
      </c>
      <c r="E14" s="63">
        <f>+H14--2.3984</f>
        <v>-1.7225000000000015</v>
      </c>
      <c r="F14" s="48"/>
      <c r="G14" s="63">
        <f>+[1]Final!H671/100</f>
        <v>-4.2678560999999995</v>
      </c>
      <c r="H14" s="63">
        <f>+[1]Final!J671/100</f>
        <v>-4.1209000000000016</v>
      </c>
      <c r="I14" s="49"/>
      <c r="J14" s="63">
        <v>-4.04</v>
      </c>
      <c r="K14" s="50"/>
      <c r="L14" s="60"/>
      <c r="M14" s="57"/>
      <c r="N14" s="5" t="s">
        <v>33</v>
      </c>
      <c r="O14" s="5"/>
      <c r="P14" s="48"/>
      <c r="Q14" s="64">
        <f>SUM(Q11:Q12)-Q13</f>
        <v>143.79934357200003</v>
      </c>
      <c r="R14" s="64">
        <f>SUM(R11:R12)-R13</f>
        <v>119.02041530300004</v>
      </c>
      <c r="S14" s="64">
        <f>SUM(S11:S12)-S13</f>
        <v>379.12934357200004</v>
      </c>
      <c r="T14" s="64">
        <f>SUM(T11:T12)-T13</f>
        <v>369.84041530300004</v>
      </c>
      <c r="U14" s="65">
        <f>SUM(U11:U12)-U13</f>
        <v>554.61</v>
      </c>
      <c r="W14" s="38" t="s">
        <v>32</v>
      </c>
      <c r="X14" s="38"/>
      <c r="Y14" s="63">
        <v>-0.14000000000000001</v>
      </c>
      <c r="Z14" s="63">
        <v>-0.33</v>
      </c>
      <c r="AA14" s="63">
        <v>-1.22</v>
      </c>
      <c r="AC14" s="57"/>
      <c r="AD14" s="61" t="s">
        <v>97</v>
      </c>
      <c r="AE14" s="5"/>
      <c r="AF14" s="48"/>
      <c r="AG14" s="59">
        <v>16.95</v>
      </c>
      <c r="AH14" s="55">
        <v>28.56</v>
      </c>
      <c r="AI14" s="54">
        <v>56.63</v>
      </c>
    </row>
    <row r="15" spans="2:35" ht="15.75" customHeight="1" x14ac:dyDescent="0.25">
      <c r="B15" s="38" t="s">
        <v>34</v>
      </c>
      <c r="C15" s="5"/>
      <c r="D15" s="47">
        <f>G15-128.72</f>
        <v>85.813131961999886</v>
      </c>
      <c r="E15" s="47">
        <f>+H15-153.0692</f>
        <v>68.595263686000095</v>
      </c>
      <c r="F15" s="48"/>
      <c r="G15" s="47">
        <f>+[1]Final!H652/100</f>
        <v>214.53313196199989</v>
      </c>
      <c r="H15" s="47">
        <f>+[1]Final!J652/100</f>
        <v>221.66446368600009</v>
      </c>
      <c r="I15" s="49"/>
      <c r="J15" s="47">
        <v>327.77</v>
      </c>
      <c r="K15" s="50"/>
      <c r="L15" s="60"/>
      <c r="M15" s="51">
        <v>2</v>
      </c>
      <c r="N15" s="66" t="s">
        <v>35</v>
      </c>
      <c r="O15" s="66"/>
      <c r="P15" s="48"/>
      <c r="Q15" s="53"/>
      <c r="R15" s="54"/>
      <c r="S15" s="53"/>
      <c r="T15" s="54"/>
      <c r="U15" s="55"/>
      <c r="W15" s="38" t="s">
        <v>34</v>
      </c>
      <c r="X15" s="38"/>
      <c r="Y15" s="54">
        <v>176.93</v>
      </c>
      <c r="Z15" s="54">
        <v>191.79</v>
      </c>
      <c r="AA15" s="54">
        <v>420.39</v>
      </c>
      <c r="AC15" s="57"/>
      <c r="AD15" s="5" t="s">
        <v>33</v>
      </c>
      <c r="AE15" s="5"/>
      <c r="AF15" s="48"/>
      <c r="AG15" s="64">
        <f>+AG11+AG12+AG13-AG14</f>
        <v>329.93000000000006</v>
      </c>
      <c r="AH15" s="64">
        <f>+AH11+AH12+AH13-AH14</f>
        <v>336.46999999999997</v>
      </c>
      <c r="AI15" s="67">
        <f>+AI11+AI12+AI13-AI14</f>
        <v>748.37</v>
      </c>
    </row>
    <row r="16" spans="2:35" ht="15.75" customHeight="1" x14ac:dyDescent="0.25">
      <c r="B16" s="38" t="s">
        <v>36</v>
      </c>
      <c r="C16" s="5"/>
      <c r="D16" s="47">
        <f>G16-30.92</f>
        <v>16.645620568999981</v>
      </c>
      <c r="E16" s="47">
        <f>+H16-26.93</f>
        <v>14.927337243999979</v>
      </c>
      <c r="F16" s="48"/>
      <c r="G16" s="47">
        <f>+[1]Final!H98/100</f>
        <v>47.565620568999982</v>
      </c>
      <c r="H16" s="47">
        <f>+[1]Final!J98/100</f>
        <v>41.857337243999979</v>
      </c>
      <c r="I16" s="68"/>
      <c r="J16" s="47">
        <v>59.35</v>
      </c>
      <c r="K16" s="69"/>
      <c r="L16" s="60"/>
      <c r="M16" s="34"/>
      <c r="N16" s="60" t="s">
        <v>37</v>
      </c>
      <c r="O16" s="28"/>
      <c r="P16" s="48"/>
      <c r="Q16" s="53"/>
      <c r="R16" s="54"/>
      <c r="S16" s="53"/>
      <c r="T16" s="54"/>
      <c r="U16" s="55"/>
      <c r="W16" s="38" t="s">
        <v>36</v>
      </c>
      <c r="X16" s="38"/>
      <c r="Y16" s="54">
        <v>42.9</v>
      </c>
      <c r="Z16" s="54">
        <v>37.950000000000003</v>
      </c>
      <c r="AA16" s="54">
        <v>83.62</v>
      </c>
      <c r="AC16" s="51">
        <v>2</v>
      </c>
      <c r="AD16" s="66" t="s">
        <v>35</v>
      </c>
      <c r="AE16" s="66"/>
      <c r="AF16" s="48"/>
      <c r="AG16" s="53"/>
      <c r="AH16" s="53"/>
      <c r="AI16" s="56"/>
    </row>
    <row r="17" spans="2:37" ht="15.75" customHeight="1" x14ac:dyDescent="0.25">
      <c r="B17" s="38" t="s">
        <v>38</v>
      </c>
      <c r="C17" s="5"/>
      <c r="D17" s="47">
        <f>G17-(44.64+14.04)</f>
        <v>34.698739661999987</v>
      </c>
      <c r="E17" s="47">
        <f>+H17-55.7682-0.01</f>
        <v>26.640676790000011</v>
      </c>
      <c r="F17" s="48"/>
      <c r="G17" s="47">
        <f>+([1]Final!H100+[1]Final!H102)/100+0.0045</f>
        <v>93.378739661999987</v>
      </c>
      <c r="H17" s="47">
        <f>+([1]Final!J100+[1]Final!J102)/100</f>
        <v>82.418876790000013</v>
      </c>
      <c r="I17" s="49"/>
      <c r="J17" s="47">
        <v>114.73</v>
      </c>
      <c r="K17" s="50"/>
      <c r="L17" s="60"/>
      <c r="M17" s="57"/>
      <c r="N17" s="58" t="s">
        <v>24</v>
      </c>
      <c r="O17" s="5" t="s">
        <v>25</v>
      </c>
      <c r="P17" s="48"/>
      <c r="Q17" s="53">
        <f>+S17-16.77</f>
        <v>8.8060061598151016</v>
      </c>
      <c r="R17" s="59">
        <f>+T17-11.9</f>
        <v>8.3600000000000012</v>
      </c>
      <c r="S17" s="53">
        <f>'[2]Segment P&amp;L'!$G$81/100</f>
        <v>25.576006159815101</v>
      </c>
      <c r="T17" s="59">
        <v>20.260000000000002</v>
      </c>
      <c r="U17" s="55">
        <v>39.06</v>
      </c>
      <c r="W17" s="38" t="s">
        <v>38</v>
      </c>
      <c r="X17" s="38"/>
      <c r="Y17" s="54">
        <f>72.72+16.01</f>
        <v>88.73</v>
      </c>
      <c r="Z17" s="54">
        <f>67.79+11.22</f>
        <v>79.010000000000005</v>
      </c>
      <c r="AA17" s="54">
        <v>168.18</v>
      </c>
      <c r="AC17" s="34"/>
      <c r="AD17" s="60" t="s">
        <v>37</v>
      </c>
      <c r="AE17" s="28"/>
      <c r="AF17" s="48"/>
      <c r="AG17" s="53"/>
      <c r="AH17" s="53"/>
      <c r="AI17" s="56"/>
    </row>
    <row r="18" spans="2:37" ht="15.75" customHeight="1" x14ac:dyDescent="0.25">
      <c r="B18" s="38" t="s">
        <v>39</v>
      </c>
      <c r="C18" s="5"/>
      <c r="D18" s="47">
        <f>G18-0.22</f>
        <v>0.15018472200000008</v>
      </c>
      <c r="E18" s="47">
        <f>+H18-0.34</f>
        <v>9.8973213000000004E-2</v>
      </c>
      <c r="F18" s="48"/>
      <c r="G18" s="47">
        <f>+[1]Final!H106/100</f>
        <v>0.37018472200000008</v>
      </c>
      <c r="H18" s="47">
        <f>+[1]Final!J106/100</f>
        <v>0.43897321300000003</v>
      </c>
      <c r="I18" s="49"/>
      <c r="J18" s="70">
        <v>0.65</v>
      </c>
      <c r="K18" s="50"/>
      <c r="L18" s="60"/>
      <c r="M18" s="57"/>
      <c r="N18" s="58" t="s">
        <v>27</v>
      </c>
      <c r="O18" s="5" t="s">
        <v>28</v>
      </c>
      <c r="P18" s="48"/>
      <c r="Q18" s="63">
        <f>+S18-4.66</f>
        <v>5.776998932481046</v>
      </c>
      <c r="R18" s="59">
        <f>+T18-6.8</f>
        <v>4.6800000000000006</v>
      </c>
      <c r="S18" s="53">
        <f>'[2]Segment P&amp;L'!$L$81/100</f>
        <v>10.436998932481046</v>
      </c>
      <c r="T18" s="59">
        <v>11.48</v>
      </c>
      <c r="U18" s="55">
        <v>22.94</v>
      </c>
      <c r="W18" s="38" t="s">
        <v>39</v>
      </c>
      <c r="X18" s="38"/>
      <c r="Y18" s="54">
        <v>0.24</v>
      </c>
      <c r="Z18" s="54">
        <v>0.35</v>
      </c>
      <c r="AA18" s="54">
        <v>0.72</v>
      </c>
      <c r="AC18" s="57"/>
      <c r="AD18" s="58" t="s">
        <v>24</v>
      </c>
      <c r="AE18" s="5" t="s">
        <v>25</v>
      </c>
      <c r="AF18" s="48"/>
      <c r="AG18" s="59">
        <v>19.989999999999998</v>
      </c>
      <c r="AH18" s="55">
        <v>18.100000000000001</v>
      </c>
      <c r="AI18" s="54">
        <v>50.82</v>
      </c>
    </row>
    <row r="19" spans="2:37" x14ac:dyDescent="0.25">
      <c r="B19" s="38" t="s">
        <v>40</v>
      </c>
      <c r="C19" s="5"/>
      <c r="D19" s="47">
        <f>G19-4.24</f>
        <v>2.1652617779999987</v>
      </c>
      <c r="E19" s="47">
        <f>+H19-5.18</f>
        <v>2.7672121400000007</v>
      </c>
      <c r="F19" s="48"/>
      <c r="G19" s="47">
        <f>+[1]Final!H104/100</f>
        <v>6.405261777999999</v>
      </c>
      <c r="H19" s="47">
        <f>+[1]Final!J104/100</f>
        <v>7.9472121400000004</v>
      </c>
      <c r="I19" s="49"/>
      <c r="J19" s="70">
        <v>9.69</v>
      </c>
      <c r="K19" s="50"/>
      <c r="L19" s="60"/>
      <c r="M19" s="57"/>
      <c r="N19" s="61" t="s">
        <v>41</v>
      </c>
      <c r="O19" s="60" t="s">
        <v>39</v>
      </c>
      <c r="P19" s="48"/>
      <c r="Q19" s="53">
        <f>+S19-0.22</f>
        <v>0.14518472200000007</v>
      </c>
      <c r="R19" s="59">
        <f>+T19-0.34</f>
        <v>9.8973213000000004E-2</v>
      </c>
      <c r="S19" s="53">
        <f>+G18-0.005</f>
        <v>0.36518472200000007</v>
      </c>
      <c r="T19" s="53">
        <f>+H18</f>
        <v>0.43897321300000003</v>
      </c>
      <c r="U19" s="55">
        <v>0.65</v>
      </c>
      <c r="W19" s="38" t="s">
        <v>40</v>
      </c>
      <c r="X19" s="38"/>
      <c r="Y19" s="54">
        <v>6.14</v>
      </c>
      <c r="Z19" s="54">
        <v>7.55</v>
      </c>
      <c r="AA19" s="54">
        <v>14.49</v>
      </c>
      <c r="AC19" s="57"/>
      <c r="AD19" s="58" t="s">
        <v>27</v>
      </c>
      <c r="AE19" s="5" t="s">
        <v>28</v>
      </c>
      <c r="AF19" s="48"/>
      <c r="AG19" s="59">
        <v>5.36</v>
      </c>
      <c r="AH19" s="55">
        <v>9.09</v>
      </c>
      <c r="AI19" s="54">
        <v>25.89</v>
      </c>
      <c r="AJ19" s="71">
        <f>+S19-S20</f>
        <v>-1.9365844467039777</v>
      </c>
      <c r="AK19" s="71">
        <f>+T19-T20</f>
        <v>10.627989570000125</v>
      </c>
    </row>
    <row r="20" spans="2:37" ht="15.75" customHeight="1" x14ac:dyDescent="0.25">
      <c r="B20" s="72" t="s">
        <v>42</v>
      </c>
      <c r="C20" s="5"/>
      <c r="D20" s="73">
        <f>D10+D11+D12-D14-D15-D16-D17-D18-D19</f>
        <v>13.680047338000158</v>
      </c>
      <c r="E20" s="47">
        <f>+E10+E11+E12-E14-E15-E16-E17-E18-E19-0.01</f>
        <v>9.0115681299998922</v>
      </c>
      <c r="F20" s="48"/>
      <c r="G20" s="47">
        <f>+G10+G11+G12-G14-G15-G16-G17-G18-G19</f>
        <v>42.300047338000205</v>
      </c>
      <c r="H20" s="47">
        <f>+H10+H11+H12-H14-H15-H16-H17-H18-H19</f>
        <v>25.461968129999892</v>
      </c>
      <c r="I20" s="49"/>
      <c r="J20" s="73">
        <f>J10+J11+J12-J14-J15-J16-J17-J18-J19</f>
        <v>69.300000000000026</v>
      </c>
      <c r="K20" s="50"/>
      <c r="L20" s="60"/>
      <c r="M20" s="34"/>
      <c r="N20" s="74" t="s">
        <v>43</v>
      </c>
      <c r="O20" s="75" t="s">
        <v>44</v>
      </c>
      <c r="P20" s="48"/>
      <c r="Q20" s="63">
        <f>+S20-4.51</f>
        <v>-2.2082308312960222</v>
      </c>
      <c r="R20" s="63">
        <f>+T20--4.81</f>
        <v>-5.3790163570001246</v>
      </c>
      <c r="S20" s="53">
        <f>+[1]Final!H127/100-SUM('Unaudited Dec 03'!S17:S18)+S19-0.005</f>
        <v>2.3017691687039776</v>
      </c>
      <c r="T20" s="63">
        <f>+[1]Final!J127/100-SUM('Unaudited Dec 03'!T17:T18)+T19</f>
        <v>-10.189016357000124</v>
      </c>
      <c r="U20" s="55">
        <v>2.15</v>
      </c>
      <c r="W20" s="72" t="s">
        <v>42</v>
      </c>
      <c r="X20" s="72"/>
      <c r="Y20" s="73">
        <f>Y10+Y11+Y12-Y14-Y15-Y16-Y17-Y18-Y19</f>
        <v>32.589999999999954</v>
      </c>
      <c r="Z20" s="73">
        <f>Z10+Z11+Z12-Z14-Z15-Z16-Z17-Z18-Z19</f>
        <v>23.929999999999982</v>
      </c>
      <c r="AA20" s="73">
        <f>AA10+AA11+AA12-AA14-AA15-AA16-AA17-AA18-AA19</f>
        <v>85.070000000000036</v>
      </c>
      <c r="AC20" s="34"/>
      <c r="AD20" s="62" t="s">
        <v>30</v>
      </c>
      <c r="AE20" s="1" t="s">
        <v>31</v>
      </c>
      <c r="AG20" s="53">
        <v>1.17</v>
      </c>
      <c r="AH20" s="63">
        <v>-0.14000000000000001</v>
      </c>
      <c r="AI20" s="63">
        <v>-1.92</v>
      </c>
    </row>
    <row r="21" spans="2:37" x14ac:dyDescent="0.25">
      <c r="B21" s="38" t="s">
        <v>45</v>
      </c>
      <c r="C21" s="5"/>
      <c r="D21" s="63">
        <f>G21--2.9</f>
        <v>-1.4499577990000003</v>
      </c>
      <c r="E21" s="63">
        <f>+H21--2.9</f>
        <v>-1.4499577000000001</v>
      </c>
      <c r="F21" s="48"/>
      <c r="G21" s="63">
        <f>+[1]Final!H116/100</f>
        <v>-4.3499577990000002</v>
      </c>
      <c r="H21" s="63">
        <f>+[1]Final!J116/100</f>
        <v>-4.3499577</v>
      </c>
      <c r="I21" s="49"/>
      <c r="J21" s="63">
        <v>-5.8</v>
      </c>
      <c r="K21" s="76"/>
      <c r="L21" s="60"/>
      <c r="M21" s="34"/>
      <c r="N21" s="77" t="s">
        <v>46</v>
      </c>
      <c r="O21" s="28"/>
      <c r="P21" s="48"/>
      <c r="Q21" s="64">
        <f>+Q17+Q18-Q19+Q20</f>
        <v>12.229589539000125</v>
      </c>
      <c r="R21" s="64">
        <f>+R17+R18-R19+R20</f>
        <v>7.5620104299998774</v>
      </c>
      <c r="S21" s="64">
        <f>+S17+S18-S19+S20</f>
        <v>37.949589539000122</v>
      </c>
      <c r="T21" s="64">
        <f>+T17+T18-T19+T20</f>
        <v>21.112010429999877</v>
      </c>
      <c r="U21" s="65">
        <f>+U17+U18-U19+U20</f>
        <v>63.5</v>
      </c>
      <c r="W21" s="38" t="s">
        <v>47</v>
      </c>
      <c r="X21" s="38"/>
      <c r="Y21" s="63">
        <v>-3.19</v>
      </c>
      <c r="Z21" s="63">
        <v>-3.19</v>
      </c>
      <c r="AA21" s="63">
        <v>-6.38</v>
      </c>
      <c r="AC21" s="57"/>
      <c r="AD21" s="61" t="s">
        <v>98</v>
      </c>
      <c r="AE21" s="60"/>
      <c r="AF21" s="48"/>
      <c r="AG21" s="59">
        <v>0.24</v>
      </c>
      <c r="AH21" s="55">
        <v>0.35</v>
      </c>
      <c r="AI21" s="54">
        <v>0.72</v>
      </c>
    </row>
    <row r="22" spans="2:37" ht="31.5" x14ac:dyDescent="0.25">
      <c r="B22" s="72" t="s">
        <v>48</v>
      </c>
      <c r="C22" s="5"/>
      <c r="D22" s="47">
        <f>SUM(D20+D21)</f>
        <v>12.230089539000158</v>
      </c>
      <c r="E22" s="47">
        <f>+E20+E21</f>
        <v>7.5616104299998916</v>
      </c>
      <c r="F22" s="48"/>
      <c r="G22" s="47">
        <f>+G20+G21</f>
        <v>37.950089539000203</v>
      </c>
      <c r="H22" s="47">
        <f>+H20+H21</f>
        <v>21.112010429999891</v>
      </c>
      <c r="I22" s="49"/>
      <c r="J22" s="47">
        <f>SUM(J20+J21)</f>
        <v>63.500000000000028</v>
      </c>
      <c r="K22" s="50"/>
      <c r="L22" s="60"/>
      <c r="M22" s="51">
        <v>3</v>
      </c>
      <c r="N22" s="66" t="s">
        <v>49</v>
      </c>
      <c r="O22" s="66"/>
      <c r="P22" s="48"/>
      <c r="Q22" s="53"/>
      <c r="R22" s="54"/>
      <c r="S22" s="53"/>
      <c r="T22" s="54"/>
      <c r="U22" s="55"/>
      <c r="W22" s="72" t="s">
        <v>48</v>
      </c>
      <c r="X22" s="72"/>
      <c r="Y22" s="78">
        <f>SUM(Y20+Y21)</f>
        <v>29.399999999999952</v>
      </c>
      <c r="Z22" s="78">
        <f>SUM(Z20+Z21)</f>
        <v>20.739999999999981</v>
      </c>
      <c r="AA22" s="78">
        <f>SUM(AA20+AA21)</f>
        <v>78.69000000000004</v>
      </c>
      <c r="AC22" s="34"/>
      <c r="AD22" s="74" t="s">
        <v>50</v>
      </c>
      <c r="AE22" s="79" t="s">
        <v>44</v>
      </c>
      <c r="AF22" s="48"/>
      <c r="AG22" s="53">
        <v>3.12</v>
      </c>
      <c r="AH22" s="63">
        <v>-5.96</v>
      </c>
      <c r="AI22" s="63">
        <v>4.62</v>
      </c>
    </row>
    <row r="23" spans="2:37" x14ac:dyDescent="0.25">
      <c r="B23" s="38" t="s">
        <v>51</v>
      </c>
      <c r="C23" s="5"/>
      <c r="D23" s="47">
        <f>G23-5.6</f>
        <v>2.5999999999999996</v>
      </c>
      <c r="E23" s="47">
        <f>+H23-5.8</f>
        <v>3.2</v>
      </c>
      <c r="F23" s="48"/>
      <c r="G23" s="47">
        <f>-[1]Final!H131/100</f>
        <v>8.1999999999999993</v>
      </c>
      <c r="H23" s="47">
        <f>-[1]Final!J131/100</f>
        <v>9</v>
      </c>
      <c r="I23" s="49"/>
      <c r="J23" s="80">
        <v>18.5</v>
      </c>
      <c r="K23" s="50"/>
      <c r="L23" s="60"/>
      <c r="M23" s="34"/>
      <c r="N23" s="58" t="s">
        <v>24</v>
      </c>
      <c r="O23" s="5" t="s">
        <v>25</v>
      </c>
      <c r="P23" s="48"/>
      <c r="Q23" s="53">
        <f t="shared" ref="Q23:R25" si="0">+S23</f>
        <v>39.828713516645223</v>
      </c>
      <c r="R23" s="59">
        <f t="shared" si="0"/>
        <v>36.358343778117408</v>
      </c>
      <c r="S23" s="53">
        <f>'[2]Cap Empl'!$G$130/100</f>
        <v>39.828713516645223</v>
      </c>
      <c r="T23" s="59">
        <v>36.358343778117408</v>
      </c>
      <c r="U23" s="55">
        <v>43.18</v>
      </c>
      <c r="W23" s="38" t="s">
        <v>51</v>
      </c>
      <c r="X23" s="38"/>
      <c r="Y23" s="54">
        <v>7.58</v>
      </c>
      <c r="Z23" s="54">
        <v>7.91</v>
      </c>
      <c r="AA23" s="54">
        <v>25.76</v>
      </c>
      <c r="AC23" s="34"/>
      <c r="AD23" s="77" t="s">
        <v>46</v>
      </c>
      <c r="AE23" s="28"/>
      <c r="AF23" s="48"/>
      <c r="AG23" s="64">
        <f>+AG18+AG19+AG20-AG21+AG22</f>
        <v>29.4</v>
      </c>
      <c r="AH23" s="64">
        <f>+AH18+AH19+AH20-AH21+AH22</f>
        <v>20.74</v>
      </c>
      <c r="AI23" s="64">
        <f>+AI18+AI19+AI20-AI21+AI22</f>
        <v>78.690000000000012</v>
      </c>
    </row>
    <row r="24" spans="2:37" x14ac:dyDescent="0.25">
      <c r="B24" s="38" t="s">
        <v>52</v>
      </c>
      <c r="C24" s="5"/>
      <c r="D24" s="63">
        <f>G24--1</f>
        <v>7.999999999999996E-2</v>
      </c>
      <c r="E24" s="63">
        <f>+H24--1.55</f>
        <v>-0.74999999999999978</v>
      </c>
      <c r="F24" s="70"/>
      <c r="G24" s="63">
        <f>-[1]Final!H132/100</f>
        <v>-0.92</v>
      </c>
      <c r="H24" s="63">
        <f>-[1]Final!J132/100</f>
        <v>-2.2999999999999998</v>
      </c>
      <c r="I24" s="49"/>
      <c r="J24" s="63">
        <v>-3.24</v>
      </c>
      <c r="K24" s="50"/>
      <c r="L24" s="60"/>
      <c r="M24" s="57"/>
      <c r="N24" s="58" t="s">
        <v>27</v>
      </c>
      <c r="O24" s="5" t="s">
        <v>28</v>
      </c>
      <c r="P24" s="48"/>
      <c r="Q24" s="53">
        <f t="shared" si="0"/>
        <v>41.094117025587224</v>
      </c>
      <c r="R24" s="59">
        <f t="shared" si="0"/>
        <v>56.534327185882603</v>
      </c>
      <c r="S24" s="53">
        <f>'[2]Cap Empl'!$L$130/100</f>
        <v>41.094117025587224</v>
      </c>
      <c r="T24" s="59">
        <v>56.534327185882603</v>
      </c>
      <c r="U24" s="55">
        <v>63.84</v>
      </c>
      <c r="W24" s="38" t="s">
        <v>52</v>
      </c>
      <c r="X24" s="38"/>
      <c r="Y24" s="63">
        <v>-1.05</v>
      </c>
      <c r="Z24" s="63">
        <v>-1.54</v>
      </c>
      <c r="AA24" s="63">
        <v>-5.63</v>
      </c>
      <c r="AC24" s="51">
        <v>3</v>
      </c>
      <c r="AD24" s="66" t="s">
        <v>49</v>
      </c>
      <c r="AE24" s="66"/>
      <c r="AF24" s="48"/>
      <c r="AG24" s="53"/>
      <c r="AH24" s="53"/>
      <c r="AI24" s="56"/>
    </row>
    <row r="25" spans="2:37" x14ac:dyDescent="0.25">
      <c r="B25" s="38" t="s">
        <v>53</v>
      </c>
      <c r="C25" s="5"/>
      <c r="D25" s="47">
        <f>+D22-D23-D24</f>
        <v>9.5500895390001581</v>
      </c>
      <c r="E25" s="47">
        <f>+E22-E23-E24</f>
        <v>5.1116104299998915</v>
      </c>
      <c r="F25" s="48"/>
      <c r="G25" s="47">
        <f>+G22-G23-G24</f>
        <v>30.670089539000205</v>
      </c>
      <c r="H25" s="47">
        <f>+H22-H23-H24</f>
        <v>14.412010429999892</v>
      </c>
      <c r="I25" s="49"/>
      <c r="J25" s="70">
        <f>+J22-J23-J24</f>
        <v>48.24000000000003</v>
      </c>
      <c r="K25" s="50"/>
      <c r="L25" s="60"/>
      <c r="M25" s="57"/>
      <c r="N25" s="81" t="s">
        <v>99</v>
      </c>
      <c r="O25" s="5" t="s">
        <v>54</v>
      </c>
      <c r="P25" s="48"/>
      <c r="Q25" s="53">
        <f t="shared" si="0"/>
        <v>313.28035497876755</v>
      </c>
      <c r="R25" s="59">
        <f t="shared" si="0"/>
        <v>269.06602903600003</v>
      </c>
      <c r="S25" s="53">
        <f>('[2]Cap Empl'!$V$130-700)/100</f>
        <v>313.28035497876755</v>
      </c>
      <c r="T25" s="59">
        <f>+(36895.87-700)/100-T23-T24</f>
        <v>269.06602903600003</v>
      </c>
      <c r="U25" s="55">
        <v>256.51</v>
      </c>
      <c r="W25" s="38" t="s">
        <v>55</v>
      </c>
      <c r="X25" s="38"/>
      <c r="Y25" s="54">
        <f>+Y22-Y23-Y24</f>
        <v>22.869999999999951</v>
      </c>
      <c r="Z25" s="54">
        <f>+Z22-Z23-Z24</f>
        <v>14.36999999999998</v>
      </c>
      <c r="AA25" s="54">
        <v>58.56</v>
      </c>
      <c r="AC25" s="34"/>
      <c r="AD25" s="58" t="s">
        <v>24</v>
      </c>
      <c r="AE25" s="5" t="s">
        <v>25</v>
      </c>
      <c r="AF25" s="48"/>
      <c r="AG25" s="59">
        <v>59.8</v>
      </c>
      <c r="AH25" s="55">
        <v>57.65</v>
      </c>
      <c r="AI25" s="54">
        <v>55.77</v>
      </c>
    </row>
    <row r="26" spans="2:37" x14ac:dyDescent="0.25">
      <c r="B26" s="38" t="s">
        <v>56</v>
      </c>
      <c r="C26" s="5"/>
      <c r="D26" s="47">
        <v>23.83</v>
      </c>
      <c r="E26" s="47">
        <v>23.83</v>
      </c>
      <c r="F26" s="48"/>
      <c r="G26" s="47">
        <v>23.83</v>
      </c>
      <c r="H26" s="47">
        <v>23.83</v>
      </c>
      <c r="I26" s="49"/>
      <c r="J26" s="82">
        <v>23.83</v>
      </c>
      <c r="K26" s="50"/>
      <c r="L26" s="60"/>
      <c r="M26" s="83"/>
      <c r="N26" s="37" t="s">
        <v>57</v>
      </c>
      <c r="O26" s="84"/>
      <c r="P26" s="85"/>
      <c r="Q26" s="64">
        <f>SUM(Q23:Q25)</f>
        <v>394.20318552100002</v>
      </c>
      <c r="R26" s="64">
        <f>SUM(R23:R25)</f>
        <v>361.95870000000002</v>
      </c>
      <c r="S26" s="64">
        <f>SUM(S23:S25)</f>
        <v>394.20318552100002</v>
      </c>
      <c r="T26" s="64">
        <f>SUM(T23:T25)</f>
        <v>361.95870000000002</v>
      </c>
      <c r="U26" s="65">
        <f>SUM(U23:U25)</f>
        <v>363.53</v>
      </c>
      <c r="W26" s="38" t="s">
        <v>58</v>
      </c>
      <c r="X26" s="38"/>
      <c r="Y26" s="54">
        <v>0.93</v>
      </c>
      <c r="Z26" s="54">
        <v>1.29</v>
      </c>
      <c r="AA26" s="54">
        <v>2.86</v>
      </c>
      <c r="AC26" s="57"/>
      <c r="AD26" s="58" t="s">
        <v>27</v>
      </c>
      <c r="AE26" s="5" t="s">
        <v>28</v>
      </c>
      <c r="AF26" s="48"/>
      <c r="AG26" s="59">
        <v>58.77</v>
      </c>
      <c r="AH26" s="55">
        <v>64.56</v>
      </c>
      <c r="AI26" s="54">
        <v>67.53</v>
      </c>
    </row>
    <row r="27" spans="2:37" x14ac:dyDescent="0.25">
      <c r="B27" s="86" t="s">
        <v>59</v>
      </c>
      <c r="C27" s="5"/>
      <c r="D27" s="87"/>
      <c r="E27" s="53"/>
      <c r="F27" s="54"/>
      <c r="G27" s="87"/>
      <c r="H27" s="47"/>
      <c r="I27" s="49"/>
      <c r="J27" s="82"/>
      <c r="K27" s="50"/>
      <c r="L27" s="60"/>
      <c r="T27" s="5"/>
      <c r="U27" s="88"/>
      <c r="W27" s="38" t="s">
        <v>60</v>
      </c>
      <c r="X27" s="38"/>
      <c r="Y27" s="54">
        <f>+Y25-Y26</f>
        <v>21.939999999999952</v>
      </c>
      <c r="Z27" s="54">
        <f>+Z25-Z26</f>
        <v>13.079999999999981</v>
      </c>
      <c r="AA27" s="53">
        <v>55.7</v>
      </c>
      <c r="AC27" s="34"/>
      <c r="AD27" s="62" t="s">
        <v>30</v>
      </c>
      <c r="AE27" s="1" t="s">
        <v>31</v>
      </c>
      <c r="AG27" s="59">
        <f>22.123-4.994</f>
        <v>17.129000000000001</v>
      </c>
      <c r="AH27" s="55">
        <f>16.65-5.27</f>
        <v>11.379999999999999</v>
      </c>
      <c r="AI27" s="54">
        <v>19.62</v>
      </c>
    </row>
    <row r="28" spans="2:37" x14ac:dyDescent="0.25">
      <c r="B28" s="38" t="s">
        <v>61</v>
      </c>
      <c r="C28" s="5"/>
      <c r="D28" s="87" t="s">
        <v>62</v>
      </c>
      <c r="E28" s="87" t="s">
        <v>62</v>
      </c>
      <c r="F28" s="48"/>
      <c r="G28" s="87" t="s">
        <v>62</v>
      </c>
      <c r="H28" s="70" t="s">
        <v>62</v>
      </c>
      <c r="I28" s="49"/>
      <c r="J28" s="87">
        <v>339.7</v>
      </c>
      <c r="K28" s="50"/>
      <c r="L28" s="60"/>
      <c r="M28" s="1">
        <v>5</v>
      </c>
      <c r="N28" s="1" t="s">
        <v>63</v>
      </c>
      <c r="U28" s="88"/>
      <c r="W28" s="38" t="s">
        <v>56</v>
      </c>
      <c r="X28" s="38"/>
      <c r="Y28" s="54">
        <v>23.25</v>
      </c>
      <c r="Z28" s="54">
        <v>23.83</v>
      </c>
      <c r="AA28" s="54">
        <v>23.83</v>
      </c>
      <c r="AB28" s="71"/>
      <c r="AC28" s="57"/>
      <c r="AD28" s="81" t="s">
        <v>99</v>
      </c>
      <c r="AE28" s="5" t="s">
        <v>54</v>
      </c>
      <c r="AF28" s="48"/>
      <c r="AG28" s="59">
        <v>260.75</v>
      </c>
      <c r="AH28" s="55">
        <v>234.28</v>
      </c>
      <c r="AI28" s="54">
        <v>235.31</v>
      </c>
    </row>
    <row r="29" spans="2:37" x14ac:dyDescent="0.25">
      <c r="B29" s="38" t="s">
        <v>64</v>
      </c>
      <c r="C29" s="5"/>
      <c r="D29" s="38">
        <v>23831260</v>
      </c>
      <c r="E29" s="38">
        <v>23831260</v>
      </c>
      <c r="F29" s="5"/>
      <c r="G29" s="89">
        <v>23831260</v>
      </c>
      <c r="H29" s="89">
        <v>23831260</v>
      </c>
      <c r="I29" s="69"/>
      <c r="J29" s="89">
        <v>23831260</v>
      </c>
      <c r="K29" s="69"/>
      <c r="L29" s="60"/>
      <c r="N29" s="1" t="s">
        <v>65</v>
      </c>
      <c r="U29" s="88"/>
      <c r="W29" s="86" t="s">
        <v>59</v>
      </c>
      <c r="X29" s="86"/>
      <c r="Y29" s="54"/>
      <c r="Z29" s="54"/>
      <c r="AA29" s="54"/>
      <c r="AC29" s="57"/>
      <c r="AD29" s="81"/>
      <c r="AE29" s="5"/>
      <c r="AF29" s="48"/>
      <c r="AG29" s="59"/>
      <c r="AH29" s="59"/>
      <c r="AI29" s="56"/>
    </row>
    <row r="30" spans="2:37" x14ac:dyDescent="0.25">
      <c r="B30" s="38" t="s">
        <v>66</v>
      </c>
      <c r="C30" s="5"/>
      <c r="D30" s="87">
        <f>+[1]Final!D161</f>
        <v>3.670868037181986</v>
      </c>
      <c r="E30" s="87">
        <f>+[1]Final!F161</f>
        <v>2.1424061753344059</v>
      </c>
      <c r="F30" s="5"/>
      <c r="G30" s="87">
        <f>+[1]Final!H161</f>
        <v>12.49799858313022</v>
      </c>
      <c r="H30" s="87">
        <f>+[1]Final!J161</f>
        <v>6.0475234754687239</v>
      </c>
      <c r="I30" s="69"/>
      <c r="J30" s="90">
        <f>+J25/(J29/10000000)</f>
        <v>20.242320380877903</v>
      </c>
      <c r="K30" s="69"/>
      <c r="L30" s="60"/>
      <c r="N30" s="1" t="s">
        <v>67</v>
      </c>
      <c r="U30" s="88"/>
      <c r="W30" s="38" t="s">
        <v>61</v>
      </c>
      <c r="X30" s="38"/>
      <c r="Y30" s="87" t="s">
        <v>62</v>
      </c>
      <c r="Z30" s="87" t="s">
        <v>62</v>
      </c>
      <c r="AA30" s="54">
        <v>354.4</v>
      </c>
      <c r="AC30" s="83"/>
      <c r="AD30" s="37"/>
      <c r="AE30" s="84" t="s">
        <v>68</v>
      </c>
      <c r="AF30" s="85"/>
      <c r="AG30" s="67">
        <f>SUM(AG25:AG28)</f>
        <v>396.44899999999996</v>
      </c>
      <c r="AH30" s="67">
        <f>SUM(AH25:AH28)</f>
        <v>367.87</v>
      </c>
      <c r="AI30" s="64">
        <f>SUM(AI25:AI28)</f>
        <v>378.23</v>
      </c>
    </row>
    <row r="31" spans="2:37" x14ac:dyDescent="0.25">
      <c r="B31" s="38" t="s">
        <v>69</v>
      </c>
      <c r="C31" s="5"/>
      <c r="D31" s="38"/>
      <c r="E31" s="38"/>
      <c r="F31" s="5"/>
      <c r="G31" s="89"/>
      <c r="H31" s="89"/>
      <c r="I31" s="91"/>
      <c r="J31" s="92"/>
      <c r="K31" s="91"/>
      <c r="L31" s="60"/>
      <c r="U31" s="88"/>
      <c r="W31" s="38" t="s">
        <v>64</v>
      </c>
      <c r="X31" s="38"/>
      <c r="Y31" s="38">
        <v>23250010</v>
      </c>
      <c r="Z31" s="38">
        <v>23831260</v>
      </c>
      <c r="AA31" s="38">
        <v>23831260</v>
      </c>
    </row>
    <row r="32" spans="2:37" x14ac:dyDescent="0.25">
      <c r="B32" s="38" t="s">
        <v>70</v>
      </c>
      <c r="C32" s="5"/>
      <c r="D32" s="89"/>
      <c r="E32" s="38"/>
      <c r="F32" s="5"/>
      <c r="G32" s="89"/>
      <c r="H32" s="89"/>
      <c r="I32" s="91"/>
      <c r="J32" s="89"/>
      <c r="K32" s="91"/>
      <c r="L32" s="60"/>
      <c r="M32" s="93">
        <v>6</v>
      </c>
      <c r="N32" s="1" t="s">
        <v>71</v>
      </c>
      <c r="U32" s="88"/>
      <c r="W32" s="38" t="s">
        <v>66</v>
      </c>
      <c r="X32" s="38"/>
      <c r="Y32" s="54">
        <f>+(Y27-0.08)/(Y31/10000000)</f>
        <v>9.402146493700414</v>
      </c>
      <c r="Z32" s="54">
        <f>+Z27/(Z31/10000000)</f>
        <v>5.4885893570041961</v>
      </c>
      <c r="AA32" s="54">
        <f>+AA27/(AA31/10000000)</f>
        <v>23.372662628832888</v>
      </c>
    </row>
    <row r="33" spans="2:29" x14ac:dyDescent="0.25">
      <c r="B33" s="94" t="s">
        <v>72</v>
      </c>
      <c r="C33" s="5"/>
      <c r="D33" s="89">
        <v>9061399</v>
      </c>
      <c r="E33" s="89">
        <v>9061399</v>
      </c>
      <c r="F33" s="5"/>
      <c r="G33" s="89">
        <v>9061399</v>
      </c>
      <c r="H33" s="89">
        <v>9061399</v>
      </c>
      <c r="I33" s="91"/>
      <c r="J33" s="89">
        <v>9061399</v>
      </c>
      <c r="K33" s="91"/>
      <c r="L33" s="60"/>
      <c r="T33" s="5"/>
      <c r="U33" s="88"/>
      <c r="W33" s="38" t="s">
        <v>69</v>
      </c>
      <c r="X33" s="38"/>
      <c r="Y33" s="54"/>
      <c r="Z33" s="54"/>
      <c r="AA33" s="54"/>
    </row>
    <row r="34" spans="2:29" x14ac:dyDescent="0.25">
      <c r="B34" s="95" t="s">
        <v>73</v>
      </c>
      <c r="C34" s="5"/>
      <c r="D34" s="96">
        <v>0.38019999999999998</v>
      </c>
      <c r="E34" s="96">
        <v>0.38019999999999998</v>
      </c>
      <c r="F34" s="5"/>
      <c r="G34" s="96">
        <v>0.38019999999999998</v>
      </c>
      <c r="H34" s="97">
        <v>0.38019999999999998</v>
      </c>
      <c r="I34" s="41"/>
      <c r="J34" s="96">
        <v>0.38019999999999998</v>
      </c>
      <c r="K34" s="41"/>
      <c r="L34" s="5"/>
      <c r="O34" s="5"/>
      <c r="P34" s="5"/>
      <c r="Q34" s="98" t="s">
        <v>74</v>
      </c>
      <c r="T34" s="5"/>
      <c r="U34" s="88"/>
      <c r="W34" s="38" t="s">
        <v>70</v>
      </c>
      <c r="X34" s="38"/>
      <c r="Y34" s="54"/>
      <c r="Z34" s="54"/>
      <c r="AA34" s="54"/>
    </row>
    <row r="35" spans="2:29" x14ac:dyDescent="0.25">
      <c r="B35" s="99" t="s">
        <v>75</v>
      </c>
      <c r="C35" s="5"/>
      <c r="D35" s="5"/>
      <c r="E35" s="5"/>
      <c r="F35" s="5"/>
      <c r="G35" s="5"/>
      <c r="H35" s="5"/>
      <c r="I35" s="5"/>
      <c r="J35" s="5"/>
      <c r="K35" s="5"/>
      <c r="L35" s="5"/>
      <c r="O35" s="17" t="s">
        <v>76</v>
      </c>
      <c r="P35" s="19"/>
      <c r="Q35" s="100" t="s">
        <v>77</v>
      </c>
      <c r="R35" s="5"/>
      <c r="S35" s="5"/>
      <c r="T35" s="5"/>
      <c r="U35" s="88"/>
      <c r="W35" s="94" t="s">
        <v>72</v>
      </c>
      <c r="X35" s="94"/>
      <c r="Y35" s="38">
        <v>9061399</v>
      </c>
      <c r="Z35" s="38">
        <v>9061399</v>
      </c>
      <c r="AA35" s="38">
        <v>9061399</v>
      </c>
    </row>
    <row r="36" spans="2:29" x14ac:dyDescent="0.25">
      <c r="B36" s="34" t="s">
        <v>78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101"/>
      <c r="O36" s="34" t="s">
        <v>79</v>
      </c>
      <c r="P36" s="88"/>
      <c r="Q36" s="100">
        <v>29</v>
      </c>
      <c r="R36" s="5"/>
      <c r="S36" s="5"/>
      <c r="T36" s="5"/>
      <c r="U36" s="88"/>
      <c r="W36" s="95" t="s">
        <v>73</v>
      </c>
      <c r="X36" s="95"/>
      <c r="Y36" s="102">
        <f>+Y35/Y31</f>
        <v>0.38973742376885001</v>
      </c>
      <c r="Z36" s="102">
        <f>+Z35/Z31</f>
        <v>0.38023163693401019</v>
      </c>
      <c r="AA36" s="102">
        <f>+AA35/AA31</f>
        <v>0.38023163693401019</v>
      </c>
      <c r="AB36" s="103"/>
      <c r="AC36" s="5"/>
    </row>
    <row r="37" spans="2:29" ht="15.75" customHeight="1" x14ac:dyDescent="0.25">
      <c r="B37" s="34" t="s">
        <v>80</v>
      </c>
      <c r="C37" s="35"/>
      <c r="D37" s="35"/>
      <c r="E37" s="35"/>
      <c r="F37" s="35"/>
      <c r="G37" s="35"/>
      <c r="H37" s="35"/>
      <c r="I37" s="35"/>
      <c r="J37" s="35"/>
      <c r="K37" s="35"/>
      <c r="L37" s="5"/>
      <c r="O37" s="34" t="s">
        <v>81</v>
      </c>
      <c r="P37" s="88"/>
      <c r="Q37" s="100">
        <v>29</v>
      </c>
      <c r="R37" s="5"/>
      <c r="S37" s="5"/>
      <c r="T37" s="5"/>
      <c r="U37" s="88"/>
      <c r="W37" s="5"/>
      <c r="X37" s="5"/>
      <c r="Y37" s="5"/>
      <c r="Z37" s="5"/>
      <c r="AA37" s="5"/>
    </row>
    <row r="38" spans="2:29" x14ac:dyDescent="0.25">
      <c r="B38" s="104" t="s">
        <v>82</v>
      </c>
      <c r="C38" s="35"/>
      <c r="D38" s="35"/>
      <c r="E38" s="35"/>
      <c r="F38" s="35"/>
      <c r="G38" s="35"/>
      <c r="H38" s="35"/>
      <c r="I38" s="35"/>
      <c r="J38" s="35"/>
      <c r="K38" s="35"/>
      <c r="L38" s="5"/>
      <c r="M38" s="5"/>
      <c r="O38" s="4" t="s">
        <v>83</v>
      </c>
      <c r="P38" s="105"/>
      <c r="Q38" s="106" t="s">
        <v>77</v>
      </c>
      <c r="R38" s="5"/>
      <c r="S38" s="5"/>
      <c r="T38" s="5"/>
      <c r="U38" s="88"/>
      <c r="W38" s="5"/>
      <c r="X38" s="5"/>
      <c r="Y38" s="5"/>
      <c r="Z38" s="5"/>
      <c r="AA38" s="5"/>
    </row>
    <row r="39" spans="2:29" ht="15.75" customHeight="1" x14ac:dyDescent="0.25">
      <c r="B39" s="57" t="s">
        <v>84</v>
      </c>
      <c r="C39" s="35"/>
      <c r="D39" s="35"/>
      <c r="E39" s="35"/>
      <c r="F39" s="35"/>
      <c r="G39" s="35"/>
      <c r="H39" s="35"/>
      <c r="I39" s="35"/>
      <c r="J39" s="35"/>
      <c r="K39" s="35"/>
      <c r="L39" s="5"/>
      <c r="O39" s="107"/>
      <c r="P39" s="5"/>
      <c r="Q39" s="5"/>
      <c r="R39" s="5"/>
      <c r="S39" s="5"/>
      <c r="T39" s="5"/>
      <c r="U39" s="88"/>
      <c r="W39" s="5"/>
      <c r="X39" s="5"/>
    </row>
    <row r="40" spans="2:29" ht="15.75" customHeight="1" x14ac:dyDescent="0.25">
      <c r="B40" s="57" t="s">
        <v>85</v>
      </c>
      <c r="C40" s="35"/>
      <c r="D40" s="35"/>
      <c r="E40" s="35"/>
      <c r="F40" s="35"/>
      <c r="G40" s="35"/>
      <c r="H40" s="35"/>
      <c r="I40" s="35"/>
      <c r="J40" s="35"/>
      <c r="K40" s="35"/>
      <c r="L40" s="5"/>
      <c r="M40" s="93">
        <v>7</v>
      </c>
      <c r="N40" s="108" t="s">
        <v>86</v>
      </c>
      <c r="O40" s="109"/>
      <c r="P40" s="5"/>
      <c r="Q40" s="5"/>
      <c r="R40" s="5"/>
      <c r="S40" s="5"/>
      <c r="T40" s="5"/>
      <c r="U40" s="88"/>
      <c r="X40" s="5"/>
    </row>
    <row r="41" spans="2:29" ht="15.75" customHeight="1" x14ac:dyDescent="0.25">
      <c r="B41" s="57" t="s">
        <v>87</v>
      </c>
      <c r="C41" s="35"/>
      <c r="D41" s="35"/>
      <c r="E41" s="35"/>
      <c r="F41" s="35"/>
      <c r="G41" s="35"/>
      <c r="H41" s="35"/>
      <c r="I41" s="35"/>
      <c r="J41" s="35"/>
      <c r="K41" s="35"/>
      <c r="L41" s="5"/>
      <c r="U41" s="88"/>
      <c r="X41" s="110"/>
    </row>
    <row r="42" spans="2:29" ht="15.75" customHeight="1" x14ac:dyDescent="0.25">
      <c r="B42" s="57" t="s">
        <v>88</v>
      </c>
      <c r="C42" s="35"/>
      <c r="D42" s="35"/>
      <c r="E42" s="35"/>
      <c r="F42" s="35"/>
      <c r="G42" s="35"/>
      <c r="H42" s="35"/>
      <c r="I42" s="35"/>
      <c r="J42" s="35"/>
      <c r="K42" s="35"/>
      <c r="L42" s="5"/>
      <c r="O42" s="5"/>
      <c r="P42" s="5"/>
      <c r="Q42" s="5"/>
      <c r="R42" s="5"/>
      <c r="S42" s="5"/>
      <c r="T42" s="5"/>
      <c r="U42" s="111" t="s">
        <v>89</v>
      </c>
      <c r="X42" s="110"/>
    </row>
    <row r="43" spans="2:29" ht="15.75" customHeight="1" x14ac:dyDescent="0.25">
      <c r="B43" s="57" t="s">
        <v>90</v>
      </c>
      <c r="C43" s="35"/>
      <c r="D43" s="35"/>
      <c r="E43" s="35"/>
      <c r="F43" s="35"/>
      <c r="G43" s="35"/>
      <c r="H43" s="35"/>
      <c r="I43" s="35"/>
      <c r="J43" s="35"/>
      <c r="K43" s="35"/>
      <c r="L43" s="5"/>
      <c r="O43" s="5"/>
      <c r="P43" s="5"/>
      <c r="Q43" s="5"/>
      <c r="R43" s="5"/>
      <c r="S43" s="5"/>
      <c r="T43" s="5"/>
      <c r="U43" s="111"/>
      <c r="X43" s="110"/>
    </row>
    <row r="44" spans="2:29" ht="15.75" customHeight="1" x14ac:dyDescent="0.25">
      <c r="B44" s="57" t="s">
        <v>91</v>
      </c>
      <c r="C44" s="35"/>
      <c r="D44" s="35"/>
      <c r="E44" s="35"/>
      <c r="F44" s="35"/>
      <c r="G44" s="35"/>
      <c r="H44" s="35"/>
      <c r="I44" s="35"/>
      <c r="J44" s="35"/>
      <c r="K44" s="35"/>
      <c r="L44" s="5"/>
      <c r="O44" s="5"/>
      <c r="P44" s="5"/>
      <c r="Q44" s="5"/>
      <c r="R44" s="5"/>
      <c r="S44" s="5"/>
      <c r="T44" s="5"/>
      <c r="U44" s="111"/>
      <c r="X44" s="110"/>
    </row>
    <row r="45" spans="2:29" ht="15.75" customHeight="1" x14ac:dyDescent="0.25">
      <c r="B45" s="57" t="s">
        <v>100</v>
      </c>
      <c r="C45" s="35"/>
      <c r="D45" s="35"/>
      <c r="E45" s="35"/>
      <c r="F45" s="35"/>
      <c r="G45" s="35"/>
      <c r="H45" s="35"/>
      <c r="I45" s="35"/>
      <c r="J45" s="35"/>
      <c r="K45" s="35"/>
      <c r="L45" s="5"/>
      <c r="N45" s="5" t="s">
        <v>92</v>
      </c>
      <c r="O45" s="5"/>
      <c r="P45" s="5"/>
      <c r="Q45" s="5"/>
      <c r="R45" s="5"/>
      <c r="S45" s="5"/>
      <c r="T45" s="5"/>
      <c r="U45" s="112" t="s">
        <v>93</v>
      </c>
      <c r="X45" s="110"/>
    </row>
    <row r="46" spans="2:29" ht="15.75" customHeight="1" thickBot="1" x14ac:dyDescent="0.3">
      <c r="B46" s="113"/>
      <c r="C46" s="35"/>
      <c r="D46" s="35"/>
      <c r="E46" s="35"/>
      <c r="F46" s="35"/>
      <c r="G46" s="35"/>
      <c r="H46" s="35"/>
      <c r="I46" s="35"/>
      <c r="J46" s="35"/>
      <c r="K46" s="35"/>
      <c r="L46" s="5"/>
      <c r="N46" s="114" t="s">
        <v>94</v>
      </c>
      <c r="O46" s="5"/>
      <c r="P46" s="5"/>
      <c r="Q46" s="5"/>
      <c r="R46" s="5"/>
      <c r="S46" s="5"/>
      <c r="T46" s="5"/>
      <c r="U46" s="112" t="s">
        <v>95</v>
      </c>
      <c r="X46" s="91"/>
    </row>
    <row r="47" spans="2:29" ht="21" customHeight="1" thickBot="1" x14ac:dyDescent="0.3">
      <c r="B47" s="121" t="s">
        <v>96</v>
      </c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3"/>
      <c r="X47" s="91"/>
    </row>
    <row r="48" spans="2:29" x14ac:dyDescent="0.25">
      <c r="B48" s="5"/>
      <c r="C48" s="5"/>
      <c r="D48" s="5"/>
      <c r="E48" s="5"/>
      <c r="F48" s="5"/>
      <c r="G48" s="5"/>
      <c r="H48" s="41"/>
      <c r="I48" s="41"/>
      <c r="J48" s="41"/>
      <c r="K48" s="41"/>
      <c r="L48" s="5"/>
      <c r="M48" s="5"/>
      <c r="N48" s="58"/>
      <c r="X48" s="5"/>
    </row>
    <row r="49" spans="24:24" x14ac:dyDescent="0.25">
      <c r="X49" s="5"/>
    </row>
    <row r="50" spans="24:24" x14ac:dyDescent="0.25">
      <c r="X50" s="5"/>
    </row>
    <row r="51" spans="24:24" x14ac:dyDescent="0.25">
      <c r="X51" s="5"/>
    </row>
    <row r="52" spans="24:24" x14ac:dyDescent="0.25">
      <c r="X52" s="5"/>
    </row>
    <row r="53" spans="24:24" x14ac:dyDescent="0.25">
      <c r="X53" s="5"/>
    </row>
    <row r="54" spans="24:24" x14ac:dyDescent="0.25">
      <c r="X54" s="5"/>
    </row>
    <row r="55" spans="24:24" x14ac:dyDescent="0.25">
      <c r="X55" s="5"/>
    </row>
    <row r="56" spans="24:24" x14ac:dyDescent="0.25">
      <c r="X56" s="5"/>
    </row>
    <row r="57" spans="24:24" x14ac:dyDescent="0.25">
      <c r="X57" s="5"/>
    </row>
    <row r="58" spans="24:24" x14ac:dyDescent="0.25">
      <c r="X58" s="5"/>
    </row>
    <row r="59" spans="24:24" x14ac:dyDescent="0.25">
      <c r="X59" s="5"/>
    </row>
  </sheetData>
  <mergeCells count="14">
    <mergeCell ref="W6:W8"/>
    <mergeCell ref="AC6:AE8"/>
    <mergeCell ref="D6:E6"/>
    <mergeCell ref="D8:E8"/>
    <mergeCell ref="G8:H8"/>
    <mergeCell ref="B1:U1"/>
    <mergeCell ref="B2:U2"/>
    <mergeCell ref="B3:U3"/>
    <mergeCell ref="B4:U4"/>
    <mergeCell ref="B47:U47"/>
    <mergeCell ref="Q6:R6"/>
    <mergeCell ref="Q8:R8"/>
    <mergeCell ref="S6:T6"/>
    <mergeCell ref="S8:T8"/>
  </mergeCells>
  <printOptions horizontalCentered="1"/>
  <pageMargins left="0.25" right="0.1" top="1" bottom="0.25" header="0.5" footer="0.5"/>
  <pageSetup paperSize="9" scale="5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Unaudited Dec 03</vt:lpstr>
      <vt:lpstr>'Unaudited Dec 03'!Print_Area</vt:lpstr>
    </vt:vector>
  </TitlesOfParts>
  <Company>Thermax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Natu</dc:creator>
  <cp:lastModifiedBy>Ben Zorn</cp:lastModifiedBy>
  <dcterms:created xsi:type="dcterms:W3CDTF">2004-01-29T08:38:56Z</dcterms:created>
  <dcterms:modified xsi:type="dcterms:W3CDTF">2018-06-14T00:28:02Z</dcterms:modified>
</cp:coreProperties>
</file>