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3BB1A34-4E1C-4EB7-8516-D27AFD8150AB}" xr6:coauthVersionLast="34" xr6:coauthVersionMax="34" xr10:uidLastSave="{00000000-0000-0000-0000-000000000000}"/>
  <bookViews>
    <workbookView xWindow="360" yWindow="75" windowWidth="11295" windowHeight="6285" tabRatio="807" firstSheet="5" activeTab="10"/>
  </bookViews>
  <sheets>
    <sheet name="Chart2.7" sheetId="103" r:id="rId1"/>
    <sheet name="Chart2.8" sheetId="104" r:id="rId2"/>
    <sheet name="Chart2.9" sheetId="105" r:id="rId3"/>
    <sheet name="2.10" sheetId="106" r:id="rId4"/>
    <sheet name="2.11" sheetId="107" r:id="rId5"/>
    <sheet name="Chart2.13" sheetId="110" r:id="rId6"/>
    <sheet name="Chart2.14" sheetId="111" r:id="rId7"/>
    <sheet name="Chart2.15" sheetId="112" r:id="rId8"/>
    <sheet name="Chart2.16" sheetId="113" r:id="rId9"/>
    <sheet name="Chart2.17" sheetId="114" r:id="rId10"/>
    <sheet name="Data" sheetId="98" r:id="rId11"/>
    <sheet name="2.1" sheetId="1" r:id="rId12"/>
    <sheet name="2.2" sheetId="8" r:id="rId13"/>
    <sheet name="2.3" sheetId="3" r:id="rId14"/>
    <sheet name="2.4" sheetId="99" r:id="rId15"/>
    <sheet name="2.5" sheetId="96" r:id="rId16"/>
    <sheet name="2.6" sheetId="97" r:id="rId17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98" l="1"/>
  <c r="K152" i="98"/>
  <c r="J152" i="98"/>
  <c r="J141" i="98"/>
  <c r="K141" i="98"/>
  <c r="J128" i="98"/>
  <c r="K128" i="98"/>
  <c r="K115" i="98"/>
  <c r="J115" i="98"/>
  <c r="K89" i="98"/>
  <c r="J89" i="98"/>
  <c r="K76" i="98"/>
  <c r="K77" i="98"/>
  <c r="J77" i="98"/>
  <c r="K65" i="98"/>
  <c r="K66" i="98" s="1"/>
  <c r="J66" i="98"/>
  <c r="J54" i="98"/>
  <c r="K53" i="98"/>
  <c r="K41" i="98"/>
  <c r="J42" i="98"/>
  <c r="K29" i="98"/>
  <c r="K30" i="98" s="1"/>
  <c r="J30" i="98"/>
  <c r="K17" i="98"/>
  <c r="K18" i="98"/>
  <c r="J18" i="98"/>
  <c r="D77" i="98"/>
  <c r="C77" i="98"/>
  <c r="B77" i="98"/>
  <c r="I152" i="98"/>
  <c r="H152" i="98"/>
  <c r="G152" i="98"/>
  <c r="F152" i="98"/>
  <c r="E152" i="98"/>
  <c r="D152" i="98"/>
  <c r="C152" i="98"/>
  <c r="B152" i="98"/>
  <c r="I77" i="98"/>
  <c r="H77" i="98"/>
  <c r="G77" i="98"/>
  <c r="F77" i="98"/>
  <c r="E77" i="98"/>
  <c r="I141" i="98"/>
  <c r="I128" i="98"/>
  <c r="I115" i="98"/>
  <c r="I102" i="98"/>
  <c r="I89" i="98"/>
  <c r="I61" i="98"/>
  <c r="I62" i="98"/>
  <c r="I63" i="98"/>
  <c r="I64" i="98"/>
  <c r="I65" i="98"/>
  <c r="I66" i="98"/>
  <c r="I49" i="98"/>
  <c r="I50" i="98"/>
  <c r="I51" i="98"/>
  <c r="I52" i="98"/>
  <c r="I53" i="98"/>
  <c r="I54" i="98"/>
  <c r="I37" i="98"/>
  <c r="I42" i="98" s="1"/>
  <c r="I38" i="98"/>
  <c r="I39" i="98"/>
  <c r="I40" i="98"/>
  <c r="I41" i="98"/>
  <c r="I25" i="98"/>
  <c r="I30" i="98" s="1"/>
  <c r="I26" i="98"/>
  <c r="I27" i="98"/>
  <c r="I28" i="98"/>
  <c r="I29" i="98"/>
  <c r="I13" i="98"/>
  <c r="I14" i="98"/>
  <c r="I15" i="98"/>
  <c r="I16" i="98"/>
  <c r="I17" i="98"/>
  <c r="I18" i="98"/>
  <c r="H102" i="98"/>
  <c r="G102" i="98"/>
  <c r="F102" i="98"/>
  <c r="E102" i="98"/>
  <c r="D102" i="98"/>
  <c r="C102" i="98"/>
  <c r="B102" i="98"/>
  <c r="H141" i="98"/>
  <c r="G141" i="98"/>
  <c r="E141" i="98"/>
  <c r="C128" i="98"/>
  <c r="H128" i="98"/>
  <c r="G128" i="98"/>
  <c r="B128" i="98"/>
  <c r="F128" i="98"/>
  <c r="E128" i="98"/>
  <c r="D128" i="98"/>
  <c r="F89" i="98"/>
  <c r="E89" i="98"/>
  <c r="D89" i="98"/>
  <c r="C89" i="98"/>
  <c r="B89" i="98"/>
  <c r="F115" i="98"/>
  <c r="E115" i="98"/>
  <c r="D115" i="98"/>
  <c r="C115" i="98"/>
  <c r="B115" i="98"/>
  <c r="F38" i="98"/>
  <c r="F39" i="98"/>
  <c r="F40" i="98"/>
  <c r="F41" i="98"/>
  <c r="E38" i="98"/>
  <c r="E39" i="98"/>
  <c r="E40" i="98"/>
  <c r="E41" i="98"/>
  <c r="D38" i="98"/>
  <c r="D39" i="98" s="1"/>
  <c r="C38" i="98"/>
  <c r="C39" i="98"/>
  <c r="C40" i="98" s="1"/>
  <c r="C41" i="98" s="1"/>
  <c r="B39" i="98"/>
  <c r="B40" i="98"/>
  <c r="B41" i="98"/>
  <c r="F26" i="98"/>
  <c r="F27" i="98"/>
  <c r="F28" i="98" s="1"/>
  <c r="F29" i="98" s="1"/>
  <c r="E26" i="98"/>
  <c r="E27" i="98" s="1"/>
  <c r="E28" i="98" s="1"/>
  <c r="E29" i="98" s="1"/>
  <c r="D26" i="98"/>
  <c r="D27" i="98"/>
  <c r="D28" i="98"/>
  <c r="D29" i="98" s="1"/>
  <c r="C26" i="98"/>
  <c r="C27" i="98" s="1"/>
  <c r="C28" i="98" s="1"/>
  <c r="C29" i="98" s="1"/>
  <c r="B27" i="98"/>
  <c r="B28" i="98"/>
  <c r="B29" i="98"/>
  <c r="F14" i="98"/>
  <c r="F15" i="98"/>
  <c r="F16" i="98" s="1"/>
  <c r="F17" i="98" s="1"/>
  <c r="E14" i="98"/>
  <c r="E15" i="98"/>
  <c r="E16" i="98"/>
  <c r="E17" i="98"/>
  <c r="D14" i="98"/>
  <c r="D15" i="98"/>
  <c r="D16" i="98"/>
  <c r="D17" i="98"/>
  <c r="C14" i="98"/>
  <c r="C15" i="98"/>
  <c r="C16" i="98"/>
  <c r="C17" i="98" s="1"/>
  <c r="B15" i="98"/>
  <c r="B16" i="98" s="1"/>
  <c r="B17" i="98" s="1"/>
  <c r="D40" i="98" l="1"/>
  <c r="D41" i="98"/>
</calcChain>
</file>

<file path=xl/sharedStrings.xml><?xml version="1.0" encoding="utf-8"?>
<sst xmlns="http://schemas.openxmlformats.org/spreadsheetml/2006/main" count="122" uniqueCount="39">
  <si>
    <t>Chart 2.1: 16 and 18 year old population of the UK (1000s)</t>
  </si>
  <si>
    <t>(Source: ONS &amp; Government Actuaries Department Population Estimates)</t>
  </si>
  <si>
    <t>18 year olds</t>
  </si>
  <si>
    <t>16 year olds</t>
  </si>
  <si>
    <t>Chart 2.2:  GCSEs achieved in Mathematics (all boards, UK candidates)</t>
  </si>
  <si>
    <t>A*</t>
  </si>
  <si>
    <t>A</t>
  </si>
  <si>
    <t>B</t>
  </si>
  <si>
    <t>C</t>
  </si>
  <si>
    <t>Other grades</t>
  </si>
  <si>
    <t>Total</t>
  </si>
  <si>
    <t>D</t>
  </si>
  <si>
    <t>E</t>
  </si>
  <si>
    <t>N &amp; U</t>
  </si>
  <si>
    <t>Maths</t>
  </si>
  <si>
    <t>Physics</t>
  </si>
  <si>
    <t>Chemistry</t>
  </si>
  <si>
    <t>Technology</t>
  </si>
  <si>
    <t>(Source: Joint Council, AQA)</t>
  </si>
  <si>
    <t>(Sources: Joint Council, AQA/Government population estimates)</t>
  </si>
  <si>
    <t>2000 Based</t>
  </si>
  <si>
    <t>mid year</t>
  </si>
  <si>
    <t>Other Grades</t>
  </si>
  <si>
    <t>Chart 2.8: A-levels achieved in Mathematics (all boards, UK candidates)</t>
  </si>
  <si>
    <t>Chart 2.9: A-levels achieved in Further Mathematics (all boards, UK candidates)</t>
  </si>
  <si>
    <t>Chart 2.10: A-levels achieved in Physics (all boards, UK candidates)</t>
  </si>
  <si>
    <t>Chart 2.11: A-levels achieved in Chemistry (all boards, UK candidates)</t>
  </si>
  <si>
    <t>IT/Computing</t>
  </si>
  <si>
    <t>Chart 2.3:  GCSEs achieved in Physics (all boards, UK candidates)</t>
  </si>
  <si>
    <t>Chart 2.5:  GCSEs achieved in Chemistry (all boards, UK candidates)</t>
  </si>
  <si>
    <t>Chart 2.6:  GCSEs achieved in Design and Technology (all boards, UK candidates)</t>
  </si>
  <si>
    <t>Chart 2.14:  Ratio of A-level Mathematics, Physics, Chemistry,Technology and IT/Computing awards to the 18 year old population</t>
  </si>
  <si>
    <t>(Source, Joint Council, AQA)</t>
  </si>
  <si>
    <t>Chart 2.7: GCSEs achieved in Information Technology (all boards, UK candidates)</t>
  </si>
  <si>
    <t>Chart 2.13: A-levels achieved in Computing (all boards, UK candidates)</t>
  </si>
  <si>
    <t>Chart 2.12: A-levels achieved in Technology Subjecst (all boards, UK candidates)</t>
  </si>
  <si>
    <t>Chart 2.4:  GCSEs achieved in Science: Double Award (all boards, UK candidates)</t>
  </si>
  <si>
    <t>Note: Science: Double Award counts as two GCSE entries.  These entries, therefore, are counted twice both in the subject and in the overall figures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</si>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</sst>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9" x14ac:knownFonts="1">
    <font>
      <sz val="10"/>
      <color indexed="8"/>
      <name val="MS Sans Serif"/>
    </font>
    <font>
      <sz val="21.75"/>
      <name val="Arial"/>
      <family val="2"/>
    </font>
    <font>
      <sz val="10"/>
      <name val="Arial"/>
      <family val="2"/>
    </font>
    <font>
      <sz val="15.5"/>
      <name val="Arial"/>
    </font>
    <font>
      <sz val="15.5"/>
      <name val="Arial"/>
    </font>
    <font>
      <sz val="9"/>
      <name val="Arial"/>
    </font>
    <font>
      <sz val="9"/>
      <name val="Arial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7" fillId="0" borderId="0" xfId="0" applyFont="1"/>
    <xf numFmtId="0" fontId="8" fillId="0" borderId="0" xfId="0" applyFont="1"/>
    <xf numFmtId="17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5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all candidates)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975180972078593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6"/>
          <c:y val="0.2830508474576271"/>
          <c:w val="0.76835573940020685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Data!$B$135:$K$135</c:f>
              <c:numCache>
                <c:formatCode>General</c:formatCode>
                <c:ptCount val="10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  <c:pt idx="8">
                  <c:v>2347</c:v>
                </c:pt>
                <c:pt idx="9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D-4656-9A6F-B04F6A6C172C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Data!$B$136:$K$136</c:f>
              <c:numCache>
                <c:formatCode>General</c:formatCode>
                <c:ptCount val="10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  <c:pt idx="8">
                  <c:v>2337</c:v>
                </c:pt>
                <c:pt idx="9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D-4656-9A6F-B04F6A6C172C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Data!$B$137:$K$137</c:f>
              <c:numCache>
                <c:formatCode>General</c:formatCode>
                <c:ptCount val="10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  <c:pt idx="8">
                  <c:v>3766</c:v>
                </c:pt>
                <c:pt idx="9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D-4656-9A6F-B04F6A6C172C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Data!$B$138:$K$138</c:f>
              <c:numCache>
                <c:formatCode>General</c:formatCode>
                <c:ptCount val="10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  <c:pt idx="8">
                  <c:v>3209</c:v>
                </c:pt>
                <c:pt idx="9">
                  <c:v>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D-4656-9A6F-B04F6A6C172C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Data!$B$139:$K$139</c:f>
              <c:numCache>
                <c:formatCode>General</c:formatCode>
                <c:ptCount val="10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  <c:pt idx="8">
                  <c:v>1994</c:v>
                </c:pt>
                <c:pt idx="9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3D-4656-9A6F-B04F6A6C172C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Data!$B$140:$K$140</c:f>
              <c:numCache>
                <c:formatCode>General</c:formatCode>
                <c:ptCount val="10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  <c:pt idx="8">
                  <c:v>1256</c:v>
                </c:pt>
                <c:pt idx="9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3D-4656-9A6F-B04F6A6C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27752"/>
        <c:axId val="1"/>
      </c:barChart>
      <c:catAx>
        <c:axId val="85152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2711864406779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27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92864529472594"/>
          <c:y val="0.43728813559322033"/>
          <c:w val="8.8934850051706302E-2"/>
          <c:h val="0.30677966101694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Subjects (all boards, UK candidates)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96173733195449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6814891416754"/>
          <c:y val="0.2830508474576271"/>
          <c:w val="0.76318510858324717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Data!$B$135:$I$135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AC9-A27F-C2ECDAAF6869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Data!$B$136:$I$136</c:f>
              <c:numCache>
                <c:formatCode>General</c:formatCode>
                <c:ptCount val="8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7-4AC9-A27F-C2ECDAAF6869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Data!$B$137:$I$137</c:f>
              <c:numCache>
                <c:formatCode>General</c:formatCode>
                <c:ptCount val="8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7-4AC9-A27F-C2ECDAAF6869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Data!$B$138:$I$138</c:f>
              <c:numCache>
                <c:formatCode>General</c:formatCode>
                <c:ptCount val="8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7-4AC9-A27F-C2ECDAAF6869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Data!$B$139:$I$139</c:f>
              <c:numCache>
                <c:formatCode>General</c:formatCode>
                <c:ptCount val="8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7-4AC9-A27F-C2ECDAAF6869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Data!$B$140:$I$140</c:f>
              <c:numCache>
                <c:formatCode>General</c:formatCode>
                <c:ptCount val="8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7-4AC9-A27F-C2ECDAAF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11680"/>
        <c:axId val="1"/>
      </c:barChart>
      <c:catAx>
        <c:axId val="8515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101694915254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11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92864529472594"/>
          <c:y val="0.43728813559322033"/>
          <c:w val="8.8934850051706302E-2"/>
          <c:h val="0.30677966101694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2.1:  16 and 18 year old population of the UK (1000s)</a:t>
            </a:r>
            <a:endParaRPr lang="en-US" sz="217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ONS &amp; Government Actuaries Department Population Estimates, projections 2000 based)</a:t>
            </a:r>
          </a:p>
        </c:rich>
      </c:tx>
      <c:layout>
        <c:manualLayout>
          <c:xMode val="edge"/>
          <c:yMode val="edge"/>
          <c:x val="0.10031023784901758"/>
          <c:y val="1.9817073170731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9462254395042E-2"/>
          <c:y val="0.23932926829268292"/>
          <c:w val="0.8200620475698035"/>
          <c:h val="0.61128048780487809"/>
        </c:manualLayout>
      </c:layout>
      <c:lineChart>
        <c:grouping val="standard"/>
        <c:varyColors val="0"/>
        <c:ser>
          <c:idx val="1"/>
          <c:order val="0"/>
          <c:tx>
            <c:strRef>
              <c:f>Data!$A$5</c:f>
              <c:strCache>
                <c:ptCount val="1"/>
                <c:pt idx="0">
                  <c:v>18 year olds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Data!$B$5:$X$5</c:f>
              <c:numCache>
                <c:formatCode>General</c:formatCode>
                <c:ptCount val="23"/>
                <c:pt idx="0">
                  <c:v>868.7</c:v>
                </c:pt>
                <c:pt idx="1">
                  <c:v>875.3</c:v>
                </c:pt>
                <c:pt idx="2">
                  <c:v>831</c:v>
                </c:pt>
                <c:pt idx="3">
                  <c:v>783.7</c:v>
                </c:pt>
                <c:pt idx="4">
                  <c:v>732.4</c:v>
                </c:pt>
                <c:pt idx="5">
                  <c:v>707.9</c:v>
                </c:pt>
                <c:pt idx="6">
                  <c:v>681.7</c:v>
                </c:pt>
                <c:pt idx="7">
                  <c:v>652.6</c:v>
                </c:pt>
                <c:pt idx="8">
                  <c:v>663.1</c:v>
                </c:pt>
                <c:pt idx="9">
                  <c:v>718.1</c:v>
                </c:pt>
                <c:pt idx="10">
                  <c:v>745.2</c:v>
                </c:pt>
                <c:pt idx="11">
                  <c:v>743.4</c:v>
                </c:pt>
                <c:pt idx="12">
                  <c:v>728.7</c:v>
                </c:pt>
                <c:pt idx="13">
                  <c:v>738</c:v>
                </c:pt>
                <c:pt idx="14">
                  <c:v>738</c:v>
                </c:pt>
                <c:pt idx="15">
                  <c:v>768</c:v>
                </c:pt>
                <c:pt idx="16">
                  <c:v>777</c:v>
                </c:pt>
                <c:pt idx="17">
                  <c:v>785</c:v>
                </c:pt>
                <c:pt idx="18">
                  <c:v>808</c:v>
                </c:pt>
                <c:pt idx="19">
                  <c:v>799</c:v>
                </c:pt>
                <c:pt idx="20">
                  <c:v>803</c:v>
                </c:pt>
                <c:pt idx="21">
                  <c:v>821</c:v>
                </c:pt>
                <c:pt idx="22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7-4EDE-ACF1-8A80602175F9}"/>
            </c:ext>
          </c:extLst>
        </c:ser>
        <c:ser>
          <c:idx val="0"/>
          <c:order val="1"/>
          <c:tx>
            <c:strRef>
              <c:f>Data!$A$6</c:f>
              <c:strCache>
                <c:ptCount val="1"/>
                <c:pt idx="0">
                  <c:v>16 year olds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Data!$B$6:$X$6</c:f>
              <c:numCache>
                <c:formatCode>General</c:formatCode>
                <c:ptCount val="23"/>
                <c:pt idx="0">
                  <c:v>827.8</c:v>
                </c:pt>
                <c:pt idx="1">
                  <c:v>780</c:v>
                </c:pt>
                <c:pt idx="2">
                  <c:v>730.4</c:v>
                </c:pt>
                <c:pt idx="3">
                  <c:v>709.1</c:v>
                </c:pt>
                <c:pt idx="4">
                  <c:v>680.5</c:v>
                </c:pt>
                <c:pt idx="5">
                  <c:v>651.1</c:v>
                </c:pt>
                <c:pt idx="6">
                  <c:v>662.2</c:v>
                </c:pt>
                <c:pt idx="7">
                  <c:v>717.4</c:v>
                </c:pt>
                <c:pt idx="8">
                  <c:v>745.1</c:v>
                </c:pt>
                <c:pt idx="9">
                  <c:v>741.7</c:v>
                </c:pt>
                <c:pt idx="10">
                  <c:v>729.7</c:v>
                </c:pt>
                <c:pt idx="11">
                  <c:v>731.6</c:v>
                </c:pt>
                <c:pt idx="12">
                  <c:v>726.4</c:v>
                </c:pt>
                <c:pt idx="13">
                  <c:v>757</c:v>
                </c:pt>
                <c:pt idx="14">
                  <c:v>767</c:v>
                </c:pt>
                <c:pt idx="15">
                  <c:v>775</c:v>
                </c:pt>
                <c:pt idx="16">
                  <c:v>798</c:v>
                </c:pt>
                <c:pt idx="17">
                  <c:v>789</c:v>
                </c:pt>
                <c:pt idx="18">
                  <c:v>793</c:v>
                </c:pt>
                <c:pt idx="19">
                  <c:v>811</c:v>
                </c:pt>
                <c:pt idx="20">
                  <c:v>804</c:v>
                </c:pt>
                <c:pt idx="21">
                  <c:v>775</c:v>
                </c:pt>
                <c:pt idx="2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EDE-ACF1-8A806021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272168"/>
        <c:axId val="1"/>
      </c:lineChart>
      <c:catAx>
        <c:axId val="58127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2168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85211995863495"/>
          <c:y val="0.94969512195121952"/>
          <c:w val="0.32988624612202688"/>
          <c:h val="4.7256097560975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2.2:  GCSEs achieved in Mathematics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0268872802481902"/>
          <c:y val="1.96969696969696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1654601861428"/>
          <c:y val="0.25909090909090909"/>
          <c:w val="0.67425025853154086"/>
          <c:h val="0.64848484848484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Data!$B$13:$K$13</c:f>
              <c:numCache>
                <c:formatCode>General</c:formatCode>
                <c:ptCount val="10"/>
                <c:pt idx="0">
                  <c:v>0</c:v>
                </c:pt>
                <c:pt idx="1">
                  <c:v>11350</c:v>
                </c:pt>
                <c:pt idx="2">
                  <c:v>12589</c:v>
                </c:pt>
                <c:pt idx="3">
                  <c:v>14418</c:v>
                </c:pt>
                <c:pt idx="4">
                  <c:v>14522</c:v>
                </c:pt>
                <c:pt idx="5">
                  <c:v>14841</c:v>
                </c:pt>
                <c:pt idx="6">
                  <c:v>16194</c:v>
                </c:pt>
                <c:pt idx="7" formatCode="0">
                  <c:v>19175.8</c:v>
                </c:pt>
                <c:pt idx="8">
                  <c:v>19936</c:v>
                </c:pt>
                <c:pt idx="9">
                  <c:v>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3-4EB1-A679-3E608EE7DAEB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Data!$B$14:$K$14</c:f>
              <c:numCache>
                <c:formatCode>General</c:formatCode>
                <c:ptCount val="10"/>
                <c:pt idx="0">
                  <c:v>49231</c:v>
                </c:pt>
                <c:pt idx="1">
                  <c:v>43235</c:v>
                </c:pt>
                <c:pt idx="2">
                  <c:v>44534</c:v>
                </c:pt>
                <c:pt idx="3">
                  <c:v>48827</c:v>
                </c:pt>
                <c:pt idx="4">
                  <c:v>51502</c:v>
                </c:pt>
                <c:pt idx="5">
                  <c:v>51885</c:v>
                </c:pt>
                <c:pt idx="6">
                  <c:v>54799</c:v>
                </c:pt>
                <c:pt idx="7" formatCode="0">
                  <c:v>54103.15</c:v>
                </c:pt>
                <c:pt idx="8">
                  <c:v>58417</c:v>
                </c:pt>
                <c:pt idx="9">
                  <c:v>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3-4EB1-A679-3E608EE7DAEB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Data!$B$15:$K$15</c:f>
              <c:numCache>
                <c:formatCode>General</c:formatCode>
                <c:ptCount val="10"/>
                <c:pt idx="0">
                  <c:v>59769</c:v>
                </c:pt>
                <c:pt idx="1">
                  <c:v>101030</c:v>
                </c:pt>
                <c:pt idx="2">
                  <c:v>90592</c:v>
                </c:pt>
                <c:pt idx="3">
                  <c:v>99741</c:v>
                </c:pt>
                <c:pt idx="4">
                  <c:v>99962</c:v>
                </c:pt>
                <c:pt idx="5">
                  <c:v>105666</c:v>
                </c:pt>
                <c:pt idx="6">
                  <c:v>111762</c:v>
                </c:pt>
                <c:pt idx="7" formatCode="0">
                  <c:v>113685.1</c:v>
                </c:pt>
                <c:pt idx="8">
                  <c:v>120054</c:v>
                </c:pt>
                <c:pt idx="9">
                  <c:v>124789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3-4EB1-A679-3E608EE7DAEB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Data!$B$16:$K$16</c:f>
              <c:numCache>
                <c:formatCode>General</c:formatCode>
                <c:ptCount val="10"/>
                <c:pt idx="0">
                  <c:v>154553</c:v>
                </c:pt>
                <c:pt idx="1">
                  <c:v>140895</c:v>
                </c:pt>
                <c:pt idx="2">
                  <c:v>156798</c:v>
                </c:pt>
                <c:pt idx="3">
                  <c:v>162095</c:v>
                </c:pt>
                <c:pt idx="4">
                  <c:v>159162</c:v>
                </c:pt>
                <c:pt idx="5">
                  <c:v>144611</c:v>
                </c:pt>
                <c:pt idx="6">
                  <c:v>147253</c:v>
                </c:pt>
                <c:pt idx="7">
                  <c:v>150667</c:v>
                </c:pt>
                <c:pt idx="8">
                  <c:v>155210</c:v>
                </c:pt>
                <c:pt idx="9">
                  <c:v>154568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3-4EB1-A679-3E608EE7DAEB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Data!$B$17:$K$17</c:f>
              <c:numCache>
                <c:formatCode>General</c:formatCode>
                <c:ptCount val="10"/>
                <c:pt idx="0">
                  <c:v>305706</c:v>
                </c:pt>
                <c:pt idx="1">
                  <c:v>344098</c:v>
                </c:pt>
                <c:pt idx="2">
                  <c:v>373932</c:v>
                </c:pt>
                <c:pt idx="3">
                  <c:v>370328</c:v>
                </c:pt>
                <c:pt idx="4">
                  <c:v>361834</c:v>
                </c:pt>
                <c:pt idx="5">
                  <c:v>365145</c:v>
                </c:pt>
                <c:pt idx="6">
                  <c:v>361818</c:v>
                </c:pt>
                <c:pt idx="7">
                  <c:v>347218.95</c:v>
                </c:pt>
                <c:pt idx="8">
                  <c:v>350631</c:v>
                </c:pt>
                <c:pt idx="9">
                  <c:v>345296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3-4EB1-A679-3E608EE7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0842056"/>
        <c:axId val="1"/>
      </c:barChart>
      <c:catAx>
        <c:axId val="5708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2409513960703205E-2"/>
              <c:y val="0.425757575757575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842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40330920372285"/>
          <c:y val="0.44242424242424244"/>
          <c:w val="0.1592554291623578"/>
          <c:h val="0.228787878787878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2.3:  GCSEs achieved in Physics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3474663908996898"/>
          <c:y val="2.0740740740740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4115822130299"/>
          <c:y val="0.26222222222222225"/>
          <c:w val="0.68665977249224408"/>
          <c:h val="0.65333333333333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Data!$B$25:$K$25</c:f>
              <c:numCache>
                <c:formatCode>General</c:formatCode>
                <c:ptCount val="10"/>
                <c:pt idx="0">
                  <c:v>0</c:v>
                </c:pt>
                <c:pt idx="1">
                  <c:v>4793</c:v>
                </c:pt>
                <c:pt idx="2">
                  <c:v>5650</c:v>
                </c:pt>
                <c:pt idx="3">
                  <c:v>6185</c:v>
                </c:pt>
                <c:pt idx="4">
                  <c:v>6101</c:v>
                </c:pt>
                <c:pt idx="5">
                  <c:v>7218</c:v>
                </c:pt>
                <c:pt idx="6">
                  <c:v>8514</c:v>
                </c:pt>
                <c:pt idx="7" formatCode="0">
                  <c:v>8030.851999999999</c:v>
                </c:pt>
                <c:pt idx="8">
                  <c:v>8154</c:v>
                </c:pt>
                <c:pt idx="9">
                  <c:v>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902-BC94-CC11A85DE29F}"/>
            </c:ext>
          </c:extLst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Data!$B$26:$K$26</c:f>
              <c:numCache>
                <c:formatCode>General</c:formatCode>
                <c:ptCount val="10"/>
                <c:pt idx="0">
                  <c:v>15362</c:v>
                </c:pt>
                <c:pt idx="1">
                  <c:v>10172</c:v>
                </c:pt>
                <c:pt idx="2">
                  <c:v>9287</c:v>
                </c:pt>
                <c:pt idx="3">
                  <c:v>10287</c:v>
                </c:pt>
                <c:pt idx="4">
                  <c:v>10226</c:v>
                </c:pt>
                <c:pt idx="5">
                  <c:v>11179</c:v>
                </c:pt>
                <c:pt idx="6">
                  <c:v>11413</c:v>
                </c:pt>
                <c:pt idx="7" formatCode="0">
                  <c:v>12139.66</c:v>
                </c:pt>
                <c:pt idx="8">
                  <c:v>12285</c:v>
                </c:pt>
                <c:pt idx="9">
                  <c:v>12232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2-4902-BC94-CC11A85DE29F}"/>
            </c:ext>
          </c:extLst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Data!$B$27:$K$27</c:f>
              <c:numCache>
                <c:formatCode>General</c:formatCode>
                <c:ptCount val="10"/>
                <c:pt idx="0">
                  <c:v>13813</c:v>
                </c:pt>
                <c:pt idx="1">
                  <c:v>11538</c:v>
                </c:pt>
                <c:pt idx="2">
                  <c:v>13506</c:v>
                </c:pt>
                <c:pt idx="3">
                  <c:v>14503</c:v>
                </c:pt>
                <c:pt idx="4">
                  <c:v>13218</c:v>
                </c:pt>
                <c:pt idx="5">
                  <c:v>11374</c:v>
                </c:pt>
                <c:pt idx="6">
                  <c:v>11334</c:v>
                </c:pt>
                <c:pt idx="7" formatCode="0">
                  <c:v>11439.295</c:v>
                </c:pt>
                <c:pt idx="8">
                  <c:v>11387</c:v>
                </c:pt>
                <c:pt idx="9">
                  <c:v>10791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2-4902-BC94-CC11A85DE29F}"/>
            </c:ext>
          </c:extLst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Data!$B$28:$K$28</c:f>
              <c:numCache>
                <c:formatCode>General</c:formatCode>
                <c:ptCount val="10"/>
                <c:pt idx="0">
                  <c:v>15329</c:v>
                </c:pt>
                <c:pt idx="1">
                  <c:v>13117</c:v>
                </c:pt>
                <c:pt idx="2">
                  <c:v>8934</c:v>
                </c:pt>
                <c:pt idx="3">
                  <c:v>8733</c:v>
                </c:pt>
                <c:pt idx="4">
                  <c:v>9250</c:v>
                </c:pt>
                <c:pt idx="5">
                  <c:v>9678</c:v>
                </c:pt>
                <c:pt idx="6">
                  <c:v>9665</c:v>
                </c:pt>
                <c:pt idx="7" formatCode="0">
                  <c:v>9478.273000000001</c:v>
                </c:pt>
                <c:pt idx="8">
                  <c:v>9566</c:v>
                </c:pt>
                <c:pt idx="9">
                  <c:v>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2-4902-BC94-CC11A85DE29F}"/>
            </c:ext>
          </c:extLst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Data!$B$29:$K$29</c:f>
              <c:numCache>
                <c:formatCode>General</c:formatCode>
                <c:ptCount val="10"/>
                <c:pt idx="0">
                  <c:v>20772</c:v>
                </c:pt>
                <c:pt idx="1">
                  <c:v>13883</c:v>
                </c:pt>
                <c:pt idx="2">
                  <c:v>6462</c:v>
                </c:pt>
                <c:pt idx="3">
                  <c:v>6744</c:v>
                </c:pt>
                <c:pt idx="4">
                  <c:v>6183</c:v>
                </c:pt>
                <c:pt idx="5">
                  <c:v>6075</c:v>
                </c:pt>
                <c:pt idx="6">
                  <c:v>5865</c:v>
                </c:pt>
                <c:pt idx="7" formatCode="0">
                  <c:v>5602.92</c:v>
                </c:pt>
                <c:pt idx="8">
                  <c:v>5282</c:v>
                </c:pt>
                <c:pt idx="9">
                  <c:v>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2-4902-BC94-CC11A85D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430288"/>
        <c:axId val="1"/>
      </c:barChart>
      <c:catAx>
        <c:axId val="57443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344364012409514E-2"/>
              <c:y val="0.434074074074074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30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867631851085833"/>
          <c:y val="0.46962962962962962"/>
          <c:w val="0.1592554291623578"/>
          <c:h val="0.2237037037037037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2.4: GCSEs achieved in Science: Double Award</a:t>
            </a:r>
          </a:p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</a:p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1478800413650465"/>
          <c:y val="1.96969696969696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9669079627715"/>
          <c:y val="0.26212121212121214"/>
          <c:w val="0.65667011375387796"/>
          <c:h val="0.6454545454545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Data!$B$37:$K$37</c:f>
              <c:numCache>
                <c:formatCode>General</c:formatCode>
                <c:ptCount val="10"/>
                <c:pt idx="0">
                  <c:v>0</c:v>
                </c:pt>
                <c:pt idx="1">
                  <c:v>23903</c:v>
                </c:pt>
                <c:pt idx="2">
                  <c:v>33906</c:v>
                </c:pt>
                <c:pt idx="3">
                  <c:v>31608</c:v>
                </c:pt>
                <c:pt idx="4">
                  <c:v>35300</c:v>
                </c:pt>
                <c:pt idx="5">
                  <c:v>34410</c:v>
                </c:pt>
                <c:pt idx="6">
                  <c:v>37459</c:v>
                </c:pt>
                <c:pt idx="7" formatCode="0">
                  <c:v>38728.307000000001</c:v>
                </c:pt>
                <c:pt idx="8">
                  <c:v>41684</c:v>
                </c:pt>
                <c:pt idx="9">
                  <c:v>41973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C-4BA2-BAE4-02CA5E9EA90E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Data!$B$38:$K$38</c:f>
              <c:numCache>
                <c:formatCode>General</c:formatCode>
                <c:ptCount val="10"/>
                <c:pt idx="0">
                  <c:v>57083</c:v>
                </c:pt>
                <c:pt idx="1">
                  <c:v>58540</c:v>
                </c:pt>
                <c:pt idx="2">
                  <c:v>65464</c:v>
                </c:pt>
                <c:pt idx="3">
                  <c:v>71309</c:v>
                </c:pt>
                <c:pt idx="4">
                  <c:v>70654</c:v>
                </c:pt>
                <c:pt idx="5">
                  <c:v>76939</c:v>
                </c:pt>
                <c:pt idx="6">
                  <c:v>76311</c:v>
                </c:pt>
                <c:pt idx="7" formatCode="0">
                  <c:v>80596.747000000003</c:v>
                </c:pt>
                <c:pt idx="8">
                  <c:v>83508</c:v>
                </c:pt>
                <c:pt idx="9">
                  <c:v>82923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C-4BA2-BAE4-02CA5E9EA90E}"/>
            </c:ext>
          </c:extLst>
        </c:ser>
        <c:ser>
          <c:idx val="2"/>
          <c:order val="2"/>
          <c:tx>
            <c:strRef>
              <c:f>Data!$A$39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Data!$B$39:$K$39</c:f>
              <c:numCache>
                <c:formatCode>General</c:formatCode>
                <c:ptCount val="10"/>
                <c:pt idx="0">
                  <c:v>74825</c:v>
                </c:pt>
                <c:pt idx="1">
                  <c:v>155915</c:v>
                </c:pt>
                <c:pt idx="2">
                  <c:v>173599</c:v>
                </c:pt>
                <c:pt idx="3">
                  <c:v>179260</c:v>
                </c:pt>
                <c:pt idx="4">
                  <c:v>177682</c:v>
                </c:pt>
                <c:pt idx="5">
                  <c:v>126113</c:v>
                </c:pt>
                <c:pt idx="6">
                  <c:v>126298</c:v>
                </c:pt>
                <c:pt idx="7" formatCode="0">
                  <c:v>124558.609</c:v>
                </c:pt>
                <c:pt idx="8">
                  <c:v>130929</c:v>
                </c:pt>
                <c:pt idx="9">
                  <c:v>132063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C-4BA2-BAE4-02CA5E9EA90E}"/>
            </c:ext>
          </c:extLst>
        </c:ser>
        <c:ser>
          <c:idx val="3"/>
          <c:order val="3"/>
          <c:tx>
            <c:strRef>
              <c:f>Data!$A$40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Data!$B$40:$K$40</c:f>
              <c:numCache>
                <c:formatCode>General</c:formatCode>
                <c:ptCount val="10"/>
                <c:pt idx="0">
                  <c:v>139614</c:v>
                </c:pt>
                <c:pt idx="1">
                  <c:v>160803</c:v>
                </c:pt>
                <c:pt idx="2">
                  <c:v>201625</c:v>
                </c:pt>
                <c:pt idx="3">
                  <c:v>208733</c:v>
                </c:pt>
                <c:pt idx="4">
                  <c:v>208177</c:v>
                </c:pt>
                <c:pt idx="5">
                  <c:v>258794</c:v>
                </c:pt>
                <c:pt idx="6">
                  <c:v>267092</c:v>
                </c:pt>
                <c:pt idx="7" formatCode="0">
                  <c:v>276331.70400000003</c:v>
                </c:pt>
                <c:pt idx="8">
                  <c:v>294087</c:v>
                </c:pt>
                <c:pt idx="9">
                  <c:v>282553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C-4BA2-BAE4-02CA5E9EA90E}"/>
            </c:ext>
          </c:extLst>
        </c:ser>
        <c:ser>
          <c:idx val="4"/>
          <c:order val="4"/>
          <c:tx>
            <c:strRef>
              <c:f>Data!$A$41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Data!$B$41:$K$41</c:f>
              <c:numCache>
                <c:formatCode>General</c:formatCode>
                <c:ptCount val="10"/>
                <c:pt idx="0">
                  <c:v>335475</c:v>
                </c:pt>
                <c:pt idx="1">
                  <c:v>479593</c:v>
                </c:pt>
                <c:pt idx="2">
                  <c:v>523081</c:v>
                </c:pt>
                <c:pt idx="3">
                  <c:v>523361</c:v>
                </c:pt>
                <c:pt idx="4">
                  <c:v>523760</c:v>
                </c:pt>
                <c:pt idx="5">
                  <c:v>522652</c:v>
                </c:pt>
                <c:pt idx="6">
                  <c:v>533367</c:v>
                </c:pt>
                <c:pt idx="7" formatCode="0">
                  <c:v>526495.63300000003</c:v>
                </c:pt>
                <c:pt idx="8">
                  <c:v>538519</c:v>
                </c:pt>
                <c:pt idx="9">
                  <c:v>484229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C-4BA2-BAE4-02CA5E9E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851504136"/>
        <c:axId val="1"/>
      </c:barChart>
      <c:catAx>
        <c:axId val="85150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27272727272727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04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76421923474664"/>
          <c:y val="0.47121212121212119"/>
          <c:w val="0.1592554291623578"/>
          <c:h val="0.228787878787878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2.8:  A-levels achieved in Mathematics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9648397104446744"/>
          <c:y val="2.6239067055393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6"/>
          <c:y val="0.3075801749271137"/>
          <c:w val="0.76732161323681491"/>
          <c:h val="0.5349854227405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Data!$A$83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Data!$B$83:$K$83</c:f>
              <c:numCache>
                <c:formatCode>General</c:formatCode>
                <c:ptCount val="10"/>
                <c:pt idx="0">
                  <c:v>15940</c:v>
                </c:pt>
                <c:pt idx="1">
                  <c:v>16188</c:v>
                </c:pt>
                <c:pt idx="2">
                  <c:v>17520</c:v>
                </c:pt>
                <c:pt idx="3">
                  <c:v>18314</c:v>
                </c:pt>
                <c:pt idx="4">
                  <c:v>19027</c:v>
                </c:pt>
                <c:pt idx="5">
                  <c:v>19955</c:v>
                </c:pt>
                <c:pt idx="6">
                  <c:v>20003</c:v>
                </c:pt>
                <c:pt idx="7">
                  <c:v>19646</c:v>
                </c:pt>
                <c:pt idx="8">
                  <c:v>19893</c:v>
                </c:pt>
                <c:pt idx="9">
                  <c:v>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4-4CDB-8026-5AFFD563F35C}"/>
            </c:ext>
          </c:extLst>
        </c:ser>
        <c:ser>
          <c:idx val="2"/>
          <c:order val="1"/>
          <c:tx>
            <c:strRef>
              <c:f>Data!$A$84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Data!$B$84:$K$84</c:f>
              <c:numCache>
                <c:formatCode>General</c:formatCode>
                <c:ptCount val="10"/>
                <c:pt idx="0">
                  <c:v>11097</c:v>
                </c:pt>
                <c:pt idx="1">
                  <c:v>11496</c:v>
                </c:pt>
                <c:pt idx="2">
                  <c:v>11648</c:v>
                </c:pt>
                <c:pt idx="3">
                  <c:v>12953</c:v>
                </c:pt>
                <c:pt idx="4">
                  <c:v>13862</c:v>
                </c:pt>
                <c:pt idx="5">
                  <c:v>13317</c:v>
                </c:pt>
                <c:pt idx="6">
                  <c:v>13221</c:v>
                </c:pt>
                <c:pt idx="7">
                  <c:v>12806</c:v>
                </c:pt>
                <c:pt idx="8">
                  <c:v>12548</c:v>
                </c:pt>
                <c:pt idx="9">
                  <c:v>10249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4-4CDB-8026-5AFFD563F35C}"/>
            </c:ext>
          </c:extLst>
        </c:ser>
        <c:ser>
          <c:idx val="3"/>
          <c:order val="2"/>
          <c:tx>
            <c:strRef>
              <c:f>Data!$A$85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Data!$B$85:$K$85</c:f>
              <c:numCache>
                <c:formatCode>General</c:formatCode>
                <c:ptCount val="10"/>
                <c:pt idx="0">
                  <c:v>10134</c:v>
                </c:pt>
                <c:pt idx="1">
                  <c:v>10448</c:v>
                </c:pt>
                <c:pt idx="2">
                  <c:v>10527</c:v>
                </c:pt>
                <c:pt idx="3">
                  <c:v>11281</c:v>
                </c:pt>
                <c:pt idx="4">
                  <c:v>11753</c:v>
                </c:pt>
                <c:pt idx="5">
                  <c:v>11463</c:v>
                </c:pt>
                <c:pt idx="6">
                  <c:v>11508</c:v>
                </c:pt>
                <c:pt idx="7">
                  <c:v>11054</c:v>
                </c:pt>
                <c:pt idx="8">
                  <c:v>10706</c:v>
                </c:pt>
                <c:pt idx="9">
                  <c:v>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4-4CDB-8026-5AFFD563F35C}"/>
            </c:ext>
          </c:extLst>
        </c:ser>
        <c:ser>
          <c:idx val="4"/>
          <c:order val="3"/>
          <c:tx>
            <c:strRef>
              <c:f>Data!$A$86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Data!$B$86:$K$86</c:f>
              <c:numCache>
                <c:formatCode>General</c:formatCode>
                <c:ptCount val="10"/>
                <c:pt idx="0">
                  <c:v>9043</c:v>
                </c:pt>
                <c:pt idx="1">
                  <c:v>9039</c:v>
                </c:pt>
                <c:pt idx="2">
                  <c:v>8914</c:v>
                </c:pt>
                <c:pt idx="3">
                  <c:v>9330</c:v>
                </c:pt>
                <c:pt idx="4">
                  <c:v>9609</c:v>
                </c:pt>
                <c:pt idx="5">
                  <c:v>9406</c:v>
                </c:pt>
                <c:pt idx="6">
                  <c:v>9453</c:v>
                </c:pt>
                <c:pt idx="7">
                  <c:v>9257</c:v>
                </c:pt>
                <c:pt idx="8">
                  <c:v>9217</c:v>
                </c:pt>
                <c:pt idx="9">
                  <c:v>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4-4CDB-8026-5AFFD563F35C}"/>
            </c:ext>
          </c:extLst>
        </c:ser>
        <c:ser>
          <c:idx val="5"/>
          <c:order val="4"/>
          <c:tx>
            <c:strRef>
              <c:f>Data!$A$87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Data!$B$87:$K$87</c:f>
              <c:numCache>
                <c:formatCode>General</c:formatCode>
                <c:ptCount val="10"/>
                <c:pt idx="0">
                  <c:v>7411</c:v>
                </c:pt>
                <c:pt idx="1">
                  <c:v>6997</c:v>
                </c:pt>
                <c:pt idx="2">
                  <c:v>6642</c:v>
                </c:pt>
                <c:pt idx="3">
                  <c:v>7223</c:v>
                </c:pt>
                <c:pt idx="4">
                  <c:v>7056</c:v>
                </c:pt>
                <c:pt idx="5">
                  <c:v>7191</c:v>
                </c:pt>
                <c:pt idx="6">
                  <c:v>7330</c:v>
                </c:pt>
                <c:pt idx="7">
                  <c:v>6644</c:v>
                </c:pt>
                <c:pt idx="8">
                  <c:v>7052</c:v>
                </c:pt>
                <c:pt idx="9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4-4CDB-8026-5AFFD563F35C}"/>
            </c:ext>
          </c:extLst>
        </c:ser>
        <c:ser>
          <c:idx val="1"/>
          <c:order val="5"/>
          <c:tx>
            <c:strRef>
              <c:f>Data!$A$88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Data!$B$88:$K$88</c:f>
              <c:numCache>
                <c:formatCode>General</c:formatCode>
                <c:ptCount val="10"/>
                <c:pt idx="0">
                  <c:v>11298</c:v>
                </c:pt>
                <c:pt idx="1">
                  <c:v>9359</c:v>
                </c:pt>
                <c:pt idx="2">
                  <c:v>8176</c:v>
                </c:pt>
                <c:pt idx="3">
                  <c:v>7150</c:v>
                </c:pt>
                <c:pt idx="4">
                  <c:v>6803</c:v>
                </c:pt>
                <c:pt idx="5">
                  <c:v>6916</c:v>
                </c:pt>
                <c:pt idx="6">
                  <c:v>6987</c:v>
                </c:pt>
                <c:pt idx="7">
                  <c:v>6429</c:v>
                </c:pt>
                <c:pt idx="8">
                  <c:v>6475</c:v>
                </c:pt>
                <c:pt idx="9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4-4CDB-8026-5AFFD563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51503152"/>
        <c:axId val="1"/>
      </c:barChart>
      <c:catAx>
        <c:axId val="85150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6.2047569803516025E-3"/>
              <c:y val="0.443148688046647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03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899689762150981"/>
          <c:y val="0.45043731778425655"/>
          <c:w val="8.8934850051706302E-2"/>
          <c:h val="0.26384839650145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2.10:  A-levels achieved in Physics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2026887280248189"/>
          <c:y val="2.61248185776487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2213029989659"/>
          <c:y val="0.26415094339622641"/>
          <c:w val="0.77973112719751814"/>
          <c:h val="0.647314949201741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Data!$A$109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Data!$B$109:$K$109</c:f>
              <c:numCache>
                <c:formatCode>General</c:formatCode>
                <c:ptCount val="10"/>
                <c:pt idx="0">
                  <c:v>6329</c:v>
                </c:pt>
                <c:pt idx="1">
                  <c:v>6511</c:v>
                </c:pt>
                <c:pt idx="2">
                  <c:v>7367</c:v>
                </c:pt>
                <c:pt idx="3">
                  <c:v>6838</c:v>
                </c:pt>
                <c:pt idx="4">
                  <c:v>7186</c:v>
                </c:pt>
                <c:pt idx="5">
                  <c:v>7745</c:v>
                </c:pt>
                <c:pt idx="6">
                  <c:v>8253</c:v>
                </c:pt>
                <c:pt idx="7">
                  <c:v>7979</c:v>
                </c:pt>
                <c:pt idx="8">
                  <c:v>7740</c:v>
                </c:pt>
                <c:pt idx="9">
                  <c:v>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8-4A33-A4FF-6835E87AA2DF}"/>
            </c:ext>
          </c:extLst>
        </c:ser>
        <c:ser>
          <c:idx val="1"/>
          <c:order val="1"/>
          <c:tx>
            <c:strRef>
              <c:f>Data!$A$110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Data!$B$110:$K$110</c:f>
              <c:numCache>
                <c:formatCode>General</c:formatCode>
                <c:ptCount val="10"/>
                <c:pt idx="0">
                  <c:v>6038</c:v>
                </c:pt>
                <c:pt idx="1">
                  <c:v>5616</c:v>
                </c:pt>
                <c:pt idx="2">
                  <c:v>5740</c:v>
                </c:pt>
                <c:pt idx="3">
                  <c:v>6330</c:v>
                </c:pt>
                <c:pt idx="4">
                  <c:v>7173</c:v>
                </c:pt>
                <c:pt idx="5">
                  <c:v>7109</c:v>
                </c:pt>
                <c:pt idx="6">
                  <c:v>6777</c:v>
                </c:pt>
                <c:pt idx="7">
                  <c:v>6419</c:v>
                </c:pt>
                <c:pt idx="8">
                  <c:v>6150</c:v>
                </c:pt>
                <c:pt idx="9">
                  <c:v>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8-4A33-A4FF-6835E87AA2DF}"/>
            </c:ext>
          </c:extLst>
        </c:ser>
        <c:ser>
          <c:idx val="2"/>
          <c:order val="2"/>
          <c:tx>
            <c:strRef>
              <c:f>Data!$A$111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Data!$B$111:$K$111</c:f>
              <c:numCache>
                <c:formatCode>General</c:formatCode>
                <c:ptCount val="10"/>
                <c:pt idx="0">
                  <c:v>6178</c:v>
                </c:pt>
                <c:pt idx="1">
                  <c:v>5992</c:v>
                </c:pt>
                <c:pt idx="2">
                  <c:v>5863</c:v>
                </c:pt>
                <c:pt idx="3">
                  <c:v>5893</c:v>
                </c:pt>
                <c:pt idx="4">
                  <c:v>6120</c:v>
                </c:pt>
                <c:pt idx="5">
                  <c:v>6270</c:v>
                </c:pt>
                <c:pt idx="6">
                  <c:v>6307</c:v>
                </c:pt>
                <c:pt idx="7">
                  <c:v>5884</c:v>
                </c:pt>
                <c:pt idx="8">
                  <c:v>5658</c:v>
                </c:pt>
                <c:pt idx="9">
                  <c:v>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8-4A33-A4FF-6835E87AA2DF}"/>
            </c:ext>
          </c:extLst>
        </c:ser>
        <c:ser>
          <c:idx val="3"/>
          <c:order val="3"/>
          <c:tx>
            <c:strRef>
              <c:f>Data!$A$112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Data!$B$112:$K$112</c:f>
              <c:numCache>
                <c:formatCode>General</c:formatCode>
                <c:ptCount val="10"/>
                <c:pt idx="0">
                  <c:v>6444</c:v>
                </c:pt>
                <c:pt idx="1">
                  <c:v>5988</c:v>
                </c:pt>
                <c:pt idx="2">
                  <c:v>5561</c:v>
                </c:pt>
                <c:pt idx="3">
                  <c:v>5148</c:v>
                </c:pt>
                <c:pt idx="4">
                  <c:v>5142</c:v>
                </c:pt>
                <c:pt idx="5">
                  <c:v>5161</c:v>
                </c:pt>
                <c:pt idx="6">
                  <c:v>5065</c:v>
                </c:pt>
                <c:pt idx="7">
                  <c:v>4749</c:v>
                </c:pt>
                <c:pt idx="8">
                  <c:v>4506</c:v>
                </c:pt>
                <c:pt idx="9">
                  <c:v>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8-4A33-A4FF-6835E87AA2DF}"/>
            </c:ext>
          </c:extLst>
        </c:ser>
        <c:ser>
          <c:idx val="4"/>
          <c:order val="4"/>
          <c:tx>
            <c:strRef>
              <c:f>Data!$A$113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Data!$B$113:$K$113</c:f>
              <c:numCache>
                <c:formatCode>General</c:formatCode>
                <c:ptCount val="10"/>
                <c:pt idx="0">
                  <c:v>5474</c:v>
                </c:pt>
                <c:pt idx="1">
                  <c:v>5433</c:v>
                </c:pt>
                <c:pt idx="2">
                  <c:v>4664</c:v>
                </c:pt>
                <c:pt idx="3">
                  <c:v>4230</c:v>
                </c:pt>
                <c:pt idx="4">
                  <c:v>3813</c:v>
                </c:pt>
                <c:pt idx="5">
                  <c:v>3747</c:v>
                </c:pt>
                <c:pt idx="6">
                  <c:v>3724</c:v>
                </c:pt>
                <c:pt idx="7">
                  <c:v>3542</c:v>
                </c:pt>
                <c:pt idx="8">
                  <c:v>3544</c:v>
                </c:pt>
                <c:pt idx="9">
                  <c:v>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8-4A33-A4FF-6835E87AA2DF}"/>
            </c:ext>
          </c:extLst>
        </c:ser>
        <c:ser>
          <c:idx val="5"/>
          <c:order val="5"/>
          <c:tx>
            <c:strRef>
              <c:f>Data!$A$114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Data!$B$114:$K$114</c:f>
              <c:numCache>
                <c:formatCode>General</c:formatCode>
                <c:ptCount val="10"/>
                <c:pt idx="0">
                  <c:v>7478</c:v>
                </c:pt>
                <c:pt idx="1">
                  <c:v>6341</c:v>
                </c:pt>
                <c:pt idx="2">
                  <c:v>5398</c:v>
                </c:pt>
                <c:pt idx="3">
                  <c:v>4594</c:v>
                </c:pt>
                <c:pt idx="4">
                  <c:v>3809</c:v>
                </c:pt>
                <c:pt idx="5">
                  <c:v>3737</c:v>
                </c:pt>
                <c:pt idx="6">
                  <c:v>3422</c:v>
                </c:pt>
                <c:pt idx="7">
                  <c:v>3221</c:v>
                </c:pt>
                <c:pt idx="8">
                  <c:v>3204</c:v>
                </c:pt>
                <c:pt idx="9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8-4A33-A4FF-6835E87A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51504792"/>
        <c:axId val="1"/>
      </c:barChart>
      <c:catAx>
        <c:axId val="85150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0"/>
              <c:y val="0.457184325108853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04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51913133402272"/>
          <c:y val="0.57329462989840352"/>
          <c:w val="8.8934850051706302E-2"/>
          <c:h val="0.262699564586357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2.6: GCSEs achieved in Design and Technology (all boards, UK candidates)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54808686659772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7290589451912"/>
          <c:y val="0.30338983050847457"/>
          <c:w val="0.69700103412616343"/>
          <c:h val="0.61016949152542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8-4B34-B431-5AF8841130B3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8-4B34-B431-5AF8841130B3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8-4B34-B431-5AF8841130B3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8-4B34-B431-5AF8841130B3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8-4B34-B431-5AF88411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22832"/>
        <c:axId val="1"/>
      </c:barChart>
      <c:catAx>
        <c:axId val="85152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5.170630816959669E-3"/>
              <c:y val="0.428813559322033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2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6421923474664"/>
          <c:y val="0.47288135593220337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2.9: A-levels achieved in Further Mathematics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458117890382626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800413650465"/>
          <c:y val="0.2830508474576271"/>
          <c:w val="0.78076525336091007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Data!$A$96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Data!$B$96:$J$96</c:f>
              <c:numCache>
                <c:formatCode>General</c:formatCode>
                <c:ptCount val="9"/>
                <c:pt idx="0">
                  <c:v>1667</c:v>
                </c:pt>
                <c:pt idx="1">
                  <c:v>1551</c:v>
                </c:pt>
                <c:pt idx="2">
                  <c:v>1464</c:v>
                </c:pt>
                <c:pt idx="3">
                  <c:v>1731</c:v>
                </c:pt>
                <c:pt idx="4">
                  <c:v>1763</c:v>
                </c:pt>
                <c:pt idx="5">
                  <c:v>1889</c:v>
                </c:pt>
                <c:pt idx="6">
                  <c:v>2726</c:v>
                </c:pt>
                <c:pt idx="7">
                  <c:v>2726</c:v>
                </c:pt>
                <c:pt idx="8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4ED-9985-88DD7304AC22}"/>
            </c:ext>
          </c:extLst>
        </c:ser>
        <c:ser>
          <c:idx val="1"/>
          <c:order val="1"/>
          <c:tx>
            <c:strRef>
              <c:f>Data!$A$97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Data!$B$97:$J$97</c:f>
              <c:numCache>
                <c:formatCode>General</c:formatCode>
                <c:ptCount val="9"/>
                <c:pt idx="0">
                  <c:v>781</c:v>
                </c:pt>
                <c:pt idx="1">
                  <c:v>648</c:v>
                </c:pt>
                <c:pt idx="2">
                  <c:v>664</c:v>
                </c:pt>
                <c:pt idx="3">
                  <c:v>748</c:v>
                </c:pt>
                <c:pt idx="4">
                  <c:v>738</c:v>
                </c:pt>
                <c:pt idx="5">
                  <c:v>772</c:v>
                </c:pt>
                <c:pt idx="6">
                  <c:v>1089</c:v>
                </c:pt>
                <c:pt idx="7">
                  <c:v>1007</c:v>
                </c:pt>
                <c:pt idx="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4ED-9985-88DD7304AC22}"/>
            </c:ext>
          </c:extLst>
        </c:ser>
        <c:ser>
          <c:idx val="2"/>
          <c:order val="2"/>
          <c:tx>
            <c:strRef>
              <c:f>Data!$A$98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Data!$B$98:$J$98</c:f>
              <c:numCache>
                <c:formatCode>General</c:formatCode>
                <c:ptCount val="9"/>
                <c:pt idx="0">
                  <c:v>522</c:v>
                </c:pt>
                <c:pt idx="1">
                  <c:v>444</c:v>
                </c:pt>
                <c:pt idx="2">
                  <c:v>447</c:v>
                </c:pt>
                <c:pt idx="3">
                  <c:v>513</c:v>
                </c:pt>
                <c:pt idx="4">
                  <c:v>541</c:v>
                </c:pt>
                <c:pt idx="5">
                  <c:v>519</c:v>
                </c:pt>
                <c:pt idx="6">
                  <c:v>740</c:v>
                </c:pt>
                <c:pt idx="7">
                  <c:v>694</c:v>
                </c:pt>
                <c:pt idx="8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A-44ED-9985-88DD7304AC22}"/>
            </c:ext>
          </c:extLst>
        </c:ser>
        <c:ser>
          <c:idx val="3"/>
          <c:order val="3"/>
          <c:tx>
            <c:strRef>
              <c:f>Data!$A$99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Data!$B$99:$J$99</c:f>
              <c:numCache>
                <c:formatCode>General</c:formatCode>
                <c:ptCount val="9"/>
                <c:pt idx="0">
                  <c:v>365</c:v>
                </c:pt>
                <c:pt idx="1">
                  <c:v>340</c:v>
                </c:pt>
                <c:pt idx="2">
                  <c:v>325</c:v>
                </c:pt>
                <c:pt idx="3">
                  <c:v>342</c:v>
                </c:pt>
                <c:pt idx="4">
                  <c:v>332</c:v>
                </c:pt>
                <c:pt idx="5">
                  <c:v>370</c:v>
                </c:pt>
                <c:pt idx="6">
                  <c:v>459</c:v>
                </c:pt>
                <c:pt idx="7">
                  <c:v>468</c:v>
                </c:pt>
                <c:pt idx="8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A-44ED-9985-88DD7304AC22}"/>
            </c:ext>
          </c:extLst>
        </c:ser>
        <c:ser>
          <c:idx val="4"/>
          <c:order val="4"/>
          <c:tx>
            <c:strRef>
              <c:f>Data!$A$100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Data!$B$100:$J$100</c:f>
              <c:numCache>
                <c:formatCode>General</c:formatCode>
                <c:ptCount val="9"/>
                <c:pt idx="0">
                  <c:v>282</c:v>
                </c:pt>
                <c:pt idx="1">
                  <c:v>248</c:v>
                </c:pt>
                <c:pt idx="2">
                  <c:v>234</c:v>
                </c:pt>
                <c:pt idx="3">
                  <c:v>243</c:v>
                </c:pt>
                <c:pt idx="4">
                  <c:v>243</c:v>
                </c:pt>
                <c:pt idx="5">
                  <c:v>215</c:v>
                </c:pt>
                <c:pt idx="6">
                  <c:v>292</c:v>
                </c:pt>
                <c:pt idx="7">
                  <c:v>269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A-44ED-9985-88DD7304AC22}"/>
            </c:ext>
          </c:extLst>
        </c:ser>
        <c:ser>
          <c:idx val="5"/>
          <c:order val="5"/>
          <c:tx>
            <c:strRef>
              <c:f>Data!$A$101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Data!$B$101:$J$101</c:f>
              <c:numCache>
                <c:formatCode>General</c:formatCode>
                <c:ptCount val="9"/>
                <c:pt idx="0">
                  <c:v>306</c:v>
                </c:pt>
                <c:pt idx="1">
                  <c:v>270</c:v>
                </c:pt>
                <c:pt idx="2">
                  <c:v>254</c:v>
                </c:pt>
                <c:pt idx="3">
                  <c:v>220</c:v>
                </c:pt>
                <c:pt idx="4">
                  <c:v>166</c:v>
                </c:pt>
                <c:pt idx="5">
                  <c:v>174</c:v>
                </c:pt>
                <c:pt idx="6">
                  <c:v>232</c:v>
                </c:pt>
                <c:pt idx="7">
                  <c:v>198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A-44ED-9985-88DD7304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22504"/>
        <c:axId val="1"/>
      </c:barChart>
      <c:catAx>
        <c:axId val="85152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2711864406779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22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92864529472594"/>
          <c:y val="0.43728813559322033"/>
          <c:w val="8.8934850051706302E-2"/>
          <c:h val="0.30677966101694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2.11: A-levels acheived in Chemistry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2378490175801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6"/>
          <c:y val="0.2830508474576271"/>
          <c:w val="0.76835573940020685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Data!$A$122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Data!$B$122:$K$122</c:f>
              <c:numCache>
                <c:formatCode>General</c:formatCode>
                <c:ptCount val="10"/>
                <c:pt idx="0">
                  <c:v>6884</c:v>
                </c:pt>
                <c:pt idx="1">
                  <c:v>7463</c:v>
                </c:pt>
                <c:pt idx="2">
                  <c:v>8205</c:v>
                </c:pt>
                <c:pt idx="3">
                  <c:v>8123</c:v>
                </c:pt>
                <c:pt idx="4">
                  <c:v>9044</c:v>
                </c:pt>
                <c:pt idx="5">
                  <c:v>10092</c:v>
                </c:pt>
                <c:pt idx="6">
                  <c:v>10353</c:v>
                </c:pt>
                <c:pt idx="7">
                  <c:v>10552</c:v>
                </c:pt>
                <c:pt idx="8">
                  <c:v>10504</c:v>
                </c:pt>
                <c:pt idx="9">
                  <c:v>10408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FD6-9BDA-EF437F0E8376}"/>
            </c:ext>
          </c:extLst>
        </c:ser>
        <c:ser>
          <c:idx val="1"/>
          <c:order val="1"/>
          <c:tx>
            <c:strRef>
              <c:f>Data!$A$123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Data!$B$123:$K$123</c:f>
              <c:numCache>
                <c:formatCode>General</c:formatCode>
                <c:ptCount val="10"/>
                <c:pt idx="0">
                  <c:v>7498</c:v>
                </c:pt>
                <c:pt idx="1">
                  <c:v>7628</c:v>
                </c:pt>
                <c:pt idx="2">
                  <c:v>7486</c:v>
                </c:pt>
                <c:pt idx="3">
                  <c:v>8488</c:v>
                </c:pt>
                <c:pt idx="4">
                  <c:v>9086</c:v>
                </c:pt>
                <c:pt idx="5">
                  <c:v>8952</c:v>
                </c:pt>
                <c:pt idx="6">
                  <c:v>8920</c:v>
                </c:pt>
                <c:pt idx="7">
                  <c:v>8937</c:v>
                </c:pt>
                <c:pt idx="8">
                  <c:v>8457</c:v>
                </c:pt>
                <c:pt idx="9">
                  <c:v>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7-4FD6-9BDA-EF437F0E8376}"/>
            </c:ext>
          </c:extLst>
        </c:ser>
        <c:ser>
          <c:idx val="2"/>
          <c:order val="2"/>
          <c:tx>
            <c:strRef>
              <c:f>Data!$A$124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Data!$B$124:$K$124</c:f>
              <c:numCache>
                <c:formatCode>General</c:formatCode>
                <c:ptCount val="10"/>
                <c:pt idx="0">
                  <c:v>6556</c:v>
                </c:pt>
                <c:pt idx="1">
                  <c:v>6762</c:v>
                </c:pt>
                <c:pt idx="2">
                  <c:v>7105</c:v>
                </c:pt>
                <c:pt idx="3">
                  <c:v>7437</c:v>
                </c:pt>
                <c:pt idx="4">
                  <c:v>7734</c:v>
                </c:pt>
                <c:pt idx="5">
                  <c:v>7705</c:v>
                </c:pt>
                <c:pt idx="6">
                  <c:v>7611</c:v>
                </c:pt>
                <c:pt idx="7">
                  <c:v>7406</c:v>
                </c:pt>
                <c:pt idx="8">
                  <c:v>7115</c:v>
                </c:pt>
                <c:pt idx="9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7-4FD6-9BDA-EF437F0E8376}"/>
            </c:ext>
          </c:extLst>
        </c:ser>
        <c:ser>
          <c:idx val="3"/>
          <c:order val="3"/>
          <c:tx>
            <c:strRef>
              <c:f>Data!$A$125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Data!$B$125:$K$125</c:f>
              <c:numCache>
                <c:formatCode>General</c:formatCode>
                <c:ptCount val="10"/>
                <c:pt idx="0">
                  <c:v>6392</c:v>
                </c:pt>
                <c:pt idx="1">
                  <c:v>6102</c:v>
                </c:pt>
                <c:pt idx="2">
                  <c:v>6598</c:v>
                </c:pt>
                <c:pt idx="3">
                  <c:v>6021</c:v>
                </c:pt>
                <c:pt idx="4">
                  <c:v>6297</c:v>
                </c:pt>
                <c:pt idx="5">
                  <c:v>6004</c:v>
                </c:pt>
                <c:pt idx="6">
                  <c:v>5974</c:v>
                </c:pt>
                <c:pt idx="7">
                  <c:v>5840</c:v>
                </c:pt>
                <c:pt idx="8">
                  <c:v>5469</c:v>
                </c:pt>
                <c:pt idx="9">
                  <c:v>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7-4FD6-9BDA-EF437F0E8376}"/>
            </c:ext>
          </c:extLst>
        </c:ser>
        <c:ser>
          <c:idx val="4"/>
          <c:order val="4"/>
          <c:tx>
            <c:strRef>
              <c:f>Data!$A$126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Data!$B$126:$K$126</c:f>
              <c:numCache>
                <c:formatCode>General</c:formatCode>
                <c:ptCount val="10"/>
                <c:pt idx="0">
                  <c:v>5409</c:v>
                </c:pt>
                <c:pt idx="1">
                  <c:v>5442</c:v>
                </c:pt>
                <c:pt idx="2">
                  <c:v>5498</c:v>
                </c:pt>
                <c:pt idx="3">
                  <c:v>4812</c:v>
                </c:pt>
                <c:pt idx="4">
                  <c:v>5029</c:v>
                </c:pt>
                <c:pt idx="5">
                  <c:v>4564</c:v>
                </c:pt>
                <c:pt idx="6">
                  <c:v>4256</c:v>
                </c:pt>
                <c:pt idx="7">
                  <c:v>4048</c:v>
                </c:pt>
                <c:pt idx="8">
                  <c:v>3982</c:v>
                </c:pt>
                <c:pt idx="9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7-4FD6-9BDA-EF437F0E8376}"/>
            </c:ext>
          </c:extLst>
        </c:ser>
        <c:ser>
          <c:idx val="5"/>
          <c:order val="5"/>
          <c:tx>
            <c:strRef>
              <c:f>Data!$A$127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Data!$B$127:$K$127</c:f>
              <c:numCache>
                <c:formatCode>General</c:formatCode>
                <c:ptCount val="10"/>
                <c:pt idx="0">
                  <c:v>8236</c:v>
                </c:pt>
                <c:pt idx="1">
                  <c:v>7834</c:v>
                </c:pt>
                <c:pt idx="2">
                  <c:v>7401</c:v>
                </c:pt>
                <c:pt idx="3">
                  <c:v>5537</c:v>
                </c:pt>
                <c:pt idx="4">
                  <c:v>5072</c:v>
                </c:pt>
                <c:pt idx="5">
                  <c:v>4576</c:v>
                </c:pt>
                <c:pt idx="6">
                  <c:v>3806</c:v>
                </c:pt>
                <c:pt idx="7">
                  <c:v>3478</c:v>
                </c:pt>
                <c:pt idx="8">
                  <c:v>3175</c:v>
                </c:pt>
                <c:pt idx="9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7-4FD6-9BDA-EF437F0E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267248"/>
        <c:axId val="1"/>
      </c:barChart>
      <c:catAx>
        <c:axId val="5812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2711864406779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6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92864529472594"/>
          <c:y val="0.43728813559322033"/>
          <c:w val="8.8934850051706302E-2"/>
          <c:h val="0.30677966101694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2.5: GCSEs acheived in Chemistry (all boards, UK candidates)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115822130299896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18E-2"/>
          <c:y val="0.2711864406779661"/>
          <c:w val="0.72699069286452944"/>
          <c:h val="0.62542372881355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Data!$A$49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Data!$B$49:$K$49</c:f>
              <c:numCache>
                <c:formatCode>General</c:formatCode>
                <c:ptCount val="10"/>
                <c:pt idx="0">
                  <c:v>0</c:v>
                </c:pt>
                <c:pt idx="1">
                  <c:v>3904</c:v>
                </c:pt>
                <c:pt idx="2">
                  <c:v>4831</c:v>
                </c:pt>
                <c:pt idx="3">
                  <c:v>5396</c:v>
                </c:pt>
                <c:pt idx="4">
                  <c:v>6281</c:v>
                </c:pt>
                <c:pt idx="5">
                  <c:v>6228</c:v>
                </c:pt>
                <c:pt idx="6">
                  <c:v>7235</c:v>
                </c:pt>
                <c:pt idx="7" formatCode="0">
                  <c:v>7414.4660000000003</c:v>
                </c:pt>
                <c:pt idx="8">
                  <c:v>7604</c:v>
                </c:pt>
                <c:pt idx="9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9-4BA8-9533-CDA13758927C}"/>
            </c:ext>
          </c:extLst>
        </c:ser>
        <c:ser>
          <c:idx val="1"/>
          <c:order val="1"/>
          <c:tx>
            <c:strRef>
              <c:f>Data!$A$50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Data!$B$50:$K$50</c:f>
              <c:numCache>
                <c:formatCode>General</c:formatCode>
                <c:ptCount val="10"/>
                <c:pt idx="0">
                  <c:v>14143</c:v>
                </c:pt>
                <c:pt idx="1">
                  <c:v>10724</c:v>
                </c:pt>
                <c:pt idx="2">
                  <c:v>9443</c:v>
                </c:pt>
                <c:pt idx="3">
                  <c:v>10699</c:v>
                </c:pt>
                <c:pt idx="4">
                  <c:v>10040</c:v>
                </c:pt>
                <c:pt idx="5">
                  <c:v>12200</c:v>
                </c:pt>
                <c:pt idx="6">
                  <c:v>12170</c:v>
                </c:pt>
                <c:pt idx="7" formatCode="0">
                  <c:v>12341.801000000001</c:v>
                </c:pt>
                <c:pt idx="8">
                  <c:v>12833</c:v>
                </c:pt>
                <c:pt idx="9">
                  <c:v>12708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9-4BA8-9533-CDA13758927C}"/>
            </c:ext>
          </c:extLst>
        </c:ser>
        <c:ser>
          <c:idx val="2"/>
          <c:order val="2"/>
          <c:tx>
            <c:strRef>
              <c:f>Data!$A$51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Data!$B$51:$K$51</c:f>
              <c:numCache>
                <c:formatCode>General</c:formatCode>
                <c:ptCount val="10"/>
                <c:pt idx="0">
                  <c:v>15638</c:v>
                </c:pt>
                <c:pt idx="1">
                  <c:v>12754</c:v>
                </c:pt>
                <c:pt idx="2">
                  <c:v>12474</c:v>
                </c:pt>
                <c:pt idx="3">
                  <c:v>13890</c:v>
                </c:pt>
                <c:pt idx="4">
                  <c:v>13433</c:v>
                </c:pt>
                <c:pt idx="5">
                  <c:v>12478</c:v>
                </c:pt>
                <c:pt idx="6">
                  <c:v>12175</c:v>
                </c:pt>
                <c:pt idx="7" formatCode="0">
                  <c:v>12060.239</c:v>
                </c:pt>
                <c:pt idx="8">
                  <c:v>11708</c:v>
                </c:pt>
                <c:pt idx="9">
                  <c:v>11626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9-4BA8-9533-CDA13758927C}"/>
            </c:ext>
          </c:extLst>
        </c:ser>
        <c:ser>
          <c:idx val="3"/>
          <c:order val="3"/>
          <c:tx>
            <c:strRef>
              <c:f>Data!$A$52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Data!$B$52:$K$52</c:f>
              <c:numCache>
                <c:formatCode>General</c:formatCode>
                <c:ptCount val="10"/>
                <c:pt idx="0">
                  <c:v>13270</c:v>
                </c:pt>
                <c:pt idx="1">
                  <c:v>11661</c:v>
                </c:pt>
                <c:pt idx="2">
                  <c:v>10190</c:v>
                </c:pt>
                <c:pt idx="3">
                  <c:v>10417</c:v>
                </c:pt>
                <c:pt idx="4">
                  <c:v>10040</c:v>
                </c:pt>
                <c:pt idx="5">
                  <c:v>9504</c:v>
                </c:pt>
                <c:pt idx="6">
                  <c:v>9823</c:v>
                </c:pt>
                <c:pt idx="7" formatCode="0">
                  <c:v>9760.8159999999989</c:v>
                </c:pt>
                <c:pt idx="8">
                  <c:v>9718</c:v>
                </c:pt>
                <c:pt idx="9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9-4BA8-9533-CDA13758927C}"/>
            </c:ext>
          </c:extLst>
        </c:ser>
        <c:ser>
          <c:idx val="4"/>
          <c:order val="4"/>
          <c:tx>
            <c:strRef>
              <c:f>Data!$A$53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Data!$B$53:$K$53</c:f>
              <c:numCache>
                <c:formatCode>General</c:formatCode>
                <c:ptCount val="10"/>
                <c:pt idx="0">
                  <c:v>19250</c:v>
                </c:pt>
                <c:pt idx="1">
                  <c:v>13014</c:v>
                </c:pt>
                <c:pt idx="2">
                  <c:v>6984</c:v>
                </c:pt>
                <c:pt idx="3">
                  <c:v>6522</c:v>
                </c:pt>
                <c:pt idx="4">
                  <c:v>6053</c:v>
                </c:pt>
                <c:pt idx="5">
                  <c:v>5674</c:v>
                </c:pt>
                <c:pt idx="6">
                  <c:v>5782</c:v>
                </c:pt>
                <c:pt idx="7" formatCode="0">
                  <c:v>5349.6779999999999</c:v>
                </c:pt>
                <c:pt idx="8">
                  <c:v>5141</c:v>
                </c:pt>
                <c:pt idx="9">
                  <c:v>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9-4BA8-9533-CDA13758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276104"/>
        <c:axId val="1"/>
      </c:barChart>
      <c:catAx>
        <c:axId val="58127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0677966101694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6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60806618407446"/>
          <c:y val="0.45593220338983048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2.13: A-levels acheived in Computing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4477766287487073"/>
          <c:y val="2.5423728813559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340227507756"/>
          <c:y val="0.27966101694915252"/>
          <c:w val="0.76318510858324717"/>
          <c:h val="0.618644067796610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Data!$A$146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Data!$B$146:$K$146</c:f>
              <c:numCache>
                <c:formatCode>General</c:formatCode>
                <c:ptCount val="10"/>
                <c:pt idx="0">
                  <c:v>919</c:v>
                </c:pt>
                <c:pt idx="1">
                  <c:v>1003</c:v>
                </c:pt>
                <c:pt idx="2">
                  <c:v>1106</c:v>
                </c:pt>
                <c:pt idx="3">
                  <c:v>1123</c:v>
                </c:pt>
                <c:pt idx="4">
                  <c:v>1190</c:v>
                </c:pt>
                <c:pt idx="5">
                  <c:v>1237</c:v>
                </c:pt>
                <c:pt idx="6">
                  <c:v>1514</c:v>
                </c:pt>
                <c:pt idx="7">
                  <c:v>1684</c:v>
                </c:pt>
                <c:pt idx="8">
                  <c:v>1934</c:v>
                </c:pt>
                <c:pt idx="9">
                  <c:v>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6-4895-B8A8-DE517D5A4716}"/>
            </c:ext>
          </c:extLst>
        </c:ser>
        <c:ser>
          <c:idx val="1"/>
          <c:order val="1"/>
          <c:tx>
            <c:strRef>
              <c:f>Data!$A$147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Data!$B$147:$K$147</c:f>
              <c:numCache>
                <c:formatCode>General</c:formatCode>
                <c:ptCount val="10"/>
                <c:pt idx="0">
                  <c:v>1269</c:v>
                </c:pt>
                <c:pt idx="1">
                  <c:v>1198</c:v>
                </c:pt>
                <c:pt idx="2">
                  <c:v>1287</c:v>
                </c:pt>
                <c:pt idx="3">
                  <c:v>1386</c:v>
                </c:pt>
                <c:pt idx="4">
                  <c:v>1561</c:v>
                </c:pt>
                <c:pt idx="5">
                  <c:v>2040</c:v>
                </c:pt>
                <c:pt idx="6">
                  <c:v>2356</c:v>
                </c:pt>
                <c:pt idx="7">
                  <c:v>2851</c:v>
                </c:pt>
                <c:pt idx="8">
                  <c:v>3334</c:v>
                </c:pt>
                <c:pt idx="9">
                  <c:v>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6-4895-B8A8-DE517D5A4716}"/>
            </c:ext>
          </c:extLst>
        </c:ser>
        <c:ser>
          <c:idx val="2"/>
          <c:order val="2"/>
          <c:tx>
            <c:strRef>
              <c:f>Data!$A$148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Data!$B$148:$K$148</c:f>
              <c:numCache>
                <c:formatCode>General</c:formatCode>
                <c:ptCount val="10"/>
                <c:pt idx="0">
                  <c:v>1612</c:v>
                </c:pt>
                <c:pt idx="1">
                  <c:v>1631</c:v>
                </c:pt>
                <c:pt idx="2">
                  <c:v>1797</c:v>
                </c:pt>
                <c:pt idx="3">
                  <c:v>1945</c:v>
                </c:pt>
                <c:pt idx="4">
                  <c:v>2198</c:v>
                </c:pt>
                <c:pt idx="5">
                  <c:v>3087</c:v>
                </c:pt>
                <c:pt idx="6">
                  <c:v>3508</c:v>
                </c:pt>
                <c:pt idx="7">
                  <c:v>4190</c:v>
                </c:pt>
                <c:pt idx="8">
                  <c:v>5016</c:v>
                </c:pt>
                <c:pt idx="9">
                  <c:v>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6-4895-B8A8-DE517D5A4716}"/>
            </c:ext>
          </c:extLst>
        </c:ser>
        <c:ser>
          <c:idx val="3"/>
          <c:order val="3"/>
          <c:tx>
            <c:strRef>
              <c:f>Data!$A$149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Data!$B$149:$K$149</c:f>
              <c:numCache>
                <c:formatCode>General</c:formatCode>
                <c:ptCount val="10"/>
                <c:pt idx="0">
                  <c:v>1930</c:v>
                </c:pt>
                <c:pt idx="1">
                  <c:v>1883</c:v>
                </c:pt>
                <c:pt idx="2">
                  <c:v>1965</c:v>
                </c:pt>
                <c:pt idx="3">
                  <c:v>2078</c:v>
                </c:pt>
                <c:pt idx="4">
                  <c:v>2404</c:v>
                </c:pt>
                <c:pt idx="5">
                  <c:v>2990</c:v>
                </c:pt>
                <c:pt idx="6">
                  <c:v>3761</c:v>
                </c:pt>
                <c:pt idx="7">
                  <c:v>4550</c:v>
                </c:pt>
                <c:pt idx="8">
                  <c:v>5229</c:v>
                </c:pt>
                <c:pt idx="9">
                  <c:v>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6-4895-B8A8-DE517D5A4716}"/>
            </c:ext>
          </c:extLst>
        </c:ser>
        <c:ser>
          <c:idx val="4"/>
          <c:order val="4"/>
          <c:tx>
            <c:strRef>
              <c:f>Data!$A$150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Data!$B$150:$K$150</c:f>
              <c:numCache>
                <c:formatCode>General</c:formatCode>
                <c:ptCount val="10"/>
                <c:pt idx="0">
                  <c:v>1797</c:v>
                </c:pt>
                <c:pt idx="1">
                  <c:v>1687</c:v>
                </c:pt>
                <c:pt idx="2">
                  <c:v>1817</c:v>
                </c:pt>
                <c:pt idx="3">
                  <c:v>1807</c:v>
                </c:pt>
                <c:pt idx="4">
                  <c:v>2088</c:v>
                </c:pt>
                <c:pt idx="5">
                  <c:v>2533</c:v>
                </c:pt>
                <c:pt idx="6">
                  <c:v>3003</c:v>
                </c:pt>
                <c:pt idx="7">
                  <c:v>3369</c:v>
                </c:pt>
                <c:pt idx="8">
                  <c:v>3866</c:v>
                </c:pt>
                <c:pt idx="9">
                  <c:v>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6-4895-B8A8-DE517D5A4716}"/>
            </c:ext>
          </c:extLst>
        </c:ser>
        <c:ser>
          <c:idx val="5"/>
          <c:order val="5"/>
          <c:tx>
            <c:strRef>
              <c:f>Data!$A$151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Data!$B$151:$K$151</c:f>
              <c:numCache>
                <c:formatCode>General</c:formatCode>
                <c:ptCount val="10"/>
                <c:pt idx="0">
                  <c:v>2176</c:v>
                </c:pt>
                <c:pt idx="1">
                  <c:v>2184</c:v>
                </c:pt>
                <c:pt idx="2">
                  <c:v>2224</c:v>
                </c:pt>
                <c:pt idx="3">
                  <c:v>2371</c:v>
                </c:pt>
                <c:pt idx="4">
                  <c:v>2545</c:v>
                </c:pt>
                <c:pt idx="5">
                  <c:v>2770</c:v>
                </c:pt>
                <c:pt idx="6">
                  <c:v>2980</c:v>
                </c:pt>
                <c:pt idx="7">
                  <c:v>3002</c:v>
                </c:pt>
                <c:pt idx="8">
                  <c:v>3283</c:v>
                </c:pt>
                <c:pt idx="9">
                  <c:v>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6-4895-B8A8-DE517D5A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08728"/>
        <c:axId val="1"/>
      </c:barChart>
      <c:catAx>
        <c:axId val="8515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0341261633919338E-2"/>
              <c:y val="0.41186440677966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08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96277145811788"/>
          <c:y val="0.43728813559322033"/>
          <c:w val="8.8934850051706302E-2"/>
          <c:h val="0.30677966101694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2.7: GCSEs acheived in Information Technology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2378490175801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7766287487073"/>
          <c:y val="0.2830508474576271"/>
          <c:w val="0.67528438469493279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Data!$A$72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Data!$B$72:$K$72</c:f>
              <c:numCache>
                <c:formatCode>General</c:formatCode>
                <c:ptCount val="10"/>
                <c:pt idx="0">
                  <c:v>0</c:v>
                </c:pt>
                <c:pt idx="1">
                  <c:v>1584</c:v>
                </c:pt>
                <c:pt idx="2">
                  <c:v>978</c:v>
                </c:pt>
                <c:pt idx="3">
                  <c:v>1736</c:v>
                </c:pt>
                <c:pt idx="4">
                  <c:v>1799</c:v>
                </c:pt>
                <c:pt idx="5">
                  <c:v>2408</c:v>
                </c:pt>
                <c:pt idx="6">
                  <c:v>2849</c:v>
                </c:pt>
                <c:pt idx="7">
                  <c:v>3945</c:v>
                </c:pt>
                <c:pt idx="8">
                  <c:v>5644</c:v>
                </c:pt>
                <c:pt idx="9">
                  <c:v>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62B-B4EB-23D105D61AF0}"/>
            </c:ext>
          </c:extLst>
        </c:ser>
        <c:ser>
          <c:idx val="1"/>
          <c:order val="1"/>
          <c:tx>
            <c:strRef>
              <c:f>Data!$A$73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Data!$B$73:$K$73</c:f>
              <c:numCache>
                <c:formatCode>General</c:formatCode>
                <c:ptCount val="10"/>
                <c:pt idx="0">
                  <c:v>5916</c:v>
                </c:pt>
                <c:pt idx="1">
                  <c:v>4753</c:v>
                </c:pt>
                <c:pt idx="2">
                  <c:v>3359</c:v>
                </c:pt>
                <c:pt idx="3">
                  <c:v>5484</c:v>
                </c:pt>
                <c:pt idx="4">
                  <c:v>6786</c:v>
                </c:pt>
                <c:pt idx="5">
                  <c:v>8047</c:v>
                </c:pt>
                <c:pt idx="6">
                  <c:v>9386</c:v>
                </c:pt>
                <c:pt idx="7">
                  <c:v>7920</c:v>
                </c:pt>
                <c:pt idx="8">
                  <c:v>13107</c:v>
                </c:pt>
                <c:pt idx="9">
                  <c:v>13924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8-462B-B4EB-23D105D61AF0}"/>
            </c:ext>
          </c:extLst>
        </c:ser>
        <c:ser>
          <c:idx val="2"/>
          <c:order val="2"/>
          <c:tx>
            <c:strRef>
              <c:f>Data!$A$74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Data!$B$74:$K$74</c:f>
              <c:numCache>
                <c:formatCode>General</c:formatCode>
                <c:ptCount val="10"/>
                <c:pt idx="0">
                  <c:v>8782</c:v>
                </c:pt>
                <c:pt idx="1">
                  <c:v>8569</c:v>
                </c:pt>
                <c:pt idx="2">
                  <c:v>7942</c:v>
                </c:pt>
                <c:pt idx="3">
                  <c:v>11887</c:v>
                </c:pt>
                <c:pt idx="4">
                  <c:v>14756</c:v>
                </c:pt>
                <c:pt idx="5">
                  <c:v>12478</c:v>
                </c:pt>
                <c:pt idx="6">
                  <c:v>13718</c:v>
                </c:pt>
                <c:pt idx="7">
                  <c:v>11887</c:v>
                </c:pt>
                <c:pt idx="8">
                  <c:v>18366</c:v>
                </c:pt>
                <c:pt idx="9">
                  <c:v>18913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8-462B-B4EB-23D105D61AF0}"/>
            </c:ext>
          </c:extLst>
        </c:ser>
        <c:ser>
          <c:idx val="3"/>
          <c:order val="3"/>
          <c:tx>
            <c:strRef>
              <c:f>Data!$A$75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Data!$B$75:$K$75</c:f>
              <c:numCache>
                <c:formatCode>General</c:formatCode>
                <c:ptCount val="10"/>
                <c:pt idx="0">
                  <c:v>12168</c:v>
                </c:pt>
                <c:pt idx="1">
                  <c:v>11507</c:v>
                </c:pt>
                <c:pt idx="2">
                  <c:v>9729</c:v>
                </c:pt>
                <c:pt idx="3">
                  <c:v>15750</c:v>
                </c:pt>
                <c:pt idx="4">
                  <c:v>17254</c:v>
                </c:pt>
                <c:pt idx="5">
                  <c:v>20048</c:v>
                </c:pt>
                <c:pt idx="6">
                  <c:v>21943</c:v>
                </c:pt>
                <c:pt idx="7">
                  <c:v>18639</c:v>
                </c:pt>
                <c:pt idx="8">
                  <c:v>28867</c:v>
                </c:pt>
                <c:pt idx="9">
                  <c:v>29820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62B-B4EB-23D105D61AF0}"/>
            </c:ext>
          </c:extLst>
        </c:ser>
        <c:ser>
          <c:idx val="4"/>
          <c:order val="4"/>
          <c:tx>
            <c:strRef>
              <c:f>Data!$A$76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Data!$B$76:$K$76</c:f>
              <c:numCache>
                <c:formatCode>General</c:formatCode>
                <c:ptCount val="10"/>
                <c:pt idx="0">
                  <c:v>26291</c:v>
                </c:pt>
                <c:pt idx="1">
                  <c:v>23727</c:v>
                </c:pt>
                <c:pt idx="2">
                  <c:v>21061</c:v>
                </c:pt>
                <c:pt idx="3">
                  <c:v>28035</c:v>
                </c:pt>
                <c:pt idx="4">
                  <c:v>29971</c:v>
                </c:pt>
                <c:pt idx="5">
                  <c:v>33950</c:v>
                </c:pt>
                <c:pt idx="6">
                  <c:v>38091</c:v>
                </c:pt>
                <c:pt idx="7">
                  <c:v>33778</c:v>
                </c:pt>
                <c:pt idx="8">
                  <c:v>47428</c:v>
                </c:pt>
                <c:pt idx="9">
                  <c:v>47342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8-462B-B4EB-23D105D6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12336"/>
        <c:axId val="1"/>
      </c:barChart>
      <c:catAx>
        <c:axId val="8515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1355932203389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12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43743536711479"/>
          <c:y val="0.46271186440677964"/>
          <c:w val="0.16442605997931747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2.14: Ratio of A-level Mathematics, Physics, Technology, Computing and Chemistry awards to the 18 year old population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 Joint Council, AQA/Government population estimates)</a:t>
            </a:r>
          </a:p>
        </c:rich>
      </c:tx>
      <c:layout>
        <c:manualLayout>
          <c:xMode val="edge"/>
          <c:yMode val="edge"/>
          <c:x val="0.1106514994829369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5387797311272"/>
          <c:y val="0.34237288135593219"/>
          <c:w val="0.70113753877973117"/>
          <c:h val="0.55423728813559325"/>
        </c:manualLayout>
      </c:layout>
      <c:lineChart>
        <c:grouping val="standard"/>
        <c:varyColors val="0"/>
        <c:ser>
          <c:idx val="0"/>
          <c:order val="0"/>
          <c:tx>
            <c:strRef>
              <c:f>Data!$A$158</c:f>
              <c:strCache>
                <c:ptCount val="1"/>
                <c:pt idx="0">
                  <c:v>Maths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Data!$B$158:$M$158</c:f>
              <c:numCache>
                <c:formatCode>0.0</c:formatCode>
                <c:ptCount val="12"/>
                <c:pt idx="0">
                  <c:v>9.4</c:v>
                </c:pt>
                <c:pt idx="1">
                  <c:v>9.6999999999999993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10</c:v>
                </c:pt>
                <c:pt idx="6">
                  <c:v>9.5</c:v>
                </c:pt>
                <c:pt idx="7">
                  <c:v>9.1999999999999993</c:v>
                </c:pt>
                <c:pt idx="8" formatCode="General">
                  <c:v>9.1999999999999993</c:v>
                </c:pt>
                <c:pt idx="9">
                  <c:v>9</c:v>
                </c:pt>
                <c:pt idx="10">
                  <c:v>8.9</c:v>
                </c:pt>
                <c:pt idx="1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4D5-8032-90C866BE02C6}"/>
            </c:ext>
          </c:extLst>
        </c:ser>
        <c:ser>
          <c:idx val="1"/>
          <c:order val="1"/>
          <c:tx>
            <c:strRef>
              <c:f>Data!$A$159</c:f>
              <c:strCache>
                <c:ptCount val="1"/>
                <c:pt idx="0">
                  <c:v>Physics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Data!$B$159:$M$159</c:f>
              <c:numCache>
                <c:formatCode>0.0</c:formatCode>
                <c:ptCount val="12"/>
                <c:pt idx="0">
                  <c:v>5.5</c:v>
                </c:pt>
                <c:pt idx="1">
                  <c:v>5.6</c:v>
                </c:pt>
                <c:pt idx="2">
                  <c:v>5.4</c:v>
                </c:pt>
                <c:pt idx="3">
                  <c:v>5.3</c:v>
                </c:pt>
                <c:pt idx="4">
                  <c:v>5.3</c:v>
                </c:pt>
                <c:pt idx="5">
                  <c:v>5</c:v>
                </c:pt>
                <c:pt idx="6">
                  <c:v>4.5999999999999996</c:v>
                </c:pt>
                <c:pt idx="7">
                  <c:v>4.5</c:v>
                </c:pt>
                <c:pt idx="8" formatCode="General">
                  <c:v>4.5</c:v>
                </c:pt>
                <c:pt idx="9" formatCode="General">
                  <c:v>4.4000000000000004</c:v>
                </c:pt>
                <c:pt idx="10">
                  <c:v>4.2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8-44D5-8032-90C866BE02C6}"/>
            </c:ext>
          </c:extLst>
        </c:ser>
        <c:ser>
          <c:idx val="2"/>
          <c:order val="2"/>
          <c:tx>
            <c:strRef>
              <c:f>Data!$A$160</c:f>
              <c:strCache>
                <c:ptCount val="1"/>
                <c:pt idx="0">
                  <c:v>Chemistry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Data!$B$160:$M$160</c:f>
              <c:numCache>
                <c:formatCode>General</c:formatCode>
                <c:ptCount val="12"/>
                <c:pt idx="0">
                  <c:v>5.7</c:v>
                </c:pt>
                <c:pt idx="1">
                  <c:v>5.8</c:v>
                </c:pt>
                <c:pt idx="2">
                  <c:v>5.8</c:v>
                </c:pt>
                <c:pt idx="3">
                  <c:v>6.1</c:v>
                </c:pt>
                <c:pt idx="4">
                  <c:v>6.5</c:v>
                </c:pt>
                <c:pt idx="5">
                  <c:v>6.1</c:v>
                </c:pt>
                <c:pt idx="6">
                  <c:v>5.9</c:v>
                </c:pt>
                <c:pt idx="7">
                  <c:v>5.6</c:v>
                </c:pt>
                <c:pt idx="8">
                  <c:v>5.5</c:v>
                </c:pt>
                <c:pt idx="9">
                  <c:v>5.5</c:v>
                </c:pt>
                <c:pt idx="10">
                  <c:v>5.2</c:v>
                </c:pt>
                <c:pt idx="11" formatCode="0.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8-44D5-8032-90C866BE02C6}"/>
            </c:ext>
          </c:extLst>
        </c:ser>
        <c:ser>
          <c:idx val="3"/>
          <c:order val="3"/>
          <c:tx>
            <c:strRef>
              <c:f>Data!$A$161</c:f>
              <c:strCache>
                <c:ptCount val="1"/>
                <c:pt idx="0">
                  <c:v>Technology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Data!$B$161:$M$161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1.6</c:v>
                </c:pt>
                <c:pt idx="7">
                  <c:v>1.8</c:v>
                </c:pt>
                <c:pt idx="8" formatCode="0.0">
                  <c:v>1.8</c:v>
                </c:pt>
                <c:pt idx="9" formatCode="0.0">
                  <c:v>2</c:v>
                </c:pt>
                <c:pt idx="10" formatCode="0.0">
                  <c:v>2</c:v>
                </c:pt>
                <c:pt idx="11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8-44D5-8032-90C866BE02C6}"/>
            </c:ext>
          </c:extLst>
        </c:ser>
        <c:ser>
          <c:idx val="4"/>
          <c:order val="4"/>
          <c:tx>
            <c:strRef>
              <c:f>Data!$A$162</c:f>
              <c:strCache>
                <c:ptCount val="1"/>
                <c:pt idx="0">
                  <c:v>IT/Computing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Data!$B$162:$M$162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1.25</c:v>
                </c:pt>
                <c:pt idx="2">
                  <c:v>1.4</c:v>
                </c:pt>
                <c:pt idx="3">
                  <c:v>1.4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 formatCode="0.0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8-44D5-8032-90C866BE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18568"/>
        <c:axId val="1"/>
      </c:lineChart>
      <c:catAx>
        <c:axId val="85151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A-level award to 100 18-year olds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47457627118644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18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26680455015511"/>
          <c:y val="0.49152542372881358"/>
          <c:w val="0.16959669079627715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Chart2.6: GCSEs acheived in Design and Technology (all boards, UK candidates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96173733195449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9989658738367"/>
          <c:y val="0.2830508474576271"/>
          <c:w val="0.69493278179937956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5-4592-B940-B87A731FCA1D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5-4592-B940-B87A731FCA1D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5-4592-B940-B87A731FCA1D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5-4592-B940-B87A731FCA1D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5-4592-B940-B87A731F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518896"/>
        <c:axId val="1"/>
      </c:barChart>
      <c:catAx>
        <c:axId val="85151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6949152542372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518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60806618407446"/>
          <c:y val="0.46271186440677964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6" header="0.5" footer="0.5"/>
  <pageSetup paperSize="9" orientation="landscape" horizontalDpi="3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2" header="0.5" footer="0.5"/>
  <pageSetup paperSize="9" orientation="landscape" horizontalDpi="300" verticalDpi="3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55000000000000004" bottom="0.56999999999999995" header="0.5" footer="0.5"/>
  <pageSetup paperSize="9" orientation="landscape" horizontalDpi="300" verticalDpi="3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2" header="0.5" footer="0.5"/>
  <pageSetup paperSize="9" orientation="landscape" horizontalDpi="300" verticalDpi="3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52" bottom="0.48" header="0.5" footer="0.5"/>
  <pageSetup paperSize="9" orientation="landscape" horizontalDpi="3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49" bottom="0.48" header="0.5" footer="0.5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82BB-1A49-4D83-B1FB-93586E2BB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20EC3-B3B2-4E77-AB6C-51A5E3E450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248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5CB4E-19CD-4314-BE82-3C711764F7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7D033-DB67-4106-8008-DC5F1FDB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42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4BB36-AF5F-4000-99DD-4681A418F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B9A07-FAED-4F29-AEAD-A21DC266B9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534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EAD5D-F8EB-4315-9E6C-DF438B7821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65627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C4170-180E-45E6-9DBE-93F72DF6C2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104AB-66BD-4FBD-B41A-2D6E3AC895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2AC5D-4C97-4016-BE4B-734AF6234B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BEA64-CF72-4F39-8ECF-7EAC9F5D9F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CCD9D-A717-422E-A8DB-471A8B4868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E5208-99D0-4589-A892-5E2A5848FA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9F715-670E-4C52-8DCB-128F68DB2D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FFD0B-1BD6-477A-BCCA-C55CA1635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90875-2C3F-4941-8602-727377DF8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2"/>
  <sheetViews>
    <sheetView tabSelected="1" topLeftCell="A157" workbookViewId="0">
      <selection activeCell="A179" sqref="A179"/>
    </sheetView>
  </sheetViews>
  <sheetFormatPr defaultRowHeight="12.75" x14ac:dyDescent="0.2"/>
  <cols>
    <col min="1" max="1" width="14.85546875" customWidth="1"/>
    <col min="11" max="11" width="12.28515625" bestFit="1" customWidth="1"/>
  </cols>
  <sheetData>
    <row r="1" spans="1:24" x14ac:dyDescent="0.2">
      <c r="A1" s="1" t="s">
        <v>0</v>
      </c>
    </row>
    <row r="2" spans="1:24" x14ac:dyDescent="0.2">
      <c r="A2" t="s">
        <v>1</v>
      </c>
    </row>
    <row r="3" spans="1:24" x14ac:dyDescent="0.2">
      <c r="A3" t="s">
        <v>20</v>
      </c>
    </row>
    <row r="4" spans="1:24" x14ac:dyDescent="0.2">
      <c r="A4" t="s">
        <v>21</v>
      </c>
      <c r="B4" s="1">
        <v>1988</v>
      </c>
      <c r="C4" s="1">
        <v>1989</v>
      </c>
      <c r="D4" s="1">
        <v>1990</v>
      </c>
      <c r="E4" s="1">
        <v>1991</v>
      </c>
      <c r="F4" s="1">
        <v>1992</v>
      </c>
      <c r="G4" s="1">
        <v>1993</v>
      </c>
      <c r="H4" s="1">
        <v>1994</v>
      </c>
      <c r="I4" s="1">
        <v>1995</v>
      </c>
      <c r="J4" s="1">
        <v>1996</v>
      </c>
      <c r="K4" s="1">
        <v>1997</v>
      </c>
      <c r="L4" s="1">
        <v>1998</v>
      </c>
      <c r="M4" s="1">
        <v>1999</v>
      </c>
      <c r="N4" s="1">
        <v>2000</v>
      </c>
      <c r="O4" s="1">
        <v>2001</v>
      </c>
      <c r="P4" s="1">
        <v>2002</v>
      </c>
      <c r="Q4" s="1">
        <v>2003</v>
      </c>
      <c r="R4" s="1">
        <v>2004</v>
      </c>
      <c r="S4" s="1">
        <v>2005</v>
      </c>
      <c r="T4" s="1">
        <v>2006</v>
      </c>
      <c r="U4" s="1">
        <v>2007</v>
      </c>
      <c r="V4" s="1">
        <v>2008</v>
      </c>
      <c r="W4" s="1">
        <v>2009</v>
      </c>
      <c r="X4" s="1">
        <v>2010</v>
      </c>
    </row>
    <row r="5" spans="1:24" x14ac:dyDescent="0.2">
      <c r="A5" s="1" t="s">
        <v>2</v>
      </c>
      <c r="B5">
        <v>868.7</v>
      </c>
      <c r="C5">
        <v>875.3</v>
      </c>
      <c r="D5">
        <v>831</v>
      </c>
      <c r="E5">
        <v>783.7</v>
      </c>
      <c r="F5">
        <v>732.4</v>
      </c>
      <c r="G5">
        <v>707.9</v>
      </c>
      <c r="H5">
        <v>681.7</v>
      </c>
      <c r="I5">
        <v>652.6</v>
      </c>
      <c r="J5">
        <v>663.1</v>
      </c>
      <c r="K5">
        <v>718.1</v>
      </c>
      <c r="L5">
        <v>745.2</v>
      </c>
      <c r="M5">
        <v>743.4</v>
      </c>
      <c r="N5">
        <v>728.7</v>
      </c>
      <c r="O5">
        <v>738</v>
      </c>
      <c r="P5">
        <v>738</v>
      </c>
      <c r="Q5">
        <v>768</v>
      </c>
      <c r="R5">
        <v>777</v>
      </c>
      <c r="S5">
        <v>785</v>
      </c>
      <c r="T5">
        <v>808</v>
      </c>
      <c r="U5">
        <v>799</v>
      </c>
      <c r="V5">
        <v>803</v>
      </c>
      <c r="W5">
        <v>821</v>
      </c>
      <c r="X5">
        <v>815</v>
      </c>
    </row>
    <row r="6" spans="1:24" x14ac:dyDescent="0.2">
      <c r="A6" s="1" t="s">
        <v>3</v>
      </c>
      <c r="B6">
        <v>827.8</v>
      </c>
      <c r="C6">
        <v>780</v>
      </c>
      <c r="D6">
        <v>730.4</v>
      </c>
      <c r="E6">
        <v>709.1</v>
      </c>
      <c r="F6">
        <v>680.5</v>
      </c>
      <c r="G6">
        <v>651.1</v>
      </c>
      <c r="H6">
        <v>662.2</v>
      </c>
      <c r="I6">
        <v>717.4</v>
      </c>
      <c r="J6">
        <v>745.1</v>
      </c>
      <c r="K6">
        <v>741.7</v>
      </c>
      <c r="L6">
        <v>729.7</v>
      </c>
      <c r="M6">
        <v>731.6</v>
      </c>
      <c r="N6">
        <v>726.4</v>
      </c>
      <c r="O6">
        <v>757</v>
      </c>
      <c r="P6">
        <v>767</v>
      </c>
      <c r="Q6">
        <v>775</v>
      </c>
      <c r="R6">
        <v>798</v>
      </c>
      <c r="S6">
        <v>789</v>
      </c>
      <c r="T6">
        <v>793</v>
      </c>
      <c r="U6">
        <v>811</v>
      </c>
      <c r="V6">
        <v>804</v>
      </c>
      <c r="W6">
        <v>775</v>
      </c>
      <c r="X6">
        <v>777</v>
      </c>
    </row>
    <row r="9" spans="1:24" x14ac:dyDescent="0.2">
      <c r="A9" s="1" t="s">
        <v>4</v>
      </c>
    </row>
    <row r="10" spans="1:24" x14ac:dyDescent="0.2">
      <c r="A10" t="s">
        <v>18</v>
      </c>
    </row>
    <row r="12" spans="1:24" x14ac:dyDescent="0.2">
      <c r="B12" s="1">
        <v>1993</v>
      </c>
      <c r="C12" s="1">
        <v>1994</v>
      </c>
      <c r="D12" s="1">
        <v>1995</v>
      </c>
      <c r="E12" s="1">
        <v>1996</v>
      </c>
      <c r="F12" s="1">
        <v>1997</v>
      </c>
      <c r="G12" s="1">
        <v>1998</v>
      </c>
      <c r="H12" s="1">
        <v>1999</v>
      </c>
      <c r="I12" s="1">
        <v>2000</v>
      </c>
      <c r="J12" s="1">
        <v>2001</v>
      </c>
      <c r="K12" s="1">
        <v>2002</v>
      </c>
    </row>
    <row r="13" spans="1:24" x14ac:dyDescent="0.2">
      <c r="A13" s="1" t="s">
        <v>5</v>
      </c>
      <c r="B13">
        <v>0</v>
      </c>
      <c r="C13">
        <v>11350</v>
      </c>
      <c r="D13">
        <v>12589</v>
      </c>
      <c r="E13">
        <v>14418</v>
      </c>
      <c r="F13">
        <v>14522</v>
      </c>
      <c r="G13">
        <v>14841</v>
      </c>
      <c r="H13">
        <v>16194</v>
      </c>
      <c r="I13" s="4">
        <f>0.028*684850</f>
        <v>19175.8</v>
      </c>
      <c r="J13">
        <v>19936</v>
      </c>
      <c r="K13">
        <v>25525</v>
      </c>
    </row>
    <row r="14" spans="1:24" x14ac:dyDescent="0.2">
      <c r="A14" s="1" t="s">
        <v>6</v>
      </c>
      <c r="B14">
        <v>49231</v>
      </c>
      <c r="C14">
        <f>54585-C13</f>
        <v>43235</v>
      </c>
      <c r="D14">
        <f>57123-D13</f>
        <v>44534</v>
      </c>
      <c r="E14">
        <f>63245-E13</f>
        <v>48827</v>
      </c>
      <c r="F14">
        <f>66024-F13</f>
        <v>51502</v>
      </c>
      <c r="G14">
        <v>51885</v>
      </c>
      <c r="H14">
        <v>54799</v>
      </c>
      <c r="I14" s="4">
        <f>0.079*684850</f>
        <v>54103.15</v>
      </c>
      <c r="J14">
        <v>58417</v>
      </c>
      <c r="K14">
        <v>58849</v>
      </c>
    </row>
    <row r="15" spans="1:24" x14ac:dyDescent="0.2">
      <c r="A15" s="1" t="s">
        <v>7</v>
      </c>
      <c r="B15">
        <f>109000-B14</f>
        <v>59769</v>
      </c>
      <c r="C15">
        <f>155615-(C14+C13)</f>
        <v>101030</v>
      </c>
      <c r="D15">
        <f>147715-(D14+D13)</f>
        <v>90592</v>
      </c>
      <c r="E15">
        <f>162986-(E14+E13)</f>
        <v>99741</v>
      </c>
      <c r="F15">
        <f>165986-(F14+F13)</f>
        <v>99962</v>
      </c>
      <c r="G15">
        <v>105666</v>
      </c>
      <c r="H15">
        <v>111762</v>
      </c>
      <c r="I15" s="4">
        <f>0.166*684850</f>
        <v>113685.1</v>
      </c>
      <c r="J15">
        <v>120054</v>
      </c>
      <c r="K15">
        <v>124789</v>
      </c>
    </row>
    <row r="16" spans="1:24" x14ac:dyDescent="0.2">
      <c r="A16" s="1" t="s">
        <v>8</v>
      </c>
      <c r="B16">
        <f>263553-(B15+B14)</f>
        <v>154553</v>
      </c>
      <c r="C16">
        <f>296510-(C15+C14+C13)</f>
        <v>140895</v>
      </c>
      <c r="D16">
        <f>304513-(D15+D14+D13)</f>
        <v>156798</v>
      </c>
      <c r="E16">
        <f>325081-(E15+E14+E13)</f>
        <v>162095</v>
      </c>
      <c r="F16">
        <f>325148-(F15+F14+F13)</f>
        <v>159162</v>
      </c>
      <c r="G16">
        <v>144611</v>
      </c>
      <c r="H16">
        <v>147253</v>
      </c>
      <c r="I16">
        <f>0.22*684850</f>
        <v>150667</v>
      </c>
      <c r="J16">
        <v>155210</v>
      </c>
      <c r="K16">
        <v>154568</v>
      </c>
    </row>
    <row r="17" spans="1:11" x14ac:dyDescent="0.2">
      <c r="A17" s="1" t="s">
        <v>9</v>
      </c>
      <c r="B17">
        <f>B18-(B16+B15+B14)</f>
        <v>305706</v>
      </c>
      <c r="C17">
        <f>C18-(C16+C15+C14+C13)</f>
        <v>344098</v>
      </c>
      <c r="D17">
        <f>D18-(D16+D15+D14+D13)</f>
        <v>373932</v>
      </c>
      <c r="E17">
        <f>E18-(E16+E15+E14+E13)</f>
        <v>370328</v>
      </c>
      <c r="F17">
        <f>F18-(F16+F15+F14+F13)</f>
        <v>361834</v>
      </c>
      <c r="G17">
        <v>365145</v>
      </c>
      <c r="H17">
        <v>361818</v>
      </c>
      <c r="I17">
        <f>0.507*684850</f>
        <v>347218.95</v>
      </c>
      <c r="J17">
        <v>350631</v>
      </c>
      <c r="K17">
        <f>126916+107063+58849+26943+25525</f>
        <v>345296</v>
      </c>
    </row>
    <row r="18" spans="1:11" x14ac:dyDescent="0.2">
      <c r="A18" s="1" t="s">
        <v>10</v>
      </c>
      <c r="B18">
        <v>569259</v>
      </c>
      <c r="C18">
        <v>640608</v>
      </c>
      <c r="D18">
        <v>678445</v>
      </c>
      <c r="E18">
        <v>695409</v>
      </c>
      <c r="F18">
        <v>686982</v>
      </c>
      <c r="G18">
        <v>682148</v>
      </c>
      <c r="H18">
        <v>691826</v>
      </c>
      <c r="I18" s="4">
        <f>SUM(I13:I17)</f>
        <v>684850</v>
      </c>
      <c r="J18" s="4">
        <f>SUM(J13:J17)</f>
        <v>704248</v>
      </c>
      <c r="K18" s="4">
        <f>SUM(K13:K17)</f>
        <v>709027</v>
      </c>
    </row>
    <row r="21" spans="1:11" x14ac:dyDescent="0.2">
      <c r="A21" s="1" t="s">
        <v>28</v>
      </c>
    </row>
    <row r="22" spans="1:11" x14ac:dyDescent="0.2">
      <c r="A22" t="s">
        <v>18</v>
      </c>
    </row>
    <row r="24" spans="1:11" x14ac:dyDescent="0.2">
      <c r="B24" s="1">
        <v>1993</v>
      </c>
      <c r="C24" s="1">
        <v>1994</v>
      </c>
      <c r="D24" s="1">
        <v>1995</v>
      </c>
      <c r="E24" s="1">
        <v>1996</v>
      </c>
      <c r="F24" s="1">
        <v>1997</v>
      </c>
      <c r="G24" s="1">
        <v>1998</v>
      </c>
      <c r="H24" s="1">
        <v>1999</v>
      </c>
      <c r="I24" s="1">
        <v>2000</v>
      </c>
      <c r="J24" s="1">
        <v>2001</v>
      </c>
      <c r="K24" s="1">
        <v>2002</v>
      </c>
    </row>
    <row r="25" spans="1:11" x14ac:dyDescent="0.2">
      <c r="A25" s="1" t="s">
        <v>5</v>
      </c>
      <c r="B25">
        <v>0</v>
      </c>
      <c r="C25">
        <v>4793</v>
      </c>
      <c r="D25">
        <v>5650</v>
      </c>
      <c r="E25">
        <v>6185</v>
      </c>
      <c r="F25">
        <v>6101</v>
      </c>
      <c r="G25">
        <v>7218</v>
      </c>
      <c r="H25">
        <v>8514</v>
      </c>
      <c r="I25" s="4">
        <f>0.172*46691</f>
        <v>8030.851999999999</v>
      </c>
      <c r="J25">
        <v>8154</v>
      </c>
      <c r="K25">
        <v>8605</v>
      </c>
    </row>
    <row r="26" spans="1:11" x14ac:dyDescent="0.2">
      <c r="A26" s="1" t="s">
        <v>6</v>
      </c>
      <c r="B26">
        <v>15362</v>
      </c>
      <c r="C26">
        <f>14965-C25</f>
        <v>10172</v>
      </c>
      <c r="D26">
        <f>14937-D25</f>
        <v>9287</v>
      </c>
      <c r="E26">
        <f>16472-E25</f>
        <v>10287</v>
      </c>
      <c r="F26">
        <f>16327-F25</f>
        <v>10226</v>
      </c>
      <c r="G26">
        <v>11179</v>
      </c>
      <c r="H26">
        <v>11413</v>
      </c>
      <c r="I26" s="4">
        <f>0.26*46691</f>
        <v>12139.66</v>
      </c>
      <c r="J26">
        <v>12285</v>
      </c>
      <c r="K26">
        <v>12232</v>
      </c>
    </row>
    <row r="27" spans="1:11" x14ac:dyDescent="0.2">
      <c r="A27" s="1" t="s">
        <v>7</v>
      </c>
      <c r="B27">
        <f>29175-B26</f>
        <v>13813</v>
      </c>
      <c r="C27">
        <f>26503-(C26+C25)</f>
        <v>11538</v>
      </c>
      <c r="D27">
        <f>28443-(D26+D25)</f>
        <v>13506</v>
      </c>
      <c r="E27">
        <f>30975-(E26+E25)</f>
        <v>14503</v>
      </c>
      <c r="F27">
        <f>29545-(F26+F25)</f>
        <v>13218</v>
      </c>
      <c r="G27">
        <v>11374</v>
      </c>
      <c r="H27">
        <v>11334</v>
      </c>
      <c r="I27" s="4">
        <f>0.245*46691</f>
        <v>11439.295</v>
      </c>
      <c r="J27">
        <v>11387</v>
      </c>
      <c r="K27">
        <v>10791</v>
      </c>
    </row>
    <row r="28" spans="1:11" x14ac:dyDescent="0.2">
      <c r="A28" s="1" t="s">
        <v>8</v>
      </c>
      <c r="B28">
        <f>44504-(B26+B27)</f>
        <v>15329</v>
      </c>
      <c r="C28">
        <f>39620-(C27+C26+C25)</f>
        <v>13117</v>
      </c>
      <c r="D28">
        <f>37377-(D27+D26+D25)</f>
        <v>8934</v>
      </c>
      <c r="E28">
        <f>39708-(E27+E26+E25)</f>
        <v>8733</v>
      </c>
      <c r="F28">
        <f>38795-(F27+F26+F25)</f>
        <v>9250</v>
      </c>
      <c r="G28">
        <v>9678</v>
      </c>
      <c r="H28">
        <v>9665</v>
      </c>
      <c r="I28" s="4">
        <f>0.203*46691</f>
        <v>9478.273000000001</v>
      </c>
      <c r="J28">
        <v>9566</v>
      </c>
      <c r="K28">
        <v>9535</v>
      </c>
    </row>
    <row r="29" spans="1:11" x14ac:dyDescent="0.2">
      <c r="A29" s="1" t="s">
        <v>9</v>
      </c>
      <c r="B29">
        <f>B30-(B28+B27+B26)</f>
        <v>20772</v>
      </c>
      <c r="C29">
        <f>C30-(C28+C27+C26+C25)</f>
        <v>13883</v>
      </c>
      <c r="D29">
        <f>D30-(D28+D27+D26+D25)</f>
        <v>6462</v>
      </c>
      <c r="E29">
        <f>E30-(E28+E27+E26+E25)</f>
        <v>6744</v>
      </c>
      <c r="F29">
        <f>F30-(F28+F27+F26+F25)</f>
        <v>6183</v>
      </c>
      <c r="G29">
        <v>6075</v>
      </c>
      <c r="H29">
        <v>5865</v>
      </c>
      <c r="I29" s="4">
        <f>0.12*46691</f>
        <v>5602.92</v>
      </c>
      <c r="J29">
        <v>5282</v>
      </c>
      <c r="K29">
        <f>3767+930+279+93+279</f>
        <v>5348</v>
      </c>
    </row>
    <row r="30" spans="1:11" x14ac:dyDescent="0.2">
      <c r="A30" s="1" t="s">
        <v>10</v>
      </c>
      <c r="B30">
        <v>65276</v>
      </c>
      <c r="C30">
        <v>53503</v>
      </c>
      <c r="D30">
        <v>43839</v>
      </c>
      <c r="E30">
        <v>46452</v>
      </c>
      <c r="F30">
        <v>44978</v>
      </c>
      <c r="G30">
        <v>45524</v>
      </c>
      <c r="H30">
        <v>46791</v>
      </c>
      <c r="I30" s="4">
        <f>SUM(I25:I29)</f>
        <v>46691</v>
      </c>
      <c r="J30" s="4">
        <f>SUM(J25:J29)</f>
        <v>46674</v>
      </c>
      <c r="K30" s="4">
        <f>SUM(K25:K29)</f>
        <v>46511</v>
      </c>
    </row>
    <row r="33" spans="1:11" x14ac:dyDescent="0.2">
      <c r="A33" s="1" t="s">
        <v>36</v>
      </c>
    </row>
    <row r="34" spans="1:11" x14ac:dyDescent="0.2">
      <c r="A34" t="s">
        <v>18</v>
      </c>
    </row>
    <row r="36" spans="1:11" x14ac:dyDescent="0.2">
      <c r="B36" s="1">
        <v>1993</v>
      </c>
      <c r="C36" s="1">
        <v>1994</v>
      </c>
      <c r="D36" s="1">
        <v>1995</v>
      </c>
      <c r="E36" s="1">
        <v>1996</v>
      </c>
      <c r="F36" s="1">
        <v>1997</v>
      </c>
      <c r="G36" s="1">
        <v>1998</v>
      </c>
      <c r="H36" s="1">
        <v>1999</v>
      </c>
      <c r="I36" s="1">
        <v>2000</v>
      </c>
      <c r="J36" s="1">
        <v>2001</v>
      </c>
      <c r="K36" s="1">
        <v>2002</v>
      </c>
    </row>
    <row r="37" spans="1:11" x14ac:dyDescent="0.2">
      <c r="A37" s="1" t="s">
        <v>5</v>
      </c>
      <c r="B37" s="2">
        <v>0</v>
      </c>
      <c r="C37" s="2">
        <v>23903</v>
      </c>
      <c r="D37" s="2">
        <v>33906</v>
      </c>
      <c r="E37" s="2">
        <v>31608</v>
      </c>
      <c r="F37" s="2">
        <v>35300</v>
      </c>
      <c r="G37">
        <v>34410</v>
      </c>
      <c r="H37">
        <v>37459</v>
      </c>
      <c r="I37" s="4">
        <f>0.037*1046711</f>
        <v>38728.307000000001</v>
      </c>
      <c r="J37">
        <v>41684</v>
      </c>
      <c r="K37">
        <v>41973</v>
      </c>
    </row>
    <row r="38" spans="1:11" x14ac:dyDescent="0.2">
      <c r="A38" s="1" t="s">
        <v>6</v>
      </c>
      <c r="B38">
        <v>57083</v>
      </c>
      <c r="C38">
        <f>82443-C37</f>
        <v>58540</v>
      </c>
      <c r="D38">
        <f>99370-D37</f>
        <v>65464</v>
      </c>
      <c r="E38">
        <f>102917-E37</f>
        <v>71309</v>
      </c>
      <c r="F38">
        <f>105954-F37</f>
        <v>70654</v>
      </c>
      <c r="G38">
        <v>76939</v>
      </c>
      <c r="H38">
        <v>76311</v>
      </c>
      <c r="I38" s="4">
        <f>0.077*1046711</f>
        <v>80596.747000000003</v>
      </c>
      <c r="J38">
        <v>83508</v>
      </c>
      <c r="K38">
        <v>82923</v>
      </c>
    </row>
    <row r="39" spans="1:11" x14ac:dyDescent="0.2">
      <c r="A39" s="1" t="s">
        <v>7</v>
      </c>
      <c r="B39">
        <f>131908-B38</f>
        <v>74825</v>
      </c>
      <c r="C39">
        <f>238358-(C37+C38)</f>
        <v>155915</v>
      </c>
      <c r="D39">
        <f>272969-(D38+D37)</f>
        <v>173599</v>
      </c>
      <c r="E39">
        <f>282177-(E38+E37)</f>
        <v>179260</v>
      </c>
      <c r="F39">
        <f>283636-(F38+F37)</f>
        <v>177682</v>
      </c>
      <c r="G39">
        <v>126113</v>
      </c>
      <c r="H39">
        <v>126298</v>
      </c>
      <c r="I39" s="4">
        <f>0.119*1046711</f>
        <v>124558.609</v>
      </c>
      <c r="J39">
        <v>130929</v>
      </c>
      <c r="K39">
        <v>132063</v>
      </c>
    </row>
    <row r="40" spans="1:11" x14ac:dyDescent="0.2">
      <c r="A40" s="1" t="s">
        <v>8</v>
      </c>
      <c r="B40">
        <f>271522-(B38+B39)</f>
        <v>139614</v>
      </c>
      <c r="C40">
        <f>399161-(C39+C38+C37)</f>
        <v>160803</v>
      </c>
      <c r="D40">
        <f>474594-(D39+D38+D37)</f>
        <v>201625</v>
      </c>
      <c r="E40">
        <f>490910-(E39+E38+E37)</f>
        <v>208733</v>
      </c>
      <c r="F40">
        <f>491813-(F39+F38+F37)</f>
        <v>208177</v>
      </c>
      <c r="G40">
        <v>258794</v>
      </c>
      <c r="H40">
        <v>267092</v>
      </c>
      <c r="I40" s="4">
        <f>0.264*1046711</f>
        <v>276331.70400000003</v>
      </c>
      <c r="J40">
        <v>294087</v>
      </c>
      <c r="K40">
        <v>282553</v>
      </c>
    </row>
    <row r="41" spans="1:11" x14ac:dyDescent="0.2">
      <c r="A41" s="1" t="s">
        <v>9</v>
      </c>
      <c r="B41">
        <f>B42-(B40+B39+B38)</f>
        <v>335475</v>
      </c>
      <c r="C41">
        <f>C42-(C39+C38+C37+C40)</f>
        <v>479593</v>
      </c>
      <c r="D41">
        <f>D42-(D39+D38+D37+D40)</f>
        <v>523081</v>
      </c>
      <c r="E41">
        <f>E42-(E39+E38+E37+E40)</f>
        <v>523361</v>
      </c>
      <c r="F41">
        <f>F42-(F39+F38+F37+F40)</f>
        <v>523760</v>
      </c>
      <c r="G41">
        <v>522652</v>
      </c>
      <c r="H41">
        <v>533367</v>
      </c>
      <c r="I41" s="4">
        <f>0.503*1046711</f>
        <v>526495.63300000003</v>
      </c>
      <c r="J41">
        <v>538519</v>
      </c>
      <c r="K41">
        <f>213962+143324+77804+30712+18427</f>
        <v>484229</v>
      </c>
    </row>
    <row r="42" spans="1:11" x14ac:dyDescent="0.2">
      <c r="A42" s="1" t="s">
        <v>10</v>
      </c>
      <c r="B42">
        <v>606997</v>
      </c>
      <c r="C42">
        <v>878754</v>
      </c>
      <c r="D42">
        <v>997675</v>
      </c>
      <c r="E42">
        <v>1014271</v>
      </c>
      <c r="F42">
        <v>1015573</v>
      </c>
      <c r="G42">
        <v>1018908</v>
      </c>
      <c r="H42">
        <v>1040527</v>
      </c>
      <c r="I42" s="4">
        <f>SUM(I37:I41)</f>
        <v>1046711</v>
      </c>
      <c r="J42" s="4">
        <f>SUM(J37:J41)</f>
        <v>1088727</v>
      </c>
      <c r="K42" s="4">
        <v>1023742</v>
      </c>
    </row>
    <row r="44" spans="1:11" x14ac:dyDescent="0.2">
      <c r="A44" s="2" t="s">
        <v>37</v>
      </c>
      <c r="B44" s="2"/>
      <c r="C44" s="2"/>
      <c r="D44" s="2"/>
      <c r="E44" s="2"/>
      <c r="F44" s="2"/>
      <c r="G44" s="2"/>
      <c r="H44" s="2"/>
      <c r="I44" s="2"/>
      <c r="J44" s="2"/>
    </row>
    <row r="45" spans="1:11" x14ac:dyDescent="0.2">
      <c r="A45" s="1" t="s">
        <v>29</v>
      </c>
    </row>
    <row r="46" spans="1:11" x14ac:dyDescent="0.2">
      <c r="A46" t="s">
        <v>18</v>
      </c>
    </row>
    <row r="48" spans="1:11" x14ac:dyDescent="0.2">
      <c r="B48" s="1">
        <v>1993</v>
      </c>
      <c r="C48" s="1">
        <v>1994</v>
      </c>
      <c r="D48" s="1">
        <v>1995</v>
      </c>
      <c r="E48" s="1">
        <v>1996</v>
      </c>
      <c r="F48" s="1">
        <v>1997</v>
      </c>
      <c r="G48" s="1">
        <v>1998</v>
      </c>
      <c r="H48" s="1">
        <v>1999</v>
      </c>
      <c r="I48" s="1">
        <v>2000</v>
      </c>
      <c r="J48" s="1">
        <v>2001</v>
      </c>
      <c r="K48" s="1">
        <v>2002</v>
      </c>
    </row>
    <row r="49" spans="1:11" x14ac:dyDescent="0.2">
      <c r="A49" s="1" t="s">
        <v>5</v>
      </c>
      <c r="B49" s="2">
        <v>0</v>
      </c>
      <c r="C49" s="2">
        <v>3904</v>
      </c>
      <c r="D49" s="2">
        <v>4831</v>
      </c>
      <c r="E49" s="2">
        <v>5396</v>
      </c>
      <c r="F49" s="2">
        <v>6281</v>
      </c>
      <c r="G49">
        <v>6228</v>
      </c>
      <c r="H49">
        <v>7235</v>
      </c>
      <c r="I49" s="4">
        <f>0.158*46927</f>
        <v>7414.4660000000003</v>
      </c>
      <c r="J49">
        <v>7604</v>
      </c>
      <c r="K49">
        <v>7860</v>
      </c>
    </row>
    <row r="50" spans="1:11" x14ac:dyDescent="0.2">
      <c r="A50" s="1" t="s">
        <v>6</v>
      </c>
      <c r="B50">
        <v>14143</v>
      </c>
      <c r="C50">
        <v>10724</v>
      </c>
      <c r="D50">
        <v>9443</v>
      </c>
      <c r="E50">
        <v>10699</v>
      </c>
      <c r="F50">
        <v>10040</v>
      </c>
      <c r="G50">
        <v>12200</v>
      </c>
      <c r="H50">
        <v>12170</v>
      </c>
      <c r="I50" s="4">
        <f>0.263*46927</f>
        <v>12341.801000000001</v>
      </c>
      <c r="J50">
        <v>12833</v>
      </c>
      <c r="K50">
        <v>12708</v>
      </c>
    </row>
    <row r="51" spans="1:11" x14ac:dyDescent="0.2">
      <c r="A51" s="1" t="s">
        <v>7</v>
      </c>
      <c r="B51">
        <v>15638</v>
      </c>
      <c r="C51">
        <v>12754</v>
      </c>
      <c r="D51">
        <v>12474</v>
      </c>
      <c r="E51">
        <v>13890</v>
      </c>
      <c r="F51">
        <v>13433</v>
      </c>
      <c r="G51">
        <v>12478</v>
      </c>
      <c r="H51">
        <v>12175</v>
      </c>
      <c r="I51" s="4">
        <f>0.257*46927</f>
        <v>12060.239</v>
      </c>
      <c r="J51">
        <v>11708</v>
      </c>
      <c r="K51">
        <v>11626</v>
      </c>
    </row>
    <row r="52" spans="1:11" x14ac:dyDescent="0.2">
      <c r="A52" s="1" t="s">
        <v>8</v>
      </c>
      <c r="B52">
        <v>13270</v>
      </c>
      <c r="C52">
        <v>11661</v>
      </c>
      <c r="D52">
        <v>10190</v>
      </c>
      <c r="E52">
        <v>10417</v>
      </c>
      <c r="F52">
        <v>10040</v>
      </c>
      <c r="G52">
        <v>9504</v>
      </c>
      <c r="H52">
        <v>9823</v>
      </c>
      <c r="I52" s="4">
        <f>0.208*46927</f>
        <v>9760.8159999999989</v>
      </c>
      <c r="J52">
        <v>9718</v>
      </c>
      <c r="K52">
        <v>9696</v>
      </c>
    </row>
    <row r="53" spans="1:11" x14ac:dyDescent="0.2">
      <c r="A53" s="1" t="s">
        <v>9</v>
      </c>
      <c r="B53">
        <v>19250</v>
      </c>
      <c r="C53">
        <v>13014</v>
      </c>
      <c r="D53">
        <v>6984</v>
      </c>
      <c r="E53">
        <v>6522</v>
      </c>
      <c r="F53">
        <v>6053</v>
      </c>
      <c r="G53">
        <v>5674</v>
      </c>
      <c r="H53">
        <v>5782</v>
      </c>
      <c r="I53" s="4">
        <f>0.114*46927</f>
        <v>5349.6779999999999</v>
      </c>
      <c r="J53">
        <v>5141</v>
      </c>
      <c r="K53">
        <f>3671+941+282+94+188</f>
        <v>5176</v>
      </c>
    </row>
    <row r="54" spans="1:11" x14ac:dyDescent="0.2">
      <c r="A54" s="1" t="s">
        <v>10</v>
      </c>
      <c r="B54">
        <v>62302</v>
      </c>
      <c r="C54">
        <v>52056</v>
      </c>
      <c r="D54">
        <v>43921</v>
      </c>
      <c r="E54">
        <v>46924</v>
      </c>
      <c r="F54">
        <v>45846</v>
      </c>
      <c r="G54">
        <v>46084</v>
      </c>
      <c r="H54">
        <v>47185</v>
      </c>
      <c r="I54" s="4">
        <f>SUM(I49:I53)</f>
        <v>46927</v>
      </c>
      <c r="J54" s="4">
        <f>SUM(J49:J53)</f>
        <v>47004</v>
      </c>
      <c r="K54" s="4">
        <v>47068</v>
      </c>
    </row>
    <row r="57" spans="1:11" x14ac:dyDescent="0.2">
      <c r="A57" s="1" t="s">
        <v>30</v>
      </c>
    </row>
    <row r="58" spans="1:11" x14ac:dyDescent="0.2">
      <c r="A58" t="s">
        <v>18</v>
      </c>
    </row>
    <row r="60" spans="1:11" x14ac:dyDescent="0.2">
      <c r="B60" s="1">
        <v>1993</v>
      </c>
      <c r="C60" s="1">
        <v>1994</v>
      </c>
      <c r="D60" s="1">
        <v>1995</v>
      </c>
      <c r="E60" s="1">
        <v>1996</v>
      </c>
      <c r="F60" s="1">
        <v>1997</v>
      </c>
      <c r="G60" s="1">
        <v>1998</v>
      </c>
      <c r="H60" s="1">
        <v>1999</v>
      </c>
      <c r="I60" s="1">
        <v>2000</v>
      </c>
      <c r="J60" s="1">
        <v>2001</v>
      </c>
      <c r="K60" s="1">
        <v>2002</v>
      </c>
    </row>
    <row r="61" spans="1:11" x14ac:dyDescent="0.2">
      <c r="A61" s="1" t="s">
        <v>5</v>
      </c>
      <c r="B61" s="2">
        <v>0</v>
      </c>
      <c r="C61" s="2">
        <v>4156</v>
      </c>
      <c r="D61" s="2">
        <v>4882</v>
      </c>
      <c r="E61" s="2">
        <v>4930</v>
      </c>
      <c r="F61" s="2">
        <v>4954</v>
      </c>
      <c r="G61">
        <v>8970</v>
      </c>
      <c r="H61">
        <v>9768</v>
      </c>
      <c r="I61" s="4">
        <f>0.026*420544</f>
        <v>10934.144</v>
      </c>
      <c r="J61">
        <v>10897</v>
      </c>
      <c r="K61">
        <v>11707</v>
      </c>
    </row>
    <row r="62" spans="1:11" x14ac:dyDescent="0.2">
      <c r="A62" s="1" t="s">
        <v>6</v>
      </c>
      <c r="B62">
        <v>18834</v>
      </c>
      <c r="C62">
        <v>15378</v>
      </c>
      <c r="D62">
        <v>24787</v>
      </c>
      <c r="E62">
        <v>20543</v>
      </c>
      <c r="F62">
        <v>20339</v>
      </c>
      <c r="G62">
        <v>36890</v>
      </c>
      <c r="H62">
        <v>41536</v>
      </c>
      <c r="I62" s="4">
        <f>0.103*420544</f>
        <v>43316.031999999999</v>
      </c>
      <c r="J62">
        <v>45993</v>
      </c>
      <c r="K62">
        <v>46828</v>
      </c>
    </row>
    <row r="63" spans="1:11" x14ac:dyDescent="0.2">
      <c r="A63" s="1" t="s">
        <v>7</v>
      </c>
      <c r="B63">
        <v>28046</v>
      </c>
      <c r="C63">
        <v>29302</v>
      </c>
      <c r="D63">
        <v>58212</v>
      </c>
      <c r="E63">
        <v>44920</v>
      </c>
      <c r="F63">
        <v>43286</v>
      </c>
      <c r="G63">
        <v>53874</v>
      </c>
      <c r="H63">
        <v>60541</v>
      </c>
      <c r="I63" s="4">
        <f>0.151*420544</f>
        <v>63502.144</v>
      </c>
      <c r="J63">
        <v>65492</v>
      </c>
      <c r="K63">
        <v>66773</v>
      </c>
    </row>
    <row r="64" spans="1:11" x14ac:dyDescent="0.2">
      <c r="A64" s="1" t="s">
        <v>8</v>
      </c>
      <c r="B64">
        <v>38282</v>
      </c>
      <c r="C64">
        <v>39277</v>
      </c>
      <c r="D64">
        <v>78117</v>
      </c>
      <c r="E64">
        <v>55329</v>
      </c>
      <c r="F64">
        <v>53456</v>
      </c>
      <c r="G64">
        <v>89129</v>
      </c>
      <c r="H64">
        <v>95624</v>
      </c>
      <c r="I64" s="4">
        <f>0.235*420544</f>
        <v>98827.839999999997</v>
      </c>
      <c r="J64">
        <v>102876</v>
      </c>
      <c r="K64">
        <v>104930</v>
      </c>
    </row>
    <row r="65" spans="1:11" x14ac:dyDescent="0.2">
      <c r="A65" s="1" t="s">
        <v>9</v>
      </c>
      <c r="B65">
        <v>119553</v>
      </c>
      <c r="C65">
        <v>119700</v>
      </c>
      <c r="D65">
        <v>209563</v>
      </c>
      <c r="E65">
        <v>148182</v>
      </c>
      <c r="F65">
        <v>138724</v>
      </c>
      <c r="G65">
        <v>194902</v>
      </c>
      <c r="H65">
        <v>201493</v>
      </c>
      <c r="I65" s="4">
        <f>0.485*420544</f>
        <v>203963.84</v>
      </c>
      <c r="J65">
        <v>207455</v>
      </c>
      <c r="K65">
        <f>85852+55066+32520+16477+13441</f>
        <v>203356</v>
      </c>
    </row>
    <row r="66" spans="1:11" x14ac:dyDescent="0.2">
      <c r="A66" s="1" t="s">
        <v>10</v>
      </c>
      <c r="B66">
        <v>204715</v>
      </c>
      <c r="C66">
        <v>207813</v>
      </c>
      <c r="D66">
        <v>375561</v>
      </c>
      <c r="E66">
        <v>273904</v>
      </c>
      <c r="F66">
        <v>260759</v>
      </c>
      <c r="G66">
        <v>383765</v>
      </c>
      <c r="H66">
        <v>408962</v>
      </c>
      <c r="I66" s="4">
        <f>SUM(I61:I65)</f>
        <v>420544</v>
      </c>
      <c r="J66" s="4">
        <f>SUM(J61:J65)</f>
        <v>432713</v>
      </c>
      <c r="K66" s="4">
        <f>SUM(K61:K65)</f>
        <v>433594</v>
      </c>
    </row>
    <row r="68" spans="1:11" x14ac:dyDescent="0.2">
      <c r="A68" s="1" t="s">
        <v>33</v>
      </c>
      <c r="B68" s="1"/>
      <c r="C68" s="1"/>
      <c r="D68" s="1"/>
      <c r="E68" s="1"/>
      <c r="F68" s="1"/>
      <c r="G68" s="1"/>
      <c r="H68" s="1"/>
    </row>
    <row r="69" spans="1:11" x14ac:dyDescent="0.2">
      <c r="A69" t="s">
        <v>32</v>
      </c>
    </row>
    <row r="71" spans="1:11" x14ac:dyDescent="0.2">
      <c r="B71" s="1">
        <v>1993</v>
      </c>
      <c r="C71" s="1">
        <v>1994</v>
      </c>
      <c r="D71" s="1">
        <v>1995</v>
      </c>
      <c r="E71" s="1">
        <v>1996</v>
      </c>
      <c r="F71" s="1">
        <v>1997</v>
      </c>
      <c r="G71" s="1">
        <v>1998</v>
      </c>
      <c r="H71" s="1">
        <v>1999</v>
      </c>
      <c r="I71" s="1">
        <v>2000</v>
      </c>
      <c r="J71" s="1">
        <v>2001</v>
      </c>
      <c r="K71" s="1">
        <v>2002</v>
      </c>
    </row>
    <row r="72" spans="1:11" x14ac:dyDescent="0.2">
      <c r="A72" s="1" t="s">
        <v>5</v>
      </c>
      <c r="B72">
        <v>0</v>
      </c>
      <c r="C72">
        <v>1584</v>
      </c>
      <c r="D72">
        <v>978</v>
      </c>
      <c r="E72">
        <v>1736</v>
      </c>
      <c r="F72">
        <v>1799</v>
      </c>
      <c r="G72">
        <v>2408</v>
      </c>
      <c r="H72">
        <v>2849</v>
      </c>
      <c r="I72">
        <v>3945</v>
      </c>
      <c r="J72">
        <v>5644</v>
      </c>
      <c r="K72">
        <v>6034</v>
      </c>
    </row>
    <row r="73" spans="1:11" x14ac:dyDescent="0.2">
      <c r="A73" s="1" t="s">
        <v>6</v>
      </c>
      <c r="B73">
        <v>5916</v>
      </c>
      <c r="C73">
        <v>4753</v>
      </c>
      <c r="D73">
        <v>3359</v>
      </c>
      <c r="E73">
        <v>5484</v>
      </c>
      <c r="F73">
        <v>6786</v>
      </c>
      <c r="G73">
        <v>8047</v>
      </c>
      <c r="H73">
        <v>9386</v>
      </c>
      <c r="I73">
        <v>7920</v>
      </c>
      <c r="J73">
        <v>13107</v>
      </c>
      <c r="K73">
        <v>13924</v>
      </c>
    </row>
    <row r="74" spans="1:11" x14ac:dyDescent="0.2">
      <c r="A74" s="1" t="s">
        <v>7</v>
      </c>
      <c r="B74">
        <v>8782</v>
      </c>
      <c r="C74">
        <v>8569</v>
      </c>
      <c r="D74">
        <v>7942</v>
      </c>
      <c r="E74">
        <v>11887</v>
      </c>
      <c r="F74">
        <v>14756</v>
      </c>
      <c r="G74">
        <v>12478</v>
      </c>
      <c r="H74">
        <v>13718</v>
      </c>
      <c r="I74">
        <v>11887</v>
      </c>
      <c r="J74">
        <v>18366</v>
      </c>
      <c r="K74">
        <v>18913</v>
      </c>
    </row>
    <row r="75" spans="1:11" x14ac:dyDescent="0.2">
      <c r="A75" s="1" t="s">
        <v>8</v>
      </c>
      <c r="B75">
        <v>12168</v>
      </c>
      <c r="C75">
        <v>11507</v>
      </c>
      <c r="D75">
        <v>9729</v>
      </c>
      <c r="E75">
        <v>15750</v>
      </c>
      <c r="F75">
        <v>17254</v>
      </c>
      <c r="G75">
        <v>20048</v>
      </c>
      <c r="H75">
        <v>21943</v>
      </c>
      <c r="I75">
        <v>18639</v>
      </c>
      <c r="J75">
        <v>28867</v>
      </c>
      <c r="K75">
        <v>29820</v>
      </c>
    </row>
    <row r="76" spans="1:11" x14ac:dyDescent="0.2">
      <c r="A76" s="1" t="s">
        <v>22</v>
      </c>
      <c r="B76">
        <v>26291</v>
      </c>
      <c r="C76">
        <v>23727</v>
      </c>
      <c r="D76">
        <v>21061</v>
      </c>
      <c r="E76">
        <v>28035</v>
      </c>
      <c r="F76">
        <v>29971</v>
      </c>
      <c r="G76">
        <v>33950</v>
      </c>
      <c r="H76">
        <v>38091</v>
      </c>
      <c r="I76">
        <v>33778</v>
      </c>
      <c r="J76">
        <v>47428</v>
      </c>
      <c r="K76">
        <f>18681+11951+7426+4294+4990</f>
        <v>47342</v>
      </c>
    </row>
    <row r="77" spans="1:11" x14ac:dyDescent="0.2">
      <c r="A77" s="1" t="s">
        <v>10</v>
      </c>
      <c r="B77">
        <f t="shared" ref="B77:I77" si="0">SUM(B72:B76)</f>
        <v>53157</v>
      </c>
      <c r="C77">
        <f t="shared" si="0"/>
        <v>50140</v>
      </c>
      <c r="D77">
        <f t="shared" si="0"/>
        <v>43069</v>
      </c>
      <c r="E77">
        <f t="shared" si="0"/>
        <v>62892</v>
      </c>
      <c r="F77">
        <f t="shared" si="0"/>
        <v>70566</v>
      </c>
      <c r="G77">
        <f t="shared" si="0"/>
        <v>76931</v>
      </c>
      <c r="H77">
        <f t="shared" si="0"/>
        <v>85987</v>
      </c>
      <c r="I77">
        <f t="shared" si="0"/>
        <v>76169</v>
      </c>
      <c r="J77">
        <f>SUM(J72:J76)</f>
        <v>113412</v>
      </c>
      <c r="K77">
        <f>SUM(K72:K76)</f>
        <v>116033</v>
      </c>
    </row>
    <row r="79" spans="1:11" x14ac:dyDescent="0.2">
      <c r="A79" s="1" t="s">
        <v>23</v>
      </c>
    </row>
    <row r="80" spans="1:11" x14ac:dyDescent="0.2">
      <c r="A80" t="s">
        <v>18</v>
      </c>
    </row>
    <row r="82" spans="1:11" x14ac:dyDescent="0.2">
      <c r="B82" s="1">
        <v>1993</v>
      </c>
      <c r="C82" s="1">
        <v>1994</v>
      </c>
      <c r="D82" s="1">
        <v>1995</v>
      </c>
      <c r="E82" s="1">
        <v>1996</v>
      </c>
      <c r="F82" s="1">
        <v>1997</v>
      </c>
      <c r="G82" s="1">
        <v>1998</v>
      </c>
      <c r="H82" s="1">
        <v>1999</v>
      </c>
      <c r="I82" s="1">
        <v>2000</v>
      </c>
      <c r="J82" s="1">
        <v>2001</v>
      </c>
      <c r="K82" s="1">
        <v>2002</v>
      </c>
    </row>
    <row r="83" spans="1:11" x14ac:dyDescent="0.2">
      <c r="A83" s="1" t="s">
        <v>6</v>
      </c>
      <c r="B83">
        <v>15940</v>
      </c>
      <c r="C83">
        <v>16188</v>
      </c>
      <c r="D83">
        <v>17520</v>
      </c>
      <c r="E83">
        <v>18314</v>
      </c>
      <c r="F83">
        <v>19027</v>
      </c>
      <c r="G83">
        <v>19955</v>
      </c>
      <c r="H83">
        <v>20003</v>
      </c>
      <c r="I83">
        <v>19646</v>
      </c>
      <c r="J83">
        <v>19893</v>
      </c>
      <c r="K83">
        <v>20012</v>
      </c>
    </row>
    <row r="84" spans="1:11" x14ac:dyDescent="0.2">
      <c r="A84" s="1" t="s">
        <v>7</v>
      </c>
      <c r="B84">
        <v>11097</v>
      </c>
      <c r="C84">
        <v>11496</v>
      </c>
      <c r="D84">
        <v>11648</v>
      </c>
      <c r="E84">
        <v>12953</v>
      </c>
      <c r="F84">
        <v>13862</v>
      </c>
      <c r="G84">
        <v>13317</v>
      </c>
      <c r="H84">
        <v>13221</v>
      </c>
      <c r="I84">
        <v>12806</v>
      </c>
      <c r="J84">
        <v>12548</v>
      </c>
      <c r="K84">
        <v>10249</v>
      </c>
    </row>
    <row r="85" spans="1:11" x14ac:dyDescent="0.2">
      <c r="A85" s="1" t="s">
        <v>8</v>
      </c>
      <c r="B85">
        <v>10134</v>
      </c>
      <c r="C85">
        <v>10448</v>
      </c>
      <c r="D85">
        <v>10527</v>
      </c>
      <c r="E85">
        <v>11281</v>
      </c>
      <c r="F85">
        <v>11753</v>
      </c>
      <c r="G85">
        <v>11463</v>
      </c>
      <c r="H85">
        <v>11508</v>
      </c>
      <c r="I85">
        <v>11054</v>
      </c>
      <c r="J85">
        <v>10706</v>
      </c>
      <c r="K85">
        <v>8199</v>
      </c>
    </row>
    <row r="86" spans="1:11" x14ac:dyDescent="0.2">
      <c r="A86" s="1" t="s">
        <v>11</v>
      </c>
      <c r="B86">
        <v>9043</v>
      </c>
      <c r="C86">
        <v>9039</v>
      </c>
      <c r="D86">
        <v>8914</v>
      </c>
      <c r="E86">
        <v>9330</v>
      </c>
      <c r="F86">
        <v>9609</v>
      </c>
      <c r="G86">
        <v>9406</v>
      </c>
      <c r="H86">
        <v>9453</v>
      </c>
      <c r="I86">
        <v>9257</v>
      </c>
      <c r="J86">
        <v>9217</v>
      </c>
      <c r="K86">
        <v>6257</v>
      </c>
    </row>
    <row r="87" spans="1:11" x14ac:dyDescent="0.2">
      <c r="A87" s="1" t="s">
        <v>12</v>
      </c>
      <c r="B87">
        <v>7411</v>
      </c>
      <c r="C87">
        <v>6997</v>
      </c>
      <c r="D87">
        <v>6642</v>
      </c>
      <c r="E87">
        <v>7223</v>
      </c>
      <c r="F87">
        <v>7056</v>
      </c>
      <c r="G87">
        <v>7191</v>
      </c>
      <c r="H87">
        <v>7330</v>
      </c>
      <c r="I87">
        <v>6644</v>
      </c>
      <c r="J87">
        <v>7052</v>
      </c>
      <c r="K87">
        <v>4099</v>
      </c>
    </row>
    <row r="88" spans="1:11" x14ac:dyDescent="0.2">
      <c r="A88" s="1" t="s">
        <v>13</v>
      </c>
      <c r="B88">
        <v>11298</v>
      </c>
      <c r="C88">
        <v>9359</v>
      </c>
      <c r="D88">
        <v>8176</v>
      </c>
      <c r="E88">
        <v>7150</v>
      </c>
      <c r="F88">
        <v>6803</v>
      </c>
      <c r="G88">
        <v>6916</v>
      </c>
      <c r="H88">
        <v>6987</v>
      </c>
      <c r="I88">
        <v>6429</v>
      </c>
      <c r="J88">
        <v>6475</v>
      </c>
      <c r="K88">
        <v>5124</v>
      </c>
    </row>
    <row r="89" spans="1:11" x14ac:dyDescent="0.2">
      <c r="A89" s="1" t="s">
        <v>10</v>
      </c>
      <c r="B89">
        <f>SUM(B83:B88)</f>
        <v>64923</v>
      </c>
      <c r="C89">
        <f>SUM(C83:C88)</f>
        <v>63527</v>
      </c>
      <c r="D89">
        <f>SUM(D83:D88)</f>
        <v>63427</v>
      </c>
      <c r="E89">
        <f>SUM(E83:E88)</f>
        <v>66251</v>
      </c>
      <c r="F89">
        <f>SUM(F83:F88)</f>
        <v>68110</v>
      </c>
      <c r="G89">
        <v>68248</v>
      </c>
      <c r="H89">
        <v>68502</v>
      </c>
      <c r="I89">
        <f>SUM(I83:I88)</f>
        <v>65836</v>
      </c>
      <c r="J89">
        <f>SUM(J83:J88)</f>
        <v>65891</v>
      </c>
      <c r="K89">
        <f>SUM(K83:K88)</f>
        <v>53940</v>
      </c>
    </row>
    <row r="92" spans="1:11" x14ac:dyDescent="0.2">
      <c r="A92" s="1" t="s">
        <v>24</v>
      </c>
    </row>
    <row r="93" spans="1:11" x14ac:dyDescent="0.2">
      <c r="A93" t="s">
        <v>18</v>
      </c>
    </row>
    <row r="95" spans="1:11" x14ac:dyDescent="0.2">
      <c r="B95" s="1">
        <v>1993</v>
      </c>
      <c r="C95" s="1">
        <v>1994</v>
      </c>
      <c r="D95" s="1">
        <v>1995</v>
      </c>
      <c r="E95" s="1">
        <v>1996</v>
      </c>
      <c r="F95" s="1">
        <v>1997</v>
      </c>
      <c r="G95" s="1">
        <v>1998</v>
      </c>
      <c r="H95" s="1">
        <v>1999</v>
      </c>
      <c r="I95" s="1">
        <v>2000</v>
      </c>
      <c r="J95" s="1">
        <v>2001</v>
      </c>
      <c r="K95" s="1">
        <v>2002</v>
      </c>
    </row>
    <row r="96" spans="1:11" x14ac:dyDescent="0.2">
      <c r="A96" s="1" t="s">
        <v>6</v>
      </c>
      <c r="B96">
        <v>1667</v>
      </c>
      <c r="C96">
        <v>1551</v>
      </c>
      <c r="D96">
        <v>1464</v>
      </c>
      <c r="E96">
        <v>1731</v>
      </c>
      <c r="F96">
        <v>1763</v>
      </c>
      <c r="G96">
        <v>1889</v>
      </c>
      <c r="H96">
        <v>2726</v>
      </c>
      <c r="I96">
        <v>2726</v>
      </c>
      <c r="J96">
        <v>2822</v>
      </c>
      <c r="K96" s="5" t="s">
        <v>38</v>
      </c>
    </row>
    <row r="97" spans="1:11" x14ac:dyDescent="0.2">
      <c r="A97" s="1" t="s">
        <v>7</v>
      </c>
      <c r="B97">
        <v>781</v>
      </c>
      <c r="C97">
        <v>648</v>
      </c>
      <c r="D97">
        <v>664</v>
      </c>
      <c r="E97">
        <v>748</v>
      </c>
      <c r="F97">
        <v>738</v>
      </c>
      <c r="G97">
        <v>772</v>
      </c>
      <c r="H97">
        <v>1089</v>
      </c>
      <c r="I97">
        <v>1007</v>
      </c>
      <c r="J97">
        <v>1008</v>
      </c>
      <c r="K97" s="5" t="s">
        <v>38</v>
      </c>
    </row>
    <row r="98" spans="1:11" x14ac:dyDescent="0.2">
      <c r="A98" s="1" t="s">
        <v>8</v>
      </c>
      <c r="B98">
        <v>522</v>
      </c>
      <c r="C98">
        <v>444</v>
      </c>
      <c r="D98">
        <v>447</v>
      </c>
      <c r="E98">
        <v>513</v>
      </c>
      <c r="F98">
        <v>541</v>
      </c>
      <c r="G98">
        <v>519</v>
      </c>
      <c r="H98">
        <v>740</v>
      </c>
      <c r="I98">
        <v>694</v>
      </c>
      <c r="J98">
        <v>666</v>
      </c>
      <c r="K98" s="5" t="s">
        <v>38</v>
      </c>
    </row>
    <row r="99" spans="1:11" x14ac:dyDescent="0.2">
      <c r="A99" s="1" t="s">
        <v>11</v>
      </c>
      <c r="B99">
        <v>365</v>
      </c>
      <c r="C99">
        <v>340</v>
      </c>
      <c r="D99">
        <v>325</v>
      </c>
      <c r="E99">
        <v>342</v>
      </c>
      <c r="F99">
        <v>332</v>
      </c>
      <c r="G99">
        <v>370</v>
      </c>
      <c r="H99">
        <v>459</v>
      </c>
      <c r="I99">
        <v>468</v>
      </c>
      <c r="J99">
        <v>463</v>
      </c>
      <c r="K99" s="5" t="s">
        <v>38</v>
      </c>
    </row>
    <row r="100" spans="1:11" x14ac:dyDescent="0.2">
      <c r="A100" s="1" t="s">
        <v>12</v>
      </c>
      <c r="B100">
        <v>282</v>
      </c>
      <c r="C100">
        <v>248</v>
      </c>
      <c r="D100">
        <v>234</v>
      </c>
      <c r="E100">
        <v>243</v>
      </c>
      <c r="F100">
        <v>243</v>
      </c>
      <c r="G100">
        <v>215</v>
      </c>
      <c r="H100">
        <v>292</v>
      </c>
      <c r="I100">
        <v>269</v>
      </c>
      <c r="J100">
        <v>264</v>
      </c>
      <c r="K100" s="5" t="s">
        <v>38</v>
      </c>
    </row>
    <row r="101" spans="1:11" x14ac:dyDescent="0.2">
      <c r="A101" s="1" t="s">
        <v>13</v>
      </c>
      <c r="B101">
        <v>306</v>
      </c>
      <c r="C101">
        <v>270</v>
      </c>
      <c r="D101">
        <v>254</v>
      </c>
      <c r="E101">
        <v>220</v>
      </c>
      <c r="F101">
        <v>166</v>
      </c>
      <c r="G101">
        <v>174</v>
      </c>
      <c r="H101">
        <v>232</v>
      </c>
      <c r="I101">
        <v>198</v>
      </c>
      <c r="J101">
        <v>215</v>
      </c>
      <c r="K101" s="5" t="s">
        <v>38</v>
      </c>
    </row>
    <row r="102" spans="1:11" x14ac:dyDescent="0.2">
      <c r="A102" s="1" t="s">
        <v>10</v>
      </c>
      <c r="B102">
        <f t="shared" ref="B102:H102" si="1">SUM(B96:B101)</f>
        <v>3923</v>
      </c>
      <c r="C102">
        <f t="shared" si="1"/>
        <v>3501</v>
      </c>
      <c r="D102">
        <f t="shared" si="1"/>
        <v>3388</v>
      </c>
      <c r="E102">
        <f t="shared" si="1"/>
        <v>3797</v>
      </c>
      <c r="F102">
        <f t="shared" si="1"/>
        <v>3783</v>
      </c>
      <c r="G102">
        <f t="shared" si="1"/>
        <v>3939</v>
      </c>
      <c r="H102">
        <f t="shared" si="1"/>
        <v>5538</v>
      </c>
      <c r="I102">
        <f>SUM(I96:I101)</f>
        <v>5362</v>
      </c>
      <c r="J102">
        <f>SUM(J96:J101)</f>
        <v>5438</v>
      </c>
      <c r="K102" s="5" t="s">
        <v>38</v>
      </c>
    </row>
    <row r="105" spans="1:11" x14ac:dyDescent="0.2">
      <c r="A105" s="1" t="s">
        <v>25</v>
      </c>
    </row>
    <row r="106" spans="1:11" x14ac:dyDescent="0.2">
      <c r="A106" t="s">
        <v>18</v>
      </c>
    </row>
    <row r="108" spans="1:11" x14ac:dyDescent="0.2">
      <c r="B108" s="1">
        <v>1993</v>
      </c>
      <c r="C108" s="1">
        <v>1994</v>
      </c>
      <c r="D108" s="1">
        <v>1995</v>
      </c>
      <c r="E108" s="1">
        <v>1996</v>
      </c>
      <c r="F108" s="1">
        <v>1997</v>
      </c>
      <c r="G108" s="1">
        <v>1998</v>
      </c>
      <c r="H108" s="1">
        <v>1999</v>
      </c>
      <c r="I108" s="1">
        <v>2000</v>
      </c>
      <c r="J108" s="1">
        <v>2001</v>
      </c>
      <c r="K108" s="1">
        <v>2002</v>
      </c>
    </row>
    <row r="109" spans="1:11" x14ac:dyDescent="0.2">
      <c r="A109" s="1" t="s">
        <v>6</v>
      </c>
      <c r="B109">
        <v>6329</v>
      </c>
      <c r="C109">
        <v>6511</v>
      </c>
      <c r="D109">
        <v>7367</v>
      </c>
      <c r="E109">
        <v>6838</v>
      </c>
      <c r="F109">
        <v>7186</v>
      </c>
      <c r="G109">
        <v>7745</v>
      </c>
      <c r="H109">
        <v>8253</v>
      </c>
      <c r="I109">
        <v>7979</v>
      </c>
      <c r="J109">
        <v>7740</v>
      </c>
      <c r="K109">
        <v>8454</v>
      </c>
    </row>
    <row r="110" spans="1:11" x14ac:dyDescent="0.2">
      <c r="A110" s="1" t="s">
        <v>7</v>
      </c>
      <c r="B110">
        <v>6038</v>
      </c>
      <c r="C110">
        <v>5616</v>
      </c>
      <c r="D110">
        <v>5740</v>
      </c>
      <c r="E110">
        <v>6330</v>
      </c>
      <c r="F110">
        <v>7173</v>
      </c>
      <c r="G110">
        <v>7109</v>
      </c>
      <c r="H110">
        <v>6777</v>
      </c>
      <c r="I110">
        <v>6419</v>
      </c>
      <c r="J110">
        <v>6150</v>
      </c>
      <c r="K110">
        <v>6340</v>
      </c>
    </row>
    <row r="111" spans="1:11" x14ac:dyDescent="0.2">
      <c r="A111" s="1" t="s">
        <v>8</v>
      </c>
      <c r="B111">
        <v>6178</v>
      </c>
      <c r="C111">
        <v>5992</v>
      </c>
      <c r="D111">
        <v>5863</v>
      </c>
      <c r="E111">
        <v>5893</v>
      </c>
      <c r="F111">
        <v>6120</v>
      </c>
      <c r="G111">
        <v>6270</v>
      </c>
      <c r="H111">
        <v>6307</v>
      </c>
      <c r="I111">
        <v>5884</v>
      </c>
      <c r="J111">
        <v>5658</v>
      </c>
      <c r="K111">
        <v>5867</v>
      </c>
    </row>
    <row r="112" spans="1:11" x14ac:dyDescent="0.2">
      <c r="A112" s="1" t="s">
        <v>11</v>
      </c>
      <c r="B112">
        <v>6444</v>
      </c>
      <c r="C112">
        <v>5988</v>
      </c>
      <c r="D112">
        <v>5561</v>
      </c>
      <c r="E112">
        <v>5148</v>
      </c>
      <c r="F112">
        <v>5142</v>
      </c>
      <c r="G112">
        <v>5161</v>
      </c>
      <c r="H112">
        <v>5065</v>
      </c>
      <c r="I112">
        <v>4749</v>
      </c>
      <c r="J112">
        <v>4506</v>
      </c>
      <c r="K112">
        <v>4984</v>
      </c>
    </row>
    <row r="113" spans="1:11" x14ac:dyDescent="0.2">
      <c r="A113" s="1" t="s">
        <v>12</v>
      </c>
      <c r="B113">
        <v>5474</v>
      </c>
      <c r="C113">
        <v>5433</v>
      </c>
      <c r="D113">
        <v>4664</v>
      </c>
      <c r="E113">
        <v>4230</v>
      </c>
      <c r="F113">
        <v>3813</v>
      </c>
      <c r="G113">
        <v>3747</v>
      </c>
      <c r="H113">
        <v>3724</v>
      </c>
      <c r="I113">
        <v>3542</v>
      </c>
      <c r="J113">
        <v>3544</v>
      </c>
      <c r="K113">
        <v>3754</v>
      </c>
    </row>
    <row r="114" spans="1:11" x14ac:dyDescent="0.2">
      <c r="A114" s="1" t="s">
        <v>13</v>
      </c>
      <c r="B114">
        <v>7478</v>
      </c>
      <c r="C114">
        <v>6341</v>
      </c>
      <c r="D114">
        <v>5398</v>
      </c>
      <c r="E114">
        <v>4594</v>
      </c>
      <c r="F114">
        <v>3809</v>
      </c>
      <c r="G114">
        <v>3737</v>
      </c>
      <c r="H114">
        <v>3422</v>
      </c>
      <c r="I114">
        <v>3221</v>
      </c>
      <c r="J114">
        <v>3204</v>
      </c>
      <c r="K114">
        <v>2144</v>
      </c>
    </row>
    <row r="115" spans="1:11" x14ac:dyDescent="0.2">
      <c r="A115" s="1" t="s">
        <v>10</v>
      </c>
      <c r="B115">
        <f>SUM(B109:B114)</f>
        <v>37941</v>
      </c>
      <c r="C115">
        <f>SUM(C109:C114)</f>
        <v>35881</v>
      </c>
      <c r="D115">
        <f>SUM(D109:D114)</f>
        <v>34593</v>
      </c>
      <c r="E115">
        <f>SUM(E109:E114)</f>
        <v>33033</v>
      </c>
      <c r="F115">
        <f>SUM(F109:F114)</f>
        <v>33243</v>
      </c>
      <c r="G115">
        <v>33769</v>
      </c>
      <c r="H115">
        <v>33548</v>
      </c>
      <c r="I115">
        <f>SUM(I109:I114)</f>
        <v>31794</v>
      </c>
      <c r="J115">
        <f>SUM(J109:J114)</f>
        <v>30802</v>
      </c>
      <c r="K115">
        <f>SUM(K109:K114)</f>
        <v>31543</v>
      </c>
    </row>
    <row r="118" spans="1:11" x14ac:dyDescent="0.2">
      <c r="A118" s="1" t="s">
        <v>26</v>
      </c>
    </row>
    <row r="119" spans="1:11" x14ac:dyDescent="0.2">
      <c r="A119" t="s">
        <v>18</v>
      </c>
    </row>
    <row r="121" spans="1:11" x14ac:dyDescent="0.2">
      <c r="B121" s="1">
        <v>1993</v>
      </c>
      <c r="C121" s="1">
        <v>1994</v>
      </c>
      <c r="D121" s="1">
        <v>1995</v>
      </c>
      <c r="E121" s="1">
        <v>1996</v>
      </c>
      <c r="F121" s="1">
        <v>1997</v>
      </c>
      <c r="G121" s="1">
        <v>1998</v>
      </c>
      <c r="H121" s="1">
        <v>1999</v>
      </c>
      <c r="I121" s="1">
        <v>2000</v>
      </c>
      <c r="J121" s="1">
        <v>2001</v>
      </c>
      <c r="K121" s="1">
        <v>2002</v>
      </c>
    </row>
    <row r="122" spans="1:11" x14ac:dyDescent="0.2">
      <c r="A122" s="1" t="s">
        <v>6</v>
      </c>
      <c r="B122">
        <v>6884</v>
      </c>
      <c r="C122">
        <v>7463</v>
      </c>
      <c r="D122">
        <v>8205</v>
      </c>
      <c r="E122">
        <v>8123</v>
      </c>
      <c r="F122">
        <v>9044</v>
      </c>
      <c r="G122">
        <v>10092</v>
      </c>
      <c r="H122">
        <v>10353</v>
      </c>
      <c r="I122">
        <v>10552</v>
      </c>
      <c r="J122">
        <v>10504</v>
      </c>
      <c r="K122">
        <v>10408</v>
      </c>
    </row>
    <row r="123" spans="1:11" x14ac:dyDescent="0.2">
      <c r="A123" s="1" t="s">
        <v>7</v>
      </c>
      <c r="B123">
        <v>7498</v>
      </c>
      <c r="C123">
        <v>7628</v>
      </c>
      <c r="D123">
        <v>7486</v>
      </c>
      <c r="E123">
        <v>8488</v>
      </c>
      <c r="F123">
        <v>9086</v>
      </c>
      <c r="G123">
        <v>8952</v>
      </c>
      <c r="H123">
        <v>8920</v>
      </c>
      <c r="I123">
        <v>8937</v>
      </c>
      <c r="J123">
        <v>8457</v>
      </c>
      <c r="K123">
        <v>8466</v>
      </c>
    </row>
    <row r="124" spans="1:11" x14ac:dyDescent="0.2">
      <c r="A124" s="1" t="s">
        <v>8</v>
      </c>
      <c r="B124">
        <v>6556</v>
      </c>
      <c r="C124">
        <v>6762</v>
      </c>
      <c r="D124">
        <v>7105</v>
      </c>
      <c r="E124">
        <v>7437</v>
      </c>
      <c r="F124">
        <v>7734</v>
      </c>
      <c r="G124">
        <v>7705</v>
      </c>
      <c r="H124">
        <v>7611</v>
      </c>
      <c r="I124">
        <v>7406</v>
      </c>
      <c r="J124">
        <v>7115</v>
      </c>
      <c r="K124">
        <v>7000</v>
      </c>
    </row>
    <row r="125" spans="1:11" x14ac:dyDescent="0.2">
      <c r="A125" s="1" t="s">
        <v>11</v>
      </c>
      <c r="B125">
        <v>6392</v>
      </c>
      <c r="C125">
        <v>6102</v>
      </c>
      <c r="D125">
        <v>6598</v>
      </c>
      <c r="E125">
        <v>6021</v>
      </c>
      <c r="F125">
        <v>6297</v>
      </c>
      <c r="G125">
        <v>6004</v>
      </c>
      <c r="H125">
        <v>5974</v>
      </c>
      <c r="I125">
        <v>5840</v>
      </c>
      <c r="J125">
        <v>5469</v>
      </c>
      <c r="K125">
        <v>5277</v>
      </c>
    </row>
    <row r="126" spans="1:11" x14ac:dyDescent="0.2">
      <c r="A126" s="1" t="s">
        <v>12</v>
      </c>
      <c r="B126">
        <v>5409</v>
      </c>
      <c r="C126">
        <v>5442</v>
      </c>
      <c r="D126">
        <v>5498</v>
      </c>
      <c r="E126">
        <v>4812</v>
      </c>
      <c r="F126">
        <v>5029</v>
      </c>
      <c r="G126">
        <v>4564</v>
      </c>
      <c r="H126">
        <v>4256</v>
      </c>
      <c r="I126">
        <v>4048</v>
      </c>
      <c r="J126">
        <v>3982</v>
      </c>
      <c r="K126">
        <v>3555</v>
      </c>
    </row>
    <row r="127" spans="1:11" x14ac:dyDescent="0.2">
      <c r="A127" s="1" t="s">
        <v>13</v>
      </c>
      <c r="B127">
        <v>8236</v>
      </c>
      <c r="C127">
        <v>7834</v>
      </c>
      <c r="D127">
        <v>7401</v>
      </c>
      <c r="E127">
        <v>5537</v>
      </c>
      <c r="F127">
        <v>5072</v>
      </c>
      <c r="G127">
        <v>4576</v>
      </c>
      <c r="H127">
        <v>3806</v>
      </c>
      <c r="I127">
        <v>3478</v>
      </c>
      <c r="J127">
        <v>3175</v>
      </c>
      <c r="K127">
        <v>1942</v>
      </c>
    </row>
    <row r="128" spans="1:11" x14ac:dyDescent="0.2">
      <c r="A128" s="1" t="s">
        <v>10</v>
      </c>
      <c r="B128">
        <f t="shared" ref="B128:H128" si="2">SUM(B122:B127)</f>
        <v>40975</v>
      </c>
      <c r="C128">
        <f t="shared" si="2"/>
        <v>41231</v>
      </c>
      <c r="D128">
        <f t="shared" si="2"/>
        <v>42293</v>
      </c>
      <c r="E128">
        <f t="shared" si="2"/>
        <v>40418</v>
      </c>
      <c r="F128">
        <f t="shared" si="2"/>
        <v>42262</v>
      </c>
      <c r="G128">
        <f t="shared" si="2"/>
        <v>41893</v>
      </c>
      <c r="H128">
        <f t="shared" si="2"/>
        <v>40920</v>
      </c>
      <c r="I128">
        <f>SUM(I122:I127)</f>
        <v>40261</v>
      </c>
      <c r="J128">
        <f>SUM(J122:J127)</f>
        <v>38702</v>
      </c>
      <c r="K128">
        <f>SUM(K122:K127)</f>
        <v>36648</v>
      </c>
    </row>
    <row r="131" spans="1:11" x14ac:dyDescent="0.2">
      <c r="A131" s="1" t="s">
        <v>35</v>
      </c>
    </row>
    <row r="132" spans="1:11" x14ac:dyDescent="0.2">
      <c r="A132" t="s">
        <v>18</v>
      </c>
    </row>
    <row r="134" spans="1:11" x14ac:dyDescent="0.2">
      <c r="B134" s="1">
        <v>1993</v>
      </c>
      <c r="C134" s="1">
        <v>1994</v>
      </c>
      <c r="D134" s="1">
        <v>1995</v>
      </c>
      <c r="E134" s="1">
        <v>1996</v>
      </c>
      <c r="F134" s="1">
        <v>1997</v>
      </c>
      <c r="G134" s="1">
        <v>1998</v>
      </c>
      <c r="H134" s="1">
        <v>1999</v>
      </c>
      <c r="I134" s="1">
        <v>2000</v>
      </c>
      <c r="J134" s="1">
        <v>2001</v>
      </c>
      <c r="K134" s="1">
        <v>2002</v>
      </c>
    </row>
    <row r="135" spans="1:11" x14ac:dyDescent="0.2">
      <c r="A135" s="1" t="s">
        <v>6</v>
      </c>
      <c r="B135">
        <v>1126</v>
      </c>
      <c r="C135">
        <v>1138</v>
      </c>
      <c r="D135">
        <v>1291</v>
      </c>
      <c r="E135">
        <v>1392</v>
      </c>
      <c r="F135">
        <v>1507</v>
      </c>
      <c r="G135">
        <v>1629</v>
      </c>
      <c r="H135">
        <v>1892</v>
      </c>
      <c r="I135">
        <v>2059</v>
      </c>
      <c r="J135">
        <v>2347</v>
      </c>
      <c r="K135">
        <v>2024</v>
      </c>
    </row>
    <row r="136" spans="1:11" x14ac:dyDescent="0.2">
      <c r="A136" s="1" t="s">
        <v>7</v>
      </c>
      <c r="B136">
        <v>1465</v>
      </c>
      <c r="C136">
        <v>1624</v>
      </c>
      <c r="D136">
        <v>1463</v>
      </c>
      <c r="E136">
        <v>1615</v>
      </c>
      <c r="F136">
        <v>1752</v>
      </c>
      <c r="G136">
        <v>1860</v>
      </c>
      <c r="H136">
        <v>2050</v>
      </c>
      <c r="I136">
        <v>2353</v>
      </c>
      <c r="J136">
        <v>2337</v>
      </c>
      <c r="K136">
        <v>3278</v>
      </c>
    </row>
    <row r="137" spans="1:11" x14ac:dyDescent="0.2">
      <c r="A137" s="1" t="s">
        <v>8</v>
      </c>
      <c r="B137">
        <v>2252</v>
      </c>
      <c r="C137">
        <v>2298</v>
      </c>
      <c r="D137">
        <v>2453</v>
      </c>
      <c r="E137">
        <v>2639</v>
      </c>
      <c r="F137">
        <v>2850</v>
      </c>
      <c r="G137">
        <v>3128</v>
      </c>
      <c r="H137">
        <v>3421</v>
      </c>
      <c r="I137">
        <v>3794</v>
      </c>
      <c r="J137">
        <v>3766</v>
      </c>
      <c r="K137">
        <v>3792</v>
      </c>
    </row>
    <row r="138" spans="1:11" x14ac:dyDescent="0.2">
      <c r="A138" s="1" t="s">
        <v>11</v>
      </c>
      <c r="B138">
        <v>2340</v>
      </c>
      <c r="C138">
        <v>2463</v>
      </c>
      <c r="D138">
        <v>2335</v>
      </c>
      <c r="E138">
        <v>2550</v>
      </c>
      <c r="F138">
        <v>2651</v>
      </c>
      <c r="G138">
        <v>3008</v>
      </c>
      <c r="H138">
        <v>3176</v>
      </c>
      <c r="I138">
        <v>3238</v>
      </c>
      <c r="J138">
        <v>3209</v>
      </c>
      <c r="K138">
        <v>3354</v>
      </c>
    </row>
    <row r="139" spans="1:11" x14ac:dyDescent="0.2">
      <c r="A139" s="1" t="s">
        <v>12</v>
      </c>
      <c r="B139">
        <v>1870</v>
      </c>
      <c r="C139">
        <v>1812</v>
      </c>
      <c r="D139">
        <v>1829</v>
      </c>
      <c r="E139">
        <v>1848</v>
      </c>
      <c r="F139">
        <v>1729</v>
      </c>
      <c r="G139">
        <v>2171</v>
      </c>
      <c r="H139">
        <v>1954</v>
      </c>
      <c r="I139">
        <v>1991</v>
      </c>
      <c r="J139">
        <v>1994</v>
      </c>
      <c r="K139">
        <v>1919</v>
      </c>
    </row>
    <row r="140" spans="1:11" x14ac:dyDescent="0.2">
      <c r="A140" s="1" t="s">
        <v>13</v>
      </c>
      <c r="B140">
        <v>1880</v>
      </c>
      <c r="C140">
        <v>1712</v>
      </c>
      <c r="D140">
        <v>1388</v>
      </c>
      <c r="E140">
        <v>1292</v>
      </c>
      <c r="F140">
        <v>1192</v>
      </c>
      <c r="G140">
        <v>1524</v>
      </c>
      <c r="H140">
        <v>1246</v>
      </c>
      <c r="I140">
        <v>1215</v>
      </c>
      <c r="J140">
        <v>1256</v>
      </c>
      <c r="K140">
        <v>740</v>
      </c>
    </row>
    <row r="141" spans="1:11" x14ac:dyDescent="0.2">
      <c r="A141" s="1" t="s">
        <v>10</v>
      </c>
      <c r="B141">
        <v>10934</v>
      </c>
      <c r="C141">
        <v>11046</v>
      </c>
      <c r="D141">
        <v>10760</v>
      </c>
      <c r="E141">
        <f>SUM(E135:E140)</f>
        <v>11336</v>
      </c>
      <c r="F141">
        <v>11680</v>
      </c>
      <c r="G141">
        <f>SUM(G135:G140)</f>
        <v>13320</v>
      </c>
      <c r="H141">
        <f>SUM(H135:H140)</f>
        <v>13739</v>
      </c>
      <c r="I141">
        <f>SUM(I135:I140)</f>
        <v>14650</v>
      </c>
      <c r="J141">
        <f>SUM(J135:J140)</f>
        <v>14909</v>
      </c>
      <c r="K141">
        <f>SUM(K135:K140)</f>
        <v>15107</v>
      </c>
    </row>
    <row r="143" spans="1:11" x14ac:dyDescent="0.2">
      <c r="A143" s="1" t="s">
        <v>34</v>
      </c>
      <c r="B143" s="1"/>
      <c r="C143" s="1"/>
      <c r="D143" s="1"/>
      <c r="E143" s="1"/>
      <c r="F143" s="1"/>
      <c r="G143" s="1"/>
    </row>
    <row r="145" spans="1:13" x14ac:dyDescent="0.2">
      <c r="B145" s="1">
        <v>1993</v>
      </c>
      <c r="C145" s="1">
        <v>1994</v>
      </c>
      <c r="D145" s="1">
        <v>1995</v>
      </c>
      <c r="E145" s="1">
        <v>1996</v>
      </c>
      <c r="F145" s="1">
        <v>1997</v>
      </c>
      <c r="G145" s="1">
        <v>1998</v>
      </c>
      <c r="H145" s="1">
        <v>1999</v>
      </c>
      <c r="I145" s="1">
        <v>2000</v>
      </c>
      <c r="J145" s="1">
        <v>2001</v>
      </c>
      <c r="K145" s="1">
        <v>2002</v>
      </c>
    </row>
    <row r="146" spans="1:13" x14ac:dyDescent="0.2">
      <c r="A146" s="1" t="s">
        <v>6</v>
      </c>
      <c r="B146">
        <v>919</v>
      </c>
      <c r="C146">
        <v>1003</v>
      </c>
      <c r="D146">
        <v>1106</v>
      </c>
      <c r="E146">
        <v>1123</v>
      </c>
      <c r="F146">
        <v>1190</v>
      </c>
      <c r="G146">
        <v>1237</v>
      </c>
      <c r="H146">
        <v>1514</v>
      </c>
      <c r="I146">
        <v>1684</v>
      </c>
      <c r="J146">
        <v>1934</v>
      </c>
      <c r="K146">
        <v>2276</v>
      </c>
    </row>
    <row r="147" spans="1:13" x14ac:dyDescent="0.2">
      <c r="A147" s="1" t="s">
        <v>7</v>
      </c>
      <c r="B147">
        <v>1269</v>
      </c>
      <c r="C147">
        <v>1198</v>
      </c>
      <c r="D147">
        <v>1287</v>
      </c>
      <c r="E147">
        <v>1386</v>
      </c>
      <c r="F147">
        <v>1561</v>
      </c>
      <c r="G147">
        <v>2040</v>
      </c>
      <c r="H147">
        <v>2356</v>
      </c>
      <c r="I147">
        <v>2851</v>
      </c>
      <c r="J147">
        <v>3334</v>
      </c>
      <c r="K147">
        <v>4044</v>
      </c>
    </row>
    <row r="148" spans="1:13" x14ac:dyDescent="0.2">
      <c r="A148" s="1" t="s">
        <v>8</v>
      </c>
      <c r="B148">
        <v>1612</v>
      </c>
      <c r="C148">
        <v>1631</v>
      </c>
      <c r="D148">
        <v>1797</v>
      </c>
      <c r="E148">
        <v>1945</v>
      </c>
      <c r="F148">
        <v>2198</v>
      </c>
      <c r="G148">
        <v>3087</v>
      </c>
      <c r="H148">
        <v>3508</v>
      </c>
      <c r="I148">
        <v>4190</v>
      </c>
      <c r="J148">
        <v>5016</v>
      </c>
      <c r="K148">
        <v>5758</v>
      </c>
    </row>
    <row r="149" spans="1:13" x14ac:dyDescent="0.2">
      <c r="A149" s="1" t="s">
        <v>11</v>
      </c>
      <c r="B149">
        <v>1930</v>
      </c>
      <c r="C149">
        <v>1883</v>
      </c>
      <c r="D149">
        <v>1965</v>
      </c>
      <c r="E149">
        <v>2078</v>
      </c>
      <c r="F149">
        <v>2404</v>
      </c>
      <c r="G149">
        <v>2990</v>
      </c>
      <c r="H149">
        <v>3761</v>
      </c>
      <c r="I149">
        <v>4550</v>
      </c>
      <c r="J149">
        <v>5229</v>
      </c>
      <c r="K149">
        <v>6534</v>
      </c>
    </row>
    <row r="150" spans="1:13" x14ac:dyDescent="0.2">
      <c r="A150" s="1" t="s">
        <v>12</v>
      </c>
      <c r="B150">
        <v>1797</v>
      </c>
      <c r="C150">
        <v>1687</v>
      </c>
      <c r="D150">
        <v>1817</v>
      </c>
      <c r="E150">
        <v>1807</v>
      </c>
      <c r="F150">
        <v>2088</v>
      </c>
      <c r="G150">
        <v>2533</v>
      </c>
      <c r="H150">
        <v>3003</v>
      </c>
      <c r="I150">
        <v>3369</v>
      </c>
      <c r="J150">
        <v>3866</v>
      </c>
      <c r="K150">
        <v>5249</v>
      </c>
    </row>
    <row r="151" spans="1:13" x14ac:dyDescent="0.2">
      <c r="A151" s="1" t="s">
        <v>13</v>
      </c>
      <c r="B151">
        <v>2176</v>
      </c>
      <c r="C151">
        <v>2184</v>
      </c>
      <c r="D151">
        <v>2224</v>
      </c>
      <c r="E151">
        <v>2371</v>
      </c>
      <c r="F151">
        <v>2545</v>
      </c>
      <c r="G151">
        <v>2770</v>
      </c>
      <c r="H151">
        <v>2980</v>
      </c>
      <c r="I151">
        <v>3002</v>
      </c>
      <c r="J151">
        <v>3283</v>
      </c>
      <c r="K151">
        <v>2919</v>
      </c>
    </row>
    <row r="152" spans="1:13" x14ac:dyDescent="0.2">
      <c r="A152" s="1" t="s">
        <v>10</v>
      </c>
      <c r="B152">
        <f>SUM(B146:B151)</f>
        <v>9703</v>
      </c>
      <c r="C152">
        <f t="shared" ref="C152:I152" si="3">SUM(C146:C151)</f>
        <v>9586</v>
      </c>
      <c r="D152">
        <f t="shared" si="3"/>
        <v>10196</v>
      </c>
      <c r="E152">
        <f t="shared" si="3"/>
        <v>10710</v>
      </c>
      <c r="F152">
        <f t="shared" si="3"/>
        <v>11986</v>
      </c>
      <c r="G152">
        <f t="shared" si="3"/>
        <v>14657</v>
      </c>
      <c r="H152">
        <f t="shared" si="3"/>
        <v>17122</v>
      </c>
      <c r="I152">
        <f t="shared" si="3"/>
        <v>19646</v>
      </c>
      <c r="J152">
        <f>SUM(J146:J151)</f>
        <v>22662</v>
      </c>
      <c r="K152">
        <f>SUM(K146:K151)</f>
        <v>26780</v>
      </c>
    </row>
    <row r="154" spans="1:13" x14ac:dyDescent="0.2">
      <c r="A154" s="1" t="s">
        <v>31</v>
      </c>
    </row>
    <row r="155" spans="1:13" x14ac:dyDescent="0.2">
      <c r="A155" t="s">
        <v>19</v>
      </c>
    </row>
    <row r="157" spans="1:13" x14ac:dyDescent="0.2">
      <c r="B157" s="1">
        <v>1991</v>
      </c>
      <c r="C157" s="1">
        <v>1992</v>
      </c>
      <c r="D157" s="1">
        <v>1993</v>
      </c>
      <c r="E157" s="1">
        <v>1994</v>
      </c>
      <c r="F157" s="1">
        <v>1995</v>
      </c>
      <c r="G157" s="1">
        <v>1996</v>
      </c>
      <c r="H157" s="1">
        <v>1997</v>
      </c>
      <c r="I157" s="1">
        <v>1998</v>
      </c>
      <c r="J157" s="1">
        <v>1999</v>
      </c>
      <c r="K157" s="1">
        <v>2000</v>
      </c>
      <c r="L157" s="1">
        <v>2001</v>
      </c>
      <c r="M157" s="1">
        <v>2002</v>
      </c>
    </row>
    <row r="158" spans="1:13" x14ac:dyDescent="0.2">
      <c r="A158" s="1" t="s">
        <v>14</v>
      </c>
      <c r="B158" s="3">
        <v>9.4</v>
      </c>
      <c r="C158" s="3">
        <v>9.6999999999999993</v>
      </c>
      <c r="D158" s="3">
        <v>9.1999999999999993</v>
      </c>
      <c r="E158" s="3">
        <v>9.3000000000000007</v>
      </c>
      <c r="F158" s="3">
        <v>9.6999999999999993</v>
      </c>
      <c r="G158" s="3">
        <v>10</v>
      </c>
      <c r="H158" s="3">
        <v>9.5</v>
      </c>
      <c r="I158" s="3">
        <v>9.1999999999999993</v>
      </c>
      <c r="J158">
        <v>9.1999999999999993</v>
      </c>
      <c r="K158" s="3">
        <v>9</v>
      </c>
      <c r="L158" s="3">
        <v>8.9</v>
      </c>
      <c r="M158" s="3">
        <v>7.3</v>
      </c>
    </row>
    <row r="159" spans="1:13" x14ac:dyDescent="0.2">
      <c r="A159" s="1" t="s">
        <v>15</v>
      </c>
      <c r="B159" s="3">
        <v>5.5</v>
      </c>
      <c r="C159" s="3">
        <v>5.6</v>
      </c>
      <c r="D159" s="3">
        <v>5.4</v>
      </c>
      <c r="E159" s="3">
        <v>5.3</v>
      </c>
      <c r="F159" s="3">
        <v>5.3</v>
      </c>
      <c r="G159" s="3">
        <v>5</v>
      </c>
      <c r="H159" s="3">
        <v>4.5999999999999996</v>
      </c>
      <c r="I159" s="3">
        <v>4.5</v>
      </c>
      <c r="J159">
        <v>4.5</v>
      </c>
      <c r="K159">
        <v>4.4000000000000004</v>
      </c>
      <c r="L159" s="3">
        <v>4.2</v>
      </c>
      <c r="M159" s="3">
        <v>4.3</v>
      </c>
    </row>
    <row r="160" spans="1:13" x14ac:dyDescent="0.2">
      <c r="A160" s="1" t="s">
        <v>16</v>
      </c>
      <c r="B160">
        <v>5.7</v>
      </c>
      <c r="C160">
        <v>5.8</v>
      </c>
      <c r="D160">
        <v>5.8</v>
      </c>
      <c r="E160">
        <v>6.1</v>
      </c>
      <c r="F160">
        <v>6.5</v>
      </c>
      <c r="G160">
        <v>6.1</v>
      </c>
      <c r="H160">
        <v>5.9</v>
      </c>
      <c r="I160">
        <v>5.6</v>
      </c>
      <c r="J160">
        <v>5.5</v>
      </c>
      <c r="K160">
        <v>5.5</v>
      </c>
      <c r="L160">
        <v>5.2</v>
      </c>
      <c r="M160" s="3">
        <v>5</v>
      </c>
    </row>
    <row r="161" spans="1:13" x14ac:dyDescent="0.2">
      <c r="A161" s="1" t="s">
        <v>17</v>
      </c>
      <c r="B161">
        <v>1.1000000000000001</v>
      </c>
      <c r="C161">
        <v>1.3</v>
      </c>
      <c r="D161">
        <v>1.6</v>
      </c>
      <c r="E161">
        <v>1.6</v>
      </c>
      <c r="F161">
        <v>1.6</v>
      </c>
      <c r="G161">
        <v>1.7</v>
      </c>
      <c r="H161">
        <v>1.6</v>
      </c>
      <c r="I161">
        <v>1.8</v>
      </c>
      <c r="J161" s="3">
        <v>1.8</v>
      </c>
      <c r="K161" s="3">
        <v>2</v>
      </c>
      <c r="L161" s="3">
        <v>2</v>
      </c>
      <c r="M161">
        <v>2.0499999999999998</v>
      </c>
    </row>
    <row r="162" spans="1:13" x14ac:dyDescent="0.2">
      <c r="A162" s="1" t="s">
        <v>27</v>
      </c>
      <c r="B162">
        <v>1.1000000000000001</v>
      </c>
      <c r="C162">
        <v>1.25</v>
      </c>
      <c r="D162">
        <v>1.4</v>
      </c>
      <c r="E162">
        <v>1.4</v>
      </c>
      <c r="F162">
        <v>1.6</v>
      </c>
      <c r="G162">
        <v>1.6</v>
      </c>
      <c r="H162">
        <v>1.7</v>
      </c>
      <c r="I162" s="3">
        <v>2</v>
      </c>
      <c r="J162">
        <v>2.2999999999999998</v>
      </c>
      <c r="K162">
        <v>2.7</v>
      </c>
      <c r="L162">
        <v>3.1</v>
      </c>
      <c r="M162">
        <v>3.6</v>
      </c>
    </row>
  </sheetData>
  <phoneticPr fontId="0" type="noConversion"/>
  <pageMargins left="0.75" right="0.75" top="1" bottom="1" header="0.5" footer="0.5"/>
  <pageSetup paperSize="9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</vt:vector>
  </HeadingPairs>
  <TitlesOfParts>
    <vt:vector size="17" baseType="lpstr">
      <vt:lpstr>Data</vt:lpstr>
      <vt:lpstr>Chart2.7</vt:lpstr>
      <vt:lpstr>Chart2.8</vt:lpstr>
      <vt:lpstr>Chart2.9</vt:lpstr>
      <vt:lpstr>2.10</vt:lpstr>
      <vt:lpstr>2.11</vt:lpstr>
      <vt:lpstr>Chart2.13</vt:lpstr>
      <vt:lpstr>Chart2.14</vt:lpstr>
      <vt:lpstr>Chart2.15</vt:lpstr>
      <vt:lpstr>Chart2.16</vt:lpstr>
      <vt:lpstr>Chart2.17</vt:lpstr>
      <vt:lpstr>2.1</vt:lpstr>
      <vt:lpstr>2.2</vt:lpstr>
      <vt:lpstr>2.3</vt:lpstr>
      <vt:lpstr>2.4</vt:lpstr>
      <vt:lpstr>2.5</vt:lpstr>
      <vt:lpstr>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Bettison</dc:creator>
  <cp:lastModifiedBy>Ben Zorn</cp:lastModifiedBy>
  <cp:lastPrinted>2002-10-01T13:03:29Z</cp:lastPrinted>
  <dcterms:created xsi:type="dcterms:W3CDTF">1998-05-08T12:38:39Z</dcterms:created>
  <dcterms:modified xsi:type="dcterms:W3CDTF">2018-06-14T00:27:39Z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-827184181</vt:i4>
  </property>
  <property fmtid="{D5CDD505-2E9C-101B-9397-08002B2CF9AE}" pid="3" name="_EmailSubject">
    <vt:lpwstr/>
  </property>
  <property fmtid="{D5CDD505-2E9C-101B-9397-08002B2CF9AE}" pid="4" name="_AuthorEmail">
    <vt:lpwstr>RWright@engc.org.uk</vt:lpwstr>
  </property>
  <property fmtid="{D5CDD505-2E9C-101B-9397-08002B2CF9AE}" pid="5" name="_AuthorEmailDisplayName">
    <vt:lpwstr>Ruth Wright</vt:lpwstr>
  </property>
  <property fmtid="{D5CDD505-2E9C-101B-9397-08002B2CF9AE}" pid="6" name="_PreviousAdHocReviewCycleID">
    <vt:i4>-1843318096</vt:i4>
  </property>
  <property fmtid="{D5CDD505-2E9C-101B-9397-08002B2CF9AE}" pid="7" name="_ReviewingToolsShownOnce">
    <vt:lpwstr/>
  </property>
</Properties>
</file>