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619D4891-5611-466B-BCA9-0BFA4F25A70C}" xr6:coauthVersionLast="34" xr6:coauthVersionMax="34" xr10:uidLastSave="{00000000-0000-0000-0000-000000000000}"/>
  <bookViews>
    <workbookView xWindow="1515" yWindow="225" windowWidth="12390" windowHeight="5790" activeTab="3"/>
  </bookViews>
  <sheets>
    <sheet name="READ ME FIRST" sheetId="10" r:id="rId1"/>
    <sheet name="LEM cost side" sheetId="4" r:id="rId2"/>
    <sheet name="LEM Demand Calibration" sheetId="5" r:id="rId3"/>
    <sheet name="c&amp;P calc" sheetId="6" r:id="rId4"/>
    <sheet name="Static RoI calc '02" sheetId="7" r:id="rId5"/>
    <sheet name="ylded area estimate" sheetId="8" r:id="rId6"/>
  </sheets>
  <externalReferences>
    <externalReference r:id="rId7"/>
    <externalReference r:id="rId8"/>
  </externalReferenc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6" l="1"/>
  <c r="F67" i="6" s="1"/>
  <c r="G67" i="6" s="1"/>
  <c r="H67" i="6" s="1"/>
  <c r="I67" i="6" s="1"/>
  <c r="C126" i="5"/>
  <c r="D126" i="5" s="1"/>
  <c r="C3" i="5"/>
  <c r="D3" i="5"/>
  <c r="G179" i="4"/>
  <c r="G195" i="4" s="1"/>
  <c r="I53" i="4"/>
  <c r="I162" i="4" s="1"/>
  <c r="I128" i="4"/>
  <c r="I68" i="4"/>
  <c r="F177" i="4"/>
  <c r="I51" i="4"/>
  <c r="I82" i="4" s="1"/>
  <c r="I52" i="5" s="1"/>
  <c r="I126" i="4"/>
  <c r="I66" i="4"/>
  <c r="L4" i="4"/>
  <c r="L19" i="4" s="1"/>
  <c r="D19" i="4"/>
  <c r="D64" i="4"/>
  <c r="D49" i="4"/>
  <c r="L5" i="4"/>
  <c r="L20" i="4" s="1"/>
  <c r="D20" i="4"/>
  <c r="L6" i="4"/>
  <c r="D21" i="4"/>
  <c r="L21" i="4"/>
  <c r="L7" i="4"/>
  <c r="D22" i="4"/>
  <c r="L22" i="4"/>
  <c r="L8" i="4"/>
  <c r="D23" i="4"/>
  <c r="L23" i="4"/>
  <c r="L9" i="4"/>
  <c r="L24" i="4" s="1"/>
  <c r="D24" i="4"/>
  <c r="L10" i="4"/>
  <c r="L25" i="4" s="1"/>
  <c r="D25" i="4"/>
  <c r="L11" i="4"/>
  <c r="L26" i="4" s="1"/>
  <c r="D26" i="4"/>
  <c r="L12" i="4"/>
  <c r="D27" i="4"/>
  <c r="L27" i="4"/>
  <c r="L13" i="4"/>
  <c r="D28" i="4"/>
  <c r="L28" i="4"/>
  <c r="L14" i="4"/>
  <c r="L29" i="4" s="1"/>
  <c r="D29" i="4"/>
  <c r="L15" i="4"/>
  <c r="L30" i="4" s="1"/>
  <c r="D30" i="4"/>
  <c r="L16" i="4"/>
  <c r="D31" i="4"/>
  <c r="L31" i="4"/>
  <c r="D4" i="5"/>
  <c r="D8" i="5"/>
  <c r="D11" i="5"/>
  <c r="D124" i="4"/>
  <c r="D175" i="4"/>
  <c r="D109" i="4"/>
  <c r="C163" i="5"/>
  <c r="E175" i="4"/>
  <c r="F175" i="4" s="1"/>
  <c r="I124" i="4"/>
  <c r="H50" i="4"/>
  <c r="P95" i="4"/>
  <c r="I176" i="4"/>
  <c r="I125" i="4"/>
  <c r="D4" i="6"/>
  <c r="E4" i="6" s="1"/>
  <c r="F4" i="6" s="1"/>
  <c r="G4" i="6"/>
  <c r="H4" i="6" s="1"/>
  <c r="I4" i="6" s="1"/>
  <c r="N6" i="4"/>
  <c r="F21" i="4"/>
  <c r="N21" i="4" s="1"/>
  <c r="F66" i="4"/>
  <c r="F51" i="4"/>
  <c r="D126" i="4"/>
  <c r="D177" i="4"/>
  <c r="D111" i="4"/>
  <c r="H52" i="4"/>
  <c r="P97" i="4"/>
  <c r="I178" i="4"/>
  <c r="I127" i="4"/>
  <c r="D6" i="6"/>
  <c r="E6" i="6" s="1"/>
  <c r="O8" i="4"/>
  <c r="G23" i="4"/>
  <c r="O23" i="4"/>
  <c r="O68" i="4" s="1"/>
  <c r="G68" i="4"/>
  <c r="G53" i="4"/>
  <c r="D128" i="4"/>
  <c r="D179" i="4"/>
  <c r="D113" i="4"/>
  <c r="P9" i="4"/>
  <c r="H24" i="4"/>
  <c r="P24" i="4"/>
  <c r="H69" i="4"/>
  <c r="H54" i="4"/>
  <c r="D129" i="4"/>
  <c r="D180" i="4"/>
  <c r="D114" i="4"/>
  <c r="H180" i="4"/>
  <c r="I180" i="4" s="1"/>
  <c r="I129" i="4"/>
  <c r="P10" i="4"/>
  <c r="H25" i="4"/>
  <c r="P25" i="4"/>
  <c r="H70" i="4"/>
  <c r="P70" i="4" s="1"/>
  <c r="H55" i="4"/>
  <c r="H164" i="4" s="1"/>
  <c r="H197" i="4" s="1"/>
  <c r="I181" i="4"/>
  <c r="I130" i="4"/>
  <c r="D9" i="6"/>
  <c r="E9" i="6"/>
  <c r="F9" i="6" s="1"/>
  <c r="G9" i="6" s="1"/>
  <c r="H9" i="6" s="1"/>
  <c r="P11" i="4"/>
  <c r="H26" i="4"/>
  <c r="P26" i="4"/>
  <c r="H71" i="4"/>
  <c r="P71" i="4" s="1"/>
  <c r="P87" i="4" s="1"/>
  <c r="P101" i="4" s="1"/>
  <c r="H56" i="4"/>
  <c r="P56" i="4"/>
  <c r="I182" i="4"/>
  <c r="I198" i="4" s="1"/>
  <c r="I114" i="6" s="1"/>
  <c r="I131" i="4"/>
  <c r="D10" i="6"/>
  <c r="E10" i="6" s="1"/>
  <c r="H57" i="4"/>
  <c r="H88" i="4" s="1"/>
  <c r="H58" i="5" s="1"/>
  <c r="P102" i="4"/>
  <c r="I183" i="4"/>
  <c r="I132" i="4"/>
  <c r="D11" i="6"/>
  <c r="E11" i="6"/>
  <c r="F11" i="6" s="1"/>
  <c r="P13" i="4"/>
  <c r="H28" i="4"/>
  <c r="P28" i="4"/>
  <c r="P73" i="4" s="1"/>
  <c r="P89" i="4" s="1"/>
  <c r="P103" i="4" s="1"/>
  <c r="H73" i="4"/>
  <c r="H58" i="4"/>
  <c r="P58" i="4"/>
  <c r="I184" i="4"/>
  <c r="I133" i="4"/>
  <c r="D12" i="6"/>
  <c r="E12" i="6" s="1"/>
  <c r="F12" i="6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I31" i="5"/>
  <c r="I4" i="5"/>
  <c r="I8" i="5"/>
  <c r="I11" i="5" s="1"/>
  <c r="I3" i="5"/>
  <c r="I37" i="5"/>
  <c r="I38" i="5" s="1"/>
  <c r="H53" i="4"/>
  <c r="H162" i="4" s="1"/>
  <c r="H128" i="4"/>
  <c r="H68" i="4"/>
  <c r="H84" i="4"/>
  <c r="H54" i="5"/>
  <c r="H51" i="4"/>
  <c r="H160" i="4"/>
  <c r="H126" i="4"/>
  <c r="H66" i="4"/>
  <c r="H82" i="4" s="1"/>
  <c r="H52" i="5" s="1"/>
  <c r="H124" i="4"/>
  <c r="G50" i="4"/>
  <c r="O95" i="4"/>
  <c r="H19" i="6" s="1"/>
  <c r="H34" i="6" s="1"/>
  <c r="H176" i="4"/>
  <c r="H192" i="4" s="1"/>
  <c r="H108" i="6" s="1"/>
  <c r="H27" i="7" s="1"/>
  <c r="S27" i="7" s="1"/>
  <c r="H125" i="4"/>
  <c r="G52" i="4"/>
  <c r="O97" i="4" s="1"/>
  <c r="H178" i="4"/>
  <c r="H127" i="4"/>
  <c r="O9" i="4"/>
  <c r="O24" i="4" s="1"/>
  <c r="G24" i="4"/>
  <c r="G69" i="4"/>
  <c r="G54" i="4"/>
  <c r="H129" i="4"/>
  <c r="O10" i="4"/>
  <c r="G25" i="4"/>
  <c r="O25" i="4"/>
  <c r="O70" i="4" s="1"/>
  <c r="G70" i="4"/>
  <c r="G55" i="4"/>
  <c r="H181" i="4"/>
  <c r="H130" i="4"/>
  <c r="O11" i="4"/>
  <c r="O26" i="4" s="1"/>
  <c r="G26" i="4"/>
  <c r="G71" i="4"/>
  <c r="G56" i="4"/>
  <c r="H182" i="4"/>
  <c r="H131" i="4"/>
  <c r="G57" i="4"/>
  <c r="O102" i="4"/>
  <c r="H183" i="4"/>
  <c r="H132" i="4"/>
  <c r="O13" i="4"/>
  <c r="O28" i="4" s="1"/>
  <c r="G28" i="4"/>
  <c r="G73" i="4"/>
  <c r="G58" i="4"/>
  <c r="H184" i="4"/>
  <c r="H200" i="4" s="1"/>
  <c r="H133" i="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H31" i="5"/>
  <c r="H4" i="5"/>
  <c r="H8" i="5"/>
  <c r="H11" i="5"/>
  <c r="H3" i="5"/>
  <c r="H37" i="5"/>
  <c r="H38" i="5"/>
  <c r="G162" i="4"/>
  <c r="G128" i="4"/>
  <c r="G84" i="4"/>
  <c r="G54" i="5"/>
  <c r="G51" i="4"/>
  <c r="G160" i="4" s="1"/>
  <c r="G126" i="4"/>
  <c r="G66" i="4"/>
  <c r="G82" i="4" s="1"/>
  <c r="G52" i="5" s="1"/>
  <c r="G124" i="4"/>
  <c r="F50" i="4"/>
  <c r="N95" i="4" s="1"/>
  <c r="G176" i="4"/>
  <c r="G125" i="4"/>
  <c r="F52" i="4"/>
  <c r="N97" i="4"/>
  <c r="G178" i="4"/>
  <c r="G127" i="4"/>
  <c r="N8" i="4"/>
  <c r="F23" i="4"/>
  <c r="N23" i="4"/>
  <c r="F68" i="4"/>
  <c r="N68" i="4"/>
  <c r="N84" i="4" s="1"/>
  <c r="N98" i="4" s="1"/>
  <c r="F53" i="4"/>
  <c r="F162" i="4" s="1"/>
  <c r="F195" i="4" s="1"/>
  <c r="F224" i="4" s="1"/>
  <c r="F73" i="6" s="1"/>
  <c r="N53" i="4"/>
  <c r="N9" i="4"/>
  <c r="F24" i="4"/>
  <c r="N24" i="4"/>
  <c r="F69" i="4"/>
  <c r="N69" i="4" s="1"/>
  <c r="F54" i="4"/>
  <c r="F163" i="4" s="1"/>
  <c r="G180" i="4"/>
  <c r="G196" i="4" s="1"/>
  <c r="G112" i="6" s="1"/>
  <c r="G129" i="4"/>
  <c r="N10" i="4"/>
  <c r="F25" i="4"/>
  <c r="N25" i="4"/>
  <c r="F70" i="4"/>
  <c r="N70" i="4"/>
  <c r="F55" i="4"/>
  <c r="F164" i="4" s="1"/>
  <c r="F197" i="4" s="1"/>
  <c r="G181" i="4"/>
  <c r="G130" i="4"/>
  <c r="N11" i="4"/>
  <c r="F26" i="4"/>
  <c r="N26" i="4"/>
  <c r="N56" i="4" s="1"/>
  <c r="F71" i="4"/>
  <c r="N71" i="4"/>
  <c r="F56" i="4"/>
  <c r="G182" i="4"/>
  <c r="G131" i="4"/>
  <c r="G183" i="4"/>
  <c r="G132" i="4"/>
  <c r="G184" i="4"/>
  <c r="G200" i="4" s="1"/>
  <c r="G133" i="4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G31" i="5"/>
  <c r="G4" i="5"/>
  <c r="G8" i="5"/>
  <c r="G11" i="5"/>
  <c r="G3" i="5"/>
  <c r="G37" i="5" s="1"/>
  <c r="G38" i="5" s="1"/>
  <c r="F179" i="4"/>
  <c r="F128" i="4"/>
  <c r="F84" i="4"/>
  <c r="F54" i="5" s="1"/>
  <c r="F160" i="4"/>
  <c r="F126" i="4"/>
  <c r="F82" i="4"/>
  <c r="F52" i="5" s="1"/>
  <c r="F124" i="4"/>
  <c r="E50" i="4"/>
  <c r="E159" i="4" s="1"/>
  <c r="E192" i="4" s="1"/>
  <c r="M95" i="4"/>
  <c r="F19" i="6" s="1"/>
  <c r="F176" i="4"/>
  <c r="F125" i="4"/>
  <c r="M6" i="4"/>
  <c r="M21" i="4" s="1"/>
  <c r="E21" i="4"/>
  <c r="E66" i="4"/>
  <c r="M66" i="4"/>
  <c r="E51" i="4"/>
  <c r="E160" i="4" s="1"/>
  <c r="E193" i="4" s="1"/>
  <c r="M51" i="4"/>
  <c r="M82" i="4" s="1"/>
  <c r="M96" i="4" s="1"/>
  <c r="E52" i="4"/>
  <c r="M97" i="4" s="1"/>
  <c r="F178" i="4"/>
  <c r="F127" i="4"/>
  <c r="M8" i="4"/>
  <c r="E23" i="4"/>
  <c r="M23" i="4" s="1"/>
  <c r="E68" i="4"/>
  <c r="E84" i="4" s="1"/>
  <c r="E54" i="5" s="1"/>
  <c r="E53" i="4"/>
  <c r="M9" i="4"/>
  <c r="M24" i="4" s="1"/>
  <c r="E24" i="4"/>
  <c r="E69" i="4"/>
  <c r="E54" i="4"/>
  <c r="F180" i="4"/>
  <c r="F196" i="4" s="1"/>
  <c r="F129" i="4"/>
  <c r="M10" i="4"/>
  <c r="E25" i="4"/>
  <c r="M25" i="4"/>
  <c r="M55" i="4" s="1"/>
  <c r="E70" i="4"/>
  <c r="E55" i="4"/>
  <c r="F181" i="4"/>
  <c r="F130" i="4"/>
  <c r="M11" i="4"/>
  <c r="M26" i="4" s="1"/>
  <c r="E26" i="4"/>
  <c r="E71" i="4"/>
  <c r="E56" i="4"/>
  <c r="F182" i="4"/>
  <c r="F131" i="4"/>
  <c r="F183" i="4"/>
  <c r="F132" i="4"/>
  <c r="F184" i="4"/>
  <c r="F133" i="4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F31" i="5"/>
  <c r="F4" i="5"/>
  <c r="F11" i="5" s="1"/>
  <c r="F8" i="5"/>
  <c r="F3" i="5"/>
  <c r="F37" i="5" s="1"/>
  <c r="F38" i="5" s="1"/>
  <c r="E179" i="4"/>
  <c r="E162" i="4"/>
  <c r="E195" i="4" s="1"/>
  <c r="E128" i="4"/>
  <c r="E177" i="4"/>
  <c r="E126" i="4"/>
  <c r="E124" i="4"/>
  <c r="D50" i="4"/>
  <c r="L95" i="4"/>
  <c r="E19" i="6" s="1"/>
  <c r="E176" i="4"/>
  <c r="E125" i="4"/>
  <c r="D66" i="4"/>
  <c r="L66" i="4"/>
  <c r="D51" i="4"/>
  <c r="D52" i="4"/>
  <c r="D83" i="4" s="1"/>
  <c r="D53" i="5" s="1"/>
  <c r="L97" i="4"/>
  <c r="E178" i="4"/>
  <c r="E127" i="4"/>
  <c r="D68" i="4"/>
  <c r="D53" i="4"/>
  <c r="D84" i="4" s="1"/>
  <c r="D54" i="5" s="1"/>
  <c r="D69" i="4"/>
  <c r="D54" i="4"/>
  <c r="E180" i="4"/>
  <c r="E129" i="4"/>
  <c r="E181" i="4"/>
  <c r="E130" i="4"/>
  <c r="E182" i="4"/>
  <c r="E131" i="4"/>
  <c r="E183" i="4"/>
  <c r="E199" i="4" s="1"/>
  <c r="E115" i="6" s="1"/>
  <c r="E34" i="7" s="1"/>
  <c r="P34" i="7" s="1"/>
  <c r="E132" i="4"/>
  <c r="E26" i="6"/>
  <c r="E184" i="4"/>
  <c r="E27" i="6" s="1"/>
  <c r="E133" i="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E31" i="5"/>
  <c r="E33" i="5" s="1"/>
  <c r="E4" i="5"/>
  <c r="E8" i="5"/>
  <c r="E11" i="5"/>
  <c r="E3" i="5"/>
  <c r="E37" i="5" s="1"/>
  <c r="E38" i="5" s="1"/>
  <c r="I49" i="4"/>
  <c r="I158" i="4" s="1"/>
  <c r="I64" i="4"/>
  <c r="I80" i="4"/>
  <c r="I50" i="5"/>
  <c r="H49" i="4"/>
  <c r="H158" i="4" s="1"/>
  <c r="H64" i="4"/>
  <c r="H80" i="4" s="1"/>
  <c r="H50" i="5"/>
  <c r="G49" i="4"/>
  <c r="G158" i="4"/>
  <c r="G64" i="4"/>
  <c r="G80" i="4"/>
  <c r="G50" i="5" s="1"/>
  <c r="F49" i="4"/>
  <c r="F158" i="4" s="1"/>
  <c r="F64" i="4"/>
  <c r="E49" i="4"/>
  <c r="E80" i="4" s="1"/>
  <c r="E50" i="5" s="1"/>
  <c r="E158" i="4"/>
  <c r="E191" i="4" s="1"/>
  <c r="E64" i="4"/>
  <c r="D284" i="4"/>
  <c r="D89" i="7"/>
  <c r="D364" i="4"/>
  <c r="D78" i="7" s="1"/>
  <c r="D282" i="4"/>
  <c r="D87" i="7" s="1"/>
  <c r="D362" i="4"/>
  <c r="D76" i="7" s="1"/>
  <c r="O76" i="7" s="1"/>
  <c r="O111" i="7"/>
  <c r="O109" i="7"/>
  <c r="K4" i="4"/>
  <c r="K19" i="4" s="1"/>
  <c r="C19" i="4"/>
  <c r="C64" i="4"/>
  <c r="C49" i="4"/>
  <c r="C80" i="4" s="1"/>
  <c r="C50" i="5" s="1"/>
  <c r="C50" i="4"/>
  <c r="K95" i="4"/>
  <c r="D176" i="4"/>
  <c r="D192" i="4" s="1"/>
  <c r="D125" i="4"/>
  <c r="D19" i="6"/>
  <c r="K6" i="4"/>
  <c r="C21" i="4"/>
  <c r="K21" i="4"/>
  <c r="C66" i="4"/>
  <c r="C51" i="4"/>
  <c r="C82" i="4" s="1"/>
  <c r="C52" i="5" s="1"/>
  <c r="C52" i="4"/>
  <c r="C83" i="4" s="1"/>
  <c r="C53" i="5" s="1"/>
  <c r="D178" i="4"/>
  <c r="D127" i="4"/>
  <c r="K8" i="4"/>
  <c r="C23" i="4"/>
  <c r="K23" i="4"/>
  <c r="K68" i="4" s="1"/>
  <c r="C68" i="4"/>
  <c r="C53" i="4"/>
  <c r="C54" i="4"/>
  <c r="K99" i="4"/>
  <c r="D181" i="4"/>
  <c r="D197" i="4" s="1"/>
  <c r="D130" i="4"/>
  <c r="D24" i="6"/>
  <c r="D182" i="4"/>
  <c r="D131" i="4"/>
  <c r="D25" i="6"/>
  <c r="D183" i="4"/>
  <c r="D26" i="6" s="1"/>
  <c r="D132" i="4"/>
  <c r="D184" i="4"/>
  <c r="D200" i="4" s="1"/>
  <c r="D133" i="4"/>
  <c r="D27" i="6"/>
  <c r="D80" i="4"/>
  <c r="D50" i="5"/>
  <c r="D31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J27" i="8"/>
  <c r="J28" i="8"/>
  <c r="J29" i="8"/>
  <c r="J30" i="8"/>
  <c r="J31" i="8"/>
  <c r="J32" i="8"/>
  <c r="J33" i="8"/>
  <c r="J34" i="8"/>
  <c r="I25" i="8"/>
  <c r="I26" i="8"/>
  <c r="I27" i="8"/>
  <c r="I28" i="8"/>
  <c r="I29" i="8"/>
  <c r="I30" i="8"/>
  <c r="I31" i="8"/>
  <c r="I32" i="8"/>
  <c r="I33" i="8"/>
  <c r="I34" i="8"/>
  <c r="H25" i="8"/>
  <c r="H26" i="8"/>
  <c r="H27" i="8"/>
  <c r="H28" i="8"/>
  <c r="H29" i="8"/>
  <c r="H30" i="8"/>
  <c r="H31" i="8"/>
  <c r="H32" i="8"/>
  <c r="H33" i="8"/>
  <c r="H34" i="8"/>
  <c r="G23" i="8"/>
  <c r="G24" i="8"/>
  <c r="G25" i="8"/>
  <c r="G26" i="8"/>
  <c r="G27" i="8"/>
  <c r="G28" i="8"/>
  <c r="G29" i="8"/>
  <c r="G30" i="8"/>
  <c r="G31" i="8"/>
  <c r="G32" i="8"/>
  <c r="G33" i="8"/>
  <c r="G34" i="8"/>
  <c r="F23" i="8"/>
  <c r="F24" i="8"/>
  <c r="F25" i="8"/>
  <c r="F26" i="8"/>
  <c r="F27" i="8"/>
  <c r="F28" i="8"/>
  <c r="F29" i="8"/>
  <c r="F30" i="8"/>
  <c r="F31" i="8"/>
  <c r="F32" i="8"/>
  <c r="F33" i="8"/>
  <c r="F34" i="8"/>
  <c r="D94" i="7"/>
  <c r="O94" i="7" s="1"/>
  <c r="D93" i="7"/>
  <c r="O93" i="7" s="1"/>
  <c r="D92" i="7"/>
  <c r="O92" i="7"/>
  <c r="D91" i="7"/>
  <c r="O91" i="7" s="1"/>
  <c r="D285" i="4"/>
  <c r="D90" i="7" s="1"/>
  <c r="O90" i="7" s="1"/>
  <c r="O89" i="7"/>
  <c r="D283" i="4"/>
  <c r="D88" i="7" s="1"/>
  <c r="O88" i="7" s="1"/>
  <c r="D86" i="7"/>
  <c r="O86" i="7"/>
  <c r="D280" i="4"/>
  <c r="D85" i="7"/>
  <c r="O85" i="7" s="1"/>
  <c r="D83" i="7"/>
  <c r="O83" i="7" s="1"/>
  <c r="D82" i="7"/>
  <c r="O82" i="7" s="1"/>
  <c r="D81" i="7"/>
  <c r="O81" i="7"/>
  <c r="D80" i="7"/>
  <c r="O80" i="7" s="1"/>
  <c r="D365" i="4"/>
  <c r="D79" i="7" s="1"/>
  <c r="O79" i="7" s="1"/>
  <c r="D363" i="4"/>
  <c r="D77" i="7"/>
  <c r="O77" i="7" s="1"/>
  <c r="D75" i="7"/>
  <c r="O75" i="7"/>
  <c r="D360" i="4"/>
  <c r="D74" i="7"/>
  <c r="O74" i="7" s="1"/>
  <c r="I54" i="4"/>
  <c r="I85" i="4" s="1"/>
  <c r="I55" i="5" s="1"/>
  <c r="I163" i="4"/>
  <c r="I69" i="4"/>
  <c r="H163" i="4"/>
  <c r="H196" i="4" s="1"/>
  <c r="H85" i="4"/>
  <c r="H55" i="5" s="1"/>
  <c r="G163" i="4"/>
  <c r="G85" i="4"/>
  <c r="G55" i="5" s="1"/>
  <c r="F85" i="4"/>
  <c r="F55" i="5"/>
  <c r="E163" i="4"/>
  <c r="E196" i="4" s="1"/>
  <c r="E85" i="4"/>
  <c r="E55" i="5"/>
  <c r="D85" i="4"/>
  <c r="D55" i="5" s="1"/>
  <c r="D4" i="7"/>
  <c r="D256" i="4"/>
  <c r="D15" i="7"/>
  <c r="D48" i="7"/>
  <c r="I58" i="4"/>
  <c r="I167" i="4"/>
  <c r="I200" i="4"/>
  <c r="I229" i="4" s="1"/>
  <c r="I78" i="6" s="1"/>
  <c r="I116" i="6"/>
  <c r="I73" i="4"/>
  <c r="I89" i="4"/>
  <c r="I59" i="5" s="1"/>
  <c r="H89" i="4"/>
  <c r="H59" i="5" s="1"/>
  <c r="I56" i="4"/>
  <c r="I165" i="4" s="1"/>
  <c r="I71" i="4"/>
  <c r="I87" i="4"/>
  <c r="I57" i="5" s="1"/>
  <c r="H87" i="4"/>
  <c r="H57" i="5" s="1"/>
  <c r="H165" i="4"/>
  <c r="H198" i="4"/>
  <c r="G87" i="4"/>
  <c r="G57" i="5" s="1"/>
  <c r="G165" i="4"/>
  <c r="G198" i="4" s="1"/>
  <c r="F87" i="4"/>
  <c r="F57" i="5" s="1"/>
  <c r="F165" i="4"/>
  <c r="F198" i="4"/>
  <c r="E87" i="4"/>
  <c r="E57" i="5" s="1"/>
  <c r="I55" i="4"/>
  <c r="I164" i="4"/>
  <c r="I197" i="4" s="1"/>
  <c r="I70" i="4"/>
  <c r="I86" i="4" s="1"/>
  <c r="I56" i="5" s="1"/>
  <c r="H86" i="4"/>
  <c r="H56" i="5" s="1"/>
  <c r="G86" i="4"/>
  <c r="G56" i="5"/>
  <c r="G164" i="4"/>
  <c r="G197" i="4"/>
  <c r="G226" i="4" s="1"/>
  <c r="G75" i="6" s="1"/>
  <c r="C69" i="4"/>
  <c r="C85" i="4" s="1"/>
  <c r="C55" i="5" s="1"/>
  <c r="C84" i="4"/>
  <c r="C54" i="5"/>
  <c r="I50" i="4"/>
  <c r="I159" i="4" s="1"/>
  <c r="I192" i="4" s="1"/>
  <c r="I108" i="6" s="1"/>
  <c r="I27" i="7" s="1"/>
  <c r="T27" i="7" s="1"/>
  <c r="I65" i="4"/>
  <c r="I52" i="4"/>
  <c r="Q97" i="4" s="1"/>
  <c r="I67" i="4"/>
  <c r="I57" i="4"/>
  <c r="I88" i="4" s="1"/>
  <c r="I58" i="5" s="1"/>
  <c r="I72" i="4"/>
  <c r="H65" i="4"/>
  <c r="H81" i="4"/>
  <c r="H51" i="5" s="1"/>
  <c r="H67" i="4"/>
  <c r="H83" i="4" s="1"/>
  <c r="H53" i="5" s="1"/>
  <c r="H72" i="4"/>
  <c r="G65" i="4"/>
  <c r="G81" i="4"/>
  <c r="G51" i="5" s="1"/>
  <c r="G67" i="4"/>
  <c r="G83" i="4"/>
  <c r="G53" i="5"/>
  <c r="G225" i="4"/>
  <c r="G74" i="6" s="1"/>
  <c r="G72" i="4"/>
  <c r="G88" i="4"/>
  <c r="G58" i="5" s="1"/>
  <c r="G89" i="4"/>
  <c r="G59" i="5" s="1"/>
  <c r="F65" i="4"/>
  <c r="F81" i="4" s="1"/>
  <c r="F51" i="5" s="1"/>
  <c r="F67" i="4"/>
  <c r="F83" i="4" s="1"/>
  <c r="F53" i="5" s="1"/>
  <c r="F58" i="5"/>
  <c r="F59" i="5"/>
  <c r="E65" i="4"/>
  <c r="E81" i="4"/>
  <c r="E51" i="5" s="1"/>
  <c r="E67" i="4"/>
  <c r="E58" i="5"/>
  <c r="E59" i="5"/>
  <c r="D158" i="4"/>
  <c r="D191" i="4"/>
  <c r="D220" i="4"/>
  <c r="D69" i="6" s="1"/>
  <c r="D65" i="4"/>
  <c r="L65" i="4" s="1"/>
  <c r="D81" i="4"/>
  <c r="D51" i="5" s="1"/>
  <c r="D67" i="4"/>
  <c r="D162" i="4"/>
  <c r="D195" i="4" s="1"/>
  <c r="D224" i="4" s="1"/>
  <c r="D73" i="6" s="1"/>
  <c r="D163" i="4"/>
  <c r="D196" i="4"/>
  <c r="D225" i="4"/>
  <c r="D74" i="6" s="1"/>
  <c r="D56" i="5"/>
  <c r="D57" i="5"/>
  <c r="D58" i="5"/>
  <c r="D59" i="5"/>
  <c r="I187" i="4"/>
  <c r="I136" i="4"/>
  <c r="I203" i="4"/>
  <c r="H187" i="4"/>
  <c r="H136" i="4"/>
  <c r="H203" i="4"/>
  <c r="G187" i="4"/>
  <c r="G136" i="4"/>
  <c r="G203" i="4" s="1"/>
  <c r="F187" i="4"/>
  <c r="F136" i="4"/>
  <c r="F203" i="4" s="1"/>
  <c r="E187" i="4"/>
  <c r="E136" i="4"/>
  <c r="E203" i="4"/>
  <c r="D187" i="4"/>
  <c r="D136" i="4"/>
  <c r="D203" i="4"/>
  <c r="C187" i="4"/>
  <c r="C136" i="4"/>
  <c r="C203" i="4" s="1"/>
  <c r="I186" i="4"/>
  <c r="I202" i="4" s="1"/>
  <c r="I60" i="4"/>
  <c r="I91" i="4" s="1"/>
  <c r="I61" i="5" s="1"/>
  <c r="I169" i="4"/>
  <c r="I135" i="4"/>
  <c r="H186" i="4"/>
  <c r="H202" i="4" s="1"/>
  <c r="H135" i="4"/>
  <c r="G186" i="4"/>
  <c r="G135" i="4"/>
  <c r="G202" i="4"/>
  <c r="F186" i="4"/>
  <c r="F135" i="4"/>
  <c r="F202" i="4"/>
  <c r="E186" i="4"/>
  <c r="E135" i="4"/>
  <c r="E202" i="4"/>
  <c r="D186" i="4"/>
  <c r="D135" i="4"/>
  <c r="D202" i="4" s="1"/>
  <c r="C186" i="4"/>
  <c r="C135" i="4"/>
  <c r="C202" i="4" s="1"/>
  <c r="I185" i="4"/>
  <c r="I59" i="4"/>
  <c r="I168" i="4"/>
  <c r="I201" i="4" s="1"/>
  <c r="I134" i="4"/>
  <c r="H185" i="4"/>
  <c r="H134" i="4"/>
  <c r="H201" i="4"/>
  <c r="G185" i="4"/>
  <c r="G134" i="4"/>
  <c r="G201" i="4" s="1"/>
  <c r="F185" i="4"/>
  <c r="F134" i="4"/>
  <c r="F201" i="4"/>
  <c r="E185" i="4"/>
  <c r="E134" i="4"/>
  <c r="E201" i="4"/>
  <c r="D185" i="4"/>
  <c r="D28" i="6" s="1"/>
  <c r="D134" i="4"/>
  <c r="C185" i="4"/>
  <c r="C134" i="4"/>
  <c r="C201" i="4"/>
  <c r="H167" i="4"/>
  <c r="G167" i="4"/>
  <c r="F200" i="4"/>
  <c r="F116" i="6" s="1"/>
  <c r="C184" i="4"/>
  <c r="C200" i="4" s="1"/>
  <c r="C133" i="4"/>
  <c r="I166" i="4"/>
  <c r="I199" i="4"/>
  <c r="I115" i="6" s="1"/>
  <c r="I34" i="7" s="1"/>
  <c r="T34" i="7" s="1"/>
  <c r="H166" i="4"/>
  <c r="H199" i="4"/>
  <c r="H115" i="6" s="1"/>
  <c r="H34" i="7" s="1"/>
  <c r="S34" i="7" s="1"/>
  <c r="G166" i="4"/>
  <c r="G199" i="4"/>
  <c r="G115" i="6" s="1"/>
  <c r="G34" i="7" s="1"/>
  <c r="R34" i="7" s="1"/>
  <c r="F199" i="4"/>
  <c r="F115" i="6" s="1"/>
  <c r="F34" i="7" s="1"/>
  <c r="Q34" i="7" s="1"/>
  <c r="D199" i="4"/>
  <c r="C183" i="4"/>
  <c r="C132" i="4"/>
  <c r="C199" i="4"/>
  <c r="E165" i="4"/>
  <c r="E198" i="4"/>
  <c r="D198" i="4"/>
  <c r="C182" i="4"/>
  <c r="C131" i="4"/>
  <c r="C198" i="4"/>
  <c r="E164" i="4"/>
  <c r="C181" i="4"/>
  <c r="C197" i="4" s="1"/>
  <c r="C130" i="4"/>
  <c r="C180" i="4"/>
  <c r="C196" i="4" s="1"/>
  <c r="C163" i="4"/>
  <c r="C129" i="4"/>
  <c r="C179" i="4"/>
  <c r="C162" i="4"/>
  <c r="C195" i="4" s="1"/>
  <c r="C128" i="4"/>
  <c r="H161" i="4"/>
  <c r="H194" i="4"/>
  <c r="H110" i="6" s="1"/>
  <c r="H29" i="7" s="1"/>
  <c r="S29" i="7" s="1"/>
  <c r="G161" i="4"/>
  <c r="G194" i="4" s="1"/>
  <c r="G110" i="6" s="1"/>
  <c r="G29" i="7" s="1"/>
  <c r="R29" i="7" s="1"/>
  <c r="F161" i="4"/>
  <c r="F194" i="4"/>
  <c r="E161" i="4"/>
  <c r="E194" i="4"/>
  <c r="E110" i="6" s="1"/>
  <c r="E29" i="7" s="1"/>
  <c r="P29" i="7" s="1"/>
  <c r="D161" i="4"/>
  <c r="D194" i="4"/>
  <c r="C178" i="4"/>
  <c r="C127" i="4"/>
  <c r="C177" i="4"/>
  <c r="C160" i="4"/>
  <c r="C126" i="4"/>
  <c r="H159" i="4"/>
  <c r="G159" i="4"/>
  <c r="F159" i="4"/>
  <c r="D159" i="4"/>
  <c r="C176" i="4"/>
  <c r="C159" i="4"/>
  <c r="C125" i="4"/>
  <c r="C192" i="4"/>
  <c r="C175" i="4"/>
  <c r="C158" i="4"/>
  <c r="C124" i="4"/>
  <c r="C191" i="4"/>
  <c r="I62" i="5"/>
  <c r="H62" i="5"/>
  <c r="G62" i="5"/>
  <c r="F62" i="5"/>
  <c r="E62" i="5"/>
  <c r="D62" i="5"/>
  <c r="I75" i="4"/>
  <c r="H61" i="5"/>
  <c r="G61" i="5"/>
  <c r="F61" i="5"/>
  <c r="E61" i="5"/>
  <c r="D61" i="5"/>
  <c r="I74" i="4"/>
  <c r="I90" i="4" s="1"/>
  <c r="I60" i="5" s="1"/>
  <c r="H60" i="5"/>
  <c r="G60" i="5"/>
  <c r="F60" i="5"/>
  <c r="E60" i="5"/>
  <c r="D60" i="5"/>
  <c r="D14" i="6"/>
  <c r="E14" i="6"/>
  <c r="F14" i="6" s="1"/>
  <c r="D13" i="6"/>
  <c r="E13" i="6" s="1"/>
  <c r="F13" i="6" s="1"/>
  <c r="G13" i="6" s="1"/>
  <c r="H13" i="6" s="1"/>
  <c r="I13" i="6" s="1"/>
  <c r="I28" i="6" s="1"/>
  <c r="Q4" i="4"/>
  <c r="I19" i="4"/>
  <c r="Q19" i="4"/>
  <c r="Q49" i="4"/>
  <c r="P4" i="4"/>
  <c r="P17" i="4" s="1"/>
  <c r="H19" i="4"/>
  <c r="O4" i="4"/>
  <c r="G19" i="4"/>
  <c r="O19" i="4"/>
  <c r="O64" i="4" s="1"/>
  <c r="N4" i="4"/>
  <c r="N19" i="4" s="1"/>
  <c r="F19" i="4"/>
  <c r="M4" i="4"/>
  <c r="M19" i="4" s="1"/>
  <c r="E19" i="4"/>
  <c r="Q64" i="4"/>
  <c r="D15" i="6"/>
  <c r="E15" i="6"/>
  <c r="F15" i="6" s="1"/>
  <c r="G15" i="6" s="1"/>
  <c r="H15" i="6" s="1"/>
  <c r="I15" i="6"/>
  <c r="I30" i="6"/>
  <c r="H30" i="6"/>
  <c r="F30" i="6"/>
  <c r="E30" i="6"/>
  <c r="D30" i="6"/>
  <c r="E29" i="6"/>
  <c r="D29" i="6"/>
  <c r="H28" i="6"/>
  <c r="G28" i="6"/>
  <c r="F28" i="6"/>
  <c r="Q95" i="4"/>
  <c r="Q10" i="4"/>
  <c r="I25" i="4"/>
  <c r="Q25" i="4" s="1"/>
  <c r="Q11" i="4"/>
  <c r="I26" i="4"/>
  <c r="Q26" i="4"/>
  <c r="Q71" i="4" s="1"/>
  <c r="Q12" i="4"/>
  <c r="I27" i="4"/>
  <c r="Q27" i="4"/>
  <c r="Q72" i="4" s="1"/>
  <c r="Q88" i="4" s="1"/>
  <c r="Q102" i="4" s="1"/>
  <c r="Q57" i="4"/>
  <c r="Q13" i="4"/>
  <c r="I28" i="4"/>
  <c r="Q28" i="4"/>
  <c r="Q73" i="4"/>
  <c r="Q14" i="4"/>
  <c r="Q29" i="4" s="1"/>
  <c r="I29" i="4"/>
  <c r="K5" i="4"/>
  <c r="C20" i="4"/>
  <c r="K20" i="4" s="1"/>
  <c r="K50" i="4" s="1"/>
  <c r="C65" i="4"/>
  <c r="C81" i="4" s="1"/>
  <c r="C51" i="5" s="1"/>
  <c r="K7" i="4"/>
  <c r="C22" i="4"/>
  <c r="K22" i="4" s="1"/>
  <c r="C67" i="4"/>
  <c r="K9" i="4"/>
  <c r="C24" i="4"/>
  <c r="K24" i="4"/>
  <c r="K69" i="4" s="1"/>
  <c r="L67" i="4"/>
  <c r="L50" i="4"/>
  <c r="L52" i="4"/>
  <c r="M5" i="4"/>
  <c r="E20" i="4"/>
  <c r="M20" i="4"/>
  <c r="M7" i="4"/>
  <c r="E22" i="4"/>
  <c r="M22" i="4" s="1"/>
  <c r="M67" i="4" s="1"/>
  <c r="N5" i="4"/>
  <c r="F20" i="4"/>
  <c r="N20" i="4" s="1"/>
  <c r="N7" i="4"/>
  <c r="F22" i="4"/>
  <c r="N22" i="4" s="1"/>
  <c r="N50" i="4"/>
  <c r="O5" i="4"/>
  <c r="O20" i="4" s="1"/>
  <c r="G20" i="4"/>
  <c r="O6" i="4"/>
  <c r="G21" i="4"/>
  <c r="O21" i="4" s="1"/>
  <c r="O7" i="4"/>
  <c r="O22" i="4" s="1"/>
  <c r="G22" i="4"/>
  <c r="O12" i="4"/>
  <c r="G27" i="4"/>
  <c r="O27" i="4" s="1"/>
  <c r="P5" i="4"/>
  <c r="H20" i="4"/>
  <c r="P20" i="4"/>
  <c r="P50" i="4" s="1"/>
  <c r="P65" i="4"/>
  <c r="P6" i="4"/>
  <c r="H21" i="4"/>
  <c r="P21" i="4"/>
  <c r="P51" i="4" s="1"/>
  <c r="P7" i="4"/>
  <c r="P22" i="4" s="1"/>
  <c r="H22" i="4"/>
  <c r="P8" i="4"/>
  <c r="H23" i="4"/>
  <c r="P23" i="4"/>
  <c r="P68" i="4"/>
  <c r="P12" i="4"/>
  <c r="H27" i="4"/>
  <c r="P27" i="4"/>
  <c r="P57" i="4" s="1"/>
  <c r="Q5" i="4"/>
  <c r="I20" i="4"/>
  <c r="Q20" i="4" s="1"/>
  <c r="Q65" i="4" s="1"/>
  <c r="Q6" i="4"/>
  <c r="Q21" i="4" s="1"/>
  <c r="I21" i="4"/>
  <c r="Q7" i="4"/>
  <c r="Q22" i="4" s="1"/>
  <c r="I22" i="4"/>
  <c r="Q8" i="4"/>
  <c r="Q23" i="4" s="1"/>
  <c r="I23" i="4"/>
  <c r="Q9" i="4"/>
  <c r="I24" i="4"/>
  <c r="Q24" i="4"/>
  <c r="Q69" i="4"/>
  <c r="Q15" i="4"/>
  <c r="Q30" i="4" s="1"/>
  <c r="I30" i="4"/>
  <c r="Q50" i="4"/>
  <c r="D121" i="4"/>
  <c r="D120" i="4"/>
  <c r="D119" i="4"/>
  <c r="D118" i="4"/>
  <c r="D117" i="4"/>
  <c r="D116" i="4"/>
  <c r="D115" i="4"/>
  <c r="D112" i="4"/>
  <c r="D110" i="4"/>
  <c r="I121" i="4"/>
  <c r="H121" i="4"/>
  <c r="G121" i="4"/>
  <c r="F121" i="4"/>
  <c r="E121" i="4"/>
  <c r="C121" i="4"/>
  <c r="I120" i="4"/>
  <c r="H120" i="4"/>
  <c r="G120" i="4"/>
  <c r="F120" i="4"/>
  <c r="E120" i="4"/>
  <c r="C120" i="4"/>
  <c r="I119" i="4"/>
  <c r="H119" i="4"/>
  <c r="G119" i="4"/>
  <c r="F119" i="4"/>
  <c r="E119" i="4"/>
  <c r="C119" i="4"/>
  <c r="I118" i="4"/>
  <c r="H118" i="4"/>
  <c r="G118" i="4"/>
  <c r="F118" i="4"/>
  <c r="E118" i="4"/>
  <c r="C118" i="4"/>
  <c r="I117" i="4"/>
  <c r="H117" i="4"/>
  <c r="G117" i="4"/>
  <c r="F117" i="4"/>
  <c r="E117" i="4"/>
  <c r="C117" i="4"/>
  <c r="I116" i="4"/>
  <c r="H116" i="4"/>
  <c r="G116" i="4"/>
  <c r="F116" i="4"/>
  <c r="E116" i="4"/>
  <c r="C116" i="4"/>
  <c r="I115" i="4"/>
  <c r="H115" i="4"/>
  <c r="G115" i="4"/>
  <c r="F115" i="4"/>
  <c r="E115" i="4"/>
  <c r="C115" i="4"/>
  <c r="I114" i="4"/>
  <c r="H114" i="4"/>
  <c r="G114" i="4"/>
  <c r="F114" i="4"/>
  <c r="E114" i="4"/>
  <c r="C114" i="4"/>
  <c r="I113" i="4"/>
  <c r="H113" i="4"/>
  <c r="G113" i="4"/>
  <c r="F113" i="4"/>
  <c r="E113" i="4"/>
  <c r="C113" i="4"/>
  <c r="I112" i="4"/>
  <c r="H112" i="4"/>
  <c r="G112" i="4"/>
  <c r="F112" i="4"/>
  <c r="E112" i="4"/>
  <c r="C112" i="4"/>
  <c r="I111" i="4"/>
  <c r="H111" i="4"/>
  <c r="G111" i="4"/>
  <c r="F111" i="4"/>
  <c r="E111" i="4"/>
  <c r="C111" i="4"/>
  <c r="I110" i="4"/>
  <c r="H110" i="4"/>
  <c r="G110" i="4"/>
  <c r="F110" i="4"/>
  <c r="E110" i="4"/>
  <c r="C110" i="4"/>
  <c r="I109" i="4"/>
  <c r="H109" i="4"/>
  <c r="G109" i="4"/>
  <c r="F109" i="4"/>
  <c r="E109" i="4"/>
  <c r="C109" i="4"/>
  <c r="Q16" i="4"/>
  <c r="I31" i="4"/>
  <c r="Q31" i="4"/>
  <c r="P14" i="4"/>
  <c r="H29" i="4"/>
  <c r="P29" i="4"/>
  <c r="P15" i="4"/>
  <c r="H30" i="4"/>
  <c r="P30" i="4"/>
  <c r="P16" i="4"/>
  <c r="P31" i="4" s="1"/>
  <c r="H31" i="4"/>
  <c r="O14" i="4"/>
  <c r="G29" i="4"/>
  <c r="O29" i="4"/>
  <c r="O15" i="4"/>
  <c r="G30" i="4"/>
  <c r="O30" i="4"/>
  <c r="O16" i="4"/>
  <c r="O31" i="4" s="1"/>
  <c r="G31" i="4"/>
  <c r="N12" i="4"/>
  <c r="N27" i="4" s="1"/>
  <c r="F27" i="4"/>
  <c r="N13" i="4"/>
  <c r="N28" i="4" s="1"/>
  <c r="F28" i="4"/>
  <c r="N14" i="4"/>
  <c r="N29" i="4" s="1"/>
  <c r="F29" i="4"/>
  <c r="N15" i="4"/>
  <c r="N30" i="4" s="1"/>
  <c r="F30" i="4"/>
  <c r="N16" i="4"/>
  <c r="N31" i="4" s="1"/>
  <c r="F31" i="4"/>
  <c r="M12" i="4"/>
  <c r="M27" i="4" s="1"/>
  <c r="E27" i="4"/>
  <c r="M13" i="4"/>
  <c r="M28" i="4" s="1"/>
  <c r="E28" i="4"/>
  <c r="M14" i="4"/>
  <c r="E29" i="4"/>
  <c r="M29" i="4"/>
  <c r="M15" i="4"/>
  <c r="M30" i="4" s="1"/>
  <c r="E30" i="4"/>
  <c r="M16" i="4"/>
  <c r="M31" i="4" s="1"/>
  <c r="E31" i="4"/>
  <c r="C4" i="5"/>
  <c r="C11" i="5" s="1"/>
  <c r="C8" i="5"/>
  <c r="K10" i="4"/>
  <c r="K25" i="4" s="1"/>
  <c r="C25" i="4"/>
  <c r="K11" i="4"/>
  <c r="K26" i="4" s="1"/>
  <c r="C26" i="4"/>
  <c r="K12" i="4"/>
  <c r="C27" i="4"/>
  <c r="K13" i="4"/>
  <c r="C28" i="4"/>
  <c r="K28" i="4" s="1"/>
  <c r="K14" i="4"/>
  <c r="C29" i="4"/>
  <c r="K29" i="4" s="1"/>
  <c r="K15" i="4"/>
  <c r="K30" i="4" s="1"/>
  <c r="C30" i="4"/>
  <c r="K16" i="4"/>
  <c r="K31" i="4" s="1"/>
  <c r="C31" i="4"/>
  <c r="D3" i="8"/>
  <c r="D35" i="8" s="1"/>
  <c r="C30" i="5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C31" i="5"/>
  <c r="C33" i="5" s="1"/>
  <c r="C56" i="5"/>
  <c r="C57" i="5"/>
  <c r="C58" i="5"/>
  <c r="C59" i="5"/>
  <c r="C60" i="5"/>
  <c r="C61" i="5"/>
  <c r="C62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F4" i="4"/>
  <c r="F17" i="4" s="1"/>
  <c r="F5" i="4"/>
  <c r="F6" i="4"/>
  <c r="F7" i="4"/>
  <c r="F8" i="4"/>
  <c r="F9" i="4"/>
  <c r="F10" i="4"/>
  <c r="F11" i="4"/>
  <c r="F12" i="4"/>
  <c r="F13" i="4"/>
  <c r="F14" i="4"/>
  <c r="F15" i="4"/>
  <c r="F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D4" i="4"/>
  <c r="D5" i="4"/>
  <c r="D6" i="4"/>
  <c r="D7" i="4"/>
  <c r="D17" i="4" s="1"/>
  <c r="D8" i="4"/>
  <c r="D9" i="4"/>
  <c r="D10" i="4"/>
  <c r="D11" i="4"/>
  <c r="D12" i="4"/>
  <c r="D13" i="4"/>
  <c r="D14" i="4"/>
  <c r="D15" i="4"/>
  <c r="D16" i="4"/>
  <c r="C4" i="4"/>
  <c r="C17" i="4" s="1"/>
  <c r="C5" i="4"/>
  <c r="C6" i="4"/>
  <c r="C7" i="4"/>
  <c r="C8" i="4"/>
  <c r="C9" i="4"/>
  <c r="C10" i="4"/>
  <c r="C11" i="4"/>
  <c r="C12" i="4"/>
  <c r="C13" i="4"/>
  <c r="C14" i="4"/>
  <c r="C15" i="4"/>
  <c r="C16" i="4"/>
  <c r="I76" i="4"/>
  <c r="H76" i="4"/>
  <c r="G76" i="4"/>
  <c r="F76" i="4"/>
  <c r="E76" i="4"/>
  <c r="D76" i="4"/>
  <c r="C76" i="4"/>
  <c r="H75" i="4"/>
  <c r="G75" i="4"/>
  <c r="F75" i="4"/>
  <c r="E75" i="4"/>
  <c r="D75" i="4"/>
  <c r="C75" i="4"/>
  <c r="H74" i="4"/>
  <c r="G74" i="4"/>
  <c r="F74" i="4"/>
  <c r="E74" i="4"/>
  <c r="D74" i="4"/>
  <c r="C74" i="4"/>
  <c r="F73" i="4"/>
  <c r="E73" i="4"/>
  <c r="D73" i="4"/>
  <c r="C73" i="4"/>
  <c r="F72" i="4"/>
  <c r="E72" i="4"/>
  <c r="D72" i="4"/>
  <c r="C72" i="4"/>
  <c r="D71" i="4"/>
  <c r="C71" i="4"/>
  <c r="D70" i="4"/>
  <c r="C70" i="4"/>
  <c r="C7" i="5"/>
  <c r="C9" i="5"/>
  <c r="C10" i="5"/>
  <c r="C16" i="5" s="1"/>
  <c r="C27" i="5" s="1"/>
  <c r="C28" i="5" s="1"/>
  <c r="C5" i="5"/>
  <c r="C17" i="5" s="1"/>
  <c r="C6" i="5"/>
  <c r="C32" i="5"/>
  <c r="C23" i="5"/>
  <c r="C29" i="5"/>
  <c r="C24" i="5"/>
  <c r="C25" i="5"/>
  <c r="I32" i="5"/>
  <c r="I33" i="5" s="1"/>
  <c r="H32" i="5"/>
  <c r="H33" i="5"/>
  <c r="G32" i="5"/>
  <c r="G33" i="5"/>
  <c r="F32" i="5"/>
  <c r="F33" i="5" s="1"/>
  <c r="E32" i="5"/>
  <c r="D32" i="5"/>
  <c r="N17" i="4"/>
  <c r="C61" i="4"/>
  <c r="C60" i="4"/>
  <c r="C59" i="4"/>
  <c r="C58" i="4"/>
  <c r="C57" i="4"/>
  <c r="C56" i="4"/>
  <c r="C55" i="4"/>
  <c r="I61" i="4"/>
  <c r="H61" i="4"/>
  <c r="G61" i="4"/>
  <c r="F61" i="4"/>
  <c r="E61" i="4"/>
  <c r="D61" i="4"/>
  <c r="H60" i="4"/>
  <c r="G60" i="4"/>
  <c r="F60" i="4"/>
  <c r="E60" i="4"/>
  <c r="D60" i="4"/>
  <c r="H59" i="4"/>
  <c r="G59" i="4"/>
  <c r="F59" i="4"/>
  <c r="E59" i="4"/>
  <c r="D59" i="4"/>
  <c r="F58" i="4"/>
  <c r="E58" i="4"/>
  <c r="D58" i="4"/>
  <c r="F57" i="4"/>
  <c r="E57" i="4"/>
  <c r="D57" i="4"/>
  <c r="D56" i="4"/>
  <c r="D55" i="4"/>
  <c r="G17" i="4"/>
  <c r="E17" i="4"/>
  <c r="I14" i="5"/>
  <c r="H14" i="5"/>
  <c r="G14" i="5"/>
  <c r="F14" i="5"/>
  <c r="E14" i="5"/>
  <c r="D14" i="5"/>
  <c r="I10" i="5"/>
  <c r="H10" i="5"/>
  <c r="G10" i="5"/>
  <c r="F10" i="5"/>
  <c r="E10" i="5"/>
  <c r="D10" i="5"/>
  <c r="D16" i="5" s="1"/>
  <c r="D27" i="5" s="1"/>
  <c r="D28" i="5" s="1"/>
  <c r="I9" i="5"/>
  <c r="H9" i="5"/>
  <c r="G9" i="5"/>
  <c r="F9" i="5"/>
  <c r="E9" i="5"/>
  <c r="E16" i="5" s="1"/>
  <c r="E27" i="5" s="1"/>
  <c r="E28" i="5" s="1"/>
  <c r="D9" i="5"/>
  <c r="I7" i="5"/>
  <c r="H7" i="5"/>
  <c r="H18" i="5" s="1"/>
  <c r="H19" i="5" s="1"/>
  <c r="G7" i="5"/>
  <c r="G18" i="5" s="1"/>
  <c r="G19" i="5" s="1"/>
  <c r="F7" i="5"/>
  <c r="E7" i="5"/>
  <c r="E18" i="5" s="1"/>
  <c r="E19" i="5" s="1"/>
  <c r="D7" i="5"/>
  <c r="D18" i="5" s="1"/>
  <c r="D19" i="5" s="1"/>
  <c r="I6" i="5"/>
  <c r="H6" i="5"/>
  <c r="G6" i="5"/>
  <c r="F6" i="5"/>
  <c r="E6" i="5"/>
  <c r="D6" i="5"/>
  <c r="I5" i="5"/>
  <c r="I17" i="5" s="1"/>
  <c r="H5" i="5"/>
  <c r="H15" i="5" s="1"/>
  <c r="G5" i="5"/>
  <c r="G28" i="5" s="1"/>
  <c r="F5" i="5"/>
  <c r="F17" i="5" s="1"/>
  <c r="E5" i="5"/>
  <c r="E17" i="5" s="1"/>
  <c r="D5" i="5"/>
  <c r="D15" i="5" s="1"/>
  <c r="I26" i="5"/>
  <c r="H26" i="5"/>
  <c r="G26" i="5"/>
  <c r="F26" i="5"/>
  <c r="I25" i="5"/>
  <c r="H25" i="5"/>
  <c r="G25" i="5"/>
  <c r="F25" i="5"/>
  <c r="D25" i="5"/>
  <c r="I24" i="5"/>
  <c r="H24" i="5"/>
  <c r="G24" i="5"/>
  <c r="F24" i="5"/>
  <c r="F27" i="5" s="1"/>
  <c r="F28" i="5" s="1"/>
  <c r="E24" i="5"/>
  <c r="D24" i="5"/>
  <c r="I23" i="5"/>
  <c r="I29" i="5" s="1"/>
  <c r="H23" i="5"/>
  <c r="H29" i="5" s="1"/>
  <c r="G23" i="5"/>
  <c r="G29" i="5" s="1"/>
  <c r="F23" i="5"/>
  <c r="F29" i="5" s="1"/>
  <c r="E23" i="5"/>
  <c r="D23" i="5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J2" i="8"/>
  <c r="I2" i="8"/>
  <c r="H2" i="8"/>
  <c r="G2" i="8"/>
  <c r="F2" i="8"/>
  <c r="E2" i="8"/>
  <c r="I16" i="5"/>
  <c r="I18" i="5"/>
  <c r="I19" i="5"/>
  <c r="H16" i="5"/>
  <c r="H27" i="5" s="1"/>
  <c r="H28" i="5" s="1"/>
  <c r="G16" i="5"/>
  <c r="F16" i="5"/>
  <c r="G27" i="5"/>
  <c r="E29" i="5"/>
  <c r="D29" i="5"/>
  <c r="D17" i="5"/>
  <c r="H116" i="6"/>
  <c r="H35" i="7" s="1"/>
  <c r="S35" i="7" s="1"/>
  <c r="G116" i="6"/>
  <c r="G35" i="7" s="1"/>
  <c r="R35" i="7" s="1"/>
  <c r="E114" i="6"/>
  <c r="F110" i="6"/>
  <c r="F29" i="7" s="1"/>
  <c r="Q29" i="7" s="1"/>
  <c r="E108" i="6"/>
  <c r="I369" i="4"/>
  <c r="I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E365" i="4"/>
  <c r="I364" i="4"/>
  <c r="H364" i="4"/>
  <c r="G364" i="4"/>
  <c r="F364" i="4"/>
  <c r="E364" i="4"/>
  <c r="I363" i="4"/>
  <c r="H363" i="4"/>
  <c r="G363" i="4"/>
  <c r="F363" i="4"/>
  <c r="E363" i="4"/>
  <c r="I362" i="4"/>
  <c r="H362" i="4"/>
  <c r="G362" i="4"/>
  <c r="F362" i="4"/>
  <c r="E362" i="4"/>
  <c r="I360" i="4"/>
  <c r="H360" i="4"/>
  <c r="G360" i="4"/>
  <c r="F360" i="4"/>
  <c r="E360" i="4"/>
  <c r="I358" i="4"/>
  <c r="I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E354" i="4"/>
  <c r="D354" i="4"/>
  <c r="I353" i="4"/>
  <c r="H353" i="4"/>
  <c r="G353" i="4"/>
  <c r="F353" i="4"/>
  <c r="E353" i="4"/>
  <c r="D353" i="4"/>
  <c r="I352" i="4"/>
  <c r="H352" i="4"/>
  <c r="G352" i="4"/>
  <c r="F352" i="4"/>
  <c r="E352" i="4"/>
  <c r="D352" i="4"/>
  <c r="I351" i="4"/>
  <c r="H351" i="4"/>
  <c r="G351" i="4"/>
  <c r="F351" i="4"/>
  <c r="E351" i="4"/>
  <c r="D351" i="4"/>
  <c r="I350" i="4"/>
  <c r="H350" i="4"/>
  <c r="G350" i="4"/>
  <c r="F350" i="4"/>
  <c r="E350" i="4"/>
  <c r="D350" i="4"/>
  <c r="I349" i="4"/>
  <c r="H349" i="4"/>
  <c r="G349" i="4"/>
  <c r="F349" i="4"/>
  <c r="E349" i="4"/>
  <c r="D349" i="4"/>
  <c r="I265" i="4"/>
  <c r="I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E261" i="4"/>
  <c r="D261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D17" i="7" s="1"/>
  <c r="D50" i="7" s="1"/>
  <c r="I257" i="4"/>
  <c r="H257" i="4"/>
  <c r="G257" i="4"/>
  <c r="F257" i="4"/>
  <c r="E257" i="4"/>
  <c r="D257" i="4"/>
  <c r="D16" i="7" s="1"/>
  <c r="I256" i="4"/>
  <c r="H256" i="4"/>
  <c r="G256" i="4"/>
  <c r="F256" i="4"/>
  <c r="E256" i="4"/>
  <c r="I314" i="4"/>
  <c r="I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E310" i="4"/>
  <c r="D310" i="4"/>
  <c r="I309" i="4"/>
  <c r="H309" i="4"/>
  <c r="G309" i="4"/>
  <c r="F309" i="4"/>
  <c r="E309" i="4"/>
  <c r="D309" i="4"/>
  <c r="I307" i="4"/>
  <c r="H307" i="4"/>
  <c r="G307" i="4"/>
  <c r="F307" i="4"/>
  <c r="E307" i="4"/>
  <c r="D307" i="4"/>
  <c r="I305" i="4"/>
  <c r="H305" i="4"/>
  <c r="G305" i="4"/>
  <c r="F305" i="4"/>
  <c r="E305" i="4"/>
  <c r="D305" i="4"/>
  <c r="I289" i="4"/>
  <c r="I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E285" i="4"/>
  <c r="I284" i="4"/>
  <c r="H284" i="4"/>
  <c r="G284" i="4"/>
  <c r="F284" i="4"/>
  <c r="E284" i="4"/>
  <c r="I283" i="4"/>
  <c r="H283" i="4"/>
  <c r="G283" i="4"/>
  <c r="F283" i="4"/>
  <c r="E283" i="4"/>
  <c r="I282" i="4"/>
  <c r="H282" i="4"/>
  <c r="G282" i="4"/>
  <c r="F282" i="4"/>
  <c r="E282" i="4"/>
  <c r="I280" i="4"/>
  <c r="H280" i="4"/>
  <c r="G280" i="4"/>
  <c r="F280" i="4"/>
  <c r="E280" i="4"/>
  <c r="K46" i="5"/>
  <c r="D9" i="7"/>
  <c r="D20" i="7"/>
  <c r="D8" i="7"/>
  <c r="D52" i="7" s="1"/>
  <c r="D19" i="7"/>
  <c r="D6" i="7"/>
  <c r="O48" i="7"/>
  <c r="I35" i="7"/>
  <c r="T35" i="7" s="1"/>
  <c r="F35" i="7"/>
  <c r="Q35" i="7"/>
  <c r="E33" i="7"/>
  <c r="P33" i="7"/>
  <c r="E27" i="7"/>
  <c r="P27" i="7" s="1"/>
  <c r="D127" i="7"/>
  <c r="D126" i="7"/>
  <c r="D125" i="7"/>
  <c r="D124" i="7"/>
  <c r="D121" i="7"/>
  <c r="D119" i="7"/>
  <c r="D118" i="7"/>
  <c r="D7" i="7"/>
  <c r="D5" i="7"/>
  <c r="D18" i="7"/>
  <c r="F34" i="6" l="1"/>
  <c r="H112" i="6"/>
  <c r="H225" i="4"/>
  <c r="H74" i="6" s="1"/>
  <c r="O50" i="4"/>
  <c r="O65" i="4"/>
  <c r="Q53" i="4"/>
  <c r="Q68" i="4"/>
  <c r="N52" i="4"/>
  <c r="N67" i="4"/>
  <c r="G14" i="6"/>
  <c r="F29" i="6"/>
  <c r="G31" i="7"/>
  <c r="R31" i="7" s="1"/>
  <c r="O71" i="4"/>
  <c r="O56" i="4"/>
  <c r="G41" i="4"/>
  <c r="G85" i="5" s="1"/>
  <c r="G100" i="5" s="1"/>
  <c r="O67" i="4"/>
  <c r="O77" i="4" s="1"/>
  <c r="G37" i="4"/>
  <c r="G81" i="5" s="1"/>
  <c r="G96" i="5" s="1"/>
  <c r="O52" i="4"/>
  <c r="Q52" i="4"/>
  <c r="Q67" i="4"/>
  <c r="C14" i="5"/>
  <c r="Q60" i="4"/>
  <c r="Q75" i="4"/>
  <c r="Q91" i="4" s="1"/>
  <c r="Q105" i="4" s="1"/>
  <c r="O66" i="4"/>
  <c r="O51" i="4"/>
  <c r="G36" i="4"/>
  <c r="G80" i="5" s="1"/>
  <c r="G95" i="5" s="1"/>
  <c r="F44" i="4"/>
  <c r="F88" i="5" s="1"/>
  <c r="E39" i="5"/>
  <c r="O52" i="7"/>
  <c r="E43" i="5"/>
  <c r="F46" i="4"/>
  <c r="F90" i="5" s="1"/>
  <c r="F43" i="4"/>
  <c r="F87" i="5" s="1"/>
  <c r="N66" i="4"/>
  <c r="N82" i="4" s="1"/>
  <c r="N96" i="4" s="1"/>
  <c r="N51" i="4"/>
  <c r="P52" i="4"/>
  <c r="P67" i="4"/>
  <c r="F6" i="6"/>
  <c r="H113" i="6"/>
  <c r="H226" i="4"/>
  <c r="H75" i="6" s="1"/>
  <c r="D34" i="6"/>
  <c r="E220" i="4"/>
  <c r="E69" i="6" s="1"/>
  <c r="E107" i="6"/>
  <c r="I19" i="6"/>
  <c r="I34" i="6" s="1"/>
  <c r="D69" i="5"/>
  <c r="I43" i="4"/>
  <c r="I87" i="5" s="1"/>
  <c r="I102" i="5" s="1"/>
  <c r="E65" i="5"/>
  <c r="E34" i="6"/>
  <c r="O50" i="7"/>
  <c r="M32" i="4"/>
  <c r="E41" i="4" s="1"/>
  <c r="E85" i="5" s="1"/>
  <c r="E100" i="5" s="1"/>
  <c r="M64" i="4"/>
  <c r="M49" i="4"/>
  <c r="Q74" i="4"/>
  <c r="Q59" i="4"/>
  <c r="N64" i="4"/>
  <c r="N49" i="4"/>
  <c r="N32" i="4"/>
  <c r="F34" i="4" s="1"/>
  <c r="Q89" i="4"/>
  <c r="Q103" i="4" s="1"/>
  <c r="L68" i="4"/>
  <c r="L53" i="4"/>
  <c r="D38" i="4"/>
  <c r="D82" i="5" s="1"/>
  <c r="D123" i="7"/>
  <c r="H17" i="5"/>
  <c r="G44" i="4"/>
  <c r="G88" i="5" s="1"/>
  <c r="F15" i="5"/>
  <c r="P53" i="4"/>
  <c r="G175" i="4"/>
  <c r="F191" i="4"/>
  <c r="K97" i="4"/>
  <c r="D21" i="6" s="1"/>
  <c r="D36" i="6" s="1"/>
  <c r="M69" i="4"/>
  <c r="M54" i="4"/>
  <c r="L51" i="4"/>
  <c r="L82" i="4" s="1"/>
  <c r="L96" i="4" s="1"/>
  <c r="D82" i="4"/>
  <c r="D52" i="5" s="1"/>
  <c r="H17" i="4"/>
  <c r="L17" i="4"/>
  <c r="F225" i="4"/>
  <c r="F74" i="6" s="1"/>
  <c r="F112" i="6"/>
  <c r="G227" i="4"/>
  <c r="G76" i="6" s="1"/>
  <c r="G114" i="6"/>
  <c r="E35" i="8"/>
  <c r="D30" i="5" s="1"/>
  <c r="F111" i="6"/>
  <c r="F30" i="7" s="1"/>
  <c r="F35" i="4"/>
  <c r="F79" i="5" s="1"/>
  <c r="F94" i="5" s="1"/>
  <c r="N65" i="4"/>
  <c r="M68" i="4"/>
  <c r="M53" i="4"/>
  <c r="Q62" i="4"/>
  <c r="D53" i="7"/>
  <c r="I43" i="6"/>
  <c r="H227" i="4"/>
  <c r="H76" i="6" s="1"/>
  <c r="H114" i="6"/>
  <c r="N87" i="4"/>
  <c r="N101" i="4" s="1"/>
  <c r="P66" i="4"/>
  <c r="M52" i="4"/>
  <c r="Q58" i="4"/>
  <c r="G30" i="6"/>
  <c r="D34" i="5"/>
  <c r="D33" i="5"/>
  <c r="I9" i="6"/>
  <c r="L69" i="4"/>
  <c r="L85" i="4" s="1"/>
  <c r="L99" i="4" s="1"/>
  <c r="L54" i="4"/>
  <c r="G35" i="8"/>
  <c r="F30" i="5" s="1"/>
  <c r="D43" i="5"/>
  <c r="D129" i="5" s="1"/>
  <c r="D35" i="4"/>
  <c r="D79" i="5" s="1"/>
  <c r="E200" i="4"/>
  <c r="E116" i="6" s="1"/>
  <c r="E35" i="7" s="1"/>
  <c r="P35" i="7" s="1"/>
  <c r="E111" i="6"/>
  <c r="E224" i="4"/>
  <c r="E73" i="6" s="1"/>
  <c r="F21" i="6"/>
  <c r="F36" i="6" s="1"/>
  <c r="J35" i="8"/>
  <c r="I30" i="5" s="1"/>
  <c r="G45" i="4"/>
  <c r="G89" i="5" s="1"/>
  <c r="M65" i="4"/>
  <c r="M50" i="4"/>
  <c r="E225" i="4"/>
  <c r="E74" i="6" s="1"/>
  <c r="E112" i="6"/>
  <c r="G192" i="4"/>
  <c r="G108" i="6" s="1"/>
  <c r="G27" i="7" s="1"/>
  <c r="R27" i="7" s="1"/>
  <c r="D26" i="5"/>
  <c r="D37" i="5"/>
  <c r="D38" i="5" s="1"/>
  <c r="D39" i="5" s="1"/>
  <c r="D68" i="5" s="1"/>
  <c r="K27" i="4"/>
  <c r="Q54" i="4"/>
  <c r="D201" i="4"/>
  <c r="G19" i="6"/>
  <c r="G34" i="6" s="1"/>
  <c r="P55" i="4"/>
  <c r="P86" i="4" s="1"/>
  <c r="P100" i="4" s="1"/>
  <c r="I24" i="6" s="1"/>
  <c r="I39" i="6" s="1"/>
  <c r="E15" i="5"/>
  <c r="G12" i="6"/>
  <c r="F27" i="6"/>
  <c r="L64" i="4"/>
  <c r="L49" i="4"/>
  <c r="L62" i="4" s="1"/>
  <c r="L32" i="4"/>
  <c r="D37" i="4" s="1"/>
  <c r="D81" i="5" s="1"/>
  <c r="D34" i="4"/>
  <c r="G43" i="4"/>
  <c r="G87" i="5" s="1"/>
  <c r="G102" i="5" s="1"/>
  <c r="O73" i="4"/>
  <c r="O58" i="4"/>
  <c r="H35" i="8"/>
  <c r="G30" i="5" s="1"/>
  <c r="G34" i="5" s="1"/>
  <c r="Q80" i="4"/>
  <c r="E74" i="5"/>
  <c r="E118" i="5" s="1"/>
  <c r="D72" i="5"/>
  <c r="I15" i="5"/>
  <c r="D120" i="7"/>
  <c r="O87" i="7"/>
  <c r="E222" i="4"/>
  <c r="E71" i="6" s="1"/>
  <c r="E109" i="6"/>
  <c r="K67" i="4"/>
  <c r="G17" i="5"/>
  <c r="G15" i="5"/>
  <c r="F86" i="4"/>
  <c r="F56" i="5" s="1"/>
  <c r="O78" i="7"/>
  <c r="D122" i="7"/>
  <c r="N55" i="4"/>
  <c r="N86" i="4" s="1"/>
  <c r="N100" i="4" s="1"/>
  <c r="G24" i="6" s="1"/>
  <c r="G39" i="6" s="1"/>
  <c r="I160" i="4"/>
  <c r="O72" i="4"/>
  <c r="O57" i="4"/>
  <c r="D71" i="5"/>
  <c r="E26" i="5"/>
  <c r="E25" i="5"/>
  <c r="E197" i="4"/>
  <c r="E113" i="6" s="1"/>
  <c r="E32" i="7" s="1"/>
  <c r="P32" i="7" s="1"/>
  <c r="F113" i="6"/>
  <c r="F226" i="4"/>
  <c r="F75" i="6" s="1"/>
  <c r="I27" i="5"/>
  <c r="I28" i="5" s="1"/>
  <c r="I17" i="4"/>
  <c r="M17" i="4"/>
  <c r="I34" i="5"/>
  <c r="I43" i="5" s="1"/>
  <c r="F73" i="5"/>
  <c r="G113" i="6"/>
  <c r="K64" i="4"/>
  <c r="K49" i="4"/>
  <c r="F18" i="5"/>
  <c r="F19" i="5" s="1"/>
  <c r="E83" i="4"/>
  <c r="E53" i="5" s="1"/>
  <c r="F35" i="8"/>
  <c r="E30" i="5" s="1"/>
  <c r="E34" i="5" s="1"/>
  <c r="M71" i="4"/>
  <c r="M56" i="4"/>
  <c r="I196" i="4"/>
  <c r="F193" i="4"/>
  <c r="G177" i="4"/>
  <c r="K84" i="4"/>
  <c r="K98" i="4" s="1"/>
  <c r="C18" i="5"/>
  <c r="C19" i="5" s="1"/>
  <c r="K54" i="4"/>
  <c r="Q87" i="4"/>
  <c r="Q101" i="4" s="1"/>
  <c r="F34" i="5"/>
  <c r="F39" i="5" s="1"/>
  <c r="F192" i="4"/>
  <c r="F108" i="6" s="1"/>
  <c r="F27" i="7" s="1"/>
  <c r="Q27" i="7" s="1"/>
  <c r="I35" i="8"/>
  <c r="H30" i="5" s="1"/>
  <c r="H34" i="5" s="1"/>
  <c r="C26" i="5"/>
  <c r="Q17" i="4"/>
  <c r="K52" i="4"/>
  <c r="O69" i="4"/>
  <c r="O54" i="4"/>
  <c r="G11" i="6"/>
  <c r="F26" i="6"/>
  <c r="Q32" i="4"/>
  <c r="I44" i="4" s="1"/>
  <c r="I88" i="5" s="1"/>
  <c r="I103" i="5" s="1"/>
  <c r="O49" i="4"/>
  <c r="E86" i="4"/>
  <c r="E56" i="5" s="1"/>
  <c r="Q51" i="4"/>
  <c r="Q66" i="4"/>
  <c r="Q70" i="4"/>
  <c r="Q55" i="4"/>
  <c r="O80" i="4"/>
  <c r="M70" i="4"/>
  <c r="M86" i="4" s="1"/>
  <c r="M100" i="4" s="1"/>
  <c r="F24" i="6" s="1"/>
  <c r="F39" i="6" s="1"/>
  <c r="G111" i="6"/>
  <c r="G224" i="4"/>
  <c r="G73" i="6" s="1"/>
  <c r="F114" i="6"/>
  <c r="F227" i="4"/>
  <c r="F76" i="6" s="1"/>
  <c r="F10" i="6"/>
  <c r="E25" i="6"/>
  <c r="E40" i="6" s="1"/>
  <c r="D160" i="4"/>
  <c r="D193" i="4" s="1"/>
  <c r="D222" i="4" s="1"/>
  <c r="D71" i="6" s="1"/>
  <c r="C193" i="4"/>
  <c r="F66" i="5"/>
  <c r="K65" i="4"/>
  <c r="O17" i="4"/>
  <c r="E21" i="6"/>
  <c r="P69" i="4"/>
  <c r="P54" i="4"/>
  <c r="C37" i="5"/>
  <c r="C38" i="5" s="1"/>
  <c r="O32" i="4"/>
  <c r="I227" i="4"/>
  <c r="I76" i="6" s="1"/>
  <c r="E126" i="5"/>
  <c r="C34" i="5"/>
  <c r="C43" i="5" s="1"/>
  <c r="P72" i="4"/>
  <c r="K17" i="4"/>
  <c r="E28" i="6"/>
  <c r="P19" i="4"/>
  <c r="C161" i="4"/>
  <c r="C194" i="4" s="1"/>
  <c r="I113" i="6"/>
  <c r="I226" i="4"/>
  <c r="I75" i="6" s="1"/>
  <c r="K51" i="4"/>
  <c r="O55" i="4"/>
  <c r="O86" i="4" s="1"/>
  <c r="O100" i="4" s="1"/>
  <c r="H24" i="6" s="1"/>
  <c r="H39" i="6" s="1"/>
  <c r="I84" i="4"/>
  <c r="I54" i="5" s="1"/>
  <c r="K66" i="4"/>
  <c r="K82" i="4" s="1"/>
  <c r="K96" i="4" s="1"/>
  <c r="E24" i="6"/>
  <c r="E39" i="6" s="1"/>
  <c r="F80" i="4"/>
  <c r="F50" i="5" s="1"/>
  <c r="F64" i="5" s="1"/>
  <c r="N54" i="4"/>
  <c r="N85" i="4" s="1"/>
  <c r="N99" i="4" s="1"/>
  <c r="I83" i="4"/>
  <c r="I53" i="5" s="1"/>
  <c r="H179" i="4"/>
  <c r="I161" i="4"/>
  <c r="I194" i="4" s="1"/>
  <c r="I110" i="6" s="1"/>
  <c r="I29" i="7" s="1"/>
  <c r="T29" i="7" s="1"/>
  <c r="E82" i="4"/>
  <c r="E52" i="5" s="1"/>
  <c r="C15" i="5"/>
  <c r="Q56" i="4"/>
  <c r="I81" i="4"/>
  <c r="I51" i="5" s="1"/>
  <c r="O53" i="4"/>
  <c r="O84" i="4" s="1"/>
  <c r="O98" i="4" s="1"/>
  <c r="K53" i="4"/>
  <c r="F78" i="5" l="1"/>
  <c r="D137" i="5"/>
  <c r="D152" i="5" s="1"/>
  <c r="D96" i="5"/>
  <c r="Q30" i="7"/>
  <c r="P98" i="4"/>
  <c r="C44" i="5"/>
  <c r="H43" i="5"/>
  <c r="H39" i="5"/>
  <c r="G39" i="5"/>
  <c r="G43" i="5"/>
  <c r="I68" i="5"/>
  <c r="E73" i="5"/>
  <c r="E68" i="5"/>
  <c r="E69" i="5"/>
  <c r="E75" i="5"/>
  <c r="E119" i="5" s="1"/>
  <c r="E76" i="5"/>
  <c r="E120" i="5" s="1"/>
  <c r="E40" i="5"/>
  <c r="E45" i="5" s="1"/>
  <c r="E46" i="5" s="1"/>
  <c r="E47" i="5" s="1"/>
  <c r="G25" i="6"/>
  <c r="G40" i="6" s="1"/>
  <c r="O87" i="4"/>
  <c r="O101" i="4" s="1"/>
  <c r="F72" i="5"/>
  <c r="F75" i="5"/>
  <c r="F119" i="5" s="1"/>
  <c r="F69" i="5"/>
  <c r="F76" i="5"/>
  <c r="F120" i="5" s="1"/>
  <c r="F40" i="5"/>
  <c r="F45" i="5" s="1"/>
  <c r="F46" i="5" s="1"/>
  <c r="F68" i="5"/>
  <c r="E160" i="6"/>
  <c r="H14" i="6"/>
  <c r="G29" i="6"/>
  <c r="E30" i="7"/>
  <c r="E43" i="4"/>
  <c r="E87" i="5" s="1"/>
  <c r="D40" i="4"/>
  <c r="D84" i="5" s="1"/>
  <c r="D140" i="5" s="1"/>
  <c r="D41" i="4"/>
  <c r="D85" i="5" s="1"/>
  <c r="D141" i="5" s="1"/>
  <c r="D42" i="4"/>
  <c r="D86" i="5" s="1"/>
  <c r="D142" i="5" s="1"/>
  <c r="D43" i="4"/>
  <c r="D87" i="5" s="1"/>
  <c r="D143" i="5" s="1"/>
  <c r="D44" i="4"/>
  <c r="D88" i="5" s="1"/>
  <c r="D144" i="5" s="1"/>
  <c r="D45" i="4"/>
  <c r="D89" i="5" s="1"/>
  <c r="D145" i="5" s="1"/>
  <c r="D46" i="4"/>
  <c r="D90" i="5" s="1"/>
  <c r="D146" i="5" s="1"/>
  <c r="M84" i="4"/>
  <c r="M98" i="4" s="1"/>
  <c r="P64" i="4"/>
  <c r="P49" i="4"/>
  <c r="P62" i="4" s="1"/>
  <c r="P32" i="4"/>
  <c r="H34" i="4"/>
  <c r="G193" i="4"/>
  <c r="H177" i="4"/>
  <c r="E26" i="7"/>
  <c r="P26" i="7" s="1"/>
  <c r="D78" i="5"/>
  <c r="D65" i="5"/>
  <c r="F37" i="4"/>
  <c r="F81" i="5" s="1"/>
  <c r="F96" i="5" s="1"/>
  <c r="F32" i="7"/>
  <c r="Q32" i="7" s="1"/>
  <c r="D22" i="6"/>
  <c r="D37" i="6" s="1"/>
  <c r="I45" i="4"/>
  <c r="I89" i="5" s="1"/>
  <c r="I104" i="5" s="1"/>
  <c r="I38" i="4"/>
  <c r="I82" i="5" s="1"/>
  <c r="I97" i="5" s="1"/>
  <c r="F220" i="4"/>
  <c r="F69" i="6" s="1"/>
  <c r="F107" i="6"/>
  <c r="F109" i="6"/>
  <c r="F222" i="4"/>
  <c r="F71" i="6" s="1"/>
  <c r="F160" i="6"/>
  <c r="H32" i="7"/>
  <c r="S32" i="7" s="1"/>
  <c r="H33" i="7"/>
  <c r="S33" i="7" s="1"/>
  <c r="E72" i="5"/>
  <c r="F45" i="4"/>
  <c r="F89" i="5" s="1"/>
  <c r="L80" i="4"/>
  <c r="L94" i="4" s="1"/>
  <c r="L77" i="4"/>
  <c r="Q77" i="4"/>
  <c r="F74" i="5"/>
  <c r="F118" i="5" s="1"/>
  <c r="D36" i="4"/>
  <c r="D80" i="5" s="1"/>
  <c r="I39" i="5"/>
  <c r="G191" i="4"/>
  <c r="H175" i="4"/>
  <c r="O89" i="4"/>
  <c r="O103" i="4" s="1"/>
  <c r="F43" i="5"/>
  <c r="F41" i="4"/>
  <c r="F85" i="5" s="1"/>
  <c r="F100" i="5" s="1"/>
  <c r="F39" i="4"/>
  <c r="F83" i="5" s="1"/>
  <c r="F98" i="5" s="1"/>
  <c r="F40" i="4"/>
  <c r="F84" i="5" s="1"/>
  <c r="F99" i="5" s="1"/>
  <c r="F38" i="4"/>
  <c r="F82" i="5" s="1"/>
  <c r="F97" i="5" s="1"/>
  <c r="F112" i="5" s="1"/>
  <c r="G6" i="6"/>
  <c r="F71" i="5"/>
  <c r="O96" i="4"/>
  <c r="G10" i="6"/>
  <c r="D115" i="5"/>
  <c r="E67" i="5"/>
  <c r="N62" i="4"/>
  <c r="F67" i="5"/>
  <c r="F146" i="6" s="1"/>
  <c r="F40" i="7" s="1"/>
  <c r="M85" i="4"/>
  <c r="M99" i="4" s="1"/>
  <c r="F33" i="7"/>
  <c r="Q33" i="7" s="1"/>
  <c r="F70" i="5"/>
  <c r="G38" i="4"/>
  <c r="G82" i="5" s="1"/>
  <c r="G97" i="5" s="1"/>
  <c r="G34" i="4"/>
  <c r="G39" i="4"/>
  <c r="G83" i="5" s="1"/>
  <c r="G98" i="5" s="1"/>
  <c r="G40" i="4"/>
  <c r="G84" i="5" s="1"/>
  <c r="G99" i="5" s="1"/>
  <c r="G42" i="4"/>
  <c r="G86" i="5" s="1"/>
  <c r="G101" i="5" s="1"/>
  <c r="E64" i="5"/>
  <c r="D70" i="5"/>
  <c r="I39" i="4"/>
  <c r="I83" i="5" s="1"/>
  <c r="I98" i="5" s="1"/>
  <c r="N80" i="4"/>
  <c r="N77" i="4"/>
  <c r="D76" i="5"/>
  <c r="D120" i="5" s="1"/>
  <c r="D74" i="5"/>
  <c r="D118" i="5" s="1"/>
  <c r="O53" i="7"/>
  <c r="D135" i="5"/>
  <c r="D150" i="5" s="1"/>
  <c r="D94" i="5"/>
  <c r="D109" i="5" s="1"/>
  <c r="O122" i="7"/>
  <c r="E129" i="5"/>
  <c r="F126" i="5"/>
  <c r="O62" i="4"/>
  <c r="E42" i="4"/>
  <c r="E86" i="5" s="1"/>
  <c r="G35" i="4"/>
  <c r="G79" i="5" s="1"/>
  <c r="G94" i="5" s="1"/>
  <c r="G27" i="6"/>
  <c r="G42" i="6" s="1"/>
  <c r="H12" i="6"/>
  <c r="G33" i="7"/>
  <c r="R33" i="7" s="1"/>
  <c r="F117" i="5"/>
  <c r="F152" i="6"/>
  <c r="F46" i="7" s="1"/>
  <c r="E36" i="4"/>
  <c r="E80" i="5" s="1"/>
  <c r="E95" i="5" s="1"/>
  <c r="E110" i="5" s="1"/>
  <c r="E158" i="6"/>
  <c r="Q90" i="4"/>
  <c r="Q104" i="4" s="1"/>
  <c r="D97" i="5"/>
  <c r="D112" i="5" s="1"/>
  <c r="D138" i="5"/>
  <c r="D153" i="5" s="1"/>
  <c r="D169" i="5" s="1"/>
  <c r="D184" i="5" s="1"/>
  <c r="D7" i="6" s="1"/>
  <c r="I112" i="6"/>
  <c r="I225" i="4"/>
  <c r="I74" i="6" s="1"/>
  <c r="I33" i="7"/>
  <c r="T33" i="7" s="1"/>
  <c r="I42" i="4"/>
  <c r="I86" i="5" s="1"/>
  <c r="I101" i="5" s="1"/>
  <c r="I35" i="4"/>
  <c r="I79" i="5" s="1"/>
  <c r="I94" i="5" s="1"/>
  <c r="I46" i="4"/>
  <c r="I90" i="5" s="1"/>
  <c r="I36" i="4"/>
  <c r="I80" i="5" s="1"/>
  <c r="I95" i="5" s="1"/>
  <c r="I40" i="4"/>
  <c r="I84" i="5" s="1"/>
  <c r="I99" i="5" s="1"/>
  <c r="I41" i="4"/>
  <c r="I85" i="5" s="1"/>
  <c r="I100" i="5" s="1"/>
  <c r="P85" i="4"/>
  <c r="P99" i="4" s="1"/>
  <c r="H11" i="6"/>
  <c r="G26" i="6"/>
  <c r="G41" i="6" s="1"/>
  <c r="K32" i="4"/>
  <c r="E28" i="7"/>
  <c r="F31" i="7"/>
  <c r="Q31" i="7" s="1"/>
  <c r="G46" i="4"/>
  <c r="G90" i="5" s="1"/>
  <c r="H31" i="7"/>
  <c r="S31" i="7" s="1"/>
  <c r="D116" i="5"/>
  <c r="D151" i="6"/>
  <c r="E70" i="5"/>
  <c r="E149" i="6" s="1"/>
  <c r="E43" i="7" s="1"/>
  <c r="E71" i="5"/>
  <c r="E115" i="5" s="1"/>
  <c r="I37" i="4"/>
  <c r="I81" i="5" s="1"/>
  <c r="I96" i="5" s="1"/>
  <c r="L84" i="4"/>
  <c r="L98" i="4" s="1"/>
  <c r="Q86" i="4"/>
  <c r="Q100" i="4" s="1"/>
  <c r="C39" i="5"/>
  <c r="C129" i="5" s="1"/>
  <c r="C128" i="5" s="1"/>
  <c r="C130" i="5" s="1"/>
  <c r="I34" i="4"/>
  <c r="K62" i="4"/>
  <c r="E66" i="5"/>
  <c r="O85" i="4"/>
  <c r="O99" i="4" s="1"/>
  <c r="K80" i="4"/>
  <c r="K94" i="4" s="1"/>
  <c r="K77" i="4"/>
  <c r="E31" i="7"/>
  <c r="P31" i="7" s="1"/>
  <c r="F42" i="4"/>
  <c r="F86" i="5" s="1"/>
  <c r="E38" i="4"/>
  <c r="E82" i="5" s="1"/>
  <c r="E97" i="5" s="1"/>
  <c r="E112" i="5" s="1"/>
  <c r="E39" i="4"/>
  <c r="E83" i="5" s="1"/>
  <c r="E98" i="5" s="1"/>
  <c r="E40" i="4"/>
  <c r="E84" i="5" s="1"/>
  <c r="E99" i="5" s="1"/>
  <c r="E37" i="4"/>
  <c r="E81" i="5" s="1"/>
  <c r="E96" i="5" s="1"/>
  <c r="E111" i="5" s="1"/>
  <c r="E128" i="5"/>
  <c r="E130" i="5" s="1"/>
  <c r="E44" i="5"/>
  <c r="I65" i="5"/>
  <c r="E36" i="6"/>
  <c r="G32" i="7"/>
  <c r="R32" i="7" s="1"/>
  <c r="O120" i="7"/>
  <c r="D73" i="5"/>
  <c r="M62" i="4"/>
  <c r="F65" i="5"/>
  <c r="F144" i="6" s="1"/>
  <c r="F38" i="7" s="1"/>
  <c r="I44" i="5"/>
  <c r="I32" i="7"/>
  <c r="T32" i="7" s="1"/>
  <c r="G30" i="7"/>
  <c r="D39" i="4"/>
  <c r="D83" i="5" s="1"/>
  <c r="H195" i="4"/>
  <c r="I179" i="4"/>
  <c r="I195" i="4" s="1"/>
  <c r="E35" i="4"/>
  <c r="E79" i="5" s="1"/>
  <c r="E94" i="5" s="1"/>
  <c r="E109" i="5" s="1"/>
  <c r="D66" i="5"/>
  <c r="M77" i="4"/>
  <c r="M80" i="4"/>
  <c r="F36" i="4"/>
  <c r="F80" i="5" s="1"/>
  <c r="F95" i="5" s="1"/>
  <c r="F110" i="5" s="1"/>
  <c r="E45" i="4"/>
  <c r="E89" i="5" s="1"/>
  <c r="E44" i="4"/>
  <c r="E88" i="5" s="1"/>
  <c r="D128" i="5"/>
  <c r="D130" i="5" s="1"/>
  <c r="D44" i="5"/>
  <c r="M87" i="4"/>
  <c r="M101" i="4" s="1"/>
  <c r="F25" i="6" s="1"/>
  <c r="F40" i="6" s="1"/>
  <c r="D40" i="5"/>
  <c r="D45" i="5" s="1"/>
  <c r="D46" i="5" s="1"/>
  <c r="D47" i="5" s="1"/>
  <c r="D75" i="5"/>
  <c r="D119" i="5" s="1"/>
  <c r="D67" i="5"/>
  <c r="D146" i="6" s="1"/>
  <c r="D64" i="5"/>
  <c r="I67" i="5"/>
  <c r="I146" i="6" s="1"/>
  <c r="I40" i="7" s="1"/>
  <c r="E34" i="4"/>
  <c r="E46" i="4"/>
  <c r="E90" i="5" s="1"/>
  <c r="F109" i="5" l="1"/>
  <c r="P80" i="4"/>
  <c r="P77" i="4"/>
  <c r="P28" i="7"/>
  <c r="E109" i="7"/>
  <c r="P109" i="7" s="1"/>
  <c r="E146" i="6"/>
  <c r="E40" i="7" s="1"/>
  <c r="F116" i="5"/>
  <c r="F151" i="6"/>
  <c r="F45" i="7" s="1"/>
  <c r="E152" i="6"/>
  <c r="E46" i="7" s="1"/>
  <c r="E117" i="5"/>
  <c r="C38" i="4"/>
  <c r="C82" i="5" s="1"/>
  <c r="C97" i="5" s="1"/>
  <c r="C39" i="4"/>
  <c r="C83" i="5" s="1"/>
  <c r="C98" i="5" s="1"/>
  <c r="C113" i="5" s="1"/>
  <c r="C46" i="4"/>
  <c r="C90" i="5" s="1"/>
  <c r="C44" i="4"/>
  <c r="C88" i="5" s="1"/>
  <c r="C34" i="4"/>
  <c r="C43" i="4"/>
  <c r="C87" i="5" s="1"/>
  <c r="C40" i="4"/>
  <c r="C84" i="5" s="1"/>
  <c r="C37" i="4"/>
  <c r="C81" i="5" s="1"/>
  <c r="C96" i="5" s="1"/>
  <c r="C111" i="5" s="1"/>
  <c r="C36" i="4"/>
  <c r="C80" i="5" s="1"/>
  <c r="C95" i="5" s="1"/>
  <c r="C110" i="5" s="1"/>
  <c r="C35" i="4"/>
  <c r="C79" i="5" s="1"/>
  <c r="C94" i="5" s="1"/>
  <c r="C109" i="5" s="1"/>
  <c r="C41" i="4"/>
  <c r="C85" i="5" s="1"/>
  <c r="C45" i="4"/>
  <c r="C89" i="5" s="1"/>
  <c r="G44" i="5"/>
  <c r="G126" i="5"/>
  <c r="F129" i="5"/>
  <c r="F128" i="5" s="1"/>
  <c r="F130" i="5" s="1"/>
  <c r="P96" i="4"/>
  <c r="F158" i="6"/>
  <c r="G68" i="5"/>
  <c r="G74" i="5"/>
  <c r="G118" i="5" s="1"/>
  <c r="G64" i="5"/>
  <c r="G71" i="5"/>
  <c r="G115" i="5" s="1"/>
  <c r="G69" i="5"/>
  <c r="G70" i="5"/>
  <c r="G40" i="5"/>
  <c r="G45" i="5" s="1"/>
  <c r="G46" i="5" s="1"/>
  <c r="G47" i="5" s="1"/>
  <c r="G72" i="5"/>
  <c r="G151" i="6" s="1"/>
  <c r="G45" i="7" s="1"/>
  <c r="G75" i="5"/>
  <c r="G119" i="5" s="1"/>
  <c r="G76" i="5"/>
  <c r="G120" i="5" s="1"/>
  <c r="G67" i="5"/>
  <c r="G73" i="5"/>
  <c r="G65" i="5"/>
  <c r="G144" i="6" s="1"/>
  <c r="G38" i="7" s="1"/>
  <c r="G66" i="5"/>
  <c r="G110" i="5" s="1"/>
  <c r="G113" i="5"/>
  <c r="H25" i="6"/>
  <c r="H40" i="6" s="1"/>
  <c r="I12" i="6"/>
  <c r="I144" i="6"/>
  <c r="I38" i="7" s="1"/>
  <c r="E144" i="6"/>
  <c r="E38" i="7" s="1"/>
  <c r="H68" i="5"/>
  <c r="H65" i="5"/>
  <c r="H144" i="6" s="1"/>
  <c r="H38" i="7" s="1"/>
  <c r="H69" i="5"/>
  <c r="H70" i="5"/>
  <c r="H71" i="5"/>
  <c r="H72" i="5"/>
  <c r="H151" i="6" s="1"/>
  <c r="H45" i="7" s="1"/>
  <c r="H64" i="5"/>
  <c r="H40" i="5"/>
  <c r="H45" i="5" s="1"/>
  <c r="H46" i="5" s="1"/>
  <c r="H47" i="5" s="1"/>
  <c r="H67" i="5"/>
  <c r="H146" i="6" s="1"/>
  <c r="H40" i="7" s="1"/>
  <c r="H73" i="5"/>
  <c r="H152" i="6" s="1"/>
  <c r="H46" i="7" s="1"/>
  <c r="H76" i="5"/>
  <c r="H120" i="5" s="1"/>
  <c r="H74" i="5"/>
  <c r="H118" i="5" s="1"/>
  <c r="H66" i="5"/>
  <c r="H75" i="5"/>
  <c r="H119" i="5" s="1"/>
  <c r="G112" i="5"/>
  <c r="H6" i="6"/>
  <c r="G21" i="6"/>
  <c r="G36" i="6" s="1"/>
  <c r="H44" i="5"/>
  <c r="E78" i="5"/>
  <c r="E47" i="4"/>
  <c r="F26" i="7"/>
  <c r="Q26" i="7" s="1"/>
  <c r="H44" i="4"/>
  <c r="H88" i="5" s="1"/>
  <c r="H40" i="4"/>
  <c r="H84" i="5" s="1"/>
  <c r="H99" i="5" s="1"/>
  <c r="H35" i="4"/>
  <c r="H79" i="5" s="1"/>
  <c r="H94" i="5" s="1"/>
  <c r="H41" i="4"/>
  <c r="H85" i="5" s="1"/>
  <c r="H100" i="5" s="1"/>
  <c r="H43" i="4"/>
  <c r="H87" i="5" s="1"/>
  <c r="H102" i="5" s="1"/>
  <c r="H39" i="4"/>
  <c r="H83" i="5" s="1"/>
  <c r="H98" i="5" s="1"/>
  <c r="H37" i="4"/>
  <c r="H81" i="5" s="1"/>
  <c r="H96" i="5" s="1"/>
  <c r="H36" i="4"/>
  <c r="H80" i="5" s="1"/>
  <c r="H95" i="5" s="1"/>
  <c r="H110" i="5" s="1"/>
  <c r="H46" i="4"/>
  <c r="H90" i="5" s="1"/>
  <c r="H45" i="4"/>
  <c r="H89" i="5" s="1"/>
  <c r="H42" i="4"/>
  <c r="H86" i="5" s="1"/>
  <c r="H101" i="5" s="1"/>
  <c r="H116" i="5" s="1"/>
  <c r="H38" i="4"/>
  <c r="H82" i="5" s="1"/>
  <c r="H97" i="5" s="1"/>
  <c r="H112" i="5" s="1"/>
  <c r="I114" i="5"/>
  <c r="I112" i="5"/>
  <c r="G114" i="5"/>
  <c r="H10" i="6"/>
  <c r="F114" i="5"/>
  <c r="M94" i="4"/>
  <c r="H78" i="5"/>
  <c r="F113" i="5"/>
  <c r="E111" i="7"/>
  <c r="P111" i="7" s="1"/>
  <c r="P30" i="7"/>
  <c r="Q98" i="4"/>
  <c r="D152" i="6"/>
  <c r="D117" i="5"/>
  <c r="F28" i="7"/>
  <c r="F115" i="5"/>
  <c r="E151" i="6"/>
  <c r="E45" i="7" s="1"/>
  <c r="E116" i="5"/>
  <c r="C42" i="4"/>
  <c r="C86" i="5" s="1"/>
  <c r="F111" i="5"/>
  <c r="G47" i="4"/>
  <c r="G78" i="5"/>
  <c r="E113" i="5"/>
  <c r="I109" i="5"/>
  <c r="I111" i="6"/>
  <c r="I224" i="4"/>
  <c r="I73" i="6" s="1"/>
  <c r="H27" i="6"/>
  <c r="H42" i="6" s="1"/>
  <c r="H224" i="4"/>
  <c r="H73" i="6" s="1"/>
  <c r="H111" i="6"/>
  <c r="C76" i="5"/>
  <c r="C120" i="5" s="1"/>
  <c r="C75" i="5"/>
  <c r="C119" i="5" s="1"/>
  <c r="C64" i="5"/>
  <c r="C72" i="5"/>
  <c r="C116" i="5" s="1"/>
  <c r="C68" i="5"/>
  <c r="C69" i="5"/>
  <c r="C40" i="5"/>
  <c r="C45" i="5" s="1"/>
  <c r="C46" i="5" s="1"/>
  <c r="C47" i="5" s="1"/>
  <c r="C71" i="5"/>
  <c r="C115" i="5" s="1"/>
  <c r="C73" i="5"/>
  <c r="C117" i="5" s="1"/>
  <c r="C67" i="5"/>
  <c r="C74" i="5"/>
  <c r="C118" i="5" s="1"/>
  <c r="C70" i="5"/>
  <c r="C114" i="5" s="1"/>
  <c r="C66" i="5"/>
  <c r="C65" i="5"/>
  <c r="E7" i="6"/>
  <c r="E22" i="6" s="1"/>
  <c r="E37" i="6" s="1"/>
  <c r="I175" i="4"/>
  <c r="I191" i="4" s="1"/>
  <c r="H191" i="4"/>
  <c r="D144" i="6"/>
  <c r="I14" i="6"/>
  <c r="I29" i="6" s="1"/>
  <c r="I44" i="6" s="1"/>
  <c r="H29" i="6"/>
  <c r="D111" i="5"/>
  <c r="G107" i="6"/>
  <c r="G220" i="4"/>
  <c r="G69" i="6" s="1"/>
  <c r="D91" i="5"/>
  <c r="D147" i="5" s="1"/>
  <c r="D93" i="5"/>
  <c r="D134" i="5"/>
  <c r="D149" i="5" s="1"/>
  <c r="G109" i="6"/>
  <c r="G222" i="4"/>
  <c r="G71" i="6" s="1"/>
  <c r="D150" i="6"/>
  <c r="I11" i="6"/>
  <c r="H26" i="6"/>
  <c r="H41" i="6" s="1"/>
  <c r="I31" i="7"/>
  <c r="T31" i="7" s="1"/>
  <c r="D98" i="5"/>
  <c r="D113" i="5" s="1"/>
  <c r="D139" i="5"/>
  <c r="D154" i="5" s="1"/>
  <c r="D170" i="5" s="1"/>
  <c r="D185" i="5" s="1"/>
  <c r="D8" i="6" s="1"/>
  <c r="I72" i="5"/>
  <c r="I151" i="6" s="1"/>
  <c r="I45" i="7" s="1"/>
  <c r="I66" i="5"/>
  <c r="I110" i="5" s="1"/>
  <c r="I40" i="5"/>
  <c r="I71" i="5"/>
  <c r="I115" i="5" s="1"/>
  <c r="I75" i="5"/>
  <c r="I119" i="5" s="1"/>
  <c r="I64" i="5"/>
  <c r="I70" i="5"/>
  <c r="I74" i="5"/>
  <c r="I118" i="5" s="1"/>
  <c r="I76" i="5"/>
  <c r="I120" i="5" s="1"/>
  <c r="I73" i="5"/>
  <c r="I117" i="5" s="1"/>
  <c r="I69" i="5"/>
  <c r="I113" i="5" s="1"/>
  <c r="D47" i="4"/>
  <c r="E114" i="5"/>
  <c r="I47" i="4"/>
  <c r="I78" i="5"/>
  <c r="R30" i="7"/>
  <c r="D149" i="6"/>
  <c r="D114" i="5"/>
  <c r="D136" i="5"/>
  <c r="D151" i="5" s="1"/>
  <c r="D167" i="5" s="1"/>
  <c r="D182" i="5" s="1"/>
  <c r="D5" i="6" s="1"/>
  <c r="D95" i="5"/>
  <c r="D110" i="5" s="1"/>
  <c r="F93" i="5"/>
  <c r="F91" i="5"/>
  <c r="H193" i="4"/>
  <c r="I177" i="4"/>
  <c r="I193" i="4" s="1"/>
  <c r="F44" i="5"/>
  <c r="I111" i="5"/>
  <c r="F47" i="4"/>
  <c r="Q99" i="4"/>
  <c r="E150" i="6"/>
  <c r="E44" i="7" s="1"/>
  <c r="G116" i="5"/>
  <c r="F47" i="5"/>
  <c r="Q96" i="4" l="1"/>
  <c r="I93" i="5"/>
  <c r="I91" i="5"/>
  <c r="C112" i="5"/>
  <c r="H107" i="6"/>
  <c r="H220" i="4"/>
  <c r="H69" i="6" s="1"/>
  <c r="G152" i="6"/>
  <c r="G46" i="7" s="1"/>
  <c r="G117" i="5"/>
  <c r="H126" i="5"/>
  <c r="G129" i="5"/>
  <c r="G128" i="5" s="1"/>
  <c r="G130" i="5" s="1"/>
  <c r="H111" i="5"/>
  <c r="E93" i="5"/>
  <c r="E91" i="5"/>
  <c r="G146" i="6"/>
  <c r="G40" i="7" s="1"/>
  <c r="G111" i="5"/>
  <c r="G26" i="7"/>
  <c r="R26" i="7" s="1"/>
  <c r="I107" i="6"/>
  <c r="I220" i="4"/>
  <c r="I69" i="6" s="1"/>
  <c r="H117" i="5"/>
  <c r="I27" i="6"/>
  <c r="I42" i="6" s="1"/>
  <c r="G109" i="5"/>
  <c r="H109" i="5"/>
  <c r="E8" i="6"/>
  <c r="D23" i="6"/>
  <c r="D38" i="6" s="1"/>
  <c r="G93" i="5"/>
  <c r="G91" i="5"/>
  <c r="H47" i="4"/>
  <c r="H115" i="5"/>
  <c r="J40" i="5"/>
  <c r="I45" i="5"/>
  <c r="I46" i="5" s="1"/>
  <c r="Q28" i="7"/>
  <c r="F109" i="7"/>
  <c r="Q109" i="7" s="1"/>
  <c r="F111" i="7"/>
  <c r="Q111" i="7" s="1"/>
  <c r="I6" i="6"/>
  <c r="H21" i="6"/>
  <c r="H36" i="6" s="1"/>
  <c r="F108" i="5"/>
  <c r="F121" i="5" s="1"/>
  <c r="F106" i="5"/>
  <c r="D106" i="5"/>
  <c r="D108" i="5"/>
  <c r="D121" i="5" s="1"/>
  <c r="H113" i="5"/>
  <c r="I116" i="5"/>
  <c r="N94" i="4"/>
  <c r="C47" i="4"/>
  <c r="C78" i="5"/>
  <c r="H222" i="4"/>
  <c r="H71" i="6" s="1"/>
  <c r="H109" i="6"/>
  <c r="H91" i="5"/>
  <c r="H93" i="5"/>
  <c r="I26" i="6"/>
  <c r="I41" i="6" s="1"/>
  <c r="E5" i="6"/>
  <c r="D20" i="6"/>
  <c r="D35" i="6" s="1"/>
  <c r="G158" i="6"/>
  <c r="G160" i="6"/>
  <c r="H30" i="7"/>
  <c r="F7" i="6"/>
  <c r="G28" i="7"/>
  <c r="H114" i="5"/>
  <c r="I109" i="6"/>
  <c r="I222" i="4"/>
  <c r="I71" i="6" s="1"/>
  <c r="D165" i="5"/>
  <c r="D162" i="5"/>
  <c r="I30" i="7"/>
  <c r="I10" i="6"/>
  <c r="F5" i="6" l="1"/>
  <c r="E20" i="6"/>
  <c r="E35" i="6" s="1"/>
  <c r="F8" i="6"/>
  <c r="E23" i="6"/>
  <c r="E38" i="6" s="1"/>
  <c r="H158" i="6"/>
  <c r="O94" i="4"/>
  <c r="D180" i="5"/>
  <c r="D178" i="5"/>
  <c r="I26" i="7"/>
  <c r="T26" i="7" s="1"/>
  <c r="H160" i="6"/>
  <c r="H28" i="7"/>
  <c r="H111" i="7" s="1"/>
  <c r="S111" i="7" s="1"/>
  <c r="T30" i="7"/>
  <c r="I28" i="7"/>
  <c r="I111" i="7" s="1"/>
  <c r="T111" i="7" s="1"/>
  <c r="I21" i="6"/>
  <c r="I36" i="6" s="1"/>
  <c r="G7" i="6"/>
  <c r="F22" i="6"/>
  <c r="F37" i="6" s="1"/>
  <c r="C91" i="5"/>
  <c r="C93" i="5"/>
  <c r="I158" i="6"/>
  <c r="G109" i="7"/>
  <c r="R109" i="7" s="1"/>
  <c r="R28" i="7"/>
  <c r="G111" i="7"/>
  <c r="R111" i="7" s="1"/>
  <c r="I108" i="5"/>
  <c r="I121" i="5" s="1"/>
  <c r="I106" i="5"/>
  <c r="H26" i="7"/>
  <c r="S26" i="7" s="1"/>
  <c r="S30" i="7"/>
  <c r="H106" i="5"/>
  <c r="H108" i="5"/>
  <c r="H121" i="5" s="1"/>
  <c r="I160" i="6"/>
  <c r="I25" i="6"/>
  <c r="I40" i="6" s="1"/>
  <c r="E108" i="5"/>
  <c r="E121" i="5" s="1"/>
  <c r="E106" i="5"/>
  <c r="I47" i="5"/>
  <c r="J46" i="5"/>
  <c r="G106" i="5"/>
  <c r="G108" i="5"/>
  <c r="G121" i="5" s="1"/>
  <c r="I126" i="5"/>
  <c r="I129" i="5" s="1"/>
  <c r="I128" i="5" s="1"/>
  <c r="I130" i="5" s="1"/>
  <c r="H129" i="5"/>
  <c r="H128" i="5" s="1"/>
  <c r="H130" i="5" s="1"/>
  <c r="C108" i="5" l="1"/>
  <c r="C121" i="5" s="1"/>
  <c r="C106" i="5"/>
  <c r="P94" i="4"/>
  <c r="H7" i="6"/>
  <c r="G22" i="6"/>
  <c r="G37" i="6" s="1"/>
  <c r="T28" i="7"/>
  <c r="I109" i="7"/>
  <c r="T109" i="7" s="1"/>
  <c r="G8" i="6"/>
  <c r="F23" i="6"/>
  <c r="F38" i="6" s="1"/>
  <c r="H109" i="7"/>
  <c r="S109" i="7" s="1"/>
  <c r="S28" i="7"/>
  <c r="D3" i="6"/>
  <c r="D193" i="5"/>
  <c r="G5" i="6"/>
  <c r="F20" i="6"/>
  <c r="F35" i="6" s="1"/>
  <c r="H5" i="6" l="1"/>
  <c r="G20" i="6"/>
  <c r="G35" i="6" s="1"/>
  <c r="H8" i="6"/>
  <c r="G23" i="6"/>
  <c r="G38" i="6" s="1"/>
  <c r="I7" i="6"/>
  <c r="H22" i="6"/>
  <c r="H37" i="6" s="1"/>
  <c r="E3" i="6"/>
  <c r="D16" i="6"/>
  <c r="D18" i="6"/>
  <c r="Q94" i="4"/>
  <c r="D33" i="6" l="1"/>
  <c r="D46" i="6" s="1"/>
  <c r="D31" i="6"/>
  <c r="F3" i="6"/>
  <c r="E16" i="6"/>
  <c r="E18" i="6"/>
  <c r="I22" i="6"/>
  <c r="I37" i="6" s="1"/>
  <c r="I8" i="6"/>
  <c r="H23" i="6"/>
  <c r="H38" i="6" s="1"/>
  <c r="I5" i="6"/>
  <c r="H20" i="6"/>
  <c r="H35" i="6" s="1"/>
  <c r="E31" i="6" l="1"/>
  <c r="E33" i="6"/>
  <c r="E46" i="6" s="1"/>
  <c r="I20" i="6"/>
  <c r="I35" i="6" s="1"/>
  <c r="G3" i="6"/>
  <c r="F16" i="6"/>
  <c r="F18" i="6"/>
  <c r="D50" i="6"/>
  <c r="D171" i="6"/>
  <c r="D182" i="6" s="1"/>
  <c r="D193" i="6" s="1"/>
  <c r="D169" i="6"/>
  <c r="D180" i="6" s="1"/>
  <c r="D191" i="6" s="1"/>
  <c r="D123" i="6"/>
  <c r="D136" i="6" s="1"/>
  <c r="D147" i="6" s="1"/>
  <c r="D124" i="6"/>
  <c r="D137" i="6" s="1"/>
  <c r="D148" i="6" s="1"/>
  <c r="D119" i="6"/>
  <c r="D132" i="6" s="1"/>
  <c r="D143" i="6" s="1"/>
  <c r="D121" i="6"/>
  <c r="D134" i="6" s="1"/>
  <c r="D145" i="6" s="1"/>
  <c r="I23" i="6"/>
  <c r="I38" i="6" s="1"/>
  <c r="O41" i="7" l="1"/>
  <c r="D54" i="6"/>
  <c r="D83" i="6" s="1"/>
  <c r="D96" i="6" s="1"/>
  <c r="D64" i="6"/>
  <c r="D55" i="6"/>
  <c r="D84" i="6" s="1"/>
  <c r="D97" i="6" s="1"/>
  <c r="D56" i="6"/>
  <c r="D85" i="6" s="1"/>
  <c r="D98" i="6" s="1"/>
  <c r="D63" i="6"/>
  <c r="D57" i="6"/>
  <c r="D86" i="6" s="1"/>
  <c r="D99" i="6" s="1"/>
  <c r="D58" i="6"/>
  <c r="D87" i="6" s="1"/>
  <c r="D100" i="6" s="1"/>
  <c r="D59" i="6"/>
  <c r="D88" i="6" s="1"/>
  <c r="D101" i="6" s="1"/>
  <c r="D60" i="6"/>
  <c r="D89" i="6" s="1"/>
  <c r="D102" i="6" s="1"/>
  <c r="D62" i="6"/>
  <c r="D61" i="6"/>
  <c r="D90" i="6" s="1"/>
  <c r="D103" i="6" s="1"/>
  <c r="D52" i="6"/>
  <c r="D53" i="6"/>
  <c r="D82" i="6" s="1"/>
  <c r="D95" i="6" s="1"/>
  <c r="O37" i="7"/>
  <c r="O98" i="7"/>
  <c r="O42" i="7"/>
  <c r="O100" i="7"/>
  <c r="O39" i="7"/>
  <c r="F31" i="6"/>
  <c r="F33" i="6"/>
  <c r="F46" i="6" s="1"/>
  <c r="G16" i="6"/>
  <c r="H3" i="6"/>
  <c r="G18" i="6"/>
  <c r="E50" i="6"/>
  <c r="P41" i="7"/>
  <c r="P52" i="7" s="1"/>
  <c r="P100" i="7"/>
  <c r="P122" i="7" s="1"/>
  <c r="P39" i="7"/>
  <c r="P50" i="7" s="1"/>
  <c r="P98" i="7"/>
  <c r="P120" i="7" s="1"/>
  <c r="P37" i="7"/>
  <c r="P48" i="7" s="1"/>
  <c r="P42" i="7"/>
  <c r="P53" i="7" s="1"/>
  <c r="E121" i="6"/>
  <c r="E134" i="6" s="1"/>
  <c r="E145" i="6" s="1"/>
  <c r="E39" i="7" s="1"/>
  <c r="E50" i="7" s="1"/>
  <c r="E123" i="6"/>
  <c r="E136" i="6" s="1"/>
  <c r="E147" i="6" s="1"/>
  <c r="E41" i="7" s="1"/>
  <c r="E52" i="7" s="1"/>
  <c r="E119" i="6"/>
  <c r="E132" i="6" s="1"/>
  <c r="E143" i="6" s="1"/>
  <c r="E37" i="7" s="1"/>
  <c r="E48" i="7" s="1"/>
  <c r="E124" i="6"/>
  <c r="E137" i="6" s="1"/>
  <c r="E148" i="6" s="1"/>
  <c r="E42" i="7" s="1"/>
  <c r="E53" i="7" s="1"/>
  <c r="E171" i="6"/>
  <c r="E182" i="6" s="1"/>
  <c r="E193" i="6" s="1"/>
  <c r="E169" i="6"/>
  <c r="E180" i="6" s="1"/>
  <c r="E191" i="6" s="1"/>
  <c r="E56" i="6" l="1"/>
  <c r="E85" i="6" s="1"/>
  <c r="E98" i="6" s="1"/>
  <c r="E57" i="6"/>
  <c r="E86" i="6" s="1"/>
  <c r="E99" i="6" s="1"/>
  <c r="E54" i="6"/>
  <c r="E83" i="6" s="1"/>
  <c r="E96" i="6" s="1"/>
  <c r="E58" i="6"/>
  <c r="E87" i="6" s="1"/>
  <c r="E100" i="6" s="1"/>
  <c r="E52" i="6"/>
  <c r="E59" i="6"/>
  <c r="E88" i="6" s="1"/>
  <c r="E101" i="6" s="1"/>
  <c r="E60" i="6"/>
  <c r="E89" i="6" s="1"/>
  <c r="E102" i="6" s="1"/>
  <c r="E63" i="6"/>
  <c r="E53" i="6"/>
  <c r="E82" i="6" s="1"/>
  <c r="E95" i="6" s="1"/>
  <c r="E55" i="6"/>
  <c r="E84" i="6" s="1"/>
  <c r="E97" i="6" s="1"/>
  <c r="E61" i="6"/>
  <c r="E90" i="6" s="1"/>
  <c r="E103" i="6" s="1"/>
  <c r="E62" i="6"/>
  <c r="E64" i="6"/>
  <c r="D65" i="6"/>
  <c r="D66" i="6" s="1"/>
  <c r="D81" i="6"/>
  <c r="E98" i="7"/>
  <c r="E120" i="7" s="1"/>
  <c r="E100" i="7"/>
  <c r="E122" i="7" s="1"/>
  <c r="G31" i="6"/>
  <c r="G33" i="6"/>
  <c r="G46" i="6" s="1"/>
  <c r="I3" i="6"/>
  <c r="H16" i="6"/>
  <c r="H18" i="6"/>
  <c r="F50" i="6"/>
  <c r="F124" i="6"/>
  <c r="F137" i="6" s="1"/>
  <c r="F148" i="6" s="1"/>
  <c r="F42" i="7" s="1"/>
  <c r="F53" i="7" s="1"/>
  <c r="F126" i="6"/>
  <c r="F139" i="6" s="1"/>
  <c r="F150" i="6" s="1"/>
  <c r="F44" i="7" s="1"/>
  <c r="F123" i="6"/>
  <c r="F136" i="6" s="1"/>
  <c r="F147" i="6" s="1"/>
  <c r="F41" i="7" s="1"/>
  <c r="F52" i="7" s="1"/>
  <c r="F125" i="6"/>
  <c r="F138" i="6" s="1"/>
  <c r="F149" i="6" s="1"/>
  <c r="F43" i="7" s="1"/>
  <c r="F121" i="6"/>
  <c r="F134" i="6" s="1"/>
  <c r="F145" i="6" s="1"/>
  <c r="F39" i="7" s="1"/>
  <c r="F50" i="7" s="1"/>
  <c r="F171" i="6"/>
  <c r="F182" i="6" s="1"/>
  <c r="F193" i="6" s="1"/>
  <c r="F119" i="6"/>
  <c r="F132" i="6" s="1"/>
  <c r="F143" i="6" s="1"/>
  <c r="F37" i="7" s="1"/>
  <c r="F48" i="7" s="1"/>
  <c r="F169" i="6"/>
  <c r="F180" i="6" s="1"/>
  <c r="F191" i="6" s="1"/>
  <c r="H31" i="6" l="1"/>
  <c r="H33" i="6"/>
  <c r="H46" i="6" s="1"/>
  <c r="I16" i="6"/>
  <c r="I18" i="6"/>
  <c r="F98" i="7"/>
  <c r="F120" i="7" s="1"/>
  <c r="E65" i="6"/>
  <c r="E66" i="6" s="1"/>
  <c r="E81" i="6"/>
  <c r="Q42" i="7"/>
  <c r="Q53" i="7" s="1"/>
  <c r="Q37" i="7"/>
  <c r="Q48" i="7" s="1"/>
  <c r="Q98" i="7"/>
  <c r="Q120" i="7" s="1"/>
  <c r="G50" i="6"/>
  <c r="G124" i="6"/>
  <c r="G137" i="6" s="1"/>
  <c r="G148" i="6" s="1"/>
  <c r="G42" i="7" s="1"/>
  <c r="G53" i="7" s="1"/>
  <c r="G123" i="6"/>
  <c r="G136" i="6" s="1"/>
  <c r="G147" i="6" s="1"/>
  <c r="G41" i="7" s="1"/>
  <c r="G52" i="7" s="1"/>
  <c r="G126" i="6"/>
  <c r="G139" i="6" s="1"/>
  <c r="G150" i="6" s="1"/>
  <c r="G44" i="7" s="1"/>
  <c r="G125" i="6"/>
  <c r="G138" i="6" s="1"/>
  <c r="G149" i="6" s="1"/>
  <c r="G43" i="7" s="1"/>
  <c r="G121" i="6"/>
  <c r="G134" i="6" s="1"/>
  <c r="G145" i="6" s="1"/>
  <c r="G39" i="7" s="1"/>
  <c r="G50" i="7" s="1"/>
  <c r="G119" i="6"/>
  <c r="G132" i="6" s="1"/>
  <c r="G143" i="6" s="1"/>
  <c r="G37" i="7" s="1"/>
  <c r="G48" i="7" s="1"/>
  <c r="G171" i="6"/>
  <c r="G182" i="6" s="1"/>
  <c r="G193" i="6" s="1"/>
  <c r="G169" i="6"/>
  <c r="G180" i="6" s="1"/>
  <c r="G191" i="6" s="1"/>
  <c r="F100" i="7"/>
  <c r="F122" i="7" s="1"/>
  <c r="F57" i="6"/>
  <c r="F86" i="6" s="1"/>
  <c r="F99" i="6" s="1"/>
  <c r="F58" i="6"/>
  <c r="F87" i="6" s="1"/>
  <c r="F100" i="6" s="1"/>
  <c r="F63" i="6"/>
  <c r="F59" i="6"/>
  <c r="F88" i="6" s="1"/>
  <c r="F101" i="6" s="1"/>
  <c r="F52" i="6"/>
  <c r="F61" i="6"/>
  <c r="F90" i="6" s="1"/>
  <c r="F103" i="6" s="1"/>
  <c r="F62" i="6"/>
  <c r="F54" i="6"/>
  <c r="F83" i="6" s="1"/>
  <c r="F96" i="6" s="1"/>
  <c r="F53" i="6"/>
  <c r="F82" i="6" s="1"/>
  <c r="F95" i="6" s="1"/>
  <c r="F55" i="6"/>
  <c r="F84" i="6" s="1"/>
  <c r="F97" i="6" s="1"/>
  <c r="F56" i="6"/>
  <c r="F85" i="6" s="1"/>
  <c r="F98" i="6" s="1"/>
  <c r="F64" i="6"/>
  <c r="F60" i="6"/>
  <c r="F89" i="6" s="1"/>
  <c r="F102" i="6" s="1"/>
  <c r="Q39" i="7"/>
  <c r="Q50" i="7" s="1"/>
  <c r="D91" i="6"/>
  <c r="D94" i="6"/>
  <c r="D104" i="6" s="1"/>
  <c r="Q100" i="7"/>
  <c r="Q122" i="7" s="1"/>
  <c r="Q41" i="7"/>
  <c r="Q52" i="7" s="1"/>
  <c r="R39" i="7" l="1"/>
  <c r="R50" i="7" s="1"/>
  <c r="G58" i="6"/>
  <c r="G87" i="6" s="1"/>
  <c r="G100" i="6" s="1"/>
  <c r="G59" i="6"/>
  <c r="G88" i="6" s="1"/>
  <c r="G101" i="6" s="1"/>
  <c r="G63" i="6"/>
  <c r="G60" i="6"/>
  <c r="G89" i="6" s="1"/>
  <c r="G102" i="6" s="1"/>
  <c r="G52" i="6"/>
  <c r="G56" i="6"/>
  <c r="G85" i="6" s="1"/>
  <c r="G98" i="6" s="1"/>
  <c r="G57" i="6"/>
  <c r="G86" i="6" s="1"/>
  <c r="G99" i="6" s="1"/>
  <c r="G55" i="6"/>
  <c r="G84" i="6" s="1"/>
  <c r="G97" i="6" s="1"/>
  <c r="G61" i="6"/>
  <c r="G90" i="6" s="1"/>
  <c r="G103" i="6" s="1"/>
  <c r="G62" i="6"/>
  <c r="G54" i="6"/>
  <c r="G83" i="6" s="1"/>
  <c r="G96" i="6" s="1"/>
  <c r="G64" i="6"/>
  <c r="G53" i="6"/>
  <c r="G82" i="6" s="1"/>
  <c r="G95" i="6" s="1"/>
  <c r="G98" i="7"/>
  <c r="G120" i="7" s="1"/>
  <c r="R37" i="7"/>
  <c r="R48" i="7" s="1"/>
  <c r="R42" i="7"/>
  <c r="R53" i="7" s="1"/>
  <c r="R98" i="7"/>
  <c r="R120" i="7" s="1"/>
  <c r="R41" i="7"/>
  <c r="R52" i="7" s="1"/>
  <c r="R100" i="7"/>
  <c r="R122" i="7" s="1"/>
  <c r="E91" i="6"/>
  <c r="E94" i="6"/>
  <c r="E104" i="6" s="1"/>
  <c r="I31" i="6"/>
  <c r="I33" i="6"/>
  <c r="I46" i="6" s="1"/>
  <c r="F65" i="6"/>
  <c r="F66" i="6" s="1"/>
  <c r="F81" i="6"/>
  <c r="H50" i="6"/>
  <c r="H126" i="6"/>
  <c r="H139" i="6" s="1"/>
  <c r="H150" i="6" s="1"/>
  <c r="H44" i="7" s="1"/>
  <c r="H124" i="6"/>
  <c r="H137" i="6" s="1"/>
  <c r="H148" i="6" s="1"/>
  <c r="H42" i="7" s="1"/>
  <c r="H53" i="7" s="1"/>
  <c r="H125" i="6"/>
  <c r="H138" i="6" s="1"/>
  <c r="H149" i="6" s="1"/>
  <c r="H43" i="7" s="1"/>
  <c r="H123" i="6"/>
  <c r="H136" i="6" s="1"/>
  <c r="H147" i="6" s="1"/>
  <c r="H41" i="7" s="1"/>
  <c r="H52" i="7" s="1"/>
  <c r="H119" i="6"/>
  <c r="H132" i="6" s="1"/>
  <c r="H143" i="6" s="1"/>
  <c r="H37" i="7" s="1"/>
  <c r="H48" i="7" s="1"/>
  <c r="H121" i="6"/>
  <c r="H134" i="6" s="1"/>
  <c r="H145" i="6" s="1"/>
  <c r="H39" i="7" s="1"/>
  <c r="H50" i="7" s="1"/>
  <c r="H169" i="6"/>
  <c r="H180" i="6" s="1"/>
  <c r="H191" i="6" s="1"/>
  <c r="H171" i="6"/>
  <c r="H182" i="6" s="1"/>
  <c r="H193" i="6" s="1"/>
  <c r="G65" i="6" l="1"/>
  <c r="G66" i="6" s="1"/>
  <c r="G81" i="6"/>
  <c r="S98" i="7"/>
  <c r="S120" i="7" s="1"/>
  <c r="M133" i="7" s="1"/>
  <c r="S39" i="7"/>
  <c r="S50" i="7" s="1"/>
  <c r="S42" i="7"/>
  <c r="S53" i="7" s="1"/>
  <c r="S100" i="7"/>
  <c r="S122" i="7" s="1"/>
  <c r="M135" i="7" s="1"/>
  <c r="S41" i="7"/>
  <c r="S52" i="7" s="1"/>
  <c r="H52" i="6"/>
  <c r="H58" i="6"/>
  <c r="H87" i="6" s="1"/>
  <c r="H100" i="6" s="1"/>
  <c r="H54" i="6"/>
  <c r="H83" i="6" s="1"/>
  <c r="H96" i="6" s="1"/>
  <c r="H59" i="6"/>
  <c r="H88" i="6" s="1"/>
  <c r="H101" i="6" s="1"/>
  <c r="H63" i="6"/>
  <c r="H60" i="6"/>
  <c r="H89" i="6" s="1"/>
  <c r="H102" i="6" s="1"/>
  <c r="H61" i="6"/>
  <c r="H90" i="6" s="1"/>
  <c r="H103" i="6" s="1"/>
  <c r="H53" i="6"/>
  <c r="H82" i="6" s="1"/>
  <c r="H95" i="6" s="1"/>
  <c r="H55" i="6"/>
  <c r="H84" i="6" s="1"/>
  <c r="H97" i="6" s="1"/>
  <c r="H62" i="6"/>
  <c r="H56" i="6"/>
  <c r="H85" i="6" s="1"/>
  <c r="H98" i="6" s="1"/>
  <c r="H57" i="6"/>
  <c r="H86" i="6" s="1"/>
  <c r="H99" i="6" s="1"/>
  <c r="H64" i="6"/>
  <c r="G100" i="7"/>
  <c r="G122" i="7" s="1"/>
  <c r="S37" i="7"/>
  <c r="S48" i="7" s="1"/>
  <c r="F91" i="6"/>
  <c r="F94" i="6"/>
  <c r="F104" i="6" s="1"/>
  <c r="I50" i="6"/>
  <c r="T37" i="7"/>
  <c r="T48" i="7" s="1"/>
  <c r="N61" i="7" s="1"/>
  <c r="T98" i="7"/>
  <c r="T120" i="7" s="1"/>
  <c r="I126" i="6"/>
  <c r="I139" i="6" s="1"/>
  <c r="I150" i="6" s="1"/>
  <c r="I44" i="7" s="1"/>
  <c r="I128" i="6"/>
  <c r="I141" i="6" s="1"/>
  <c r="I152" i="6" s="1"/>
  <c r="I46" i="7" s="1"/>
  <c r="I125" i="6"/>
  <c r="I138" i="6" s="1"/>
  <c r="I149" i="6" s="1"/>
  <c r="I43" i="7" s="1"/>
  <c r="I124" i="6"/>
  <c r="I137" i="6" s="1"/>
  <c r="I148" i="6" s="1"/>
  <c r="I42" i="7" s="1"/>
  <c r="I53" i="7" s="1"/>
  <c r="C66" i="7" s="1"/>
  <c r="I123" i="6"/>
  <c r="I136" i="6" s="1"/>
  <c r="I147" i="6" s="1"/>
  <c r="I41" i="7" s="1"/>
  <c r="I52" i="7" s="1"/>
  <c r="C65" i="7" s="1"/>
  <c r="I121" i="6"/>
  <c r="I134" i="6" s="1"/>
  <c r="I145" i="6" s="1"/>
  <c r="I39" i="7" s="1"/>
  <c r="I50" i="7" s="1"/>
  <c r="C63" i="7" s="1"/>
  <c r="I119" i="6"/>
  <c r="I132" i="6" s="1"/>
  <c r="I143" i="6" s="1"/>
  <c r="I37" i="7" s="1"/>
  <c r="I48" i="7" s="1"/>
  <c r="C61" i="7" s="1"/>
  <c r="I169" i="6"/>
  <c r="I180" i="6" s="1"/>
  <c r="I191" i="6" s="1"/>
  <c r="I171" i="6"/>
  <c r="I182" i="6" s="1"/>
  <c r="I193" i="6" s="1"/>
  <c r="I59" i="6" l="1"/>
  <c r="I88" i="6" s="1"/>
  <c r="I101" i="6" s="1"/>
  <c r="I63" i="6"/>
  <c r="I54" i="6"/>
  <c r="I83" i="6" s="1"/>
  <c r="I96" i="6" s="1"/>
  <c r="I60" i="6"/>
  <c r="I89" i="6" s="1"/>
  <c r="I102" i="6" s="1"/>
  <c r="I61" i="6"/>
  <c r="I90" i="6" s="1"/>
  <c r="I103" i="6" s="1"/>
  <c r="I53" i="6"/>
  <c r="I82" i="6" s="1"/>
  <c r="I95" i="6" s="1"/>
  <c r="I52" i="6"/>
  <c r="I56" i="6"/>
  <c r="I85" i="6" s="1"/>
  <c r="I98" i="6" s="1"/>
  <c r="I62" i="6"/>
  <c r="I58" i="6"/>
  <c r="I87" i="6" s="1"/>
  <c r="I100" i="6" s="1"/>
  <c r="I64" i="6"/>
  <c r="I57" i="6"/>
  <c r="I86" i="6" s="1"/>
  <c r="I99" i="6" s="1"/>
  <c r="I55" i="6"/>
  <c r="I84" i="6" s="1"/>
  <c r="I97" i="6" s="1"/>
  <c r="H65" i="6"/>
  <c r="H66" i="6" s="1"/>
  <c r="H81" i="6"/>
  <c r="H100" i="7"/>
  <c r="H122" i="7" s="1"/>
  <c r="T41" i="7"/>
  <c r="T52" i="7" s="1"/>
  <c r="N65" i="7" s="1"/>
  <c r="T39" i="7"/>
  <c r="T50" i="7" s="1"/>
  <c r="N63" i="7" s="1"/>
  <c r="H98" i="7"/>
  <c r="H120" i="7" s="1"/>
  <c r="G91" i="6"/>
  <c r="G94" i="6"/>
  <c r="G104" i="6" s="1"/>
  <c r="I98" i="7"/>
  <c r="I120" i="7" s="1"/>
  <c r="C133" i="7" s="1"/>
  <c r="I100" i="7"/>
  <c r="I122" i="7" s="1"/>
  <c r="C135" i="7" s="1"/>
  <c r="T42" i="7"/>
  <c r="T53" i="7" s="1"/>
  <c r="N66" i="7" s="1"/>
  <c r="T100" i="7"/>
  <c r="T122" i="7" s="1"/>
  <c r="I65" i="6" l="1"/>
  <c r="I66" i="6" s="1"/>
  <c r="I81" i="6"/>
  <c r="H91" i="6"/>
  <c r="H94" i="6"/>
  <c r="H104" i="6" s="1"/>
  <c r="I91" i="6" l="1"/>
  <c r="I94" i="6"/>
  <c r="I104" i="6" s="1"/>
</calcChain>
</file>

<file path=xl/sharedStrings.xml><?xml version="1.0" encoding="utf-8"?>
<sst xmlns="http://schemas.openxmlformats.org/spreadsheetml/2006/main" count="261" uniqueCount="213">
  <si>
    <t>units</t>
  </si>
  <si>
    <t>Linear Approx Demand Curve</t>
  </si>
  <si>
    <t xml:space="preserve">constant </t>
  </si>
  <si>
    <t>slope</t>
  </si>
  <si>
    <t>Q=a -b P</t>
  </si>
  <si>
    <t>assumed price elasticity at forecast point</t>
  </si>
  <si>
    <t>IRR</t>
  </si>
  <si>
    <t>assumed market share:</t>
  </si>
  <si>
    <t>Cournot incumbent case</t>
  </si>
  <si>
    <t>sum</t>
  </si>
  <si>
    <t>vintage</t>
  </si>
  <si>
    <t>Total</t>
  </si>
  <si>
    <t>Capacity Utilization</t>
  </si>
  <si>
    <t>Ulitmate yield</t>
  </si>
  <si>
    <t>Die Size</t>
  </si>
  <si>
    <t>Throughput Learning</t>
  </si>
  <si>
    <t>Variable Cost/Wafer</t>
  </si>
  <si>
    <t>Variable Cost/Yielded Die</t>
  </si>
  <si>
    <t>Effective yielded die/wafer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</si>
  <si>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</si>
  <si>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</si>
  <si>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</si>
  <si>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</si>
  <si>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</si>
  <si>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</si>
  <si>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</si>
  <si>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</si>
  <si>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</si>
  <si>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possible upgrade 2 options</t>
  </si>
  <si>
    <t>possible new build options</t>
  </si>
  <si>
    <t>assume all fabs original vintage in 2001</t>
  </si>
  <si>
    <t>revenues</t>
  </si>
  <si>
    <t>Moore's law equivalent:</t>
  </si>
  <si>
    <t>18 month</t>
  </si>
  <si>
    <t>a</t>
  </si>
  <si>
    <t>b</t>
  </si>
  <si>
    <t>Functionality(Quality)  ($2001)</t>
  </si>
  <si>
    <t>Baseline capacity</t>
  </si>
  <si>
    <t>20K fabs</t>
  </si>
  <si>
    <t>total</t>
  </si>
  <si>
    <t>Unyielded Dice/Wafer</t>
  </si>
  <si>
    <t>Inverse Demand Curve for Functionality:</t>
  </si>
  <si>
    <t>B</t>
  </si>
  <si>
    <t>P=(Q-a)/-b</t>
  </si>
  <si>
    <t>Economic capacity</t>
  </si>
  <si>
    <t>Total Economic Capacity</t>
  </si>
  <si>
    <t>RoI Calculations</t>
  </si>
  <si>
    <t>New Fabs</t>
  </si>
  <si>
    <t xml:space="preserve">20K starts/mo additional </t>
  </si>
  <si>
    <t>additional output</t>
  </si>
  <si>
    <t>Total functionality/w extra fab</t>
  </si>
  <si>
    <t>B chips</t>
  </si>
  <si>
    <t>Price/function with extra fab</t>
  </si>
  <si>
    <t>Price/chip with extra fab</t>
  </si>
  <si>
    <t>New Fab RoI</t>
  </si>
  <si>
    <t>Competitive (New Entrant) Case</t>
  </si>
  <si>
    <t>K Cost-bldg</t>
  </si>
  <si>
    <t>K Cost-equip</t>
  </si>
  <si>
    <t>M$</t>
  </si>
  <si>
    <t>new bldg capital</t>
  </si>
  <si>
    <t>upgrade bldg cap</t>
  </si>
  <si>
    <t>Delta Revenues</t>
  </si>
  <si>
    <t>Net Cash Flow</t>
  </si>
  <si>
    <t>Upgrade 1, where different</t>
  </si>
  <si>
    <t>Upgrade Calculations</t>
  </si>
  <si>
    <t>Upgrade 1 fab</t>
  </si>
  <si>
    <t>Total functionality/w upgrade fab</t>
  </si>
  <si>
    <t>Price/function with upgrade fab</t>
  </si>
  <si>
    <t>Price/chip with upgrade fab</t>
  </si>
  <si>
    <t>Delta Var Costs</t>
  </si>
  <si>
    <t>Assumed cost A&amp;T/yielded chip</t>
  </si>
  <si>
    <t>Retirement elgible Capacity</t>
  </si>
  <si>
    <t>LEM qual-adjusted price index</t>
  </si>
  <si>
    <t>Functionality/chip by vintage</t>
  </si>
  <si>
    <t>index, functionality/chip 2001=1</t>
  </si>
  <si>
    <t>check:  baseline ASP</t>
  </si>
  <si>
    <t>Delta functionality with upgraded fab</t>
  </si>
  <si>
    <t>(mil transistors/chip)</t>
  </si>
  <si>
    <t>M</t>
  </si>
  <si>
    <t>LEM</t>
  </si>
  <si>
    <t>Line width</t>
  </si>
  <si>
    <t>Yield</t>
  </si>
  <si>
    <t>K</t>
  </si>
  <si>
    <t>micron</t>
  </si>
  <si>
    <t>$</t>
  </si>
  <si>
    <t>rev/wafer</t>
  </si>
  <si>
    <t>si area/200mm wafer</t>
  </si>
  <si>
    <t>avg die size</t>
  </si>
  <si>
    <t>mm2</t>
  </si>
  <si>
    <t>no. units produced</t>
  </si>
  <si>
    <t>sq cm</t>
  </si>
  <si>
    <t>$/sq cm</t>
  </si>
  <si>
    <t>M cm2</t>
  </si>
  <si>
    <t>wafers demanded</t>
  </si>
  <si>
    <t>1000 * M cm2 demanded / (sq cm si area per wafer* Semico yield)</t>
  </si>
  <si>
    <t>Note: IST "initial unit demand" comes from hidden sheet, differs from Semico historical.</t>
  </si>
  <si>
    <t>Note: IST rev/wafer = COGS/(COGS/IST Rev)/(area demanded/area per 200mm)</t>
  </si>
  <si>
    <t>COGS/IST rev=        hidden number/(capacity util/base capacity)</t>
  </si>
  <si>
    <t>unyielded wafer demand</t>
  </si>
  <si>
    <t>yielded transistors</t>
  </si>
  <si>
    <t>yielded area demand</t>
  </si>
  <si>
    <t>$/unit</t>
  </si>
  <si>
    <t>avg transistors/yielded area</t>
  </si>
  <si>
    <t>$/cm2</t>
  </si>
  <si>
    <t>$/M tran</t>
  </si>
  <si>
    <t>Revenue/unyielded wafer</t>
  </si>
  <si>
    <t>Revenue/Unyld Si Area</t>
  </si>
  <si>
    <t>Revenue/Unyielded wafer</t>
  </si>
  <si>
    <t>Unyielded Area demanded</t>
  </si>
  <si>
    <t>unyielded area demand</t>
  </si>
  <si>
    <t>yielded units</t>
  </si>
  <si>
    <t>tech node</t>
  </si>
  <si>
    <t>feature</t>
  </si>
  <si>
    <t>wafer</t>
  </si>
  <si>
    <t>yielded area=unyielded area* yield</t>
  </si>
  <si>
    <t>Grand Total</t>
  </si>
  <si>
    <t>yielded area demanded</t>
  </si>
  <si>
    <t>unyielded area demanded distribution</t>
  </si>
  <si>
    <t>overall yield by vintage</t>
  </si>
  <si>
    <t>area transistor</t>
  </si>
  <si>
    <t>Functionality (Quality) (quad transistors)</t>
  </si>
  <si>
    <t>M tran/ cm2</t>
  </si>
  <si>
    <t>micron 2</t>
  </si>
  <si>
    <t>die size by vintage mm2</t>
  </si>
  <si>
    <t>=1 millionths of mm2</t>
  </si>
  <si>
    <t>M Tran / die</t>
  </si>
  <si>
    <t>=(mm2/die)/(mm2x10^-6/transistor)=10^6 transistors/die</t>
  </si>
  <si>
    <t>transistors/yielded die</t>
  </si>
  <si>
    <t>yielded dice (M)</t>
  </si>
  <si>
    <t>unyielded area total   Mil cm^2</t>
  </si>
  <si>
    <t>Yielded area total  Mil cm^2</t>
  </si>
  <si>
    <t>total units</t>
  </si>
  <si>
    <t>quadrill=10^15 Tran</t>
  </si>
  <si>
    <t>quadril tran</t>
  </si>
  <si>
    <t>`10^15 total tran</t>
  </si>
  <si>
    <t>M (10^6)  tran/die</t>
  </si>
  <si>
    <t>tran x 10^15/cm2 x 10^6</t>
  </si>
  <si>
    <t>Bil units</t>
  </si>
  <si>
    <t>tran x 10^15/units x 10^9</t>
  </si>
  <si>
    <t>Mil transistors/unit</t>
  </si>
  <si>
    <t>transistors/cm2</t>
  </si>
  <si>
    <t xml:space="preserve"> price of a chip </t>
  </si>
  <si>
    <t>check: transistor demand at baseline $ transistor:</t>
  </si>
  <si>
    <t>Funcitonality (M transistors)/chip</t>
  </si>
  <si>
    <t>yielded silicon (M cm2)</t>
  </si>
  <si>
    <t>yielded area distribution by vintage</t>
  </si>
  <si>
    <t>yielded chips</t>
  </si>
  <si>
    <t>million</t>
  </si>
  <si>
    <t>revenue</t>
  </si>
  <si>
    <t>Estimate original capacity</t>
  </si>
  <si>
    <t>yielded silicon, 2001</t>
  </si>
  <si>
    <t>unyielded silicon processed</t>
  </si>
  <si>
    <t>=yielded/ultimate YIELD</t>
  </si>
  <si>
    <t>M wafers/yr</t>
  </si>
  <si>
    <t>cm^2 200mm wafer=</t>
  </si>
  <si>
    <t>capacity util, 2001</t>
  </si>
  <si>
    <t>as in IST, updated w/SICAS</t>
  </si>
  <si>
    <t>fabs, 20K wafer strts/mo</t>
  </si>
  <si>
    <t>transistors/cm2 (M)</t>
  </si>
  <si>
    <t>Baseline quad transistors produced if fully utilized</t>
  </si>
  <si>
    <t>P/M tran</t>
  </si>
  <si>
    <t>Price/chip</t>
  </si>
  <si>
    <t>baseline M chips produced if fully utilized</t>
  </si>
  <si>
    <t>check: revenues  $M</t>
  </si>
  <si>
    <t>quad tran</t>
  </si>
  <si>
    <t>Functionality/chip  (2001$)</t>
  </si>
  <si>
    <t>bldg cap 2k/node factor</t>
  </si>
  <si>
    <t>fab new equip/[20*node factor]</t>
  </si>
  <si>
    <t>fab K cost/node factor</t>
  </si>
  <si>
    <t>=tput learn x unyld dice x ult yld</t>
  </si>
  <si>
    <t>5.1 d-centric units</t>
  </si>
  <si>
    <t>wafer area/die size</t>
  </si>
  <si>
    <t>12x20xyielde dice/wafer</t>
  </si>
  <si>
    <t>a&amp;t per ylded chip +var cost ylded die</t>
  </si>
  <si>
    <t>var cost/ylded chip</t>
  </si>
  <si>
    <t>var cost/wafer / ylded die per wafer</t>
  </si>
  <si>
    <t>cap cost</t>
  </si>
  <si>
    <t>upgrade bldg cap/node factor</t>
  </si>
  <si>
    <t>data from 4.1</t>
  </si>
  <si>
    <t>upgrade cost equip/1K wafers*20*upgrd dummy</t>
  </si>
  <si>
    <t>upgrd cost/fab / node factor /20</t>
  </si>
  <si>
    <t>new var cost - old var costs in fab</t>
  </si>
  <si>
    <t xml:space="preserve"> ylded chips per 20K fab x var cost/ylded chips</t>
  </si>
  <si>
    <t>ylded chips per 20K fab x price chip with extra fab</t>
  </si>
  <si>
    <t xml:space="preserve"> tot rev - var costs</t>
  </si>
  <si>
    <t>Delta Variable Costs</t>
  </si>
  <si>
    <t>same as competitive case</t>
  </si>
  <si>
    <t>(mkt share*baseline quad transistors+new transistors)*new transistor price-(mkt share*baseline transistors)*old price/transistor</t>
  </si>
  <si>
    <t>original functionality+func/chip*new chips</t>
  </si>
  <si>
    <t>Baseline</t>
  </si>
  <si>
    <t>(ylded die/wafer *price/chip w/upgrade fab - old ylded die/wafer * old price)* wafers/fab</t>
  </si>
  <si>
    <t>["competitive"= upgrade single fab]</t>
  </si>
  <si>
    <t>CAGR '01-'06</t>
  </si>
  <si>
    <t>K cost 20k/node factor</t>
  </si>
  <si>
    <t>2001 capacity used 5 years at full capacity, different from forecast output</t>
  </si>
  <si>
    <t>with baseline capacity utilized</t>
  </si>
  <si>
    <t>RIBIM v. 0.01</t>
  </si>
  <si>
    <t>© Kenneth Flamm, 2003</t>
  </si>
  <si>
    <t>Forecast Data:</t>
  </si>
  <si>
    <t>note: revenues check with  forecasts</t>
  </si>
  <si>
    <t>IST 'initial' units/forecast units</t>
  </si>
  <si>
    <t>IST 'adjusted' units/forecast units</t>
  </si>
  <si>
    <t>IST wafers/forecast wafers</t>
  </si>
  <si>
    <t>LEM ASP (forecast)</t>
  </si>
  <si>
    <t>LEM $/yld area (forecast)</t>
  </si>
  <si>
    <t>forecast/IST rev/wafer</t>
  </si>
  <si>
    <t>ISMT-forecast $/M yld transistors</t>
  </si>
  <si>
    <r>
      <t>R</t>
    </r>
    <r>
      <rPr>
        <sz val="20"/>
        <rFont val="Franklin Gothic Book"/>
        <family val="2"/>
      </rPr>
      <t>o</t>
    </r>
    <r>
      <rPr>
        <b/>
        <sz val="20"/>
        <rFont val="Franklin Gothic Book"/>
        <family val="2"/>
      </rPr>
      <t>I</t>
    </r>
    <r>
      <rPr>
        <sz val="20"/>
        <rFont val="Franklin Gothic Book"/>
        <family val="2"/>
      </rPr>
      <t>-</t>
    </r>
    <r>
      <rPr>
        <b/>
        <sz val="20"/>
        <rFont val="Franklin Gothic Book"/>
        <family val="2"/>
      </rPr>
      <t>B</t>
    </r>
    <r>
      <rPr>
        <sz val="20"/>
        <rFont val="Franklin Gothic Book"/>
        <family val="2"/>
      </rPr>
      <t xml:space="preserve">ased </t>
    </r>
    <r>
      <rPr>
        <b/>
        <sz val="20"/>
        <rFont val="Franklin Gothic Book"/>
        <family val="2"/>
      </rPr>
      <t>I</t>
    </r>
    <r>
      <rPr>
        <sz val="20"/>
        <rFont val="Franklin Gothic Book"/>
        <family val="2"/>
      </rPr>
      <t xml:space="preserve">nvestment </t>
    </r>
    <r>
      <rPr>
        <b/>
        <sz val="20"/>
        <rFont val="Franklin Gothic Book"/>
        <family val="2"/>
      </rPr>
      <t>M</t>
    </r>
    <r>
      <rPr>
        <sz val="20"/>
        <rFont val="Franklin Gothic Book"/>
        <family val="2"/>
      </rPr>
      <t>odel for the Semiconductor Industry</t>
    </r>
  </si>
  <si>
    <t>Links to IEM Model if desired</t>
  </si>
  <si>
    <t>(illustrated with IST Model v 5.01)</t>
  </si>
  <si>
    <t>transistor/area + Forecast $/area==&gt;$/transistor</t>
  </si>
  <si>
    <t>transistors/area + forecast area demand===&gt;transistor demand, transistors/chip</t>
  </si>
  <si>
    <t>Demand calibration:  avg transistors/area,  area/unit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</si>
</sst>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0.0%"/>
    <numFmt numFmtId="169" formatCode="0.0"/>
    <numFmt numFmtId="170" formatCode="0.000"/>
    <numFmt numFmtId="171" formatCode="0.0000"/>
  </numFmts>
  <fonts count="13" x14ac:knownFonts="1">
    <font>
      <sz val="10"/>
      <name val="Arial"/>
    </font>
    <font>
      <sz val="8"/>
      <name val="Arial Narrow"/>
      <family val="2"/>
    </font>
    <font>
      <b/>
      <sz val="8"/>
      <color indexed="9"/>
      <name val="Arial Narrow"/>
      <family val="2"/>
    </font>
    <font>
      <sz val="8"/>
      <color indexed="10"/>
      <name val="Arial Narrow"/>
      <family val="2"/>
    </font>
    <font>
      <b/>
      <sz val="8"/>
      <name val="Arial Narrow"/>
      <family val="2"/>
    </font>
    <font>
      <sz val="8"/>
      <name val="Arial"/>
    </font>
    <font>
      <b/>
      <sz val="10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20"/>
      <name val="Franklin Gothic Book"/>
      <family val="2"/>
    </font>
    <font>
      <sz val="20"/>
      <name val="Franklin Gothic Book"/>
      <family val="2"/>
    </font>
    <font>
      <sz val="16"/>
      <name val="Franklin Gothic Book"/>
      <family val="2"/>
    </font>
    <font>
      <b/>
      <i/>
      <sz val="8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1" fontId="1" fillId="0" borderId="0" xfId="0" applyNumberFormat="1" applyFont="1"/>
    <xf numFmtId="0" fontId="1" fillId="3" borderId="1" xfId="0" applyFont="1" applyFill="1" applyBorder="1" applyAlignment="1">
      <alignment horizontal="right"/>
    </xf>
    <xf numFmtId="2" fontId="1" fillId="0" borderId="0" xfId="0" applyNumberFormat="1" applyFont="1"/>
    <xf numFmtId="167" fontId="1" fillId="0" borderId="0" xfId="0" applyNumberFormat="1" applyFont="1"/>
    <xf numFmtId="169" fontId="1" fillId="0" borderId="0" xfId="0" applyNumberFormat="1" applyFont="1"/>
    <xf numFmtId="169" fontId="1" fillId="4" borderId="0" xfId="0" applyNumberFormat="1" applyFont="1" applyFill="1"/>
    <xf numFmtId="0" fontId="1" fillId="3" borderId="0" xfId="0" applyFont="1" applyFill="1" applyBorder="1" applyAlignment="1">
      <alignment horizontal="right"/>
    </xf>
    <xf numFmtId="0" fontId="1" fillId="5" borderId="0" xfId="0" applyFont="1" applyFill="1"/>
    <xf numFmtId="9" fontId="1" fillId="5" borderId="0" xfId="0" applyNumberFormat="1" applyFont="1" applyFill="1"/>
    <xf numFmtId="2" fontId="1" fillId="6" borderId="0" xfId="0" applyNumberFormat="1" applyFont="1" applyFill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169" fontId="4" fillId="0" borderId="0" xfId="0" applyNumberFormat="1" applyFont="1"/>
    <xf numFmtId="0" fontId="4" fillId="0" borderId="0" xfId="0" applyFont="1"/>
    <xf numFmtId="170" fontId="1" fillId="0" borderId="0" xfId="0" applyNumberFormat="1" applyFont="1"/>
    <xf numFmtId="0" fontId="5" fillId="0" borderId="0" xfId="0" applyFont="1"/>
    <xf numFmtId="171" fontId="5" fillId="0" borderId="0" xfId="0" applyNumberFormat="1" applyFont="1"/>
    <xf numFmtId="170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" fontId="1" fillId="0" borderId="0" xfId="0" applyNumberFormat="1" applyFont="1"/>
    <xf numFmtId="170" fontId="1" fillId="0" borderId="0" xfId="0" applyNumberFormat="1" applyFont="1" applyBorder="1" applyAlignment="1">
      <alignment horizontal="left"/>
    </xf>
    <xf numFmtId="170" fontId="4" fillId="0" borderId="0" xfId="0" applyNumberFormat="1" applyFont="1" applyBorder="1" applyAlignment="1">
      <alignment horizontal="center"/>
    </xf>
    <xf numFmtId="0" fontId="1" fillId="0" borderId="0" xfId="0" quotePrefix="1" applyFont="1"/>
    <xf numFmtId="0" fontId="4" fillId="3" borderId="1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4" fillId="3" borderId="0" xfId="0" quotePrefix="1" applyFont="1" applyFill="1" applyBorder="1" applyAlignment="1">
      <alignment horizontal="left"/>
    </xf>
    <xf numFmtId="0" fontId="1" fillId="7" borderId="0" xfId="0" applyFont="1" applyFill="1"/>
    <xf numFmtId="1" fontId="1" fillId="6" borderId="0" xfId="0" applyNumberFormat="1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0" fontId="1" fillId="8" borderId="0" xfId="0" applyFont="1" applyFill="1"/>
    <xf numFmtId="3" fontId="1" fillId="0" borderId="0" xfId="0" applyNumberFormat="1" applyFont="1"/>
    <xf numFmtId="0" fontId="1" fillId="9" borderId="0" xfId="0" applyFont="1" applyFill="1"/>
    <xf numFmtId="169" fontId="1" fillId="9" borderId="0" xfId="0" applyNumberFormat="1" applyFont="1" applyFill="1"/>
    <xf numFmtId="170" fontId="1" fillId="9" borderId="0" xfId="0" applyNumberFormat="1" applyFont="1" applyFill="1"/>
    <xf numFmtId="2" fontId="1" fillId="9" borderId="0" xfId="0" applyNumberFormat="1" applyFont="1" applyFill="1"/>
    <xf numFmtId="2" fontId="1" fillId="9" borderId="0" xfId="0" quotePrefix="1" applyNumberFormat="1" applyFont="1" applyFill="1"/>
    <xf numFmtId="0" fontId="6" fillId="0" borderId="0" xfId="0" applyFont="1"/>
    <xf numFmtId="170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8" fillId="9" borderId="0" xfId="0" applyNumberFormat="1" applyFont="1" applyFill="1"/>
    <xf numFmtId="170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9" borderId="0" xfId="0" applyFont="1" applyFill="1"/>
    <xf numFmtId="0" fontId="9" fillId="0" borderId="0" xfId="0" applyFont="1"/>
    <xf numFmtId="0" fontId="11" fillId="0" borderId="0" xfId="0" applyFont="1"/>
    <xf numFmtId="0" fontId="1" fillId="10" borderId="0" xfId="0" applyFont="1" applyFill="1"/>
    <xf numFmtId="0" fontId="1" fillId="10" borderId="1" xfId="0" applyFont="1" applyFill="1" applyBorder="1" applyAlignment="1">
      <alignment horizontal="right"/>
    </xf>
    <xf numFmtId="169" fontId="1" fillId="10" borderId="0" xfId="0" applyNumberFormat="1" applyFont="1" applyFill="1"/>
    <xf numFmtId="2" fontId="1" fillId="10" borderId="0" xfId="0" applyNumberFormat="1" applyFont="1" applyFill="1"/>
    <xf numFmtId="0" fontId="12" fillId="0" borderId="0" xfId="0" applyFont="1"/>
    <xf numFmtId="167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n/Documents/DeepExcel/Benchmarks/subjects/ProductivityCapacity_B_demandcentric_un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n/Documents/DeepExcel/Benchmarks/subjects/semico093002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Variables"/>
      <sheetName val="Rules"/>
      <sheetName val="Demand"/>
      <sheetName val="COGS%"/>
      <sheetName val="AreaTechSave"/>
      <sheetName val="LEM"/>
      <sheetName val="LEL"/>
      <sheetName val="OLE"/>
      <sheetName val="OIC"/>
      <sheetName val="OSC"/>
      <sheetName val="TLE"/>
      <sheetName val="TIC"/>
      <sheetName val="TSC"/>
      <sheetName val="LEM_UA"/>
      <sheetName val="LEL_UA"/>
      <sheetName val="OLE_UA"/>
      <sheetName val="OIC_UA"/>
      <sheetName val="OSC_UA"/>
      <sheetName val="TLE_UA"/>
      <sheetName val="TIC_UA"/>
      <sheetName val="TSC_UA"/>
      <sheetName val="Dist_LEMC"/>
      <sheetName val="Dist_LELC"/>
      <sheetName val="Dist_OLEC"/>
      <sheetName val="Dist_OICC"/>
      <sheetName val="Dist_OSCC"/>
      <sheetName val="Dist_LE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Y2">
            <v>2001</v>
          </cell>
          <cell r="Z2">
            <v>2002</v>
          </cell>
          <cell r="AA2">
            <v>2003</v>
          </cell>
          <cell r="AB2">
            <v>2004</v>
          </cell>
          <cell r="AC2">
            <v>2005</v>
          </cell>
          <cell r="AD2">
            <v>2006</v>
          </cell>
        </row>
        <row r="72">
          <cell r="Y72">
            <v>5.9630016723910355</v>
          </cell>
        </row>
        <row r="81">
          <cell r="Y81">
            <v>3.8084145442134387</v>
          </cell>
        </row>
        <row r="181">
          <cell r="X181">
            <v>4.1076171929814844</v>
          </cell>
          <cell r="Y181">
            <v>3.8084145442134392</v>
          </cell>
          <cell r="Z181">
            <v>4.2168232183099601</v>
          </cell>
          <cell r="AA181">
            <v>5.285020458319174</v>
          </cell>
          <cell r="AB181">
            <v>6.1217568171465615</v>
          </cell>
          <cell r="AC181">
            <v>9.9585598636561254</v>
          </cell>
          <cell r="AD181">
            <v>8.8972700048490658</v>
          </cell>
        </row>
        <row r="197">
          <cell r="X197">
            <v>51.867053544123351</v>
          </cell>
          <cell r="Y197">
            <v>51.867053544123351</v>
          </cell>
          <cell r="Z197">
            <v>51.867053544123351</v>
          </cell>
          <cell r="AA197">
            <v>51.867053544123351</v>
          </cell>
          <cell r="AB197">
            <v>51.867053544123351</v>
          </cell>
          <cell r="AC197">
            <v>51.867053544123351</v>
          </cell>
          <cell r="AD197">
            <v>51.867053544123351</v>
          </cell>
        </row>
        <row r="198">
          <cell r="X198">
            <v>51.867053544123351</v>
          </cell>
          <cell r="Y198">
            <v>51.867053544123351</v>
          </cell>
          <cell r="Z198">
            <v>51.867053544123351</v>
          </cell>
          <cell r="AA198">
            <v>51.867053544123351</v>
          </cell>
          <cell r="AB198">
            <v>51.867053544123351</v>
          </cell>
          <cell r="AC198">
            <v>51.867053544123351</v>
          </cell>
          <cell r="AD198">
            <v>51.867053544123351</v>
          </cell>
        </row>
        <row r="199">
          <cell r="X199">
            <v>49.852835319305875</v>
          </cell>
          <cell r="Y199">
            <v>49.852835319305875</v>
          </cell>
          <cell r="Z199">
            <v>49.852835319305875</v>
          </cell>
          <cell r="AA199">
            <v>49.852835319305875</v>
          </cell>
          <cell r="AB199">
            <v>49.852835319305875</v>
          </cell>
          <cell r="AC199">
            <v>49.852835319305875</v>
          </cell>
          <cell r="AD199">
            <v>49.852835319305875</v>
          </cell>
        </row>
        <row r="200">
          <cell r="X200">
            <v>49.852835319305875</v>
          </cell>
          <cell r="Y200">
            <v>49.852835319305875</v>
          </cell>
          <cell r="Z200">
            <v>49.852835319305875</v>
          </cell>
          <cell r="AA200">
            <v>49.852835319305875</v>
          </cell>
          <cell r="AB200">
            <v>49.852835319305875</v>
          </cell>
          <cell r="AC200">
            <v>49.852835319305875</v>
          </cell>
          <cell r="AD200">
            <v>49.852835319305875</v>
          </cell>
        </row>
        <row r="201">
          <cell r="X201">
            <v>66.681486964878061</v>
          </cell>
          <cell r="Y201">
            <v>56.525799348539095</v>
          </cell>
          <cell r="Z201">
            <v>47.91683775249696</v>
          </cell>
          <cell r="AA201">
            <v>47.91683775249696</v>
          </cell>
          <cell r="AB201">
            <v>47.91683775249696</v>
          </cell>
          <cell r="AC201">
            <v>47.91683775249696</v>
          </cell>
          <cell r="AD201">
            <v>47.91683775249696</v>
          </cell>
        </row>
        <row r="202">
          <cell r="X202">
            <v>66.681486964878061</v>
          </cell>
          <cell r="Y202">
            <v>56.525799348539095</v>
          </cell>
          <cell r="Z202">
            <v>47.91683775249696</v>
          </cell>
          <cell r="AA202">
            <v>47.91683775249696</v>
          </cell>
          <cell r="AB202">
            <v>47.91683775249696</v>
          </cell>
          <cell r="AC202">
            <v>47.91683775249696</v>
          </cell>
          <cell r="AD202">
            <v>47.91683775249696</v>
          </cell>
        </row>
        <row r="203">
          <cell r="Z203">
            <v>62.609309280209629</v>
          </cell>
          <cell r="AA203">
            <v>53.073820258204677</v>
          </cell>
          <cell r="AB203">
            <v>44.990600106981184</v>
          </cell>
          <cell r="AC203">
            <v>44.990600106981184</v>
          </cell>
          <cell r="AD203">
            <v>44.990600106981184</v>
          </cell>
        </row>
        <row r="204">
          <cell r="Z204">
            <v>62.609309280209629</v>
          </cell>
          <cell r="AA204">
            <v>53.073820258204677</v>
          </cell>
          <cell r="AB204">
            <v>44.990600106981184</v>
          </cell>
          <cell r="AC204">
            <v>44.990600106981184</v>
          </cell>
          <cell r="AD204">
            <v>44.990600106981184</v>
          </cell>
        </row>
        <row r="205">
          <cell r="AB205">
            <v>58.785815778367621</v>
          </cell>
          <cell r="AC205">
            <v>49.832650387331817</v>
          </cell>
          <cell r="AD205">
            <v>42.243065129664487</v>
          </cell>
        </row>
        <row r="206">
          <cell r="AB206">
            <v>58.785815778367621</v>
          </cell>
          <cell r="AC206">
            <v>49.832650387331817</v>
          </cell>
          <cell r="AD206">
            <v>42.243065129664487</v>
          </cell>
        </row>
        <row r="207">
          <cell r="AD207">
            <v>55.195819542773997</v>
          </cell>
        </row>
        <row r="208">
          <cell r="AD208">
            <v>55.195819542773997</v>
          </cell>
        </row>
        <row r="219">
          <cell r="X219">
            <v>0.73894424626587696</v>
          </cell>
          <cell r="Y219">
            <v>0.73894424626587696</v>
          </cell>
          <cell r="Z219">
            <v>0.73894424626587696</v>
          </cell>
          <cell r="AA219">
            <v>0.73894424626587696</v>
          </cell>
          <cell r="AB219">
            <v>0.73894424626587696</v>
          </cell>
          <cell r="AC219">
            <v>0.73894424626587696</v>
          </cell>
          <cell r="AD219">
            <v>0.73894424626587696</v>
          </cell>
        </row>
        <row r="220">
          <cell r="X220">
            <v>0.73894424626587696</v>
          </cell>
          <cell r="Y220">
            <v>0.73894424626587696</v>
          </cell>
          <cell r="Z220">
            <v>0.73894424626587696</v>
          </cell>
          <cell r="AA220">
            <v>0.73894424626587696</v>
          </cell>
          <cell r="AB220">
            <v>0.73894424626587696</v>
          </cell>
          <cell r="AC220">
            <v>0.73894424626587696</v>
          </cell>
          <cell r="AD220">
            <v>0.73894424626587696</v>
          </cell>
        </row>
        <row r="221">
          <cell r="X221">
            <v>0.73894424626587696</v>
          </cell>
          <cell r="Y221">
            <v>0.73894424626587696</v>
          </cell>
          <cell r="Z221">
            <v>0.73894424626587696</v>
          </cell>
          <cell r="AA221">
            <v>0.73894424626587696</v>
          </cell>
          <cell r="AB221">
            <v>0.73894424626587696</v>
          </cell>
          <cell r="AC221">
            <v>0.73894424626587696</v>
          </cell>
          <cell r="AD221">
            <v>0.73894424626587696</v>
          </cell>
        </row>
        <row r="222">
          <cell r="X222">
            <v>0.73894424626587696</v>
          </cell>
          <cell r="Y222">
            <v>0.73894424626587696</v>
          </cell>
          <cell r="Z222">
            <v>0.73894424626587696</v>
          </cell>
          <cell r="AA222">
            <v>0.73894424626587696</v>
          </cell>
          <cell r="AB222">
            <v>0.73894424626587696</v>
          </cell>
          <cell r="AC222">
            <v>0.73894424626587696</v>
          </cell>
          <cell r="AD222">
            <v>0.73894424626587696</v>
          </cell>
        </row>
        <row r="223">
          <cell r="X223">
            <v>0.73894424626587696</v>
          </cell>
          <cell r="Y223">
            <v>0.73894424626587696</v>
          </cell>
          <cell r="Z223">
            <v>0.73894424626587696</v>
          </cell>
          <cell r="AA223">
            <v>0.73894424626587696</v>
          </cell>
          <cell r="AB223">
            <v>0.73894424626587696</v>
          </cell>
          <cell r="AC223">
            <v>0.73894424626587696</v>
          </cell>
          <cell r="AD223">
            <v>0.73894424626587696</v>
          </cell>
        </row>
        <row r="224">
          <cell r="X224">
            <v>0.73894424626587696</v>
          </cell>
          <cell r="Y224">
            <v>0.73894424626587696</v>
          </cell>
          <cell r="Z224">
            <v>0.73894424626587696</v>
          </cell>
          <cell r="AA224">
            <v>0.73894424626587696</v>
          </cell>
          <cell r="AB224">
            <v>0.73894424626587696</v>
          </cell>
          <cell r="AC224">
            <v>0.73894424626587696</v>
          </cell>
          <cell r="AD224">
            <v>0.73894424626587696</v>
          </cell>
        </row>
        <row r="225">
          <cell r="X225">
            <v>0.73894424626587696</v>
          </cell>
          <cell r="Y225">
            <v>0.73894424626587696</v>
          </cell>
          <cell r="Z225">
            <v>0.73894424626587696</v>
          </cell>
          <cell r="AA225">
            <v>0.73894424626587696</v>
          </cell>
          <cell r="AB225">
            <v>0.73894424626587696</v>
          </cell>
          <cell r="AC225">
            <v>0.73894424626587696</v>
          </cell>
          <cell r="AD225">
            <v>0.73894424626587696</v>
          </cell>
        </row>
        <row r="226">
          <cell r="X226">
            <v>0.73894424626587696</v>
          </cell>
          <cell r="Y226">
            <v>0.73894424626587696</v>
          </cell>
          <cell r="Z226">
            <v>0.73894424626587696</v>
          </cell>
          <cell r="AA226">
            <v>0.73894424626587696</v>
          </cell>
          <cell r="AB226">
            <v>0.73894424626587696</v>
          </cell>
          <cell r="AC226">
            <v>0.73894424626587696</v>
          </cell>
          <cell r="AD226">
            <v>0.73894424626587696</v>
          </cell>
        </row>
        <row r="227">
          <cell r="X227">
            <v>0.73894424626587696</v>
          </cell>
          <cell r="Y227">
            <v>0.73894424626587696</v>
          </cell>
          <cell r="Z227">
            <v>0.73894424626587696</v>
          </cell>
          <cell r="AA227">
            <v>0.73894424626587696</v>
          </cell>
          <cell r="AB227">
            <v>0.73894424626587696</v>
          </cell>
          <cell r="AC227">
            <v>0.73894424626587696</v>
          </cell>
          <cell r="AD227">
            <v>0.73894424626587696</v>
          </cell>
        </row>
        <row r="228">
          <cell r="X228">
            <v>0.73894424626587696</v>
          </cell>
          <cell r="Y228">
            <v>0.73894424626587696</v>
          </cell>
          <cell r="Z228">
            <v>0.73894424626587696</v>
          </cell>
          <cell r="AA228">
            <v>0.73894424626587696</v>
          </cell>
          <cell r="AB228">
            <v>0.73894424626587696</v>
          </cell>
          <cell r="AC228">
            <v>0.73894424626587696</v>
          </cell>
          <cell r="AD228">
            <v>0.73894424626587696</v>
          </cell>
        </row>
        <row r="229">
          <cell r="X229">
            <v>0.73894424626587696</v>
          </cell>
          <cell r="Y229">
            <v>0.73894424626587696</v>
          </cell>
          <cell r="Z229">
            <v>0.73894424626587696</v>
          </cell>
          <cell r="AA229">
            <v>0.73894424626587696</v>
          </cell>
          <cell r="AB229">
            <v>0.73894424626587696</v>
          </cell>
          <cell r="AC229">
            <v>0.73894424626587696</v>
          </cell>
          <cell r="AD229">
            <v>0.73894424626587696</v>
          </cell>
        </row>
        <row r="230">
          <cell r="X230">
            <v>0.73894424626587696</v>
          </cell>
          <cell r="Y230">
            <v>0.73894424626587696</v>
          </cell>
          <cell r="Z230">
            <v>0.73894424626587696</v>
          </cell>
          <cell r="AA230">
            <v>0.73894424626587696</v>
          </cell>
          <cell r="AB230">
            <v>0.73894424626587696</v>
          </cell>
          <cell r="AC230">
            <v>0.73894424626587696</v>
          </cell>
          <cell r="AD230">
            <v>0.73894424626587696</v>
          </cell>
        </row>
        <row r="231">
          <cell r="X231">
            <v>0.73894424626587696</v>
          </cell>
          <cell r="Y231">
            <v>0.73894424626587696</v>
          </cell>
          <cell r="Z231">
            <v>0.73894424626587696</v>
          </cell>
          <cell r="AA231">
            <v>0.73894424626587696</v>
          </cell>
          <cell r="AB231">
            <v>0.73894424626587696</v>
          </cell>
          <cell r="AC231">
            <v>0.73894424626587696</v>
          </cell>
          <cell r="AD231">
            <v>0.73894424626587696</v>
          </cell>
        </row>
        <row r="232">
          <cell r="X232">
            <v>0.5542081846994078</v>
          </cell>
          <cell r="Y232">
            <v>0.5542081846994078</v>
          </cell>
          <cell r="Z232">
            <v>0.64657621548264232</v>
          </cell>
          <cell r="AA232">
            <v>0.73894424626587696</v>
          </cell>
          <cell r="AB232">
            <v>0.73894424626587696</v>
          </cell>
          <cell r="AC232">
            <v>0.73894424626587696</v>
          </cell>
          <cell r="AD232">
            <v>0.73894424626587696</v>
          </cell>
        </row>
        <row r="233">
          <cell r="X233">
            <v>0.73894424626587696</v>
          </cell>
          <cell r="Y233">
            <v>0.73894424626587696</v>
          </cell>
          <cell r="Z233">
            <v>0.73894424626587696</v>
          </cell>
          <cell r="AA233">
            <v>0.73894424626587696</v>
          </cell>
          <cell r="AB233">
            <v>0.73894424626587696</v>
          </cell>
          <cell r="AC233">
            <v>0.73894424626587696</v>
          </cell>
          <cell r="AD233">
            <v>0.73894424626587696</v>
          </cell>
        </row>
        <row r="234">
          <cell r="X234">
            <v>0.5542081846994078</v>
          </cell>
          <cell r="Y234">
            <v>0.5542081846994078</v>
          </cell>
          <cell r="Z234">
            <v>0.64657621548264232</v>
          </cell>
          <cell r="AA234">
            <v>0.73894424626587696</v>
          </cell>
          <cell r="AB234">
            <v>0.73894424626587696</v>
          </cell>
          <cell r="AC234">
            <v>0.73894424626587696</v>
          </cell>
          <cell r="AD234">
            <v>0.73894424626587696</v>
          </cell>
        </row>
        <row r="235">
          <cell r="X235">
            <v>0.5966974788596956</v>
          </cell>
          <cell r="Y235">
            <v>0.66643534210103783</v>
          </cell>
          <cell r="Z235">
            <v>0.73894424626587696</v>
          </cell>
          <cell r="AA235">
            <v>0.73894424626587696</v>
          </cell>
          <cell r="AB235">
            <v>0.73894424626587696</v>
          </cell>
          <cell r="AC235">
            <v>0.73894424626587696</v>
          </cell>
          <cell r="AD235">
            <v>0.73894424626587696</v>
          </cell>
        </row>
        <row r="236">
          <cell r="X236">
            <v>0.47107695699449653</v>
          </cell>
          <cell r="Y236">
            <v>0.51264257084695219</v>
          </cell>
          <cell r="Z236">
            <v>0.64657621548264232</v>
          </cell>
          <cell r="AA236">
            <v>0.73894424626587696</v>
          </cell>
          <cell r="AB236">
            <v>0.73894424626587696</v>
          </cell>
          <cell r="AC236">
            <v>0.73894424626587696</v>
          </cell>
          <cell r="AD236">
            <v>0.73894424626587696</v>
          </cell>
        </row>
        <row r="237">
          <cell r="Z237">
            <v>0.61240004409284554</v>
          </cell>
          <cell r="AA237">
            <v>0.67497938494848708</v>
          </cell>
          <cell r="AB237">
            <v>0.73894424626587696</v>
          </cell>
          <cell r="AC237">
            <v>0.73894424626587696</v>
          </cell>
          <cell r="AD237">
            <v>0.73894424626587696</v>
          </cell>
        </row>
        <row r="238">
          <cell r="Z238">
            <v>0.48677952222764642</v>
          </cell>
          <cell r="AA238">
            <v>0.60662704216889329</v>
          </cell>
          <cell r="AB238">
            <v>0.73894424626587696</v>
          </cell>
          <cell r="AC238">
            <v>0.73894424626587696</v>
          </cell>
          <cell r="AD238">
            <v>0.73894424626587696</v>
          </cell>
        </row>
        <row r="239">
          <cell r="AB239">
            <v>0.61240004409284554</v>
          </cell>
          <cell r="AC239">
            <v>0.67497938494848708</v>
          </cell>
          <cell r="AD239">
            <v>0.73894424626587696</v>
          </cell>
        </row>
        <row r="240">
          <cell r="AB240">
            <v>0.5181846526939462</v>
          </cell>
          <cell r="AC240">
            <v>0.6237151278637918</v>
          </cell>
          <cell r="AD240">
            <v>0.73894424626587696</v>
          </cell>
        </row>
        <row r="241">
          <cell r="AD241">
            <v>0.61240004409284554</v>
          </cell>
        </row>
        <row r="242">
          <cell r="AD242">
            <v>0.54958978316024598</v>
          </cell>
        </row>
        <row r="253"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</row>
        <row r="255"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</row>
        <row r="256"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</row>
        <row r="257"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</row>
        <row r="258"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</row>
        <row r="259"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</row>
        <row r="260"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</row>
        <row r="261"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</row>
        <row r="262"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</row>
        <row r="263"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</row>
        <row r="264"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</row>
        <row r="265">
          <cell r="X265">
            <v>1153.2669857773035</v>
          </cell>
          <cell r="Y265">
            <v>400.97323055384516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</row>
        <row r="266"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</row>
        <row r="267">
          <cell r="X267">
            <v>1454.8809516876211</v>
          </cell>
          <cell r="Y267">
            <v>1541.6069403862082</v>
          </cell>
          <cell r="Z267">
            <v>1137.9510404761613</v>
          </cell>
          <cell r="AA267">
            <v>534.83044742380105</v>
          </cell>
          <cell r="AB267">
            <v>0</v>
          </cell>
          <cell r="AC267">
            <v>0</v>
          </cell>
          <cell r="AD267">
            <v>0</v>
          </cell>
        </row>
        <row r="268"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</row>
        <row r="269">
          <cell r="X269">
            <v>344.2724730887976</v>
          </cell>
          <cell r="Y269">
            <v>382.98091444418077</v>
          </cell>
          <cell r="Z269">
            <v>902.64384809605872</v>
          </cell>
          <cell r="AA269">
            <v>1175.9804889469415</v>
          </cell>
          <cell r="AB269">
            <v>485.77732136737598</v>
          </cell>
          <cell r="AC269">
            <v>0</v>
          </cell>
          <cell r="AD269">
            <v>0</v>
          </cell>
        </row>
        <row r="270">
          <cell r="X270">
            <v>0</v>
          </cell>
          <cell r="Y270">
            <v>551.9482584179799</v>
          </cell>
          <cell r="Z270">
            <v>609.04637535647316</v>
          </cell>
          <cell r="AA270">
            <v>880.2623393824025</v>
          </cell>
          <cell r="AB270">
            <v>1102.0838990143852</v>
          </cell>
          <cell r="AC270">
            <v>968.64418319791343</v>
          </cell>
          <cell r="AD270">
            <v>0</v>
          </cell>
        </row>
        <row r="271">
          <cell r="X271">
            <v>0</v>
          </cell>
          <cell r="Y271">
            <v>0</v>
          </cell>
          <cell r="Z271">
            <v>135.74874190078955</v>
          </cell>
          <cell r="AA271">
            <v>793.67141169833178</v>
          </cell>
          <cell r="AB271">
            <v>1607.5565456994664</v>
          </cell>
          <cell r="AC271">
            <v>2175.3020241437771</v>
          </cell>
          <cell r="AD271">
            <v>854.19853145443778</v>
          </cell>
        </row>
        <row r="272">
          <cell r="X272">
            <v>0</v>
          </cell>
          <cell r="Y272">
            <v>0</v>
          </cell>
          <cell r="Z272">
            <v>235.99340362563154</v>
          </cell>
          <cell r="AA272">
            <v>272.86736633642028</v>
          </cell>
          <cell r="AB272">
            <v>349.23918022594307</v>
          </cell>
          <cell r="AC272">
            <v>1462.657836004948</v>
          </cell>
          <cell r="AD272">
            <v>1312.6416265402406</v>
          </cell>
        </row>
        <row r="273"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787.47556652213018</v>
          </cell>
        </row>
        <row r="274"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520.8651973121456</v>
          </cell>
          <cell r="AC274">
            <v>1989.1349827707927</v>
          </cell>
          <cell r="AD274">
            <v>1882.8230121585113</v>
          </cell>
        </row>
        <row r="275"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281.77149020313198</v>
          </cell>
        </row>
        <row r="276"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356.19695849887142</v>
          </cell>
        </row>
        <row r="277"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</row>
        <row r="278"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</row>
        <row r="279"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</row>
        <row r="280"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</row>
        <row r="281"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</row>
        <row r="282"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</row>
        <row r="283"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</row>
        <row r="284"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</row>
        <row r="291">
          <cell r="X291">
            <v>2952.4204105537219</v>
          </cell>
          <cell r="Y291">
            <v>2877.5093438022141</v>
          </cell>
          <cell r="Z291">
            <v>3021.3834094551139</v>
          </cell>
          <cell r="AA291">
            <v>3657.6120537878969</v>
          </cell>
          <cell r="AB291">
            <v>4065.522143619316</v>
          </cell>
          <cell r="AC291">
            <v>6595.7390261174314</v>
          </cell>
          <cell r="AD291">
            <v>5475.1071853773228</v>
          </cell>
        </row>
        <row r="307">
          <cell r="X307">
            <v>0.95</v>
          </cell>
          <cell r="Z307">
            <v>0.8</v>
          </cell>
          <cell r="AA307">
            <v>0.92500000000000004</v>
          </cell>
          <cell r="AB307">
            <v>0.95</v>
          </cell>
          <cell r="AC307">
            <v>0.97499999999999998</v>
          </cell>
          <cell r="AD307">
            <v>0.875</v>
          </cell>
        </row>
        <row r="308">
          <cell r="X308">
            <v>0.95</v>
          </cell>
          <cell r="Z308">
            <v>0.8</v>
          </cell>
          <cell r="AA308">
            <v>0.92500000000000004</v>
          </cell>
          <cell r="AB308">
            <v>0.95</v>
          </cell>
          <cell r="AC308">
            <v>0.97499999999999998</v>
          </cell>
          <cell r="AD308">
            <v>0.875</v>
          </cell>
        </row>
        <row r="309">
          <cell r="X309">
            <v>0.95</v>
          </cell>
          <cell r="Z309">
            <v>0.8</v>
          </cell>
          <cell r="AA309">
            <v>0.92500000000000004</v>
          </cell>
          <cell r="AB309">
            <v>0.95</v>
          </cell>
          <cell r="AC309">
            <v>0.97499999999999998</v>
          </cell>
          <cell r="AD309">
            <v>0.875</v>
          </cell>
        </row>
        <row r="310">
          <cell r="X310">
            <v>0.95</v>
          </cell>
          <cell r="Z310">
            <v>0.8</v>
          </cell>
          <cell r="AA310">
            <v>0.92500000000000004</v>
          </cell>
          <cell r="AB310">
            <v>0.95</v>
          </cell>
          <cell r="AC310">
            <v>0.97499999999999998</v>
          </cell>
          <cell r="AD310">
            <v>0.875</v>
          </cell>
        </row>
        <row r="311">
          <cell r="X311">
            <v>0.95</v>
          </cell>
          <cell r="Z311">
            <v>0.8</v>
          </cell>
          <cell r="AA311">
            <v>0.92500000000000004</v>
          </cell>
          <cell r="AB311">
            <v>0.95</v>
          </cell>
          <cell r="AC311">
            <v>0.97499999999999998</v>
          </cell>
          <cell r="AD311">
            <v>0.875</v>
          </cell>
        </row>
        <row r="312">
          <cell r="X312">
            <v>0.95</v>
          </cell>
          <cell r="Z312">
            <v>0.8</v>
          </cell>
          <cell r="AA312">
            <v>0.92500000000000004</v>
          </cell>
          <cell r="AB312">
            <v>0.95</v>
          </cell>
          <cell r="AC312">
            <v>0.97499999999999998</v>
          </cell>
          <cell r="AD312">
            <v>0.875</v>
          </cell>
        </row>
        <row r="313">
          <cell r="X313">
            <v>0.95</v>
          </cell>
          <cell r="Z313">
            <v>0.8</v>
          </cell>
          <cell r="AA313">
            <v>0.92500000000000004</v>
          </cell>
          <cell r="AB313">
            <v>0.95</v>
          </cell>
          <cell r="AC313">
            <v>0.97499999999999998</v>
          </cell>
          <cell r="AD313">
            <v>0.875</v>
          </cell>
        </row>
        <row r="314">
          <cell r="X314">
            <v>0.95</v>
          </cell>
          <cell r="Z314">
            <v>0.8</v>
          </cell>
          <cell r="AA314">
            <v>0.92500000000000004</v>
          </cell>
          <cell r="AB314">
            <v>0.95</v>
          </cell>
          <cell r="AC314">
            <v>0.97499999999999998</v>
          </cell>
          <cell r="AD314">
            <v>0.875</v>
          </cell>
        </row>
        <row r="315">
          <cell r="X315">
            <v>0.95</v>
          </cell>
          <cell r="Z315">
            <v>0.8</v>
          </cell>
          <cell r="AA315">
            <v>0.92500000000000004</v>
          </cell>
          <cell r="AB315">
            <v>0.95</v>
          </cell>
          <cell r="AC315">
            <v>0.97499999999999998</v>
          </cell>
          <cell r="AD315">
            <v>0.875</v>
          </cell>
        </row>
        <row r="316">
          <cell r="X316">
            <v>0.95</v>
          </cell>
          <cell r="Z316">
            <v>0.8</v>
          </cell>
          <cell r="AA316">
            <v>0.92500000000000004</v>
          </cell>
          <cell r="AB316">
            <v>0.95</v>
          </cell>
          <cell r="AC316">
            <v>0.97499999999999998</v>
          </cell>
          <cell r="AD316">
            <v>0.875</v>
          </cell>
        </row>
        <row r="317">
          <cell r="X317">
            <v>0.95</v>
          </cell>
          <cell r="Z317">
            <v>0.8</v>
          </cell>
          <cell r="AA317">
            <v>0.92500000000000004</v>
          </cell>
          <cell r="AB317">
            <v>0.95</v>
          </cell>
          <cell r="AC317">
            <v>0.97499999999999998</v>
          </cell>
          <cell r="AD317">
            <v>0.875</v>
          </cell>
        </row>
        <row r="318">
          <cell r="X318">
            <v>0.95</v>
          </cell>
          <cell r="Z318">
            <v>0.8</v>
          </cell>
          <cell r="AA318">
            <v>0.92500000000000004</v>
          </cell>
          <cell r="AB318">
            <v>0.95</v>
          </cell>
          <cell r="AC318">
            <v>0.97499999999999998</v>
          </cell>
          <cell r="AD318">
            <v>0.875</v>
          </cell>
        </row>
        <row r="319">
          <cell r="X319">
            <v>0.95</v>
          </cell>
          <cell r="Z319">
            <v>0.8</v>
          </cell>
          <cell r="AA319">
            <v>0.92500000000000004</v>
          </cell>
          <cell r="AB319">
            <v>0.95</v>
          </cell>
          <cell r="AC319">
            <v>0.97499999999999998</v>
          </cell>
          <cell r="AD319">
            <v>0.875</v>
          </cell>
        </row>
        <row r="1377">
          <cell r="X1377">
            <v>0.96512372960985138</v>
          </cell>
          <cell r="Y1377">
            <v>0.97931932841768232</v>
          </cell>
        </row>
        <row r="1378"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</row>
        <row r="1379">
          <cell r="X1379">
            <v>0.88299596240534706</v>
          </cell>
          <cell r="Y1379">
            <v>0.94571551394843056</v>
          </cell>
          <cell r="Z1379">
            <v>0.96806818332199251</v>
          </cell>
          <cell r="AA1379">
            <v>0.9783909026069143</v>
          </cell>
        </row>
        <row r="1380"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</row>
        <row r="1381">
          <cell r="X1381">
            <v>0.82263387387379594</v>
          </cell>
          <cell r="Y1381">
            <v>0.85257925621138664</v>
          </cell>
          <cell r="Z1381">
            <v>0.93210430706334269</v>
          </cell>
          <cell r="AA1381">
            <v>0.96886422571931397</v>
          </cell>
          <cell r="AB1381">
            <v>0.96290071939815458</v>
          </cell>
        </row>
        <row r="1382">
          <cell r="X1382">
            <v>0</v>
          </cell>
          <cell r="Y1382">
            <v>0.65624997711372401</v>
          </cell>
          <cell r="Z1382">
            <v>0.65625000000000011</v>
          </cell>
          <cell r="AA1382">
            <v>0.82031250000000011</v>
          </cell>
          <cell r="AB1382">
            <v>0.99999998339751839</v>
          </cell>
          <cell r="AC1382">
            <v>0.99999998166589188</v>
          </cell>
        </row>
        <row r="1383">
          <cell r="X1383">
            <v>0</v>
          </cell>
          <cell r="Y1383">
            <v>0</v>
          </cell>
          <cell r="Z1383">
            <v>0.90187497852107623</v>
          </cell>
          <cell r="AA1383">
            <v>0.92132551803003582</v>
          </cell>
          <cell r="AB1383">
            <v>0.94054045444275047</v>
          </cell>
          <cell r="AC1383">
            <v>0.9585070804794108</v>
          </cell>
          <cell r="AD1383">
            <v>0.95345542835374475</v>
          </cell>
        </row>
        <row r="1384">
          <cell r="X1384">
            <v>0</v>
          </cell>
          <cell r="Y1384">
            <v>0</v>
          </cell>
          <cell r="Z1384">
            <v>0.65875001594736549</v>
          </cell>
          <cell r="AA1384">
            <v>0.65875000000000017</v>
          </cell>
          <cell r="AB1384">
            <v>0.82093754186181611</v>
          </cell>
          <cell r="AC1384">
            <v>0.84409170805176614</v>
          </cell>
          <cell r="AD1384">
            <v>0.84409169444711418</v>
          </cell>
        </row>
        <row r="1385"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0.95062502925064718</v>
          </cell>
        </row>
        <row r="1386"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0.70124999211967565</v>
          </cell>
          <cell r="AC1386">
            <v>0.73183021437264106</v>
          </cell>
          <cell r="AD1386">
            <v>0.77188418140689075</v>
          </cell>
        </row>
        <row r="1387"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0.9018750387593617</v>
          </cell>
        </row>
        <row r="1388"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0.74375000087683785</v>
          </cell>
        </row>
        <row r="1389"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</row>
        <row r="1611">
          <cell r="X1611">
            <v>3244.3304092964181</v>
          </cell>
          <cell r="Y1611">
            <v>2775.9406504892258</v>
          </cell>
          <cell r="Z1611">
            <v>3003.0655187813832</v>
          </cell>
          <cell r="AA1611">
            <v>2965.316727524998</v>
          </cell>
          <cell r="AB1611">
            <v>2971.7381476612886</v>
          </cell>
          <cell r="AC1611">
            <v>3273.5622597838496</v>
          </cell>
          <cell r="AD1611">
            <v>3499.7390059126237</v>
          </cell>
        </row>
        <row r="1615">
          <cell r="B1615">
            <v>2</v>
          </cell>
          <cell r="C1615">
            <v>90</v>
          </cell>
        </row>
        <row r="1616">
          <cell r="B1616">
            <v>2</v>
          </cell>
          <cell r="C1616">
            <v>135</v>
          </cell>
        </row>
        <row r="1617">
          <cell r="B1617">
            <v>1.4</v>
          </cell>
          <cell r="C1617">
            <v>90</v>
          </cell>
        </row>
        <row r="1618">
          <cell r="B1618">
            <v>1.4</v>
          </cell>
          <cell r="C1618">
            <v>135</v>
          </cell>
        </row>
        <row r="1619">
          <cell r="B1619">
            <v>1</v>
          </cell>
          <cell r="C1619">
            <v>90</v>
          </cell>
        </row>
        <row r="1620">
          <cell r="B1620">
            <v>1</v>
          </cell>
          <cell r="C1620">
            <v>135</v>
          </cell>
        </row>
        <row r="1621">
          <cell r="B1621">
            <v>0.7</v>
          </cell>
          <cell r="C1621">
            <v>135</v>
          </cell>
        </row>
        <row r="1622">
          <cell r="B1622">
            <v>0.7</v>
          </cell>
          <cell r="C1622">
            <v>200</v>
          </cell>
        </row>
        <row r="1623">
          <cell r="B1623">
            <v>0.5</v>
          </cell>
          <cell r="C1623">
            <v>135</v>
          </cell>
        </row>
        <row r="1624">
          <cell r="B1624">
            <v>0.5</v>
          </cell>
          <cell r="C1624">
            <v>200</v>
          </cell>
        </row>
        <row r="1625">
          <cell r="B1625">
            <v>0.35</v>
          </cell>
          <cell r="C1625">
            <v>135</v>
          </cell>
        </row>
        <row r="1626">
          <cell r="B1626">
            <v>0.35</v>
          </cell>
          <cell r="C1626">
            <v>200</v>
          </cell>
        </row>
        <row r="1627">
          <cell r="B1627">
            <v>0.25</v>
          </cell>
          <cell r="C1627">
            <v>200</v>
          </cell>
          <cell r="X1627">
            <v>8.7537985839575043</v>
          </cell>
          <cell r="Y1627">
            <v>8.7537985839575043</v>
          </cell>
          <cell r="Z1627">
            <v>8.7537985839575043</v>
          </cell>
          <cell r="AA1627">
            <v>8.7537985839575043</v>
          </cell>
          <cell r="AB1627">
            <v>8.7537985839575043</v>
          </cell>
          <cell r="AC1627">
            <v>8.7537985839575043</v>
          </cell>
          <cell r="AD1627">
            <v>8.7537985839575043</v>
          </cell>
        </row>
        <row r="1628">
          <cell r="B1628">
            <v>0.25</v>
          </cell>
          <cell r="C1628">
            <v>300</v>
          </cell>
          <cell r="X1628">
            <v>8.7537985839575043</v>
          </cell>
          <cell r="Y1628">
            <v>8.7537985839575043</v>
          </cell>
          <cell r="Z1628">
            <v>8.7537985839575043</v>
          </cell>
          <cell r="AA1628">
            <v>8.7537985839575043</v>
          </cell>
          <cell r="AB1628">
            <v>8.7537985839575043</v>
          </cell>
          <cell r="AC1628">
            <v>8.7537985839575043</v>
          </cell>
          <cell r="AD1628">
            <v>8.7537985839575043</v>
          </cell>
        </row>
        <row r="1629">
          <cell r="B1629">
            <v>0.18</v>
          </cell>
          <cell r="C1629">
            <v>200</v>
          </cell>
          <cell r="X1629">
            <v>3.9642612648450943</v>
          </cell>
          <cell r="Y1629">
            <v>3.9642612648450943</v>
          </cell>
          <cell r="Z1629">
            <v>3.9642612648450943</v>
          </cell>
          <cell r="AA1629">
            <v>3.9642612648450943</v>
          </cell>
          <cell r="AB1629">
            <v>3.9642612648450943</v>
          </cell>
          <cell r="AC1629">
            <v>3.9642612648450943</v>
          </cell>
          <cell r="AD1629">
            <v>3.9642612648450943</v>
          </cell>
        </row>
        <row r="1630">
          <cell r="B1630">
            <v>0.18</v>
          </cell>
          <cell r="C1630">
            <v>300</v>
          </cell>
          <cell r="X1630">
            <v>3.9642612648450943</v>
          </cell>
          <cell r="Y1630">
            <v>3.9642612648450943</v>
          </cell>
          <cell r="Z1630">
            <v>3.9642612648450943</v>
          </cell>
          <cell r="AA1630">
            <v>3.9642612648450943</v>
          </cell>
          <cell r="AB1630">
            <v>3.9642612648450943</v>
          </cell>
          <cell r="AC1630">
            <v>3.9642612648450943</v>
          </cell>
          <cell r="AD1630">
            <v>3.9642612648450943</v>
          </cell>
        </row>
        <row r="1631">
          <cell r="B1631">
            <v>0.13</v>
          </cell>
          <cell r="C1631">
            <v>200</v>
          </cell>
          <cell r="X1631">
            <v>2.6677499999999998</v>
          </cell>
          <cell r="Y1631">
            <v>2.1884496459893761</v>
          </cell>
          <cell r="Z1631">
            <v>1.7952626194474841</v>
          </cell>
          <cell r="AA1631">
            <v>1.7952626194474841</v>
          </cell>
          <cell r="AB1631">
            <v>1.7952626194474841</v>
          </cell>
          <cell r="AC1631">
            <v>1.7952626194474841</v>
          </cell>
          <cell r="AD1631">
            <v>1.7952626194474841</v>
          </cell>
        </row>
        <row r="1632">
          <cell r="B1632">
            <v>0.13</v>
          </cell>
          <cell r="C1632">
            <v>300</v>
          </cell>
          <cell r="X1632">
            <v>2.6677499999999998</v>
          </cell>
          <cell r="Y1632">
            <v>2.1884496459893761</v>
          </cell>
          <cell r="Z1632">
            <v>1.7952626194474841</v>
          </cell>
          <cell r="AA1632">
            <v>1.7952626194474841</v>
          </cell>
          <cell r="AB1632">
            <v>1.7952626194474841</v>
          </cell>
          <cell r="AC1632">
            <v>1.7952626194474841</v>
          </cell>
          <cell r="AD1632">
            <v>1.7952626194474841</v>
          </cell>
        </row>
        <row r="1633">
          <cell r="B1633">
            <v>0.09</v>
          </cell>
          <cell r="C1633">
            <v>200</v>
          </cell>
          <cell r="Z1633">
            <v>1.3338750000000001</v>
          </cell>
          <cell r="AA1633">
            <v>1.0942248229946883</v>
          </cell>
          <cell r="AB1633">
            <v>0.89763130972374228</v>
          </cell>
          <cell r="AC1633">
            <v>0.89763130972374228</v>
          </cell>
          <cell r="AD1633">
            <v>0.89763130972374228</v>
          </cell>
        </row>
        <row r="1634">
          <cell r="B1634">
            <v>0.09</v>
          </cell>
          <cell r="C1634">
            <v>300</v>
          </cell>
          <cell r="Z1634">
            <v>1.3338750000000001</v>
          </cell>
          <cell r="AA1634">
            <v>1.0942248229946883</v>
          </cell>
          <cell r="AB1634">
            <v>0.89763130972374228</v>
          </cell>
          <cell r="AC1634">
            <v>0.89763130972374228</v>
          </cell>
          <cell r="AD1634">
            <v>0.89763130972374228</v>
          </cell>
        </row>
        <row r="1635">
          <cell r="B1635">
            <v>6.5000000000000002E-2</v>
          </cell>
          <cell r="C1635">
            <v>200</v>
          </cell>
          <cell r="AB1635">
            <v>0.66693750000000029</v>
          </cell>
          <cell r="AC1635">
            <v>0.54711241149734424</v>
          </cell>
          <cell r="AD1635">
            <v>0.44881565486187119</v>
          </cell>
        </row>
        <row r="1636">
          <cell r="B1636">
            <v>6.5000000000000002E-2</v>
          </cell>
          <cell r="C1636">
            <v>300</v>
          </cell>
          <cell r="AB1636">
            <v>0.66693750000000029</v>
          </cell>
          <cell r="AC1636">
            <v>0.54711241149734424</v>
          </cell>
          <cell r="AD1636">
            <v>0.44881565486187119</v>
          </cell>
        </row>
        <row r="1637">
          <cell r="B1637">
            <v>4.4999999999999998E-2</v>
          </cell>
          <cell r="C1637">
            <v>200</v>
          </cell>
          <cell r="AD1637">
            <v>0.3334687500000002</v>
          </cell>
        </row>
        <row r="1638">
          <cell r="B1638">
            <v>4.4999999999999998E-2</v>
          </cell>
          <cell r="C1638">
            <v>300</v>
          </cell>
          <cell r="AD1638">
            <v>0.3334687500000002</v>
          </cell>
        </row>
        <row r="1639">
          <cell r="B1639">
            <v>0.03</v>
          </cell>
          <cell r="C1639">
            <v>200</v>
          </cell>
        </row>
        <row r="1640">
          <cell r="B1640">
            <v>0.03</v>
          </cell>
          <cell r="C1640">
            <v>300</v>
          </cell>
        </row>
        <row r="1641">
          <cell r="B1641">
            <v>0.02</v>
          </cell>
          <cell r="C1641">
            <v>200</v>
          </cell>
        </row>
        <row r="1642">
          <cell r="B1642">
            <v>0.02</v>
          </cell>
          <cell r="C1642">
            <v>300</v>
          </cell>
        </row>
        <row r="1643">
          <cell r="B1643">
            <v>1.4999999999999999E-2</v>
          </cell>
          <cell r="C1643">
            <v>200</v>
          </cell>
        </row>
        <row r="1644">
          <cell r="B1644">
            <v>1.4999999999999999E-2</v>
          </cell>
          <cell r="C1644">
            <v>300</v>
          </cell>
        </row>
        <row r="1645">
          <cell r="B1645">
            <v>0.01</v>
          </cell>
          <cell r="C1645">
            <v>200</v>
          </cell>
        </row>
        <row r="1646">
          <cell r="B1646">
            <v>0.01</v>
          </cell>
          <cell r="C1646">
            <v>300</v>
          </cell>
        </row>
        <row r="1687">
          <cell r="X1687">
            <v>44.554767607442372</v>
          </cell>
          <cell r="Y1687">
            <v>56.712594929636438</v>
          </cell>
          <cell r="Z1687">
            <v>95.145001980167478</v>
          </cell>
          <cell r="AA1687">
            <v>158.69149748632196</v>
          </cell>
          <cell r="AB1687">
            <v>266.91334088637319</v>
          </cell>
          <cell r="AC1687">
            <v>566.11667477917968</v>
          </cell>
          <cell r="AD1687">
            <v>728.47493006733237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Trends0301"/>
      <sheetName val="Trends_adjt"/>
      <sheetName val="Trends1001"/>
      <sheetName val="Die Sizes"/>
      <sheetName val="Trends"/>
      <sheetName val="VAREA"/>
      <sheetName val="VUNITS"/>
      <sheetName val="VREV"/>
      <sheetName val="LineWidth_overview"/>
      <sheetName val="DieSize_over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14">
          <cell r="K2214">
            <v>39543.591999999997</v>
          </cell>
          <cell r="L2214">
            <v>18793.993000000002</v>
          </cell>
          <cell r="M2214">
            <v>24656.680369984198</v>
          </cell>
          <cell r="N2214">
            <v>34696.56799999949</v>
          </cell>
          <cell r="O2214">
            <v>47582.486211273688</v>
          </cell>
          <cell r="P2214">
            <v>42087.532087261359</v>
          </cell>
          <cell r="Q2214">
            <v>55488.426247246331</v>
          </cell>
        </row>
        <row r="2216">
          <cell r="K2216">
            <v>5860.9859999999999</v>
          </cell>
          <cell r="L2216">
            <v>5497.0119999999997</v>
          </cell>
          <cell r="M2216">
            <v>6209.4464860862299</v>
          </cell>
          <cell r="N2216">
            <v>7846.9523724278806</v>
          </cell>
          <cell r="O2216">
            <v>9834.9584680926619</v>
          </cell>
          <cell r="P2216">
            <v>13191.056054997376</v>
          </cell>
          <cell r="Q2216">
            <v>15160.616863525145</v>
          </cell>
        </row>
        <row r="2218">
          <cell r="K2218">
            <v>12901.774931596228</v>
          </cell>
          <cell r="L2218">
            <v>12698.512012157957</v>
          </cell>
          <cell r="M2218">
            <v>13766.639550761141</v>
          </cell>
          <cell r="N2218">
            <v>17204.023922540342</v>
          </cell>
          <cell r="O2218">
            <v>19014.03664047677</v>
          </cell>
          <cell r="P2218">
            <v>23602.177097520063</v>
          </cell>
          <cell r="Q2218">
            <v>22904.986360816067</v>
          </cell>
        </row>
        <row r="2220">
          <cell r="K2220">
            <v>0.23996576105836923</v>
          </cell>
          <cell r="L2220">
            <v>0.21747418830281989</v>
          </cell>
          <cell r="M2220">
            <v>0.17625470720352907</v>
          </cell>
          <cell r="N2220">
            <v>0.14702776476605478</v>
          </cell>
          <cell r="O2220">
            <v>0.13639390827675116</v>
          </cell>
          <cell r="P2220">
            <v>0.11481337137047143</v>
          </cell>
          <cell r="Q2220">
            <v>0.10460712198863541</v>
          </cell>
        </row>
        <row r="2221">
          <cell r="K2221">
            <v>0.70719267174951572</v>
          </cell>
          <cell r="L2221">
            <v>0.7005308468328918</v>
          </cell>
          <cell r="M2221">
            <v>0.71090288469467144</v>
          </cell>
          <cell r="N2221">
            <v>0.73866965829702835</v>
          </cell>
          <cell r="O2221">
            <v>0.71866797153044459</v>
          </cell>
          <cell r="P2221">
            <v>0.72872238921565013</v>
          </cell>
          <cell r="Q2221">
            <v>0.80804657013018488</v>
          </cell>
        </row>
        <row r="2222">
          <cell r="K2222">
            <v>48.906479531762372</v>
          </cell>
          <cell r="L2222">
            <v>50.83973584194468</v>
          </cell>
          <cell r="M2222">
            <v>49.514819713383503</v>
          </cell>
          <cell r="N2222">
            <v>50.877897269886574</v>
          </cell>
          <cell r="O2222">
            <v>43.649568941143329</v>
          </cell>
          <cell r="P2222">
            <v>40.962314204370671</v>
          </cell>
          <cell r="Q2222">
            <v>38.353007812049874</v>
          </cell>
        </row>
        <row r="2226">
          <cell r="K2226">
            <v>3064.9730141515965</v>
          </cell>
          <cell r="L2226">
            <v>1480.0153736127538</v>
          </cell>
          <cell r="M2226">
            <v>1791.0456854099125</v>
          </cell>
          <cell r="N2226">
            <v>2016.770504169132</v>
          </cell>
          <cell r="O2226">
            <v>2502.4926116940824</v>
          </cell>
          <cell r="P2226">
            <v>1783.20550317723</v>
          </cell>
          <cell r="Q2226">
            <v>2422.5478842533294</v>
          </cell>
        </row>
        <row r="2227">
          <cell r="K2227">
            <v>9.7561121129098431</v>
          </cell>
          <cell r="L2227">
            <v>4.7110352512493616</v>
          </cell>
          <cell r="M2227">
            <v>5.7010754827279859</v>
          </cell>
          <cell r="N2227">
            <v>6.4195798964090249</v>
          </cell>
          <cell r="O2227">
            <v>7.9656813840412042</v>
          </cell>
          <cell r="P2227">
            <v>5.6761194075865324</v>
          </cell>
          <cell r="Q2227">
            <v>7.7112094131146023</v>
          </cell>
        </row>
      </sheetData>
      <sheetData sheetId="22"/>
      <sheetData sheetId="23"/>
      <sheetData sheetId="24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2.75" x14ac:dyDescent="0.2"/>
  <sheetData>
    <row r="1" spans="1:1" ht="27" x14ac:dyDescent="0.45">
      <c r="A1" s="48" t="s">
        <v>207</v>
      </c>
    </row>
    <row r="2" spans="1:1" ht="21" x14ac:dyDescent="0.35">
      <c r="A2" s="49" t="s">
        <v>196</v>
      </c>
    </row>
    <row r="4" spans="1:1" x14ac:dyDescent="0.2">
      <c r="A4" t="s">
        <v>197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2.75" x14ac:dyDescent="0.25"/>
  <cols>
    <col min="1" max="16384" width="8.85546875" style="1"/>
  </cols>
  <sheetData>
    <row r="1" spans="1:17" x14ac:dyDescent="0.25">
      <c r="C1" s="1">
        <v>2000</v>
      </c>
      <c r="D1" s="28">
        <v>2001</v>
      </c>
      <c r="E1" s="28">
        <v>2002</v>
      </c>
      <c r="F1" s="28">
        <v>2003</v>
      </c>
      <c r="G1" s="28">
        <v>2004</v>
      </c>
      <c r="H1" s="28">
        <v>2005</v>
      </c>
      <c r="I1" s="28">
        <v>2006</v>
      </c>
      <c r="K1" s="1">
        <v>2000</v>
      </c>
      <c r="L1" s="28">
        <v>2001</v>
      </c>
      <c r="M1" s="28">
        <v>2002</v>
      </c>
      <c r="N1" s="28">
        <v>2003</v>
      </c>
      <c r="O1" s="28">
        <v>2004</v>
      </c>
      <c r="P1" s="28">
        <v>2005</v>
      </c>
      <c r="Q1" s="28">
        <v>2006</v>
      </c>
    </row>
    <row r="2" spans="1:17" x14ac:dyDescent="0.25">
      <c r="A2" s="26"/>
      <c r="B2" s="21"/>
    </row>
    <row r="3" spans="1:17" x14ac:dyDescent="0.25">
      <c r="A3" s="25" t="s">
        <v>117</v>
      </c>
      <c r="B3" s="21"/>
      <c r="J3" s="1" t="s">
        <v>129</v>
      </c>
    </row>
    <row r="4" spans="1:17" x14ac:dyDescent="0.25">
      <c r="A4" s="22">
        <v>0.25</v>
      </c>
      <c r="B4" s="23">
        <v>200</v>
      </c>
      <c r="C4" s="1">
        <f>+[1]LEM!X265/[1]LEM!X$291</f>
        <v>0.39061746818130483</v>
      </c>
      <c r="D4" s="1">
        <f>+[1]LEM!Y265/[1]LEM!Y$291</f>
        <v>0.13934732528931315</v>
      </c>
      <c r="E4" s="1">
        <f>+[1]LEM!Z265/[1]LEM!Z$291</f>
        <v>0</v>
      </c>
      <c r="F4" s="1">
        <f>+[1]LEM!AA265/[1]LEM!AA$291</f>
        <v>0</v>
      </c>
      <c r="G4" s="1">
        <f>+[1]LEM!AB265/[1]LEM!AB$291</f>
        <v>0</v>
      </c>
      <c r="H4" s="1">
        <f>+[1]LEM!AC265/[1]LEM!AC$291</f>
        <v>0</v>
      </c>
      <c r="I4" s="1">
        <f>+[1]LEM!AD265/[1]LEM!AD$291</f>
        <v>0</v>
      </c>
      <c r="K4" s="35">
        <f>+[1]LEM!X265</f>
        <v>1153.2669857773035</v>
      </c>
      <c r="L4" s="35">
        <f>+[1]LEM!Y265</f>
        <v>400.97323055384516</v>
      </c>
      <c r="M4" s="35">
        <f>+[1]LEM!Z265</f>
        <v>0</v>
      </c>
      <c r="N4" s="35">
        <f>+[1]LEM!AA265</f>
        <v>0</v>
      </c>
      <c r="O4" s="35">
        <f>+[1]LEM!AB265</f>
        <v>0</v>
      </c>
      <c r="P4" s="35">
        <f>+[1]LEM!AC265</f>
        <v>0</v>
      </c>
      <c r="Q4" s="35">
        <f>+[1]LEM!AD265</f>
        <v>0</v>
      </c>
    </row>
    <row r="5" spans="1:17" x14ac:dyDescent="0.25">
      <c r="A5" s="22">
        <v>0.25</v>
      </c>
      <c r="B5" s="23">
        <v>300</v>
      </c>
      <c r="C5" s="1">
        <f>+[1]LEM!X266/[1]LEM!X$291</f>
        <v>0</v>
      </c>
      <c r="D5" s="1">
        <f>+[1]LEM!Y266/[1]LEM!Y$291</f>
        <v>0</v>
      </c>
      <c r="E5" s="1">
        <f>+[1]LEM!Z266/[1]LEM!Z$291</f>
        <v>0</v>
      </c>
      <c r="F5" s="1">
        <f>+[1]LEM!AA266/[1]LEM!AA$291</f>
        <v>0</v>
      </c>
      <c r="G5" s="1">
        <f>+[1]LEM!AB266/[1]LEM!AB$291</f>
        <v>0</v>
      </c>
      <c r="H5" s="1">
        <f>+[1]LEM!AC266/[1]LEM!AC$291</f>
        <v>0</v>
      </c>
      <c r="I5" s="1">
        <f>+[1]LEM!AD266/[1]LEM!AD$291</f>
        <v>0</v>
      </c>
      <c r="K5" s="35">
        <f>+[1]LEM!X266</f>
        <v>0</v>
      </c>
      <c r="L5" s="35">
        <f>+[1]LEM!Y266</f>
        <v>0</v>
      </c>
      <c r="M5" s="35">
        <f>+[1]LEM!Z266</f>
        <v>0</v>
      </c>
      <c r="N5" s="35">
        <f>+[1]LEM!AA266</f>
        <v>0</v>
      </c>
      <c r="O5" s="35">
        <f>+[1]LEM!AB266</f>
        <v>0</v>
      </c>
      <c r="P5" s="35">
        <f>+[1]LEM!AC266</f>
        <v>0</v>
      </c>
      <c r="Q5" s="35">
        <f>+[1]LEM!AD266</f>
        <v>0</v>
      </c>
    </row>
    <row r="6" spans="1:17" x14ac:dyDescent="0.25">
      <c r="A6" s="22">
        <v>0.18</v>
      </c>
      <c r="B6" s="23">
        <v>200</v>
      </c>
      <c r="C6" s="1">
        <f>+[1]LEM!X267/[1]LEM!X$291</f>
        <v>0.49277567194936184</v>
      </c>
      <c r="D6" s="1">
        <f>+[1]LEM!Y267/[1]LEM!Y$291</f>
        <v>0.53574350460638176</v>
      </c>
      <c r="E6" s="1">
        <f>+[1]LEM!Z267/[1]LEM!Z$291</f>
        <v>0.37663245151709596</v>
      </c>
      <c r="F6" s="1">
        <f>+[1]LEM!AA267/[1]LEM!AA$291</f>
        <v>0.14622394052696755</v>
      </c>
      <c r="G6" s="1">
        <f>+[1]LEM!AB267/[1]LEM!AB$291</f>
        <v>0</v>
      </c>
      <c r="H6" s="1">
        <f>+[1]LEM!AC267/[1]LEM!AC$291</f>
        <v>0</v>
      </c>
      <c r="I6" s="1">
        <f>+[1]LEM!AD267/[1]LEM!AD$291</f>
        <v>0</v>
      </c>
      <c r="K6" s="35">
        <f>+[1]LEM!X267</f>
        <v>1454.8809516876211</v>
      </c>
      <c r="L6" s="35">
        <f>+[1]LEM!Y267</f>
        <v>1541.6069403862082</v>
      </c>
      <c r="M6" s="35">
        <f>+[1]LEM!Z267</f>
        <v>1137.9510404761613</v>
      </c>
      <c r="N6" s="35">
        <f>+[1]LEM!AA267</f>
        <v>534.83044742380105</v>
      </c>
      <c r="O6" s="35">
        <f>+[1]LEM!AB267</f>
        <v>0</v>
      </c>
      <c r="P6" s="35">
        <f>+[1]LEM!AC267</f>
        <v>0</v>
      </c>
      <c r="Q6" s="35">
        <f>+[1]LEM!AD267</f>
        <v>0</v>
      </c>
    </row>
    <row r="7" spans="1:17" x14ac:dyDescent="0.25">
      <c r="A7" s="22">
        <v>0.18</v>
      </c>
      <c r="B7" s="23">
        <v>300</v>
      </c>
      <c r="C7" s="1">
        <f>+[1]LEM!X268/[1]LEM!X$291</f>
        <v>0</v>
      </c>
      <c r="D7" s="1">
        <f>+[1]LEM!Y268/[1]LEM!Y$291</f>
        <v>0</v>
      </c>
      <c r="E7" s="1">
        <f>+[1]LEM!Z268/[1]LEM!Z$291</f>
        <v>0</v>
      </c>
      <c r="F7" s="1">
        <f>+[1]LEM!AA268/[1]LEM!AA$291</f>
        <v>0</v>
      </c>
      <c r="G7" s="1">
        <f>+[1]LEM!AB268/[1]LEM!AB$291</f>
        <v>0</v>
      </c>
      <c r="H7" s="1">
        <f>+[1]LEM!AC268/[1]LEM!AC$291</f>
        <v>0</v>
      </c>
      <c r="I7" s="1">
        <f>+[1]LEM!AD268/[1]LEM!AD$291</f>
        <v>0</v>
      </c>
      <c r="K7" s="35">
        <f>+[1]LEM!X268</f>
        <v>0</v>
      </c>
      <c r="L7" s="35">
        <f>+[1]LEM!Y268</f>
        <v>0</v>
      </c>
      <c r="M7" s="35">
        <f>+[1]LEM!Z268</f>
        <v>0</v>
      </c>
      <c r="N7" s="35">
        <f>+[1]LEM!AA268</f>
        <v>0</v>
      </c>
      <c r="O7" s="35">
        <f>+[1]LEM!AB268</f>
        <v>0</v>
      </c>
      <c r="P7" s="35">
        <f>+[1]LEM!AC268</f>
        <v>0</v>
      </c>
      <c r="Q7" s="35">
        <f>+[1]LEM!AD268</f>
        <v>0</v>
      </c>
    </row>
    <row r="8" spans="1:17" x14ac:dyDescent="0.25">
      <c r="A8" s="22">
        <v>0.13</v>
      </c>
      <c r="B8" s="23">
        <v>200</v>
      </c>
      <c r="C8" s="1">
        <f>+[1]LEM!X269/[1]LEM!X$291</f>
        <v>0.11660685986933339</v>
      </c>
      <c r="D8" s="1">
        <f>+[1]LEM!Y269/[1]LEM!Y$291</f>
        <v>0.13309458586783482</v>
      </c>
      <c r="E8" s="1">
        <f>+[1]LEM!Z269/[1]LEM!Z$291</f>
        <v>0.29875183840333736</v>
      </c>
      <c r="F8" s="1">
        <f>+[1]LEM!AA269/[1]LEM!AA$291</f>
        <v>0.32151591575412497</v>
      </c>
      <c r="G8" s="1">
        <f>+[1]LEM!AB269/[1]LEM!AB$291</f>
        <v>0.11948706813214269</v>
      </c>
      <c r="H8" s="1">
        <f>+[1]LEM!AC269/[1]LEM!AC$291</f>
        <v>0</v>
      </c>
      <c r="I8" s="1">
        <f>+[1]LEM!AD269/[1]LEM!AD$291</f>
        <v>0</v>
      </c>
      <c r="K8" s="35">
        <f>+[1]LEM!X269</f>
        <v>344.2724730887976</v>
      </c>
      <c r="L8" s="35">
        <f>+[1]LEM!Y269</f>
        <v>382.98091444418077</v>
      </c>
      <c r="M8" s="35">
        <f>+[1]LEM!Z269</f>
        <v>902.64384809605872</v>
      </c>
      <c r="N8" s="35">
        <f>+[1]LEM!AA269</f>
        <v>1175.9804889469415</v>
      </c>
      <c r="O8" s="35">
        <f>+[1]LEM!AB269</f>
        <v>485.77732136737598</v>
      </c>
      <c r="P8" s="35">
        <f>+[1]LEM!AC269</f>
        <v>0</v>
      </c>
      <c r="Q8" s="35">
        <f>+[1]LEM!AD269</f>
        <v>0</v>
      </c>
    </row>
    <row r="9" spans="1:17" x14ac:dyDescent="0.25">
      <c r="A9" s="22">
        <v>0.13</v>
      </c>
      <c r="B9" s="23">
        <v>300</v>
      </c>
      <c r="C9" s="1">
        <f>+[1]LEM!X270/[1]LEM!X$291</f>
        <v>0</v>
      </c>
      <c r="D9" s="1">
        <f>+[1]LEM!Y270/[1]LEM!Y$291</f>
        <v>0.19181458423647021</v>
      </c>
      <c r="E9" s="1">
        <f>+[1]LEM!Z270/[1]LEM!Z$291</f>
        <v>0.20157864554711066</v>
      </c>
      <c r="F9" s="1">
        <f>+[1]LEM!AA270/[1]LEM!AA$291</f>
        <v>0.24066585696828757</v>
      </c>
      <c r="G9" s="1">
        <f>+[1]LEM!AB270/[1]LEM!AB$291</f>
        <v>0.27108053039240343</v>
      </c>
      <c r="H9" s="1">
        <f>+[1]LEM!AC270/[1]LEM!AC$291</f>
        <v>0.14685908271420858</v>
      </c>
      <c r="I9" s="1">
        <f>+[1]LEM!AD270/[1]LEM!AD$291</f>
        <v>0</v>
      </c>
      <c r="K9" s="35">
        <f>+[1]LEM!X270</f>
        <v>0</v>
      </c>
      <c r="L9" s="35">
        <f>+[1]LEM!Y270</f>
        <v>551.9482584179799</v>
      </c>
      <c r="M9" s="35">
        <f>+[1]LEM!Z270</f>
        <v>609.04637535647316</v>
      </c>
      <c r="N9" s="35">
        <f>+[1]LEM!AA270</f>
        <v>880.2623393824025</v>
      </c>
      <c r="O9" s="35">
        <f>+[1]LEM!AB270</f>
        <v>1102.0838990143852</v>
      </c>
      <c r="P9" s="35">
        <f>+[1]LEM!AC270</f>
        <v>968.64418319791343</v>
      </c>
      <c r="Q9" s="35">
        <f>+[1]LEM!AD270</f>
        <v>0</v>
      </c>
    </row>
    <row r="10" spans="1:17" x14ac:dyDescent="0.25">
      <c r="A10" s="22">
        <v>0.09</v>
      </c>
      <c r="B10" s="23">
        <v>200</v>
      </c>
      <c r="C10" s="1">
        <f>+[1]LEM!X271/[1]LEM!X$291</f>
        <v>0</v>
      </c>
      <c r="D10" s="1">
        <f>+[1]LEM!Y271/[1]LEM!Y$291</f>
        <v>0</v>
      </c>
      <c r="E10" s="1">
        <f>+[1]LEM!Z271/[1]LEM!Z$291</f>
        <v>4.4929333190874617E-2</v>
      </c>
      <c r="F10" s="1">
        <f>+[1]LEM!AA271/[1]LEM!AA$291</f>
        <v>0.21699168747992004</v>
      </c>
      <c r="G10" s="1">
        <f>+[1]LEM!AB271/[1]LEM!AB$291</f>
        <v>0.39541207473742723</v>
      </c>
      <c r="H10" s="1">
        <f>+[1]LEM!AC271/[1]LEM!AC$291</f>
        <v>0.3298041380245853</v>
      </c>
      <c r="I10" s="1">
        <f>+[1]LEM!AD271/[1]LEM!AD$291</f>
        <v>0.15601494227104704</v>
      </c>
      <c r="K10" s="35">
        <f>+[1]LEM!X271</f>
        <v>0</v>
      </c>
      <c r="L10" s="35">
        <f>+[1]LEM!Y271</f>
        <v>0</v>
      </c>
      <c r="M10" s="35">
        <f>+[1]LEM!Z271</f>
        <v>135.74874190078955</v>
      </c>
      <c r="N10" s="35">
        <f>+[1]LEM!AA271</f>
        <v>793.67141169833178</v>
      </c>
      <c r="O10" s="35">
        <f>+[1]LEM!AB271</f>
        <v>1607.5565456994664</v>
      </c>
      <c r="P10" s="35">
        <f>+[1]LEM!AC271</f>
        <v>2175.3020241437771</v>
      </c>
      <c r="Q10" s="35">
        <f>+[1]LEM!AD271</f>
        <v>854.19853145443778</v>
      </c>
    </row>
    <row r="11" spans="1:17" x14ac:dyDescent="0.25">
      <c r="A11" s="22">
        <v>0.09</v>
      </c>
      <c r="B11" s="23">
        <v>300</v>
      </c>
      <c r="C11" s="1">
        <f>+[1]LEM!X272/[1]LEM!X$291</f>
        <v>0</v>
      </c>
      <c r="D11" s="1">
        <f>+[1]LEM!Y272/[1]LEM!Y$291</f>
        <v>0</v>
      </c>
      <c r="E11" s="1">
        <f>+[1]LEM!Z272/[1]LEM!Z$291</f>
        <v>7.8107731341581485E-2</v>
      </c>
      <c r="F11" s="1">
        <f>+[1]LEM!AA272/[1]LEM!AA$291</f>
        <v>7.460259927069994E-2</v>
      </c>
      <c r="G11" s="1">
        <f>+[1]LEM!AB272/[1]LEM!AB$291</f>
        <v>8.5902663394432824E-2</v>
      </c>
      <c r="H11" s="1">
        <f>+[1]LEM!AC272/[1]LEM!AC$291</f>
        <v>0.22175799106259342</v>
      </c>
      <c r="I11" s="1">
        <f>+[1]LEM!AD272/[1]LEM!AD$291</f>
        <v>0.23974720167049635</v>
      </c>
      <c r="K11" s="35">
        <f>+[1]LEM!X272</f>
        <v>0</v>
      </c>
      <c r="L11" s="35">
        <f>+[1]LEM!Y272</f>
        <v>0</v>
      </c>
      <c r="M11" s="35">
        <f>+[1]LEM!Z272</f>
        <v>235.99340362563154</v>
      </c>
      <c r="N11" s="35">
        <f>+[1]LEM!AA272</f>
        <v>272.86736633642028</v>
      </c>
      <c r="O11" s="35">
        <f>+[1]LEM!AB272</f>
        <v>349.23918022594307</v>
      </c>
      <c r="P11" s="35">
        <f>+[1]LEM!AC272</f>
        <v>1462.657836004948</v>
      </c>
      <c r="Q11" s="35">
        <f>+[1]LEM!AD272</f>
        <v>1312.6416265402406</v>
      </c>
    </row>
    <row r="12" spans="1:17" x14ac:dyDescent="0.25">
      <c r="A12" s="22">
        <v>6.5000000000000002E-2</v>
      </c>
      <c r="B12" s="23">
        <v>200</v>
      </c>
      <c r="C12" s="1">
        <f>+[1]LEM!X273/[1]LEM!X$291</f>
        <v>0</v>
      </c>
      <c r="D12" s="1">
        <f>+[1]LEM!Y273/[1]LEM!Y$291</f>
        <v>0</v>
      </c>
      <c r="E12" s="1">
        <f>+[1]LEM!Z273/[1]LEM!Z$291</f>
        <v>0</v>
      </c>
      <c r="F12" s="1">
        <f>+[1]LEM!AA273/[1]LEM!AA$291</f>
        <v>0</v>
      </c>
      <c r="G12" s="1">
        <f>+[1]LEM!AB273/[1]LEM!AB$291</f>
        <v>0</v>
      </c>
      <c r="H12" s="1">
        <f>+[1]LEM!AC273/[1]LEM!AC$291</f>
        <v>0</v>
      </c>
      <c r="I12" s="1">
        <f>+[1]LEM!AD273/[1]LEM!AD$291</f>
        <v>0.14382833794108826</v>
      </c>
      <c r="K12" s="35">
        <f>+[1]LEM!X273</f>
        <v>0</v>
      </c>
      <c r="L12" s="35">
        <f>+[1]LEM!Y273</f>
        <v>0</v>
      </c>
      <c r="M12" s="35">
        <f>+[1]LEM!Z273</f>
        <v>0</v>
      </c>
      <c r="N12" s="35">
        <f>+[1]LEM!AA273</f>
        <v>0</v>
      </c>
      <c r="O12" s="35">
        <f>+[1]LEM!AB273</f>
        <v>0</v>
      </c>
      <c r="P12" s="35">
        <f>+[1]LEM!AC273</f>
        <v>0</v>
      </c>
      <c r="Q12" s="35">
        <f>+[1]LEM!AD273</f>
        <v>787.47556652213018</v>
      </c>
    </row>
    <row r="13" spans="1:17" x14ac:dyDescent="0.25">
      <c r="A13" s="22">
        <v>6.5000000000000002E-2</v>
      </c>
      <c r="B13" s="23">
        <v>300</v>
      </c>
      <c r="C13" s="1">
        <f>+[1]LEM!X274/[1]LEM!X$291</f>
        <v>0</v>
      </c>
      <c r="D13" s="1">
        <f>+[1]LEM!Y274/[1]LEM!Y$291</f>
        <v>0</v>
      </c>
      <c r="E13" s="1">
        <f>+[1]LEM!Z274/[1]LEM!Z$291</f>
        <v>0</v>
      </c>
      <c r="F13" s="1">
        <f>+[1]LEM!AA274/[1]LEM!AA$291</f>
        <v>0</v>
      </c>
      <c r="G13" s="1">
        <f>+[1]LEM!AB274/[1]LEM!AB$291</f>
        <v>0.12811766334359387</v>
      </c>
      <c r="H13" s="1">
        <f>+[1]LEM!AC274/[1]LEM!AC$291</f>
        <v>0.30157878819861267</v>
      </c>
      <c r="I13" s="1">
        <f>+[1]LEM!AD274/[1]LEM!AD$291</f>
        <v>0.34388788171801876</v>
      </c>
      <c r="K13" s="35">
        <f>+[1]LEM!X274</f>
        <v>0</v>
      </c>
      <c r="L13" s="35">
        <f>+[1]LEM!Y274</f>
        <v>0</v>
      </c>
      <c r="M13" s="35">
        <f>+[1]LEM!Z274</f>
        <v>0</v>
      </c>
      <c r="N13" s="35">
        <f>+[1]LEM!AA274</f>
        <v>0</v>
      </c>
      <c r="O13" s="35">
        <f>+[1]LEM!AB274</f>
        <v>520.8651973121456</v>
      </c>
      <c r="P13" s="35">
        <f>+[1]LEM!AC274</f>
        <v>1989.1349827707927</v>
      </c>
      <c r="Q13" s="35">
        <f>+[1]LEM!AD274</f>
        <v>1882.8230121585113</v>
      </c>
    </row>
    <row r="14" spans="1:17" x14ac:dyDescent="0.25">
      <c r="A14" s="20">
        <v>4.4999999999999998E-2</v>
      </c>
      <c r="B14" s="21">
        <v>200</v>
      </c>
      <c r="C14" s="1">
        <f>+[1]LEM!X275/[1]LEM!X$291</f>
        <v>0</v>
      </c>
      <c r="D14" s="1">
        <f>+[1]LEM!Y275/[1]LEM!Y$291</f>
        <v>0</v>
      </c>
      <c r="E14" s="1">
        <f>+[1]LEM!Z275/[1]LEM!Z$291</f>
        <v>0</v>
      </c>
      <c r="F14" s="1">
        <f>+[1]LEM!AA275/[1]LEM!AA$291</f>
        <v>0</v>
      </c>
      <c r="G14" s="1">
        <f>+[1]LEM!AB275/[1]LEM!AB$291</f>
        <v>0</v>
      </c>
      <c r="H14" s="1">
        <f>+[1]LEM!AC275/[1]LEM!AC$291</f>
        <v>0</v>
      </c>
      <c r="I14" s="1">
        <f>+[1]LEM!AD275/[1]LEM!AD$291</f>
        <v>5.1464104840846764E-2</v>
      </c>
      <c r="K14" s="35">
        <f>+[1]LEM!X275</f>
        <v>0</v>
      </c>
      <c r="L14" s="35">
        <f>+[1]LEM!Y275</f>
        <v>0</v>
      </c>
      <c r="M14" s="35">
        <f>+[1]LEM!Z275</f>
        <v>0</v>
      </c>
      <c r="N14" s="35">
        <f>+[1]LEM!AA275</f>
        <v>0</v>
      </c>
      <c r="O14" s="35">
        <f>+[1]LEM!AB275</f>
        <v>0</v>
      </c>
      <c r="P14" s="35">
        <f>+[1]LEM!AC275</f>
        <v>0</v>
      </c>
      <c r="Q14" s="35">
        <f>+[1]LEM!AD275</f>
        <v>281.77149020313198</v>
      </c>
    </row>
    <row r="15" spans="1:17" x14ac:dyDescent="0.25">
      <c r="A15" s="20">
        <v>4.4999999999999998E-2</v>
      </c>
      <c r="B15" s="21">
        <v>300</v>
      </c>
      <c r="C15" s="1">
        <f>+[1]LEM!X276/[1]LEM!X$291</f>
        <v>0</v>
      </c>
      <c r="D15" s="1">
        <f>+[1]LEM!Y276/[1]LEM!Y$291</f>
        <v>0</v>
      </c>
      <c r="E15" s="1">
        <f>+[1]LEM!Z276/[1]LEM!Z$291</f>
        <v>0</v>
      </c>
      <c r="F15" s="1">
        <f>+[1]LEM!AA276/[1]LEM!AA$291</f>
        <v>0</v>
      </c>
      <c r="G15" s="1">
        <f>+[1]LEM!AB276/[1]LEM!AB$291</f>
        <v>0</v>
      </c>
      <c r="H15" s="1">
        <f>+[1]LEM!AC276/[1]LEM!AC$291</f>
        <v>0</v>
      </c>
      <c r="I15" s="1">
        <f>+[1]LEM!AD276/[1]LEM!AD$291</f>
        <v>6.505753155850294E-2</v>
      </c>
      <c r="K15" s="35">
        <f>+[1]LEM!X276</f>
        <v>0</v>
      </c>
      <c r="L15" s="35">
        <f>+[1]LEM!Y276</f>
        <v>0</v>
      </c>
      <c r="M15" s="35">
        <f>+[1]LEM!Z276</f>
        <v>0</v>
      </c>
      <c r="N15" s="35">
        <f>+[1]LEM!AA276</f>
        <v>0</v>
      </c>
      <c r="O15" s="35">
        <f>+[1]LEM!AB276</f>
        <v>0</v>
      </c>
      <c r="P15" s="35">
        <f>+[1]LEM!AC276</f>
        <v>0</v>
      </c>
      <c r="Q15" s="35">
        <f>+[1]LEM!AD276</f>
        <v>356.19695849887142</v>
      </c>
    </row>
    <row r="16" spans="1:17" x14ac:dyDescent="0.25">
      <c r="A16" s="20">
        <v>0.03</v>
      </c>
      <c r="B16" s="21">
        <v>200</v>
      </c>
      <c r="C16" s="1">
        <f>+[1]LEM!X277/[1]LEM!X$291</f>
        <v>0</v>
      </c>
      <c r="D16" s="1">
        <f>+[1]LEM!Y277/[1]LEM!Y$291</f>
        <v>0</v>
      </c>
      <c r="E16" s="1">
        <f>+[1]LEM!Z277/[1]LEM!Z$291</f>
        <v>0</v>
      </c>
      <c r="F16" s="1">
        <f>+[1]LEM!AA277/[1]LEM!AA$291</f>
        <v>0</v>
      </c>
      <c r="G16" s="1">
        <f>+[1]LEM!AB277/[1]LEM!AB$291</f>
        <v>0</v>
      </c>
      <c r="H16" s="1">
        <f>+[1]LEM!AC277/[1]LEM!AC$291</f>
        <v>0</v>
      </c>
      <c r="I16" s="1">
        <f>+[1]LEM!AD277/[1]LEM!AD$291</f>
        <v>0</v>
      </c>
      <c r="K16" s="35">
        <f>+[1]LEM!X277</f>
        <v>0</v>
      </c>
      <c r="L16" s="35">
        <f>+[1]LEM!Y277</f>
        <v>0</v>
      </c>
      <c r="M16" s="35">
        <f>+[1]LEM!Z277</f>
        <v>0</v>
      </c>
      <c r="N16" s="35">
        <f>+[1]LEM!AA277</f>
        <v>0</v>
      </c>
      <c r="O16" s="35">
        <f>+[1]LEM!AB277</f>
        <v>0</v>
      </c>
      <c r="P16" s="35">
        <f>+[1]LEM!AC277</f>
        <v>0</v>
      </c>
      <c r="Q16" s="35">
        <f>+[1]LEM!AD277</f>
        <v>0</v>
      </c>
    </row>
    <row r="17" spans="1:17" x14ac:dyDescent="0.25">
      <c r="B17" s="1" t="s">
        <v>9</v>
      </c>
      <c r="C17" s="1">
        <f t="shared" ref="C17:I17" si="0">+SUM(C4:C16)</f>
        <v>1</v>
      </c>
      <c r="D17" s="1">
        <f t="shared" si="0"/>
        <v>1</v>
      </c>
      <c r="E17" s="1">
        <f t="shared" si="0"/>
        <v>1.0000000000000002</v>
      </c>
      <c r="F17" s="1">
        <f t="shared" si="0"/>
        <v>1</v>
      </c>
      <c r="G17" s="1">
        <f t="shared" si="0"/>
        <v>1</v>
      </c>
      <c r="H17" s="1">
        <f t="shared" si="0"/>
        <v>1</v>
      </c>
      <c r="I17" s="1">
        <f t="shared" si="0"/>
        <v>1.0000000000000002</v>
      </c>
      <c r="K17" s="35">
        <f t="shared" ref="K17:P17" si="1">+SUM(K4:K16)</f>
        <v>2952.4204105537219</v>
      </c>
      <c r="L17" s="35">
        <f t="shared" si="1"/>
        <v>2877.5093438022141</v>
      </c>
      <c r="M17" s="35">
        <f t="shared" si="1"/>
        <v>3021.3834094551139</v>
      </c>
      <c r="N17" s="35">
        <f t="shared" si="1"/>
        <v>3657.6120537878969</v>
      </c>
      <c r="O17" s="35">
        <f t="shared" si="1"/>
        <v>4065.522143619316</v>
      </c>
      <c r="P17" s="35">
        <f t="shared" si="1"/>
        <v>6595.7390261174314</v>
      </c>
      <c r="Q17" s="35">
        <f>+SUM(Q4:Q16)</f>
        <v>5475.1071853773228</v>
      </c>
    </row>
    <row r="18" spans="1:17" x14ac:dyDescent="0.25">
      <c r="A18" s="1" t="s">
        <v>118</v>
      </c>
      <c r="J18" s="1" t="s">
        <v>130</v>
      </c>
    </row>
    <row r="19" spans="1:17" x14ac:dyDescent="0.25">
      <c r="A19" s="22">
        <v>0.25</v>
      </c>
      <c r="B19" s="23">
        <v>200</v>
      </c>
      <c r="C19" s="1">
        <f>+[1]LEM!X231</f>
        <v>0.73894424626587696</v>
      </c>
      <c r="D19" s="1">
        <f>+[1]LEM!Y231</f>
        <v>0.73894424626587696</v>
      </c>
      <c r="E19" s="1">
        <f>+[1]LEM!Z231</f>
        <v>0.73894424626587696</v>
      </c>
      <c r="F19" s="1">
        <f>+[1]LEM!AA231</f>
        <v>0.73894424626587696</v>
      </c>
      <c r="G19" s="1">
        <f>+[1]LEM!AB231</f>
        <v>0.73894424626587696</v>
      </c>
      <c r="H19" s="1">
        <f>+[1]LEM!AC231</f>
        <v>0.73894424626587696</v>
      </c>
      <c r="I19" s="1">
        <f>+[1]LEM!AD231</f>
        <v>0.73894424626587696</v>
      </c>
      <c r="K19" s="1">
        <f>+K4*C19</f>
        <v>852.20000354852937</v>
      </c>
      <c r="L19" s="1">
        <f t="shared" ref="L19:L31" si="2">+L4*D19</f>
        <v>296.29686162440481</v>
      </c>
      <c r="M19" s="1">
        <f t="shared" ref="M19:M31" si="3">+M4*E19</f>
        <v>0</v>
      </c>
      <c r="N19" s="1">
        <f t="shared" ref="N19:N31" si="4">+N4*F19</f>
        <v>0</v>
      </c>
      <c r="O19" s="1">
        <f t="shared" ref="O19:O31" si="5">+O4*G19</f>
        <v>0</v>
      </c>
      <c r="P19" s="1">
        <f t="shared" ref="P19:P31" si="6">+P4*H19</f>
        <v>0</v>
      </c>
      <c r="Q19" s="1">
        <f t="shared" ref="Q19:Q31" si="7">+Q4*I19</f>
        <v>0</v>
      </c>
    </row>
    <row r="20" spans="1:17" x14ac:dyDescent="0.25">
      <c r="A20" s="22">
        <v>0.25</v>
      </c>
      <c r="B20" s="23">
        <v>300</v>
      </c>
      <c r="C20" s="1">
        <f>+[1]LEM!X232</f>
        <v>0.5542081846994078</v>
      </c>
      <c r="D20" s="1">
        <f>+[1]LEM!Y232</f>
        <v>0.5542081846994078</v>
      </c>
      <c r="E20" s="1">
        <f>+[1]LEM!Z232</f>
        <v>0.64657621548264232</v>
      </c>
      <c r="F20" s="1">
        <f>+[1]LEM!AA232</f>
        <v>0.73894424626587696</v>
      </c>
      <c r="G20" s="1">
        <f>+[1]LEM!AB232</f>
        <v>0.73894424626587696</v>
      </c>
      <c r="H20" s="1">
        <f>+[1]LEM!AC232</f>
        <v>0.73894424626587696</v>
      </c>
      <c r="I20" s="1">
        <f>+[1]LEM!AD232</f>
        <v>0.73894424626587696</v>
      </c>
      <c r="K20" s="1">
        <f t="shared" ref="K20:K31" si="8">+K5*C20</f>
        <v>0</v>
      </c>
      <c r="L20" s="1">
        <f t="shared" si="2"/>
        <v>0</v>
      </c>
      <c r="M20" s="1">
        <f t="shared" si="3"/>
        <v>0</v>
      </c>
      <c r="N20" s="1">
        <f t="shared" si="4"/>
        <v>0</v>
      </c>
      <c r="O20" s="1">
        <f t="shared" si="5"/>
        <v>0</v>
      </c>
      <c r="P20" s="1">
        <f t="shared" si="6"/>
        <v>0</v>
      </c>
      <c r="Q20" s="1">
        <f t="shared" si="7"/>
        <v>0</v>
      </c>
    </row>
    <row r="21" spans="1:17" x14ac:dyDescent="0.25">
      <c r="A21" s="22">
        <v>0.18</v>
      </c>
      <c r="B21" s="23">
        <v>200</v>
      </c>
      <c r="C21" s="1">
        <f>+[1]LEM!X233</f>
        <v>0.73894424626587696</v>
      </c>
      <c r="D21" s="1">
        <f>+[1]LEM!Y233</f>
        <v>0.73894424626587696</v>
      </c>
      <c r="E21" s="1">
        <f>+[1]LEM!Z233</f>
        <v>0.73894424626587696</v>
      </c>
      <c r="F21" s="1">
        <f>+[1]LEM!AA233</f>
        <v>0.73894424626587696</v>
      </c>
      <c r="G21" s="1">
        <f>+[1]LEM!AB233</f>
        <v>0.73894424626587696</v>
      </c>
      <c r="H21" s="1">
        <f>+[1]LEM!AC233</f>
        <v>0.73894424626587696</v>
      </c>
      <c r="I21" s="1">
        <f>+[1]LEM!AD233</f>
        <v>0.73894424626587696</v>
      </c>
      <c r="K21" s="1">
        <f t="shared" si="8"/>
        <v>1075.075908251391</v>
      </c>
      <c r="L21" s="1">
        <f t="shared" si="2"/>
        <v>1139.1615786019313</v>
      </c>
      <c r="M21" s="1">
        <f t="shared" si="3"/>
        <v>840.88237389212748</v>
      </c>
      <c r="N21" s="1">
        <f t="shared" si="4"/>
        <v>395.20988185162241</v>
      </c>
      <c r="O21" s="1">
        <f t="shared" si="5"/>
        <v>0</v>
      </c>
      <c r="P21" s="1">
        <f t="shared" si="6"/>
        <v>0</v>
      </c>
      <c r="Q21" s="1">
        <f t="shared" si="7"/>
        <v>0</v>
      </c>
    </row>
    <row r="22" spans="1:17" x14ac:dyDescent="0.25">
      <c r="A22" s="22">
        <v>0.18</v>
      </c>
      <c r="B22" s="23">
        <v>300</v>
      </c>
      <c r="C22" s="1">
        <f>+[1]LEM!X234</f>
        <v>0.5542081846994078</v>
      </c>
      <c r="D22" s="1">
        <f>+[1]LEM!Y234</f>
        <v>0.5542081846994078</v>
      </c>
      <c r="E22" s="1">
        <f>+[1]LEM!Z234</f>
        <v>0.64657621548264232</v>
      </c>
      <c r="F22" s="1">
        <f>+[1]LEM!AA234</f>
        <v>0.73894424626587696</v>
      </c>
      <c r="G22" s="1">
        <f>+[1]LEM!AB234</f>
        <v>0.73894424626587696</v>
      </c>
      <c r="H22" s="1">
        <f>+[1]LEM!AC234</f>
        <v>0.73894424626587696</v>
      </c>
      <c r="I22" s="1">
        <f>+[1]LEM!AD234</f>
        <v>0.73894424626587696</v>
      </c>
      <c r="K22" s="1">
        <f t="shared" si="8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  <c r="O22" s="1">
        <f t="shared" si="5"/>
        <v>0</v>
      </c>
      <c r="P22" s="1">
        <f t="shared" si="6"/>
        <v>0</v>
      </c>
      <c r="Q22" s="1">
        <f t="shared" si="7"/>
        <v>0</v>
      </c>
    </row>
    <row r="23" spans="1:17" x14ac:dyDescent="0.25">
      <c r="A23" s="22">
        <v>0.13</v>
      </c>
      <c r="B23" s="23">
        <v>200</v>
      </c>
      <c r="C23" s="1">
        <f>+[1]LEM!X235</f>
        <v>0.5966974788596956</v>
      </c>
      <c r="D23" s="1">
        <f>+[1]LEM!Y235</f>
        <v>0.66643534210103783</v>
      </c>
      <c r="E23" s="1">
        <f>+[1]LEM!Z235</f>
        <v>0.73894424626587696</v>
      </c>
      <c r="F23" s="1">
        <f>+[1]LEM!AA235</f>
        <v>0.73894424626587696</v>
      </c>
      <c r="G23" s="1">
        <f>+[1]LEM!AB235</f>
        <v>0.73894424626587696</v>
      </c>
      <c r="H23" s="1">
        <f>+[1]LEM!AC235</f>
        <v>0.73894424626587696</v>
      </c>
      <c r="I23" s="1">
        <f>+[1]LEM!AD235</f>
        <v>0.73894424626587696</v>
      </c>
      <c r="K23" s="1">
        <f t="shared" si="8"/>
        <v>205.42651673287793</v>
      </c>
      <c r="L23" s="1">
        <f t="shared" si="2"/>
        <v>255.23201673577591</v>
      </c>
      <c r="M23" s="1">
        <f t="shared" si="3"/>
        <v>667.00347797787288</v>
      </c>
      <c r="N23" s="1">
        <f t="shared" si="4"/>
        <v>868.98401602827516</v>
      </c>
      <c r="O23" s="1">
        <f t="shared" si="5"/>
        <v>358.96235659087233</v>
      </c>
      <c r="P23" s="1">
        <f t="shared" si="6"/>
        <v>0</v>
      </c>
      <c r="Q23" s="1">
        <f t="shared" si="7"/>
        <v>0</v>
      </c>
    </row>
    <row r="24" spans="1:17" x14ac:dyDescent="0.25">
      <c r="A24" s="22">
        <v>0.13</v>
      </c>
      <c r="B24" s="23">
        <v>300</v>
      </c>
      <c r="C24" s="1">
        <f>+[1]LEM!X236</f>
        <v>0.47107695699449653</v>
      </c>
      <c r="D24" s="1">
        <f>+[1]LEM!Y236</f>
        <v>0.51264257084695219</v>
      </c>
      <c r="E24" s="1">
        <f>+[1]LEM!Z236</f>
        <v>0.64657621548264232</v>
      </c>
      <c r="F24" s="1">
        <f>+[1]LEM!AA236</f>
        <v>0.73894424626587696</v>
      </c>
      <c r="G24" s="1">
        <f>+[1]LEM!AB236</f>
        <v>0.73894424626587696</v>
      </c>
      <c r="H24" s="1">
        <f>+[1]LEM!AC236</f>
        <v>0.73894424626587696</v>
      </c>
      <c r="I24" s="1">
        <f>+[1]LEM!AD236</f>
        <v>0.73894424626587696</v>
      </c>
      <c r="K24" s="1">
        <f t="shared" si="8"/>
        <v>0</v>
      </c>
      <c r="L24" s="1">
        <f t="shared" si="2"/>
        <v>282.95217416989112</v>
      </c>
      <c r="M24" s="1">
        <f t="shared" si="3"/>
        <v>393.79490043140925</v>
      </c>
      <c r="N24" s="1">
        <f t="shared" si="4"/>
        <v>650.46479089116701</v>
      </c>
      <c r="O24" s="1">
        <f t="shared" si="5"/>
        <v>814.3785560789438</v>
      </c>
      <c r="P24" s="1">
        <f t="shared" si="6"/>
        <v>715.77404585300815</v>
      </c>
      <c r="Q24" s="1">
        <f t="shared" si="7"/>
        <v>0</v>
      </c>
    </row>
    <row r="25" spans="1:17" x14ac:dyDescent="0.25">
      <c r="A25" s="22">
        <v>0.09</v>
      </c>
      <c r="B25" s="23">
        <v>200</v>
      </c>
      <c r="C25" s="1">
        <f>+[1]LEM!X237</f>
        <v>0</v>
      </c>
      <c r="D25" s="1">
        <f>+[1]LEM!Y237</f>
        <v>0</v>
      </c>
      <c r="E25" s="1">
        <f>+[1]LEM!Z237</f>
        <v>0.61240004409284554</v>
      </c>
      <c r="F25" s="1">
        <f>+[1]LEM!AA237</f>
        <v>0.67497938494848708</v>
      </c>
      <c r="G25" s="1">
        <f>+[1]LEM!AB237</f>
        <v>0.73894424626587696</v>
      </c>
      <c r="H25" s="1">
        <f>+[1]LEM!AC237</f>
        <v>0.73894424626587696</v>
      </c>
      <c r="I25" s="1">
        <f>+[1]LEM!AD237</f>
        <v>0.73894424626587696</v>
      </c>
      <c r="K25" s="1">
        <f t="shared" si="8"/>
        <v>0</v>
      </c>
      <c r="L25" s="1">
        <f t="shared" si="2"/>
        <v>0</v>
      </c>
      <c r="M25" s="1">
        <f t="shared" si="3"/>
        <v>83.132535525591834</v>
      </c>
      <c r="N25" s="1">
        <f t="shared" si="4"/>
        <v>535.71184131933751</v>
      </c>
      <c r="O25" s="1">
        <f t="shared" si="5"/>
        <v>1187.894659991669</v>
      </c>
      <c r="P25" s="1">
        <f t="shared" si="6"/>
        <v>1607.4269146315598</v>
      </c>
      <c r="Q25" s="1">
        <f t="shared" si="7"/>
        <v>631.20508998701848</v>
      </c>
    </row>
    <row r="26" spans="1:17" x14ac:dyDescent="0.25">
      <c r="A26" s="22">
        <v>0.09</v>
      </c>
      <c r="B26" s="23">
        <v>300</v>
      </c>
      <c r="C26" s="1">
        <f>+[1]LEM!X238</f>
        <v>0</v>
      </c>
      <c r="D26" s="1">
        <f>+[1]LEM!Y238</f>
        <v>0</v>
      </c>
      <c r="E26" s="1">
        <f>+[1]LEM!Z238</f>
        <v>0.48677952222764642</v>
      </c>
      <c r="F26" s="1">
        <f>+[1]LEM!AA238</f>
        <v>0.60662704216889329</v>
      </c>
      <c r="G26" s="1">
        <f>+[1]LEM!AB238</f>
        <v>0.73894424626587696</v>
      </c>
      <c r="H26" s="1">
        <f>+[1]LEM!AC238</f>
        <v>0.73894424626587696</v>
      </c>
      <c r="I26" s="1">
        <f>+[1]LEM!AD238</f>
        <v>0.73894424626587696</v>
      </c>
      <c r="K26" s="1">
        <f t="shared" si="8"/>
        <v>0</v>
      </c>
      <c r="L26" s="1">
        <f t="shared" si="2"/>
        <v>0</v>
      </c>
      <c r="M26" s="1">
        <f t="shared" si="3"/>
        <v>114.87675626576105</v>
      </c>
      <c r="N26" s="1">
        <f t="shared" si="4"/>
        <v>165.52872334507848</v>
      </c>
      <c r="O26" s="1">
        <f t="shared" si="5"/>
        <v>258.06828279857228</v>
      </c>
      <c r="P26" s="1">
        <f t="shared" si="6"/>
        <v>1080.822592171555</v>
      </c>
      <c r="Q26" s="1">
        <f t="shared" si="7"/>
        <v>969.96897734099286</v>
      </c>
    </row>
    <row r="27" spans="1:17" x14ac:dyDescent="0.25">
      <c r="A27" s="22">
        <v>6.5000000000000002E-2</v>
      </c>
      <c r="B27" s="23">
        <v>200</v>
      </c>
      <c r="C27" s="1">
        <f>+[1]LEM!X239</f>
        <v>0</v>
      </c>
      <c r="D27" s="1">
        <f>+[1]LEM!Y239</f>
        <v>0</v>
      </c>
      <c r="E27" s="1">
        <f>+[1]LEM!Z239</f>
        <v>0</v>
      </c>
      <c r="F27" s="1">
        <f>+[1]LEM!AA239</f>
        <v>0</v>
      </c>
      <c r="G27" s="1">
        <f>+[1]LEM!AB239</f>
        <v>0.61240004409284554</v>
      </c>
      <c r="H27" s="1">
        <f>+[1]LEM!AC239</f>
        <v>0.67497938494848708</v>
      </c>
      <c r="I27" s="1">
        <f>+[1]LEM!AD239</f>
        <v>0.73894424626587696</v>
      </c>
      <c r="K27" s="1">
        <f t="shared" si="8"/>
        <v>0</v>
      </c>
      <c r="L27" s="1">
        <f t="shared" si="2"/>
        <v>0</v>
      </c>
      <c r="M27" s="1">
        <f t="shared" si="3"/>
        <v>0</v>
      </c>
      <c r="N27" s="1">
        <f t="shared" si="4"/>
        <v>0</v>
      </c>
      <c r="O27" s="1">
        <f t="shared" si="5"/>
        <v>0</v>
      </c>
      <c r="P27" s="1">
        <f t="shared" si="6"/>
        <v>0</v>
      </c>
      <c r="Q27" s="1">
        <f t="shared" si="7"/>
        <v>581.90053895648998</v>
      </c>
    </row>
    <row r="28" spans="1:17" x14ac:dyDescent="0.25">
      <c r="A28" s="22">
        <v>6.5000000000000002E-2</v>
      </c>
      <c r="B28" s="23">
        <v>300</v>
      </c>
      <c r="C28" s="1">
        <f>+[1]LEM!X240</f>
        <v>0</v>
      </c>
      <c r="D28" s="1">
        <f>+[1]LEM!Y240</f>
        <v>0</v>
      </c>
      <c r="E28" s="1">
        <f>+[1]LEM!Z240</f>
        <v>0</v>
      </c>
      <c r="F28" s="1">
        <f>+[1]LEM!AA240</f>
        <v>0</v>
      </c>
      <c r="G28" s="1">
        <f>+[1]LEM!AB240</f>
        <v>0.5181846526939462</v>
      </c>
      <c r="H28" s="1">
        <f>+[1]LEM!AC240</f>
        <v>0.6237151278637918</v>
      </c>
      <c r="I28" s="1">
        <f>+[1]LEM!AD240</f>
        <v>0.73894424626587696</v>
      </c>
      <c r="K28" s="1">
        <f t="shared" si="8"/>
        <v>0</v>
      </c>
      <c r="L28" s="1">
        <f t="shared" si="2"/>
        <v>0</v>
      </c>
      <c r="M28" s="1">
        <f t="shared" si="3"/>
        <v>0</v>
      </c>
      <c r="N28" s="1">
        <f t="shared" si="4"/>
        <v>0</v>
      </c>
      <c r="O28" s="1">
        <f t="shared" si="5"/>
        <v>269.9043513695579</v>
      </c>
      <c r="P28" s="1">
        <f t="shared" si="6"/>
        <v>1240.6535801172263</v>
      </c>
      <c r="Q28" s="1">
        <f t="shared" si="7"/>
        <v>1391.3012315715193</v>
      </c>
    </row>
    <row r="29" spans="1:17" x14ac:dyDescent="0.25">
      <c r="A29" s="20">
        <v>4.4999999999999998E-2</v>
      </c>
      <c r="B29" s="21">
        <v>200</v>
      </c>
      <c r="C29" s="1">
        <f>+[1]LEM!X241</f>
        <v>0</v>
      </c>
      <c r="D29" s="1">
        <f>+[1]LEM!Y241</f>
        <v>0</v>
      </c>
      <c r="E29" s="1">
        <f>+[1]LEM!Z241</f>
        <v>0</v>
      </c>
      <c r="F29" s="1">
        <f>+[1]LEM!AA241</f>
        <v>0</v>
      </c>
      <c r="G29" s="1">
        <f>+[1]LEM!AB241</f>
        <v>0</v>
      </c>
      <c r="H29" s="1">
        <f>+[1]LEM!AC241</f>
        <v>0</v>
      </c>
      <c r="I29" s="1">
        <f>+[1]LEM!AD241</f>
        <v>0.61240004409284554</v>
      </c>
      <c r="K29" s="1">
        <f t="shared" si="8"/>
        <v>0</v>
      </c>
      <c r="L29" s="1">
        <f t="shared" si="2"/>
        <v>0</v>
      </c>
      <c r="M29" s="1">
        <f t="shared" si="3"/>
        <v>0</v>
      </c>
      <c r="N29" s="1">
        <f t="shared" si="4"/>
        <v>0</v>
      </c>
      <c r="O29" s="1">
        <f t="shared" si="5"/>
        <v>0</v>
      </c>
      <c r="P29" s="1">
        <f t="shared" si="6"/>
        <v>0</v>
      </c>
      <c r="Q29" s="1">
        <f t="shared" si="7"/>
        <v>172.55687302450482</v>
      </c>
    </row>
    <row r="30" spans="1:17" x14ac:dyDescent="0.25">
      <c r="A30" s="20">
        <v>4.4999999999999998E-2</v>
      </c>
      <c r="B30" s="21">
        <v>300</v>
      </c>
      <c r="C30" s="1">
        <f>+[1]LEM!X242</f>
        <v>0</v>
      </c>
      <c r="D30" s="1">
        <f>+[1]LEM!Y242</f>
        <v>0</v>
      </c>
      <c r="E30" s="1">
        <f>+[1]LEM!Z242</f>
        <v>0</v>
      </c>
      <c r="F30" s="1">
        <f>+[1]LEM!AA242</f>
        <v>0</v>
      </c>
      <c r="G30" s="1">
        <f>+[1]LEM!AB242</f>
        <v>0</v>
      </c>
      <c r="H30" s="1">
        <f>+[1]LEM!AC242</f>
        <v>0</v>
      </c>
      <c r="I30" s="1">
        <f>+[1]LEM!AD242</f>
        <v>0.54958978316024598</v>
      </c>
      <c r="K30" s="1">
        <f t="shared" si="8"/>
        <v>0</v>
      </c>
      <c r="L30" s="1">
        <f t="shared" si="2"/>
        <v>0</v>
      </c>
      <c r="M30" s="1">
        <f t="shared" si="3"/>
        <v>0</v>
      </c>
      <c r="N30" s="1">
        <f t="shared" si="4"/>
        <v>0</v>
      </c>
      <c r="O30" s="1">
        <f t="shared" si="5"/>
        <v>0</v>
      </c>
      <c r="P30" s="1">
        <f t="shared" si="6"/>
        <v>0</v>
      </c>
      <c r="Q30" s="1">
        <f t="shared" si="7"/>
        <v>195.76220918373389</v>
      </c>
    </row>
    <row r="31" spans="1:17" x14ac:dyDescent="0.25">
      <c r="A31" s="20">
        <v>0.03</v>
      </c>
      <c r="B31" s="21">
        <v>200</v>
      </c>
      <c r="C31" s="1">
        <f>+[1]LEM!X243</f>
        <v>0</v>
      </c>
      <c r="D31" s="1">
        <f>+[1]LEM!Y243</f>
        <v>0</v>
      </c>
      <c r="E31" s="1">
        <f>+[1]LEM!Z243</f>
        <v>0</v>
      </c>
      <c r="F31" s="1">
        <f>+[1]LEM!AA243</f>
        <v>0</v>
      </c>
      <c r="G31" s="1">
        <f>+[1]LEM!AB243</f>
        <v>0</v>
      </c>
      <c r="H31" s="1">
        <f>+[1]LEM!AC243</f>
        <v>0</v>
      </c>
      <c r="I31" s="1">
        <f>+[1]LEM!AD243</f>
        <v>0</v>
      </c>
      <c r="K31" s="1">
        <f t="shared" si="8"/>
        <v>0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">
        <f t="shared" si="6"/>
        <v>0</v>
      </c>
      <c r="Q31" s="1">
        <f t="shared" si="7"/>
        <v>0</v>
      </c>
    </row>
    <row r="32" spans="1:17" x14ac:dyDescent="0.25">
      <c r="K32" s="1">
        <f>+SUM(K19:K31)</f>
        <v>2132.7024285327984</v>
      </c>
      <c r="L32" s="1">
        <f t="shared" ref="L32:Q32" si="9">+SUM(L19:L31)</f>
        <v>1973.6426311320031</v>
      </c>
      <c r="M32" s="1">
        <f t="shared" si="9"/>
        <v>2099.690044092762</v>
      </c>
      <c r="N32" s="1">
        <f t="shared" si="9"/>
        <v>2615.8992534354807</v>
      </c>
      <c r="O32" s="1">
        <f t="shared" si="9"/>
        <v>2889.2082068296154</v>
      </c>
      <c r="P32" s="1">
        <f t="shared" si="9"/>
        <v>4644.6771327733495</v>
      </c>
      <c r="Q32" s="1">
        <f t="shared" si="9"/>
        <v>3942.6949200642593</v>
      </c>
    </row>
    <row r="33" spans="1:10" x14ac:dyDescent="0.25">
      <c r="A33" s="1" t="s">
        <v>145</v>
      </c>
    </row>
    <row r="34" spans="1:10" x14ac:dyDescent="0.25">
      <c r="A34" s="22">
        <v>0.25</v>
      </c>
      <c r="B34" s="23">
        <v>200</v>
      </c>
      <c r="C34" s="1">
        <f t="shared" ref="C34:C46" si="10">+K19/K$32</f>
        <v>0.39958692415181613</v>
      </c>
      <c r="D34" s="1">
        <f t="shared" ref="D34:D46" si="11">+L19/L$32</f>
        <v>0.1501269059305132</v>
      </c>
      <c r="E34" s="1">
        <f t="shared" ref="E34:E46" si="12">+M19/M$32</f>
        <v>0</v>
      </c>
      <c r="F34" s="1">
        <f t="shared" ref="F34:F46" si="13">+N19/N$32</f>
        <v>0</v>
      </c>
      <c r="G34" s="1">
        <f t="shared" ref="G34:G46" si="14">+O19/O$32</f>
        <v>0</v>
      </c>
      <c r="H34" s="1">
        <f t="shared" ref="H34:H46" si="15">+P19/P$32</f>
        <v>0</v>
      </c>
      <c r="I34" s="1">
        <f t="shared" ref="I34:I46" si="16">+Q19/Q$32</f>
        <v>0</v>
      </c>
    </row>
    <row r="35" spans="1:10" x14ac:dyDescent="0.25">
      <c r="A35" s="22">
        <v>0.25</v>
      </c>
      <c r="B35" s="23">
        <v>300</v>
      </c>
      <c r="C35" s="1">
        <f t="shared" si="10"/>
        <v>0</v>
      </c>
      <c r="D35" s="1">
        <f t="shared" si="11"/>
        <v>0</v>
      </c>
      <c r="E35" s="1">
        <f t="shared" si="12"/>
        <v>0</v>
      </c>
      <c r="F35" s="1">
        <f t="shared" si="13"/>
        <v>0</v>
      </c>
      <c r="G35" s="1">
        <f t="shared" si="14"/>
        <v>0</v>
      </c>
      <c r="H35" s="1">
        <f t="shared" si="15"/>
        <v>0</v>
      </c>
      <c r="I35" s="1">
        <f t="shared" si="16"/>
        <v>0</v>
      </c>
    </row>
    <row r="36" spans="1:10" x14ac:dyDescent="0.25">
      <c r="A36" s="22">
        <v>0.18</v>
      </c>
      <c r="B36" s="23">
        <v>200</v>
      </c>
      <c r="C36" s="1">
        <f t="shared" si="10"/>
        <v>0.50409091013742313</v>
      </c>
      <c r="D36" s="1">
        <f t="shared" si="11"/>
        <v>0.5771873593693877</v>
      </c>
      <c r="E36" s="1">
        <f t="shared" si="12"/>
        <v>0.40047928800627214</v>
      </c>
      <c r="F36" s="1">
        <f t="shared" si="13"/>
        <v>0.15107993220021385</v>
      </c>
      <c r="G36" s="1">
        <f t="shared" si="14"/>
        <v>0</v>
      </c>
      <c r="H36" s="1">
        <f t="shared" si="15"/>
        <v>0</v>
      </c>
      <c r="I36" s="1">
        <f t="shared" si="16"/>
        <v>0</v>
      </c>
    </row>
    <row r="37" spans="1:10" x14ac:dyDescent="0.25">
      <c r="A37" s="22">
        <v>0.18</v>
      </c>
      <c r="B37" s="23">
        <v>300</v>
      </c>
      <c r="C37" s="1">
        <f t="shared" si="10"/>
        <v>0</v>
      </c>
      <c r="D37" s="1">
        <f t="shared" si="11"/>
        <v>0</v>
      </c>
      <c r="E37" s="1">
        <f t="shared" si="12"/>
        <v>0</v>
      </c>
      <c r="F37" s="1">
        <f t="shared" si="13"/>
        <v>0</v>
      </c>
      <c r="G37" s="1">
        <f t="shared" si="14"/>
        <v>0</v>
      </c>
      <c r="H37" s="1">
        <f t="shared" si="15"/>
        <v>0</v>
      </c>
      <c r="I37" s="1">
        <f t="shared" si="16"/>
        <v>0</v>
      </c>
    </row>
    <row r="38" spans="1:10" x14ac:dyDescent="0.25">
      <c r="A38" s="22">
        <v>0.13</v>
      </c>
      <c r="B38" s="23">
        <v>200</v>
      </c>
      <c r="C38" s="1">
        <f t="shared" si="10"/>
        <v>9.6322165710760674E-2</v>
      </c>
      <c r="D38" s="1">
        <f t="shared" si="11"/>
        <v>0.12932027952263322</v>
      </c>
      <c r="E38" s="1">
        <f t="shared" si="12"/>
        <v>0.31766759091629304</v>
      </c>
      <c r="F38" s="1">
        <f t="shared" si="13"/>
        <v>0.33219322758207592</v>
      </c>
      <c r="G38" s="1">
        <f t="shared" si="14"/>
        <v>0.12424246744915927</v>
      </c>
      <c r="H38" s="1">
        <f t="shared" si="15"/>
        <v>0</v>
      </c>
      <c r="I38" s="1">
        <f t="shared" si="16"/>
        <v>0</v>
      </c>
    </row>
    <row r="39" spans="1:10" x14ac:dyDescent="0.25">
      <c r="A39" s="22">
        <v>0.13</v>
      </c>
      <c r="B39" s="23">
        <v>300</v>
      </c>
      <c r="C39" s="1">
        <f t="shared" si="10"/>
        <v>0</v>
      </c>
      <c r="D39" s="1">
        <f t="shared" si="11"/>
        <v>0.14336545517746593</v>
      </c>
      <c r="E39" s="1">
        <f t="shared" si="12"/>
        <v>0.18754906303399693</v>
      </c>
      <c r="F39" s="1">
        <f t="shared" si="13"/>
        <v>0.24865819661705496</v>
      </c>
      <c r="G39" s="1">
        <f t="shared" si="14"/>
        <v>0.28186911353563449</v>
      </c>
      <c r="H39" s="1">
        <f t="shared" si="15"/>
        <v>0.15410630823021654</v>
      </c>
      <c r="I39" s="1">
        <f t="shared" si="16"/>
        <v>0</v>
      </c>
    </row>
    <row r="40" spans="1:10" x14ac:dyDescent="0.25">
      <c r="A40" s="22">
        <v>0.09</v>
      </c>
      <c r="B40" s="23">
        <v>200</v>
      </c>
      <c r="C40" s="1">
        <f t="shared" si="10"/>
        <v>0</v>
      </c>
      <c r="D40" s="1">
        <f t="shared" si="11"/>
        <v>0</v>
      </c>
      <c r="E40" s="1">
        <f t="shared" si="12"/>
        <v>3.9592765493876449E-2</v>
      </c>
      <c r="F40" s="1">
        <f t="shared" si="13"/>
        <v>0.20479070079468198</v>
      </c>
      <c r="G40" s="1">
        <f t="shared" si="14"/>
        <v>0.41114885980999238</v>
      </c>
      <c r="H40" s="1">
        <f t="shared" si="15"/>
        <v>0.34607936540720557</v>
      </c>
      <c r="I40" s="1">
        <f t="shared" si="16"/>
        <v>0.16009483431620189</v>
      </c>
    </row>
    <row r="41" spans="1:10" x14ac:dyDescent="0.25">
      <c r="A41" s="22">
        <v>0.09</v>
      </c>
      <c r="B41" s="23">
        <v>300</v>
      </c>
      <c r="C41" s="1">
        <f t="shared" si="10"/>
        <v>0</v>
      </c>
      <c r="D41" s="1">
        <f t="shared" si="11"/>
        <v>0</v>
      </c>
      <c r="E41" s="1">
        <f t="shared" si="12"/>
        <v>5.471129254956162E-2</v>
      </c>
      <c r="F41" s="1">
        <f t="shared" si="13"/>
        <v>6.327794280597325E-2</v>
      </c>
      <c r="G41" s="1">
        <f t="shared" si="14"/>
        <v>8.9321455680674414E-2</v>
      </c>
      <c r="H41" s="1">
        <f t="shared" si="15"/>
        <v>0.23270133989403755</v>
      </c>
      <c r="I41" s="1">
        <f t="shared" si="16"/>
        <v>0.24601674666859186</v>
      </c>
    </row>
    <row r="42" spans="1:10" x14ac:dyDescent="0.25">
      <c r="A42" s="22">
        <v>6.5000000000000002E-2</v>
      </c>
      <c r="B42" s="23">
        <v>200</v>
      </c>
      <c r="C42" s="1">
        <f t="shared" si="10"/>
        <v>0</v>
      </c>
      <c r="D42" s="1">
        <f t="shared" si="11"/>
        <v>0</v>
      </c>
      <c r="E42" s="1">
        <f t="shared" si="12"/>
        <v>0</v>
      </c>
      <c r="F42" s="1">
        <f t="shared" si="13"/>
        <v>0</v>
      </c>
      <c r="G42" s="1">
        <f t="shared" si="14"/>
        <v>0</v>
      </c>
      <c r="H42" s="1">
        <f t="shared" si="15"/>
        <v>0</v>
      </c>
      <c r="I42" s="1">
        <f t="shared" si="16"/>
        <v>0.14758954236991939</v>
      </c>
    </row>
    <row r="43" spans="1:10" x14ac:dyDescent="0.25">
      <c r="A43" s="22">
        <v>6.5000000000000002E-2</v>
      </c>
      <c r="B43" s="23">
        <v>300</v>
      </c>
      <c r="C43" s="1">
        <f t="shared" si="10"/>
        <v>0</v>
      </c>
      <c r="D43" s="1">
        <f t="shared" si="11"/>
        <v>0</v>
      </c>
      <c r="E43" s="1">
        <f t="shared" si="12"/>
        <v>0</v>
      </c>
      <c r="F43" s="1">
        <f t="shared" si="13"/>
        <v>0</v>
      </c>
      <c r="G43" s="1">
        <f t="shared" si="14"/>
        <v>9.3418103524539414E-2</v>
      </c>
      <c r="H43" s="1">
        <f t="shared" si="15"/>
        <v>0.26711298646854031</v>
      </c>
      <c r="I43" s="1">
        <f t="shared" si="16"/>
        <v>0.35288077312074745</v>
      </c>
    </row>
    <row r="44" spans="1:10" x14ac:dyDescent="0.25">
      <c r="A44" s="20">
        <v>4.4999999999999998E-2</v>
      </c>
      <c r="B44" s="21">
        <v>200</v>
      </c>
      <c r="C44" s="1">
        <f t="shared" si="10"/>
        <v>0</v>
      </c>
      <c r="D44" s="1">
        <f t="shared" si="11"/>
        <v>0</v>
      </c>
      <c r="E44" s="1">
        <f t="shared" si="12"/>
        <v>0</v>
      </c>
      <c r="F44" s="1">
        <f t="shared" si="13"/>
        <v>0</v>
      </c>
      <c r="G44" s="1">
        <f t="shared" si="14"/>
        <v>0</v>
      </c>
      <c r="H44" s="1">
        <f t="shared" si="15"/>
        <v>0</v>
      </c>
      <c r="I44" s="1">
        <f t="shared" si="16"/>
        <v>4.3766225011823243E-2</v>
      </c>
    </row>
    <row r="45" spans="1:10" x14ac:dyDescent="0.25">
      <c r="A45" s="20">
        <v>4.4999999999999998E-2</v>
      </c>
      <c r="B45" s="21">
        <v>300</v>
      </c>
      <c r="C45" s="1">
        <f t="shared" si="10"/>
        <v>0</v>
      </c>
      <c r="D45" s="1">
        <f t="shared" si="11"/>
        <v>0</v>
      </c>
      <c r="E45" s="1">
        <f t="shared" si="12"/>
        <v>0</v>
      </c>
      <c r="F45" s="1">
        <f t="shared" si="13"/>
        <v>0</v>
      </c>
      <c r="G45" s="1">
        <f t="shared" si="14"/>
        <v>0</v>
      </c>
      <c r="H45" s="1">
        <f t="shared" si="15"/>
        <v>0</v>
      </c>
      <c r="I45" s="1">
        <f t="shared" si="16"/>
        <v>4.9651878512716192E-2</v>
      </c>
    </row>
    <row r="46" spans="1:10" x14ac:dyDescent="0.25">
      <c r="A46" s="20">
        <v>0.03</v>
      </c>
      <c r="B46" s="21">
        <v>200</v>
      </c>
      <c r="C46" s="1">
        <f t="shared" si="10"/>
        <v>0</v>
      </c>
      <c r="D46" s="1">
        <f t="shared" si="11"/>
        <v>0</v>
      </c>
      <c r="E46" s="1">
        <f t="shared" si="12"/>
        <v>0</v>
      </c>
      <c r="F46" s="1">
        <f t="shared" si="13"/>
        <v>0</v>
      </c>
      <c r="G46" s="1">
        <f t="shared" si="14"/>
        <v>0</v>
      </c>
      <c r="H46" s="1">
        <f t="shared" si="15"/>
        <v>0</v>
      </c>
      <c r="I46" s="1">
        <f t="shared" si="16"/>
        <v>0</v>
      </c>
    </row>
    <row r="47" spans="1:10" x14ac:dyDescent="0.25">
      <c r="B47" s="1" t="s">
        <v>9</v>
      </c>
      <c r="C47" s="1">
        <f>+SUM(C34:C46)</f>
        <v>1</v>
      </c>
      <c r="D47" s="1">
        <f t="shared" ref="D47:I47" si="17">+SUM(D34:D46)</f>
        <v>1.0000000000000002</v>
      </c>
      <c r="E47" s="1">
        <f t="shared" si="17"/>
        <v>1</v>
      </c>
      <c r="F47" s="1">
        <f t="shared" si="17"/>
        <v>1</v>
      </c>
      <c r="G47" s="1">
        <f t="shared" si="17"/>
        <v>0.99999999999999989</v>
      </c>
      <c r="H47" s="1">
        <f t="shared" si="17"/>
        <v>1</v>
      </c>
      <c r="I47" s="1">
        <f t="shared" si="17"/>
        <v>1</v>
      </c>
    </row>
    <row r="48" spans="1:10" x14ac:dyDescent="0.25">
      <c r="A48" s="1" t="s">
        <v>123</v>
      </c>
      <c r="D48" s="1" t="s">
        <v>170</v>
      </c>
      <c r="J48" s="1" t="s">
        <v>128</v>
      </c>
    </row>
    <row r="49" spans="1:17" x14ac:dyDescent="0.25">
      <c r="A49" s="22">
        <v>0.25</v>
      </c>
      <c r="B49" s="23">
        <v>200</v>
      </c>
      <c r="C49" s="1">
        <f>+[1]LEM!X197</f>
        <v>51.867053544123351</v>
      </c>
      <c r="D49" s="1">
        <f>+[1]LEM!Y197</f>
        <v>51.867053544123351</v>
      </c>
      <c r="E49" s="1">
        <f>+[1]LEM!Z197</f>
        <v>51.867053544123351</v>
      </c>
      <c r="F49" s="1">
        <f>+[1]LEM!AA197</f>
        <v>51.867053544123351</v>
      </c>
      <c r="G49" s="1">
        <f>+[1]LEM!AB197</f>
        <v>51.867053544123351</v>
      </c>
      <c r="H49" s="1">
        <f>+[1]LEM!AC197</f>
        <v>51.867053544123351</v>
      </c>
      <c r="I49" s="1">
        <f>+[1]LEM!AD197</f>
        <v>51.867053544123351</v>
      </c>
      <c r="K49" s="1">
        <f t="shared" ref="K49:Q54" si="18">100*K19/C49</f>
        <v>1643.0468771925939</v>
      </c>
      <c r="L49" s="1">
        <f t="shared" si="18"/>
        <v>571.26218163201577</v>
      </c>
      <c r="M49" s="1">
        <f t="shared" si="18"/>
        <v>0</v>
      </c>
      <c r="N49" s="1">
        <f t="shared" si="18"/>
        <v>0</v>
      </c>
      <c r="O49" s="1">
        <f t="shared" si="18"/>
        <v>0</v>
      </c>
      <c r="P49" s="1">
        <f t="shared" si="18"/>
        <v>0</v>
      </c>
      <c r="Q49" s="1">
        <f t="shared" si="18"/>
        <v>0</v>
      </c>
    </row>
    <row r="50" spans="1:17" x14ac:dyDescent="0.25">
      <c r="A50" s="22">
        <v>0.25</v>
      </c>
      <c r="B50" s="23">
        <v>300</v>
      </c>
      <c r="C50" s="1">
        <f>+[1]LEM!X198</f>
        <v>51.867053544123351</v>
      </c>
      <c r="D50" s="1">
        <f>+[1]LEM!Y198</f>
        <v>51.867053544123351</v>
      </c>
      <c r="E50" s="1">
        <f>+[1]LEM!Z198</f>
        <v>51.867053544123351</v>
      </c>
      <c r="F50" s="1">
        <f>+[1]LEM!AA198</f>
        <v>51.867053544123351</v>
      </c>
      <c r="G50" s="1">
        <f>+[1]LEM!AB198</f>
        <v>51.867053544123351</v>
      </c>
      <c r="H50" s="1">
        <f>+[1]LEM!AC198</f>
        <v>51.867053544123351</v>
      </c>
      <c r="I50" s="1">
        <f>+[1]LEM!AD198</f>
        <v>51.867053544123351</v>
      </c>
      <c r="K50" s="1">
        <f t="shared" si="18"/>
        <v>0</v>
      </c>
      <c r="L50" s="1">
        <f t="shared" si="18"/>
        <v>0</v>
      </c>
      <c r="M50" s="1">
        <f t="shared" si="18"/>
        <v>0</v>
      </c>
      <c r="N50" s="1">
        <f t="shared" si="18"/>
        <v>0</v>
      </c>
      <c r="O50" s="1">
        <f t="shared" si="18"/>
        <v>0</v>
      </c>
      <c r="P50" s="1">
        <f t="shared" si="18"/>
        <v>0</v>
      </c>
      <c r="Q50" s="1">
        <f t="shared" si="18"/>
        <v>0</v>
      </c>
    </row>
    <row r="51" spans="1:17" x14ac:dyDescent="0.25">
      <c r="A51" s="22">
        <v>0.18</v>
      </c>
      <c r="B51" s="23">
        <v>200</v>
      </c>
      <c r="C51" s="1">
        <f>+[1]LEM!X199</f>
        <v>49.852835319305875</v>
      </c>
      <c r="D51" s="1">
        <f>+[1]LEM!Y199</f>
        <v>49.852835319305875</v>
      </c>
      <c r="E51" s="1">
        <f>+[1]LEM!Z199</f>
        <v>49.852835319305875</v>
      </c>
      <c r="F51" s="1">
        <f>+[1]LEM!AA199</f>
        <v>49.852835319305875</v>
      </c>
      <c r="G51" s="1">
        <f>+[1]LEM!AB199</f>
        <v>49.852835319305875</v>
      </c>
      <c r="H51" s="1">
        <f>+[1]LEM!AC199</f>
        <v>49.852835319305875</v>
      </c>
      <c r="I51" s="1">
        <f>+[1]LEM!AD199</f>
        <v>49.852835319305875</v>
      </c>
      <c r="K51" s="1">
        <f t="shared" si="18"/>
        <v>2156.4990263152795</v>
      </c>
      <c r="L51" s="1">
        <f t="shared" si="18"/>
        <v>2285.0487265280631</v>
      </c>
      <c r="M51" s="1">
        <f t="shared" si="18"/>
        <v>1686.7292873239842</v>
      </c>
      <c r="N51" s="1">
        <f t="shared" si="18"/>
        <v>792.75306874787623</v>
      </c>
      <c r="O51" s="1">
        <f t="shared" si="18"/>
        <v>0</v>
      </c>
      <c r="P51" s="1">
        <f t="shared" si="18"/>
        <v>0</v>
      </c>
      <c r="Q51" s="1">
        <f t="shared" si="18"/>
        <v>0</v>
      </c>
    </row>
    <row r="52" spans="1:17" x14ac:dyDescent="0.25">
      <c r="A52" s="22">
        <v>0.18</v>
      </c>
      <c r="B52" s="23">
        <v>300</v>
      </c>
      <c r="C52" s="1">
        <f>+[1]LEM!X200</f>
        <v>49.852835319305875</v>
      </c>
      <c r="D52" s="1">
        <f>+[1]LEM!Y200</f>
        <v>49.852835319305875</v>
      </c>
      <c r="E52" s="1">
        <f>+[1]LEM!Z200</f>
        <v>49.852835319305875</v>
      </c>
      <c r="F52" s="1">
        <f>+[1]LEM!AA200</f>
        <v>49.852835319305875</v>
      </c>
      <c r="G52" s="1">
        <f>+[1]LEM!AB200</f>
        <v>49.852835319305875</v>
      </c>
      <c r="H52" s="1">
        <f>+[1]LEM!AC200</f>
        <v>49.852835319305875</v>
      </c>
      <c r="I52" s="1">
        <f>+[1]LEM!AD200</f>
        <v>49.852835319305875</v>
      </c>
      <c r="K52" s="1">
        <f t="shared" si="18"/>
        <v>0</v>
      </c>
      <c r="L52" s="1">
        <f t="shared" si="18"/>
        <v>0</v>
      </c>
      <c r="M52" s="1">
        <f t="shared" si="18"/>
        <v>0</v>
      </c>
      <c r="N52" s="1">
        <f t="shared" si="18"/>
        <v>0</v>
      </c>
      <c r="O52" s="1">
        <f t="shared" si="18"/>
        <v>0</v>
      </c>
      <c r="P52" s="1">
        <f t="shared" si="18"/>
        <v>0</v>
      </c>
      <c r="Q52" s="1">
        <f t="shared" si="18"/>
        <v>0</v>
      </c>
    </row>
    <row r="53" spans="1:17" x14ac:dyDescent="0.25">
      <c r="A53" s="22">
        <v>0.13</v>
      </c>
      <c r="B53" s="23">
        <v>200</v>
      </c>
      <c r="C53" s="1">
        <f>+[1]LEM!X201</f>
        <v>66.681486964878061</v>
      </c>
      <c r="D53" s="1">
        <f>+[1]LEM!Y201</f>
        <v>56.525799348539095</v>
      </c>
      <c r="E53" s="1">
        <f>+[1]LEM!Z201</f>
        <v>47.91683775249696</v>
      </c>
      <c r="F53" s="1">
        <f>+[1]LEM!AA201</f>
        <v>47.91683775249696</v>
      </c>
      <c r="G53" s="1">
        <f>+[1]LEM!AB201</f>
        <v>47.91683775249696</v>
      </c>
      <c r="H53" s="1">
        <f>+[1]LEM!AC201</f>
        <v>47.91683775249696</v>
      </c>
      <c r="I53" s="1">
        <f>+[1]LEM!AD201</f>
        <v>47.91683775249696</v>
      </c>
      <c r="K53" s="1">
        <f t="shared" si="18"/>
        <v>308.07128947361139</v>
      </c>
      <c r="L53" s="1">
        <f t="shared" si="18"/>
        <v>451.53190167557068</v>
      </c>
      <c r="M53" s="1">
        <f t="shared" si="18"/>
        <v>1392.0022882626788</v>
      </c>
      <c r="N53" s="1">
        <f t="shared" si="18"/>
        <v>1813.5253843686548</v>
      </c>
      <c r="O53" s="1">
        <f t="shared" si="18"/>
        <v>749.13615636534098</v>
      </c>
      <c r="P53" s="1">
        <f t="shared" si="18"/>
        <v>0</v>
      </c>
      <c r="Q53" s="1">
        <f t="shared" si="18"/>
        <v>0</v>
      </c>
    </row>
    <row r="54" spans="1:17" x14ac:dyDescent="0.25">
      <c r="A54" s="22">
        <v>0.13</v>
      </c>
      <c r="B54" s="23">
        <v>300</v>
      </c>
      <c r="C54" s="1">
        <f>+[1]LEM!X202</f>
        <v>66.681486964878061</v>
      </c>
      <c r="D54" s="1">
        <f>+[1]LEM!Y202</f>
        <v>56.525799348539095</v>
      </c>
      <c r="E54" s="1">
        <f>+[1]LEM!Z202</f>
        <v>47.91683775249696</v>
      </c>
      <c r="F54" s="1">
        <f>+[1]LEM!AA202</f>
        <v>47.91683775249696</v>
      </c>
      <c r="G54" s="1">
        <f>+[1]LEM!AB202</f>
        <v>47.91683775249696</v>
      </c>
      <c r="H54" s="1">
        <f>+[1]LEM!AC202</f>
        <v>47.91683775249696</v>
      </c>
      <c r="I54" s="1">
        <f>+[1]LEM!AD202</f>
        <v>47.91683775249696</v>
      </c>
      <c r="K54" s="1">
        <f t="shared" si="18"/>
        <v>0</v>
      </c>
      <c r="L54" s="1">
        <f t="shared" si="18"/>
        <v>500.57173437778903</v>
      </c>
      <c r="M54" s="1">
        <f t="shared" si="18"/>
        <v>821.82990135004991</v>
      </c>
      <c r="N54" s="1">
        <f t="shared" si="18"/>
        <v>1357.4868906228503</v>
      </c>
      <c r="O54" s="1">
        <f t="shared" si="18"/>
        <v>1699.5665704932842</v>
      </c>
      <c r="P54" s="1">
        <f t="shared" si="18"/>
        <v>1493.7839795484188</v>
      </c>
      <c r="Q54" s="1">
        <f t="shared" si="18"/>
        <v>0</v>
      </c>
    </row>
    <row r="55" spans="1:17" x14ac:dyDescent="0.25">
      <c r="A55" s="22">
        <v>0.09</v>
      </c>
      <c r="B55" s="23">
        <v>200</v>
      </c>
      <c r="C55" s="1">
        <f>+[1]LEM!X203</f>
        <v>0</v>
      </c>
      <c r="D55" s="1">
        <f>+[1]LEM!Y203</f>
        <v>0</v>
      </c>
      <c r="E55" s="1">
        <f>+[1]LEM!Z203</f>
        <v>62.609309280209629</v>
      </c>
      <c r="F55" s="1">
        <f>+[1]LEM!AA203</f>
        <v>53.073820258204677</v>
      </c>
      <c r="G55" s="1">
        <f>+[1]LEM!AB203</f>
        <v>44.990600106981184</v>
      </c>
      <c r="H55" s="1">
        <f>+[1]LEM!AC203</f>
        <v>44.990600106981184</v>
      </c>
      <c r="I55" s="1">
        <f>+[1]LEM!AD203</f>
        <v>44.990600106981184</v>
      </c>
      <c r="M55" s="1">
        <f t="shared" ref="M55:Q56" si="19">100*M25/E55</f>
        <v>132.77983175557799</v>
      </c>
      <c r="N55" s="1">
        <f t="shared" si="19"/>
        <v>1009.3711715363506</v>
      </c>
      <c r="O55" s="1">
        <f t="shared" si="19"/>
        <v>2640.3174377915075</v>
      </c>
      <c r="P55" s="1">
        <f t="shared" si="19"/>
        <v>3572.8061212994039</v>
      </c>
      <c r="Q55" s="1">
        <f t="shared" si="19"/>
        <v>1402.9710394751426</v>
      </c>
    </row>
    <row r="56" spans="1:17" x14ac:dyDescent="0.25">
      <c r="A56" s="22">
        <v>0.09</v>
      </c>
      <c r="B56" s="23">
        <v>300</v>
      </c>
      <c r="C56" s="1">
        <f>+[1]LEM!X204</f>
        <v>0</v>
      </c>
      <c r="D56" s="1">
        <f>+[1]LEM!Y204</f>
        <v>0</v>
      </c>
      <c r="E56" s="1">
        <f>+[1]LEM!Z204</f>
        <v>62.609309280209629</v>
      </c>
      <c r="F56" s="1">
        <f>+[1]LEM!AA204</f>
        <v>53.073820258204677</v>
      </c>
      <c r="G56" s="1">
        <f>+[1]LEM!AB204</f>
        <v>44.990600106981184</v>
      </c>
      <c r="H56" s="1">
        <f>+[1]LEM!AC204</f>
        <v>44.990600106981184</v>
      </c>
      <c r="I56" s="1">
        <f>+[1]LEM!AD204</f>
        <v>44.990600106981184</v>
      </c>
      <c r="M56" s="1">
        <f t="shared" si="19"/>
        <v>183.48190961766895</v>
      </c>
      <c r="N56" s="1">
        <f t="shared" si="19"/>
        <v>311.88394304344314</v>
      </c>
      <c r="O56" s="1">
        <f t="shared" si="19"/>
        <v>573.60489121043724</v>
      </c>
      <c r="P56" s="1">
        <f t="shared" si="19"/>
        <v>2402.3297968942716</v>
      </c>
      <c r="Q56" s="1">
        <f t="shared" si="19"/>
        <v>2155.9369624644837</v>
      </c>
    </row>
    <row r="57" spans="1:17" x14ac:dyDescent="0.25">
      <c r="A57" s="22">
        <v>6.5000000000000002E-2</v>
      </c>
      <c r="B57" s="23">
        <v>200</v>
      </c>
      <c r="C57" s="1">
        <f>+[1]LEM!X205</f>
        <v>0</v>
      </c>
      <c r="D57" s="1">
        <f>+[1]LEM!Y205</f>
        <v>0</v>
      </c>
      <c r="E57" s="1">
        <f>+[1]LEM!Z205</f>
        <v>0</v>
      </c>
      <c r="F57" s="1">
        <f>+[1]LEM!AA205</f>
        <v>0</v>
      </c>
      <c r="G57" s="1">
        <f>+[1]LEM!AB205</f>
        <v>58.785815778367621</v>
      </c>
      <c r="H57" s="1">
        <f>+[1]LEM!AC205</f>
        <v>49.832650387331817</v>
      </c>
      <c r="I57" s="1">
        <f>+[1]LEM!AD205</f>
        <v>42.243065129664487</v>
      </c>
      <c r="O57" s="1">
        <f t="shared" ref="O57:Q58" si="20">100*O27/G57</f>
        <v>0</v>
      </c>
      <c r="P57" s="1">
        <f t="shared" si="20"/>
        <v>0</v>
      </c>
      <c r="Q57" s="1">
        <f t="shared" si="20"/>
        <v>1377.5054844395277</v>
      </c>
    </row>
    <row r="58" spans="1:17" x14ac:dyDescent="0.25">
      <c r="A58" s="22">
        <v>6.5000000000000002E-2</v>
      </c>
      <c r="B58" s="23">
        <v>300</v>
      </c>
      <c r="C58" s="1">
        <f>+[1]LEM!X206</f>
        <v>0</v>
      </c>
      <c r="D58" s="1">
        <f>+[1]LEM!Y206</f>
        <v>0</v>
      </c>
      <c r="E58" s="1">
        <f>+[1]LEM!Z206</f>
        <v>0</v>
      </c>
      <c r="F58" s="1">
        <f>+[1]LEM!AA206</f>
        <v>0</v>
      </c>
      <c r="G58" s="1">
        <f>+[1]LEM!AB206</f>
        <v>58.785815778367621</v>
      </c>
      <c r="H58" s="1">
        <f>+[1]LEM!AC206</f>
        <v>49.832650387331817</v>
      </c>
      <c r="I58" s="1">
        <f>+[1]LEM!AD206</f>
        <v>42.243065129664487</v>
      </c>
      <c r="O58" s="1">
        <f t="shared" si="20"/>
        <v>459.13176128599213</v>
      </c>
      <c r="P58" s="1">
        <f t="shared" si="20"/>
        <v>2489.6399659140311</v>
      </c>
      <c r="Q58" s="1">
        <f t="shared" si="20"/>
        <v>3293.5612681062325</v>
      </c>
    </row>
    <row r="59" spans="1:17" x14ac:dyDescent="0.25">
      <c r="A59" s="20">
        <v>4.4999999999999998E-2</v>
      </c>
      <c r="B59" s="21">
        <v>200</v>
      </c>
      <c r="C59" s="1">
        <f>+[1]LEM!X207</f>
        <v>0</v>
      </c>
      <c r="D59" s="1">
        <f>+[1]LEM!Y207</f>
        <v>0</v>
      </c>
      <c r="E59" s="1">
        <f>+[1]LEM!Z207</f>
        <v>0</v>
      </c>
      <c r="F59" s="1">
        <f>+[1]LEM!AA207</f>
        <v>0</v>
      </c>
      <c r="G59" s="1">
        <f>+[1]LEM!AB207</f>
        <v>0</v>
      </c>
      <c r="H59" s="1">
        <f>+[1]LEM!AC207</f>
        <v>0</v>
      </c>
      <c r="I59" s="1">
        <f>+[1]LEM!AD207</f>
        <v>55.195819542773997</v>
      </c>
      <c r="Q59" s="1">
        <f>100*Q29/I59</f>
        <v>312.62670697512135</v>
      </c>
    </row>
    <row r="60" spans="1:17" x14ac:dyDescent="0.25">
      <c r="A60" s="20">
        <v>4.4999999999999998E-2</v>
      </c>
      <c r="B60" s="21">
        <v>300</v>
      </c>
      <c r="C60" s="1">
        <f>+[1]LEM!X208</f>
        <v>0</v>
      </c>
      <c r="D60" s="1">
        <f>+[1]LEM!Y208</f>
        <v>0</v>
      </c>
      <c r="E60" s="1">
        <f>+[1]LEM!Z208</f>
        <v>0</v>
      </c>
      <c r="F60" s="1">
        <f>+[1]LEM!AA208</f>
        <v>0</v>
      </c>
      <c r="G60" s="1">
        <f>+[1]LEM!AB208</f>
        <v>0</v>
      </c>
      <c r="H60" s="1">
        <f>+[1]LEM!AC208</f>
        <v>0</v>
      </c>
      <c r="I60" s="1">
        <f>+[1]LEM!AD208</f>
        <v>55.195819542773997</v>
      </c>
      <c r="Q60" s="1">
        <f>100*Q30/I60</f>
        <v>354.66854338855859</v>
      </c>
    </row>
    <row r="61" spans="1:17" x14ac:dyDescent="0.25">
      <c r="A61" s="20">
        <v>0.03</v>
      </c>
      <c r="B61" s="21">
        <v>200</v>
      </c>
      <c r="C61" s="1">
        <f>+[1]LEM!X209</f>
        <v>0</v>
      </c>
      <c r="D61" s="1">
        <f>+[1]LEM!Y209</f>
        <v>0</v>
      </c>
      <c r="E61" s="1">
        <f>+[1]LEM!Z209</f>
        <v>0</v>
      </c>
      <c r="F61" s="1">
        <f>+[1]LEM!AA209</f>
        <v>0</v>
      </c>
      <c r="G61" s="1">
        <f>+[1]LEM!AB209</f>
        <v>0</v>
      </c>
      <c r="H61" s="1">
        <f>+[1]LEM!AC209</f>
        <v>0</v>
      </c>
      <c r="I61" s="1">
        <f>+[1]LEM!AD209</f>
        <v>0</v>
      </c>
    </row>
    <row r="62" spans="1:17" x14ac:dyDescent="0.25">
      <c r="A62" s="20"/>
      <c r="B62" s="21"/>
      <c r="J62" s="1" t="s">
        <v>131</v>
      </c>
      <c r="K62" s="1">
        <f>+SUM(K49:K61)</f>
        <v>4107.6171929814845</v>
      </c>
      <c r="L62" s="1">
        <f t="shared" ref="L62:Q62" si="21">+SUM(L49:L61)</f>
        <v>3808.4145442134386</v>
      </c>
      <c r="M62" s="1">
        <f t="shared" si="21"/>
        <v>4216.8232183099599</v>
      </c>
      <c r="N62" s="1">
        <f t="shared" si="21"/>
        <v>5285.0204583191744</v>
      </c>
      <c r="O62" s="1">
        <f t="shared" si="21"/>
        <v>6121.7568171465618</v>
      </c>
      <c r="P62" s="1">
        <f t="shared" si="21"/>
        <v>9958.5598636561263</v>
      </c>
      <c r="Q62" s="1">
        <f t="shared" si="21"/>
        <v>8897.2700048490642</v>
      </c>
    </row>
    <row r="63" spans="1:17" x14ac:dyDescent="0.25">
      <c r="A63" s="1" t="s">
        <v>119</v>
      </c>
      <c r="B63" s="1" t="s">
        <v>122</v>
      </c>
      <c r="C63" s="27" t="s">
        <v>124</v>
      </c>
      <c r="J63" s="1" t="s">
        <v>134</v>
      </c>
    </row>
    <row r="64" spans="1:17" x14ac:dyDescent="0.25">
      <c r="A64" s="22">
        <v>0.25</v>
      </c>
      <c r="B64" s="23">
        <v>200</v>
      </c>
      <c r="C64" s="24">
        <f>+[1]LEM!X1627</f>
        <v>8.7537985839575043</v>
      </c>
      <c r="D64" s="24">
        <f>+[1]LEM!Y1627</f>
        <v>8.7537985839575043</v>
      </c>
      <c r="E64" s="24">
        <f>+[1]LEM!Z1627</f>
        <v>8.7537985839575043</v>
      </c>
      <c r="F64" s="24">
        <f>+[1]LEM!AA1627</f>
        <v>8.7537985839575043</v>
      </c>
      <c r="G64" s="24">
        <f>+[1]LEM!AB1627</f>
        <v>8.7537985839575043</v>
      </c>
      <c r="H64" s="24">
        <f>+[1]LEM!AC1627</f>
        <v>8.7537985839575043</v>
      </c>
      <c r="I64" s="24">
        <f>+[1]LEM!AD1627</f>
        <v>8.7537985839575043</v>
      </c>
      <c r="K64" s="1">
        <f t="shared" ref="K64:Q69" si="22">+K19/10/C64</f>
        <v>9.7352023281675546</v>
      </c>
      <c r="L64" s="1">
        <f t="shared" si="22"/>
        <v>3.3847804331185785</v>
      </c>
      <c r="M64" s="1">
        <f t="shared" si="22"/>
        <v>0</v>
      </c>
      <c r="N64" s="1">
        <f t="shared" si="22"/>
        <v>0</v>
      </c>
      <c r="O64" s="1">
        <f t="shared" si="22"/>
        <v>0</v>
      </c>
      <c r="P64" s="1">
        <f t="shared" si="22"/>
        <v>0</v>
      </c>
      <c r="Q64" s="1">
        <f t="shared" si="22"/>
        <v>0</v>
      </c>
    </row>
    <row r="65" spans="1:17" x14ac:dyDescent="0.25">
      <c r="A65" s="22">
        <v>0.25</v>
      </c>
      <c r="B65" s="23">
        <v>300</v>
      </c>
      <c r="C65" s="24">
        <f>+[1]LEM!X1628</f>
        <v>8.7537985839575043</v>
      </c>
      <c r="D65" s="24">
        <f>+[1]LEM!Y1628</f>
        <v>8.7537985839575043</v>
      </c>
      <c r="E65" s="24">
        <f>+[1]LEM!Z1628</f>
        <v>8.7537985839575043</v>
      </c>
      <c r="F65" s="24">
        <f>+[1]LEM!AA1628</f>
        <v>8.7537985839575043</v>
      </c>
      <c r="G65" s="24">
        <f>+[1]LEM!AB1628</f>
        <v>8.7537985839575043</v>
      </c>
      <c r="H65" s="24">
        <f>+[1]LEM!AC1628</f>
        <v>8.7537985839575043</v>
      </c>
      <c r="I65" s="24">
        <f>+[1]LEM!AD1628</f>
        <v>8.7537985839575043</v>
      </c>
      <c r="K65" s="1">
        <f t="shared" si="22"/>
        <v>0</v>
      </c>
      <c r="L65" s="1">
        <f t="shared" si="22"/>
        <v>0</v>
      </c>
      <c r="M65" s="1">
        <f t="shared" si="22"/>
        <v>0</v>
      </c>
      <c r="N65" s="1">
        <f t="shared" si="22"/>
        <v>0</v>
      </c>
      <c r="O65" s="1">
        <f t="shared" si="22"/>
        <v>0</v>
      </c>
      <c r="P65" s="1">
        <f t="shared" si="22"/>
        <v>0</v>
      </c>
      <c r="Q65" s="1">
        <f t="shared" si="22"/>
        <v>0</v>
      </c>
    </row>
    <row r="66" spans="1:17" x14ac:dyDescent="0.25">
      <c r="A66" s="22">
        <v>0.18</v>
      </c>
      <c r="B66" s="23">
        <v>200</v>
      </c>
      <c r="C66" s="24">
        <f>+[1]LEM!X1629</f>
        <v>3.9642612648450943</v>
      </c>
      <c r="D66" s="24">
        <f>+[1]LEM!Y1629</f>
        <v>3.9642612648450943</v>
      </c>
      <c r="E66" s="24">
        <f>+[1]LEM!Z1629</f>
        <v>3.9642612648450943</v>
      </c>
      <c r="F66" s="24">
        <f>+[1]LEM!AA1629</f>
        <v>3.9642612648450943</v>
      </c>
      <c r="G66" s="24">
        <f>+[1]LEM!AB1629</f>
        <v>3.9642612648450943</v>
      </c>
      <c r="H66" s="24">
        <f>+[1]LEM!AC1629</f>
        <v>3.9642612648450943</v>
      </c>
      <c r="I66" s="24">
        <f>+[1]LEM!AD1629</f>
        <v>3.9642612648450943</v>
      </c>
      <c r="K66" s="1">
        <f t="shared" si="22"/>
        <v>27.119199175521548</v>
      </c>
      <c r="L66" s="1">
        <f t="shared" si="22"/>
        <v>28.735784613995278</v>
      </c>
      <c r="M66" s="1">
        <f t="shared" si="22"/>
        <v>21.211578090198994</v>
      </c>
      <c r="N66" s="1">
        <f t="shared" si="22"/>
        <v>9.9693197659883666</v>
      </c>
      <c r="O66" s="1">
        <f t="shared" si="22"/>
        <v>0</v>
      </c>
      <c r="P66" s="1">
        <f t="shared" si="22"/>
        <v>0</v>
      </c>
      <c r="Q66" s="1">
        <f t="shared" si="22"/>
        <v>0</v>
      </c>
    </row>
    <row r="67" spans="1:17" x14ac:dyDescent="0.25">
      <c r="A67" s="22">
        <v>0.18</v>
      </c>
      <c r="B67" s="23">
        <v>300</v>
      </c>
      <c r="C67" s="24">
        <f>+[1]LEM!X1630</f>
        <v>3.9642612648450943</v>
      </c>
      <c r="D67" s="24">
        <f>+[1]LEM!Y1630</f>
        <v>3.9642612648450943</v>
      </c>
      <c r="E67" s="24">
        <f>+[1]LEM!Z1630</f>
        <v>3.9642612648450943</v>
      </c>
      <c r="F67" s="24">
        <f>+[1]LEM!AA1630</f>
        <v>3.9642612648450943</v>
      </c>
      <c r="G67" s="24">
        <f>+[1]LEM!AB1630</f>
        <v>3.9642612648450943</v>
      </c>
      <c r="H67" s="24">
        <f>+[1]LEM!AC1630</f>
        <v>3.9642612648450943</v>
      </c>
      <c r="I67" s="24">
        <f>+[1]LEM!AD1630</f>
        <v>3.9642612648450943</v>
      </c>
      <c r="K67" s="1">
        <f t="shared" si="22"/>
        <v>0</v>
      </c>
      <c r="L67" s="1">
        <f t="shared" si="22"/>
        <v>0</v>
      </c>
      <c r="M67" s="1">
        <f t="shared" si="22"/>
        <v>0</v>
      </c>
      <c r="N67" s="1">
        <f t="shared" si="22"/>
        <v>0</v>
      </c>
      <c r="O67" s="1">
        <f t="shared" si="22"/>
        <v>0</v>
      </c>
      <c r="P67" s="1">
        <f t="shared" si="22"/>
        <v>0</v>
      </c>
      <c r="Q67" s="1">
        <f t="shared" si="22"/>
        <v>0</v>
      </c>
    </row>
    <row r="68" spans="1:17" x14ac:dyDescent="0.25">
      <c r="A68" s="22">
        <v>0.13</v>
      </c>
      <c r="B68" s="23">
        <v>200</v>
      </c>
      <c r="C68" s="24">
        <f>+[1]LEM!X1631</f>
        <v>2.6677499999999998</v>
      </c>
      <c r="D68" s="24">
        <f>+[1]LEM!Y1631</f>
        <v>2.1884496459893761</v>
      </c>
      <c r="E68" s="24">
        <f>+[1]LEM!Z1631</f>
        <v>1.7952626194474841</v>
      </c>
      <c r="F68" s="24">
        <f>+[1]LEM!AA1631</f>
        <v>1.7952626194474841</v>
      </c>
      <c r="G68" s="24">
        <f>+[1]LEM!AB1631</f>
        <v>1.7952626194474841</v>
      </c>
      <c r="H68" s="24">
        <f>+[1]LEM!AC1631</f>
        <v>1.7952626194474841</v>
      </c>
      <c r="I68" s="24">
        <f>+[1]LEM!AD1631</f>
        <v>1.7952626194474841</v>
      </c>
      <c r="K68" s="1">
        <f t="shared" si="22"/>
        <v>7.7003661037532734</v>
      </c>
      <c r="L68" s="1">
        <f t="shared" si="22"/>
        <v>11.662686285860971</v>
      </c>
      <c r="M68" s="1">
        <f t="shared" si="22"/>
        <v>37.153532344095261</v>
      </c>
      <c r="N68" s="1">
        <f t="shared" si="22"/>
        <v>48.404283953492921</v>
      </c>
      <c r="O68" s="1">
        <f t="shared" si="22"/>
        <v>19.994977486990052</v>
      </c>
      <c r="P68" s="1">
        <f t="shared" si="22"/>
        <v>0</v>
      </c>
      <c r="Q68" s="1">
        <f t="shared" si="22"/>
        <v>0</v>
      </c>
    </row>
    <row r="69" spans="1:17" x14ac:dyDescent="0.25">
      <c r="A69" s="22">
        <v>0.13</v>
      </c>
      <c r="B69" s="23">
        <v>300</v>
      </c>
      <c r="C69" s="24">
        <f>+[1]LEM!X1632</f>
        <v>2.6677499999999998</v>
      </c>
      <c r="D69" s="24">
        <f>+[1]LEM!Y1632</f>
        <v>2.1884496459893761</v>
      </c>
      <c r="E69" s="24">
        <f>+[1]LEM!Z1632</f>
        <v>1.7952626194474841</v>
      </c>
      <c r="F69" s="24">
        <f>+[1]LEM!AA1632</f>
        <v>1.7952626194474841</v>
      </c>
      <c r="G69" s="24">
        <f>+[1]LEM!AB1632</f>
        <v>1.7952626194474841</v>
      </c>
      <c r="H69" s="24">
        <f>+[1]LEM!AC1632</f>
        <v>1.7952626194474841</v>
      </c>
      <c r="I69" s="24">
        <f>+[1]LEM!AD1632</f>
        <v>1.7952626194474841</v>
      </c>
      <c r="K69" s="1">
        <f t="shared" si="22"/>
        <v>0</v>
      </c>
      <c r="L69" s="1">
        <f t="shared" si="22"/>
        <v>12.929343596661612</v>
      </c>
      <c r="M69" s="1">
        <f t="shared" si="22"/>
        <v>21.935225307181234</v>
      </c>
      <c r="N69" s="1">
        <f t="shared" si="22"/>
        <v>36.232291802040429</v>
      </c>
      <c r="O69" s="1">
        <f t="shared" si="22"/>
        <v>45.362642058997451</v>
      </c>
      <c r="P69" s="1">
        <f t="shared" si="22"/>
        <v>39.870158165121104</v>
      </c>
      <c r="Q69" s="1">
        <f t="shared" si="22"/>
        <v>0</v>
      </c>
    </row>
    <row r="70" spans="1:17" x14ac:dyDescent="0.25">
      <c r="A70" s="22">
        <v>0.09</v>
      </c>
      <c r="B70" s="23">
        <v>200</v>
      </c>
      <c r="C70" s="24">
        <f>+[1]LEM!X1633</f>
        <v>0</v>
      </c>
      <c r="D70" s="24">
        <f>+[1]LEM!Y1633</f>
        <v>0</v>
      </c>
      <c r="E70" s="24">
        <f>+[1]LEM!Z1633</f>
        <v>1.3338750000000001</v>
      </c>
      <c r="F70" s="24">
        <f>+[1]LEM!AA1633</f>
        <v>1.0942248229946883</v>
      </c>
      <c r="G70" s="24">
        <f>+[1]LEM!AB1633</f>
        <v>0.89763130972374228</v>
      </c>
      <c r="H70" s="24">
        <f>+[1]LEM!AC1633</f>
        <v>0.89763130972374228</v>
      </c>
      <c r="I70" s="24">
        <f>+[1]LEM!AD1633</f>
        <v>0.89763130972374228</v>
      </c>
      <c r="M70" s="1">
        <f t="shared" ref="M70:Q71" si="23">+M25/10/E70</f>
        <v>6.2324082485684063</v>
      </c>
      <c r="N70" s="1">
        <f t="shared" si="23"/>
        <v>48.958114462546604</v>
      </c>
      <c r="O70" s="1">
        <f t="shared" si="23"/>
        <v>132.33658932387942</v>
      </c>
      <c r="P70" s="1">
        <f t="shared" si="23"/>
        <v>179.07429221984987</v>
      </c>
      <c r="Q70" s="1">
        <f t="shared" si="23"/>
        <v>70.318969843117443</v>
      </c>
    </row>
    <row r="71" spans="1:17" x14ac:dyDescent="0.25">
      <c r="A71" s="22">
        <v>0.09</v>
      </c>
      <c r="B71" s="23">
        <v>300</v>
      </c>
      <c r="C71" s="24">
        <f>+[1]LEM!X1634</f>
        <v>0</v>
      </c>
      <c r="D71" s="24">
        <f>+[1]LEM!Y1634</f>
        <v>0</v>
      </c>
      <c r="E71" s="24">
        <f>+[1]LEM!Z1634</f>
        <v>1.3338750000000001</v>
      </c>
      <c r="F71" s="24">
        <f>+[1]LEM!AA1634</f>
        <v>1.0942248229946883</v>
      </c>
      <c r="G71" s="24">
        <f>+[1]LEM!AB1634</f>
        <v>0.89763130972374228</v>
      </c>
      <c r="H71" s="24">
        <f>+[1]LEM!AC1634</f>
        <v>0.89763130972374228</v>
      </c>
      <c r="I71" s="24">
        <f>+[1]LEM!AD1634</f>
        <v>0.89763130972374228</v>
      </c>
      <c r="M71" s="1">
        <f t="shared" si="23"/>
        <v>8.6122579901235898</v>
      </c>
      <c r="N71" s="1">
        <f t="shared" si="23"/>
        <v>15.127487502253638</v>
      </c>
      <c r="O71" s="1">
        <f t="shared" si="23"/>
        <v>28.749919928483351</v>
      </c>
      <c r="P71" s="1">
        <f t="shared" si="23"/>
        <v>120.4082990937774</v>
      </c>
      <c r="Q71" s="1">
        <f t="shared" si="23"/>
        <v>108.05872821431703</v>
      </c>
    </row>
    <row r="72" spans="1:17" x14ac:dyDescent="0.25">
      <c r="A72" s="22">
        <v>6.5000000000000002E-2</v>
      </c>
      <c r="B72" s="23">
        <v>200</v>
      </c>
      <c r="C72" s="24">
        <f>+[1]LEM!X1635</f>
        <v>0</v>
      </c>
      <c r="D72" s="24">
        <f>+[1]LEM!Y1635</f>
        <v>0</v>
      </c>
      <c r="E72" s="24">
        <f>+[1]LEM!Z1635</f>
        <v>0</v>
      </c>
      <c r="F72" s="24">
        <f>+[1]LEM!AA1635</f>
        <v>0</v>
      </c>
      <c r="G72" s="24">
        <f>+[1]LEM!AB1635</f>
        <v>0.66693750000000029</v>
      </c>
      <c r="H72" s="24">
        <f>+[1]LEM!AC1635</f>
        <v>0.54711241149734424</v>
      </c>
      <c r="I72" s="24">
        <f>+[1]LEM!AD1635</f>
        <v>0.44881565486187119</v>
      </c>
      <c r="O72" s="1">
        <f t="shared" ref="O72:Q73" si="24">+O27/10/G72</f>
        <v>0</v>
      </c>
      <c r="P72" s="1">
        <f t="shared" si="24"/>
        <v>0</v>
      </c>
      <c r="Q72" s="1">
        <f t="shared" si="24"/>
        <v>129.65246034824196</v>
      </c>
    </row>
    <row r="73" spans="1:17" x14ac:dyDescent="0.25">
      <c r="A73" s="22">
        <v>6.5000000000000002E-2</v>
      </c>
      <c r="B73" s="23">
        <v>300</v>
      </c>
      <c r="C73" s="24">
        <f>+[1]LEM!X1636</f>
        <v>0</v>
      </c>
      <c r="D73" s="24">
        <f>+[1]LEM!Y1636</f>
        <v>0</v>
      </c>
      <c r="E73" s="24">
        <f>+[1]LEM!Z1636</f>
        <v>0</v>
      </c>
      <c r="F73" s="24">
        <f>+[1]LEM!AA1636</f>
        <v>0</v>
      </c>
      <c r="G73" s="24">
        <f>+[1]LEM!AB1636</f>
        <v>0.66693750000000029</v>
      </c>
      <c r="H73" s="24">
        <f>+[1]LEM!AC1636</f>
        <v>0.54711241149734424</v>
      </c>
      <c r="I73" s="24">
        <f>+[1]LEM!AD1636</f>
        <v>0.44881565486187119</v>
      </c>
      <c r="O73" s="1">
        <f t="shared" si="24"/>
        <v>40.469212088022907</v>
      </c>
      <c r="P73" s="1">
        <f t="shared" si="24"/>
        <v>226.76392530043134</v>
      </c>
      <c r="Q73" s="1">
        <f t="shared" si="24"/>
        <v>309.99391765862316</v>
      </c>
    </row>
    <row r="74" spans="1:17" x14ac:dyDescent="0.25">
      <c r="A74" s="20">
        <v>4.4999999999999998E-2</v>
      </c>
      <c r="B74" s="21">
        <v>200</v>
      </c>
      <c r="C74" s="24">
        <f>+[1]LEM!X1637</f>
        <v>0</v>
      </c>
      <c r="D74" s="24">
        <f>+[1]LEM!Y1637</f>
        <v>0</v>
      </c>
      <c r="E74" s="24">
        <f>+[1]LEM!Z1637</f>
        <v>0</v>
      </c>
      <c r="F74" s="24">
        <f>+[1]LEM!AA1637</f>
        <v>0</v>
      </c>
      <c r="G74" s="24">
        <f>+[1]LEM!AB1637</f>
        <v>0</v>
      </c>
      <c r="H74" s="24">
        <f>+[1]LEM!AC1637</f>
        <v>0</v>
      </c>
      <c r="I74" s="24">
        <f>+[1]LEM!AD1637</f>
        <v>0.3334687500000002</v>
      </c>
      <c r="Q74" s="1">
        <f>+Q29/10/I74</f>
        <v>51.7460400785695</v>
      </c>
    </row>
    <row r="75" spans="1:17" x14ac:dyDescent="0.25">
      <c r="A75" s="20">
        <v>4.4999999999999998E-2</v>
      </c>
      <c r="B75" s="21">
        <v>300</v>
      </c>
      <c r="C75" s="24">
        <f>+[1]LEM!X1638</f>
        <v>0</v>
      </c>
      <c r="D75" s="24">
        <f>+[1]LEM!Y1638</f>
        <v>0</v>
      </c>
      <c r="E75" s="24">
        <f>+[1]LEM!Z1638</f>
        <v>0</v>
      </c>
      <c r="F75" s="24">
        <f>+[1]LEM!AA1638</f>
        <v>0</v>
      </c>
      <c r="G75" s="24">
        <f>+[1]LEM!AB1638</f>
        <v>0</v>
      </c>
      <c r="H75" s="24">
        <f>+[1]LEM!AC1638</f>
        <v>0</v>
      </c>
      <c r="I75" s="24">
        <f>+[1]LEM!AD1638</f>
        <v>0.3334687500000002</v>
      </c>
      <c r="Q75" s="1">
        <f>+Q30/10/I75</f>
        <v>58.704813924463316</v>
      </c>
    </row>
    <row r="76" spans="1:17" x14ac:dyDescent="0.25">
      <c r="A76" s="20">
        <v>0.03</v>
      </c>
      <c r="B76" s="21">
        <v>200</v>
      </c>
      <c r="C76" s="24">
        <f>+[1]LEM!X1639</f>
        <v>0</v>
      </c>
      <c r="D76" s="24">
        <f>+[1]LEM!Y1639</f>
        <v>0</v>
      </c>
      <c r="E76" s="24">
        <f>+[1]LEM!Z1639</f>
        <v>0</v>
      </c>
      <c r="F76" s="24">
        <f>+[1]LEM!AA1639</f>
        <v>0</v>
      </c>
      <c r="G76" s="24">
        <f>+[1]LEM!AB1639</f>
        <v>0</v>
      </c>
      <c r="H76" s="24">
        <f>+[1]LEM!AC1639</f>
        <v>0</v>
      </c>
      <c r="I76" s="24">
        <f>+[1]LEM!AD1639</f>
        <v>0</v>
      </c>
    </row>
    <row r="77" spans="1:17" x14ac:dyDescent="0.25">
      <c r="A77" s="20"/>
      <c r="B77" s="21"/>
      <c r="C77" s="24"/>
      <c r="D77" s="24"/>
      <c r="E77" s="24"/>
      <c r="F77" s="24"/>
      <c r="G77" s="24"/>
      <c r="H77" s="24"/>
      <c r="I77" s="24"/>
      <c r="J77" s="1" t="s">
        <v>133</v>
      </c>
      <c r="K77" s="1">
        <f t="shared" ref="K77:Q77" si="25">+SUM(K64:K76)</f>
        <v>44.554767607442379</v>
      </c>
      <c r="L77" s="1">
        <f t="shared" si="25"/>
        <v>56.712594929636438</v>
      </c>
      <c r="M77" s="1">
        <f t="shared" si="25"/>
        <v>95.145001980167493</v>
      </c>
      <c r="N77" s="1">
        <f t="shared" si="25"/>
        <v>158.69149748632196</v>
      </c>
      <c r="O77" s="1">
        <f t="shared" si="25"/>
        <v>266.91334088637319</v>
      </c>
      <c r="P77" s="1">
        <f t="shared" si="25"/>
        <v>566.11667477917968</v>
      </c>
      <c r="Q77" s="1">
        <f t="shared" si="25"/>
        <v>728.47493006733248</v>
      </c>
    </row>
    <row r="78" spans="1:17" x14ac:dyDescent="0.25">
      <c r="A78" s="1" t="s">
        <v>127</v>
      </c>
      <c r="C78" s="27" t="s">
        <v>126</v>
      </c>
      <c r="D78" s="29"/>
      <c r="E78" s="29"/>
      <c r="F78" s="29"/>
      <c r="G78" s="29"/>
      <c r="H78" s="29"/>
      <c r="I78" s="29"/>
    </row>
    <row r="79" spans="1:17" x14ac:dyDescent="0.25">
      <c r="B79" s="1" t="s">
        <v>125</v>
      </c>
      <c r="E79" s="29"/>
      <c r="F79" s="29"/>
      <c r="G79" s="30"/>
      <c r="H79" s="29"/>
      <c r="I79" s="29"/>
      <c r="J79" s="1" t="s">
        <v>135</v>
      </c>
    </row>
    <row r="80" spans="1:17" x14ac:dyDescent="0.25">
      <c r="A80" s="22">
        <v>0.25</v>
      </c>
      <c r="B80" s="23">
        <v>200</v>
      </c>
      <c r="C80" s="29">
        <f t="shared" ref="C80:I85" si="26">C49/C64</f>
        <v>5.9250910386693842</v>
      </c>
      <c r="D80" s="29">
        <f t="shared" si="26"/>
        <v>5.9250910386693842</v>
      </c>
      <c r="E80" s="29">
        <f t="shared" si="26"/>
        <v>5.9250910386693842</v>
      </c>
      <c r="F80" s="29">
        <f t="shared" si="26"/>
        <v>5.9250910386693842</v>
      </c>
      <c r="G80" s="29">
        <f t="shared" si="26"/>
        <v>5.9250910386693842</v>
      </c>
      <c r="H80" s="29">
        <f t="shared" si="26"/>
        <v>5.9250910386693842</v>
      </c>
      <c r="I80" s="29">
        <f t="shared" si="26"/>
        <v>5.9250910386693842</v>
      </c>
      <c r="K80" s="1">
        <f t="shared" ref="K80:Q80" si="27">+K64*1000/K49</f>
        <v>5.9250910386693842</v>
      </c>
      <c r="L80" s="1">
        <f t="shared" si="27"/>
        <v>5.9250910386693834</v>
      </c>
      <c r="M80" s="1" t="e">
        <f t="shared" si="27"/>
        <v>#DIV/0!</v>
      </c>
      <c r="N80" s="1" t="e">
        <f t="shared" si="27"/>
        <v>#DIV/0!</v>
      </c>
      <c r="O80" s="1" t="e">
        <f t="shared" si="27"/>
        <v>#DIV/0!</v>
      </c>
      <c r="P80" s="1" t="e">
        <f t="shared" si="27"/>
        <v>#DIV/0!</v>
      </c>
      <c r="Q80" s="1" t="e">
        <f t="shared" si="27"/>
        <v>#DIV/0!</v>
      </c>
    </row>
    <row r="81" spans="1:17" x14ac:dyDescent="0.25">
      <c r="A81" s="22">
        <v>0.25</v>
      </c>
      <c r="B81" s="23">
        <v>300</v>
      </c>
      <c r="C81" s="29">
        <f t="shared" si="26"/>
        <v>5.9250910386693842</v>
      </c>
      <c r="D81" s="29">
        <f t="shared" si="26"/>
        <v>5.9250910386693842</v>
      </c>
      <c r="E81" s="29">
        <f t="shared" si="26"/>
        <v>5.9250910386693842</v>
      </c>
      <c r="F81" s="29">
        <f t="shared" si="26"/>
        <v>5.9250910386693842</v>
      </c>
      <c r="G81" s="29">
        <f t="shared" si="26"/>
        <v>5.9250910386693842</v>
      </c>
      <c r="H81" s="29">
        <f t="shared" si="26"/>
        <v>5.9250910386693842</v>
      </c>
      <c r="I81" s="29">
        <f t="shared" si="26"/>
        <v>5.9250910386693842</v>
      </c>
    </row>
    <row r="82" spans="1:17" x14ac:dyDescent="0.25">
      <c r="A82" s="22">
        <v>0.18</v>
      </c>
      <c r="B82" s="23">
        <v>200</v>
      </c>
      <c r="C82" s="29">
        <f t="shared" si="26"/>
        <v>12.575567549343623</v>
      </c>
      <c r="D82" s="29">
        <f t="shared" si="26"/>
        <v>12.575567549343623</v>
      </c>
      <c r="E82" s="29">
        <f t="shared" si="26"/>
        <v>12.575567549343623</v>
      </c>
      <c r="F82" s="29">
        <f t="shared" si="26"/>
        <v>12.575567549343623</v>
      </c>
      <c r="G82" s="29">
        <f t="shared" si="26"/>
        <v>12.575567549343623</v>
      </c>
      <c r="H82" s="29">
        <f t="shared" si="26"/>
        <v>12.575567549343623</v>
      </c>
      <c r="I82" s="29">
        <f t="shared" si="26"/>
        <v>12.575567549343623</v>
      </c>
      <c r="K82" s="1">
        <f>+K66*1000/K51</f>
        <v>12.575567549343623</v>
      </c>
      <c r="L82" s="1">
        <f>+L66*1000/L51</f>
        <v>12.575567549343623</v>
      </c>
      <c r="M82" s="1">
        <f>+M66*1000/M51</f>
        <v>12.575567549343624</v>
      </c>
      <c r="N82" s="1">
        <f>+N66*1000/N51</f>
        <v>12.575567549343623</v>
      </c>
    </row>
    <row r="83" spans="1:17" x14ac:dyDescent="0.25">
      <c r="A83" s="22">
        <v>0.18</v>
      </c>
      <c r="B83" s="23">
        <v>300</v>
      </c>
      <c r="C83" s="29">
        <f t="shared" si="26"/>
        <v>12.575567549343623</v>
      </c>
      <c r="D83" s="29">
        <f t="shared" si="26"/>
        <v>12.575567549343623</v>
      </c>
      <c r="E83" s="29">
        <f t="shared" si="26"/>
        <v>12.575567549343623</v>
      </c>
      <c r="F83" s="29">
        <f t="shared" si="26"/>
        <v>12.575567549343623</v>
      </c>
      <c r="G83" s="29">
        <f t="shared" si="26"/>
        <v>12.575567549343623</v>
      </c>
      <c r="H83" s="29">
        <f t="shared" si="26"/>
        <v>12.575567549343623</v>
      </c>
      <c r="I83" s="29">
        <f t="shared" si="26"/>
        <v>12.575567549343623</v>
      </c>
    </row>
    <row r="84" spans="1:17" x14ac:dyDescent="0.25">
      <c r="A84" s="22">
        <v>0.13</v>
      </c>
      <c r="B84" s="23">
        <v>200</v>
      </c>
      <c r="C84" s="29">
        <f t="shared" si="26"/>
        <v>24.995403229267385</v>
      </c>
      <c r="D84" s="29">
        <f t="shared" si="26"/>
        <v>25.829152364611225</v>
      </c>
      <c r="E84" s="29">
        <f t="shared" si="26"/>
        <v>26.690712118344003</v>
      </c>
      <c r="F84" s="29">
        <f t="shared" si="26"/>
        <v>26.690712118344003</v>
      </c>
      <c r="G84" s="29">
        <f t="shared" si="26"/>
        <v>26.690712118344003</v>
      </c>
      <c r="H84" s="29">
        <f t="shared" si="26"/>
        <v>26.690712118344003</v>
      </c>
      <c r="I84" s="29">
        <f t="shared" si="26"/>
        <v>26.690712118344003</v>
      </c>
      <c r="K84" s="1">
        <f>+K68*1000/K53</f>
        <v>24.995403229267385</v>
      </c>
      <c r="L84" s="1">
        <f>+L68*1000/L53</f>
        <v>25.829152364611229</v>
      </c>
      <c r="M84" s="1">
        <f>+M68*1000/M53</f>
        <v>26.690712118344003</v>
      </c>
      <c r="N84" s="1">
        <f>+N68*1000/N53</f>
        <v>26.690712118344003</v>
      </c>
      <c r="O84" s="1">
        <f>+O68*1000/O53</f>
        <v>26.690712118344003</v>
      </c>
    </row>
    <row r="85" spans="1:17" x14ac:dyDescent="0.25">
      <c r="A85" s="22">
        <v>0.13</v>
      </c>
      <c r="B85" s="23">
        <v>300</v>
      </c>
      <c r="C85" s="29">
        <f t="shared" si="26"/>
        <v>24.995403229267385</v>
      </c>
      <c r="D85" s="29">
        <f t="shared" si="26"/>
        <v>25.829152364611225</v>
      </c>
      <c r="E85" s="29">
        <f t="shared" si="26"/>
        <v>26.690712118344003</v>
      </c>
      <c r="F85" s="29">
        <f t="shared" si="26"/>
        <v>26.690712118344003</v>
      </c>
      <c r="G85" s="29">
        <f t="shared" si="26"/>
        <v>26.690712118344003</v>
      </c>
      <c r="H85" s="29">
        <f t="shared" si="26"/>
        <v>26.690712118344003</v>
      </c>
      <c r="I85" s="29">
        <f t="shared" si="26"/>
        <v>26.690712118344003</v>
      </c>
      <c r="L85" s="1">
        <f>+L69*1000/L54</f>
        <v>25.829152364611225</v>
      </c>
      <c r="M85" s="1">
        <f>+M69*1000/M54</f>
        <v>26.690712118344003</v>
      </c>
      <c r="N85" s="1">
        <f>+N69*1000/N54</f>
        <v>26.690712118344003</v>
      </c>
      <c r="O85" s="1">
        <f>+O69*1000/O54</f>
        <v>26.690712118343999</v>
      </c>
      <c r="P85" s="1">
        <f>+P69*1000/P54</f>
        <v>26.690712118343995</v>
      </c>
    </row>
    <row r="86" spans="1:17" x14ac:dyDescent="0.25">
      <c r="A86" s="22">
        <v>0.09</v>
      </c>
      <c r="B86" s="23">
        <v>200</v>
      </c>
      <c r="C86" s="29"/>
      <c r="D86" s="29"/>
      <c r="E86" s="29">
        <f t="shared" ref="E86:I87" si="28">E55/E70</f>
        <v>46.937913432825134</v>
      </c>
      <c r="F86" s="29">
        <f t="shared" si="28"/>
        <v>48.503579102648736</v>
      </c>
      <c r="G86" s="29">
        <f t="shared" si="28"/>
        <v>50.12146927097232</v>
      </c>
      <c r="H86" s="29">
        <f t="shared" si="28"/>
        <v>50.12146927097232</v>
      </c>
      <c r="I86" s="29">
        <f t="shared" si="28"/>
        <v>50.12146927097232</v>
      </c>
      <c r="M86" s="1">
        <f t="shared" ref="M86:Q87" si="29">+M70*1000/M55</f>
        <v>46.937913432825141</v>
      </c>
      <c r="N86" s="1">
        <f t="shared" si="29"/>
        <v>48.503579102648729</v>
      </c>
      <c r="O86" s="1">
        <f t="shared" si="29"/>
        <v>50.121469270972327</v>
      </c>
      <c r="P86" s="1">
        <f t="shared" si="29"/>
        <v>50.121469270972312</v>
      </c>
      <c r="Q86" s="1">
        <f t="shared" si="29"/>
        <v>50.12146927097232</v>
      </c>
    </row>
    <row r="87" spans="1:17" x14ac:dyDescent="0.25">
      <c r="A87" s="22">
        <v>0.09</v>
      </c>
      <c r="B87" s="23">
        <v>300</v>
      </c>
      <c r="C87" s="29"/>
      <c r="D87" s="29"/>
      <c r="E87" s="29">
        <f t="shared" si="28"/>
        <v>46.937913432825134</v>
      </c>
      <c r="F87" s="29">
        <f t="shared" si="28"/>
        <v>48.503579102648736</v>
      </c>
      <c r="G87" s="29">
        <f t="shared" si="28"/>
        <v>50.12146927097232</v>
      </c>
      <c r="H87" s="29">
        <f t="shared" si="28"/>
        <v>50.12146927097232</v>
      </c>
      <c r="I87" s="29">
        <f t="shared" si="28"/>
        <v>50.12146927097232</v>
      </c>
      <c r="M87" s="1">
        <f t="shared" si="29"/>
        <v>46.937913432825127</v>
      </c>
      <c r="N87" s="1">
        <f t="shared" si="29"/>
        <v>48.503579102648736</v>
      </c>
      <c r="O87" s="1">
        <f t="shared" si="29"/>
        <v>50.12146927097232</v>
      </c>
      <c r="P87" s="1">
        <f t="shared" si="29"/>
        <v>50.12146927097232</v>
      </c>
      <c r="Q87" s="1">
        <f t="shared" si="29"/>
        <v>50.12146927097232</v>
      </c>
    </row>
    <row r="88" spans="1:17" x14ac:dyDescent="0.25">
      <c r="A88" s="22">
        <v>6.5000000000000002E-2</v>
      </c>
      <c r="B88" s="23">
        <v>200</v>
      </c>
      <c r="C88" s="29"/>
      <c r="D88" s="29"/>
      <c r="E88" s="29"/>
      <c r="F88" s="29"/>
      <c r="G88" s="29">
        <f t="shared" ref="G88:I89" si="30">G57/G72</f>
        <v>88.142915608085602</v>
      </c>
      <c r="H88" s="29">
        <f t="shared" si="30"/>
        <v>91.083019394404133</v>
      </c>
      <c r="I88" s="29">
        <f t="shared" si="30"/>
        <v>94.121193572593484</v>
      </c>
      <c r="Q88" s="1">
        <f>+Q72*1000/Q57</f>
        <v>94.121193572593498</v>
      </c>
    </row>
    <row r="89" spans="1:17" x14ac:dyDescent="0.25">
      <c r="A89" s="22">
        <v>6.5000000000000002E-2</v>
      </c>
      <c r="B89" s="23">
        <v>300</v>
      </c>
      <c r="C89" s="29"/>
      <c r="D89" s="29"/>
      <c r="E89" s="29"/>
      <c r="F89" s="29"/>
      <c r="G89" s="29">
        <f t="shared" si="30"/>
        <v>88.142915608085602</v>
      </c>
      <c r="H89" s="29">
        <f t="shared" si="30"/>
        <v>91.083019394404133</v>
      </c>
      <c r="I89" s="29">
        <f t="shared" si="30"/>
        <v>94.121193572593484</v>
      </c>
      <c r="O89" s="1">
        <f>+O73*1000/O58</f>
        <v>88.142915608085602</v>
      </c>
      <c r="P89" s="1">
        <f>+P73*1000/P58</f>
        <v>91.083019394404133</v>
      </c>
      <c r="Q89" s="1">
        <f>+Q73*1000/Q58</f>
        <v>94.121193572593469</v>
      </c>
    </row>
    <row r="90" spans="1:17" x14ac:dyDescent="0.25">
      <c r="A90" s="20">
        <v>4.4999999999999998E-2</v>
      </c>
      <c r="B90" s="21">
        <v>200</v>
      </c>
      <c r="C90" s="29"/>
      <c r="D90" s="29"/>
      <c r="E90" s="29"/>
      <c r="F90" s="29"/>
      <c r="G90" s="29"/>
      <c r="H90" s="29"/>
      <c r="I90" s="29">
        <f>I59/I74</f>
        <v>165.52021604055543</v>
      </c>
      <c r="Q90" s="1">
        <f>+Q74*1000/Q59</f>
        <v>165.52021604055543</v>
      </c>
    </row>
    <row r="91" spans="1:17" x14ac:dyDescent="0.25">
      <c r="A91" s="20">
        <v>4.4999999999999998E-2</v>
      </c>
      <c r="B91" s="21">
        <v>300</v>
      </c>
      <c r="C91" s="29"/>
      <c r="D91" s="29"/>
      <c r="E91" s="29"/>
      <c r="F91" s="29"/>
      <c r="G91" s="29"/>
      <c r="H91" s="29"/>
      <c r="I91" s="29">
        <f>I60/I75</f>
        <v>165.52021604055543</v>
      </c>
      <c r="Q91" s="1">
        <f>+Q75*1000/Q60</f>
        <v>165.5202160405554</v>
      </c>
    </row>
    <row r="92" spans="1:17" x14ac:dyDescent="0.25">
      <c r="A92" s="20">
        <v>0.03</v>
      </c>
      <c r="B92" s="21">
        <v>200</v>
      </c>
      <c r="C92" s="29"/>
      <c r="D92" s="29"/>
      <c r="E92" s="29"/>
      <c r="F92" s="29"/>
      <c r="G92" s="29"/>
      <c r="H92" s="29"/>
      <c r="I92" s="29"/>
    </row>
    <row r="93" spans="1:17" x14ac:dyDescent="0.25">
      <c r="A93" s="20" t="s">
        <v>140</v>
      </c>
      <c r="B93" s="21"/>
      <c r="D93" s="29"/>
      <c r="E93" s="29"/>
      <c r="F93" s="29"/>
      <c r="G93" s="29"/>
      <c r="H93" s="29"/>
      <c r="I93" s="29"/>
      <c r="J93" s="1" t="s">
        <v>158</v>
      </c>
    </row>
    <row r="94" spans="1:17" x14ac:dyDescent="0.25">
      <c r="A94" s="22">
        <v>0.25</v>
      </c>
      <c r="B94" s="23">
        <v>200</v>
      </c>
      <c r="D94" s="29"/>
      <c r="E94" s="29"/>
      <c r="F94" s="29"/>
      <c r="G94" s="29"/>
      <c r="H94" s="29"/>
      <c r="I94" s="29"/>
      <c r="K94" s="1">
        <f t="shared" ref="K94:L99" si="31">+K80/(C49/100)</f>
        <v>11.423612165724633</v>
      </c>
      <c r="L94" s="1">
        <f t="shared" si="31"/>
        <v>11.423612165724631</v>
      </c>
      <c r="M94" s="1">
        <f>+L94</f>
        <v>11.423612165724631</v>
      </c>
      <c r="N94" s="1">
        <f>+M94</f>
        <v>11.423612165724631</v>
      </c>
      <c r="O94" s="1">
        <f>+N94</f>
        <v>11.423612165724631</v>
      </c>
      <c r="P94" s="1">
        <f>+O94</f>
        <v>11.423612165724631</v>
      </c>
      <c r="Q94" s="1">
        <f>+P94</f>
        <v>11.423612165724631</v>
      </c>
    </row>
    <row r="95" spans="1:17" x14ac:dyDescent="0.25">
      <c r="A95" s="22">
        <v>0.25</v>
      </c>
      <c r="B95" s="23">
        <v>300</v>
      </c>
      <c r="D95" s="29"/>
      <c r="E95" s="29"/>
      <c r="F95" s="29"/>
      <c r="G95" s="29"/>
      <c r="H95" s="29"/>
      <c r="I95" s="29"/>
      <c r="K95" s="1">
        <f t="shared" si="31"/>
        <v>0</v>
      </c>
      <c r="L95" s="1">
        <f t="shared" si="31"/>
        <v>0</v>
      </c>
      <c r="M95" s="1">
        <f>+M81/(E50/100)</f>
        <v>0</v>
      </c>
      <c r="N95" s="1">
        <f>+N81/(F50/100)</f>
        <v>0</v>
      </c>
      <c r="O95" s="1">
        <f>+O81/(G50/100)</f>
        <v>0</v>
      </c>
      <c r="P95" s="1">
        <f>+P81/(H50/100)</f>
        <v>0</v>
      </c>
      <c r="Q95" s="1">
        <f>+Q81/(I50/100)</f>
        <v>0</v>
      </c>
    </row>
    <row r="96" spans="1:17" x14ac:dyDescent="0.25">
      <c r="A96" s="22">
        <v>0.18</v>
      </c>
      <c r="B96" s="23">
        <v>200</v>
      </c>
      <c r="D96" s="29"/>
      <c r="E96" s="29"/>
      <c r="F96" s="29"/>
      <c r="G96" s="29"/>
      <c r="H96" s="29"/>
      <c r="I96" s="29"/>
      <c r="K96" s="1">
        <f t="shared" si="31"/>
        <v>25.225380800906304</v>
      </c>
      <c r="L96" s="1">
        <f t="shared" si="31"/>
        <v>25.225380800906304</v>
      </c>
      <c r="M96" s="1">
        <f t="shared" ref="M96:N101" si="32">+M82/(E51/100)</f>
        <v>25.225380800906308</v>
      </c>
      <c r="N96" s="1">
        <f t="shared" si="32"/>
        <v>25.225380800906304</v>
      </c>
      <c r="O96" s="1">
        <f>+N96</f>
        <v>25.225380800906304</v>
      </c>
      <c r="P96" s="1">
        <f>+O96</f>
        <v>25.225380800906304</v>
      </c>
      <c r="Q96" s="1">
        <f>+P96</f>
        <v>25.225380800906304</v>
      </c>
    </row>
    <row r="97" spans="1:17" x14ac:dyDescent="0.25">
      <c r="A97" s="22">
        <v>0.18</v>
      </c>
      <c r="B97" s="23">
        <v>300</v>
      </c>
      <c r="D97" s="29"/>
      <c r="E97" s="29"/>
      <c r="F97" s="29"/>
      <c r="G97" s="29"/>
      <c r="H97" s="29"/>
      <c r="I97" s="29"/>
      <c r="K97" s="1">
        <f t="shared" si="31"/>
        <v>0</v>
      </c>
      <c r="L97" s="1">
        <f t="shared" si="31"/>
        <v>0</v>
      </c>
      <c r="M97" s="1">
        <f t="shared" si="32"/>
        <v>0</v>
      </c>
      <c r="N97" s="1">
        <f t="shared" si="32"/>
        <v>0</v>
      </c>
      <c r="O97" s="1">
        <f>+O83/(G52/100)</f>
        <v>0</v>
      </c>
      <c r="P97" s="1">
        <f>+P83/(H52/100)</f>
        <v>0</v>
      </c>
      <c r="Q97" s="1">
        <f>+Q83/(I52/100)</f>
        <v>0</v>
      </c>
    </row>
    <row r="98" spans="1:17" x14ac:dyDescent="0.25">
      <c r="A98" s="22">
        <v>0.13</v>
      </c>
      <c r="B98" s="23">
        <v>200</v>
      </c>
      <c r="D98" s="29"/>
      <c r="E98" s="29"/>
      <c r="F98" s="29"/>
      <c r="G98" s="29"/>
      <c r="H98" s="29"/>
      <c r="I98" s="29"/>
      <c r="K98" s="1">
        <f t="shared" si="31"/>
        <v>37.484771811451601</v>
      </c>
      <c r="L98" s="1">
        <f t="shared" si="31"/>
        <v>45.69444866289853</v>
      </c>
      <c r="M98" s="1">
        <f t="shared" si="32"/>
        <v>55.702156841418741</v>
      </c>
      <c r="N98" s="1">
        <f t="shared" si="32"/>
        <v>55.702156841418741</v>
      </c>
      <c r="O98" s="1">
        <f t="shared" ref="O98:O103" si="33">+O84/(G53/100)</f>
        <v>55.702156841418741</v>
      </c>
      <c r="P98" s="1">
        <f>+O98</f>
        <v>55.702156841418741</v>
      </c>
      <c r="Q98" s="1">
        <f>+P98</f>
        <v>55.702156841418741</v>
      </c>
    </row>
    <row r="99" spans="1:17" x14ac:dyDescent="0.25">
      <c r="A99" s="22">
        <v>0.13</v>
      </c>
      <c r="B99" s="23">
        <v>300</v>
      </c>
      <c r="D99" s="29"/>
      <c r="E99" s="29"/>
      <c r="F99" s="29"/>
      <c r="G99" s="29"/>
      <c r="H99" s="29"/>
      <c r="I99" s="29"/>
      <c r="K99" s="1">
        <f t="shared" si="31"/>
        <v>0</v>
      </c>
      <c r="L99" s="1">
        <f t="shared" si="31"/>
        <v>45.694448662898523</v>
      </c>
      <c r="M99" s="1">
        <f t="shared" si="32"/>
        <v>55.702156841418741</v>
      </c>
      <c r="N99" s="1">
        <f t="shared" si="32"/>
        <v>55.702156841418741</v>
      </c>
      <c r="O99" s="1">
        <f t="shared" si="33"/>
        <v>55.702156841418734</v>
      </c>
      <c r="P99" s="1">
        <f>+P85/(H54/100)</f>
        <v>55.702156841418727</v>
      </c>
      <c r="Q99" s="1">
        <f>+P99</f>
        <v>55.702156841418727</v>
      </c>
    </row>
    <row r="100" spans="1:17" x14ac:dyDescent="0.25">
      <c r="A100" s="22">
        <v>0.09</v>
      </c>
      <c r="B100" s="23">
        <v>200</v>
      </c>
      <c r="D100" s="29"/>
      <c r="E100" s="29"/>
      <c r="F100" s="29"/>
      <c r="G100" s="29"/>
      <c r="H100" s="29"/>
      <c r="I100" s="29"/>
      <c r="M100" s="1">
        <f t="shared" si="32"/>
        <v>74.969543622903203</v>
      </c>
      <c r="N100" s="1">
        <f t="shared" si="32"/>
        <v>91.388897325797018</v>
      </c>
      <c r="O100" s="1">
        <f t="shared" si="33"/>
        <v>111.40431368283747</v>
      </c>
      <c r="P100" s="1">
        <f>+P86/(H55/100)</f>
        <v>111.40431368283744</v>
      </c>
      <c r="Q100" s="1">
        <f t="shared" ref="Q100:Q105" si="34">+Q86/(I55/100)</f>
        <v>111.40431368283745</v>
      </c>
    </row>
    <row r="101" spans="1:17" x14ac:dyDescent="0.25">
      <c r="A101" s="22">
        <v>0.09</v>
      </c>
      <c r="B101" s="23">
        <v>300</v>
      </c>
      <c r="D101" s="29"/>
      <c r="E101" s="29"/>
      <c r="F101" s="29"/>
      <c r="G101" s="29"/>
      <c r="H101" s="29"/>
      <c r="I101" s="29"/>
      <c r="M101" s="1">
        <f t="shared" si="32"/>
        <v>74.969543622903188</v>
      </c>
      <c r="N101" s="1">
        <f t="shared" si="32"/>
        <v>91.388897325797032</v>
      </c>
      <c r="O101" s="1">
        <f t="shared" si="33"/>
        <v>111.40431368283745</v>
      </c>
      <c r="P101" s="1">
        <f>+P87/(H56/100)</f>
        <v>111.40431368283745</v>
      </c>
      <c r="Q101" s="1">
        <f t="shared" si="34"/>
        <v>111.40431368283745</v>
      </c>
    </row>
    <row r="102" spans="1:17" x14ac:dyDescent="0.25">
      <c r="A102" s="22">
        <v>6.5000000000000002E-2</v>
      </c>
      <c r="B102" s="23">
        <v>200</v>
      </c>
      <c r="D102" s="29"/>
      <c r="E102" s="29"/>
      <c r="F102" s="29"/>
      <c r="G102" s="29"/>
      <c r="H102" s="29"/>
      <c r="I102" s="29"/>
      <c r="O102" s="1">
        <f t="shared" si="33"/>
        <v>0</v>
      </c>
      <c r="P102" s="1">
        <f>+P88/(H57/100)</f>
        <v>0</v>
      </c>
      <c r="Q102" s="1">
        <f t="shared" si="34"/>
        <v>222.80862736567491</v>
      </c>
    </row>
    <row r="103" spans="1:17" x14ac:dyDescent="0.25">
      <c r="A103" s="22">
        <v>6.5000000000000002E-2</v>
      </c>
      <c r="B103" s="23">
        <v>300</v>
      </c>
      <c r="D103" s="29"/>
      <c r="E103" s="29"/>
      <c r="F103" s="29"/>
      <c r="G103" s="29"/>
      <c r="H103" s="29"/>
      <c r="I103" s="29"/>
      <c r="O103" s="1">
        <f t="shared" si="33"/>
        <v>149.93908724580632</v>
      </c>
      <c r="P103" s="1">
        <f>+P89/(H58/100)</f>
        <v>182.77779465159404</v>
      </c>
      <c r="Q103" s="1">
        <f t="shared" si="34"/>
        <v>222.80862736567482</v>
      </c>
    </row>
    <row r="104" spans="1:17" x14ac:dyDescent="0.25">
      <c r="A104" s="20">
        <v>4.4999999999999998E-2</v>
      </c>
      <c r="B104" s="21">
        <v>200</v>
      </c>
      <c r="D104" s="29"/>
      <c r="E104" s="29"/>
      <c r="F104" s="29"/>
      <c r="G104" s="29"/>
      <c r="H104" s="29"/>
      <c r="I104" s="29"/>
      <c r="Q104" s="1">
        <f t="shared" si="34"/>
        <v>299.87817449161264</v>
      </c>
    </row>
    <row r="105" spans="1:17" x14ac:dyDescent="0.25">
      <c r="A105" s="20">
        <v>4.4999999999999998E-2</v>
      </c>
      <c r="B105" s="21">
        <v>300</v>
      </c>
      <c r="D105" s="29"/>
      <c r="E105" s="29"/>
      <c r="F105" s="29"/>
      <c r="G105" s="29"/>
      <c r="H105" s="29"/>
      <c r="I105" s="29"/>
      <c r="Q105" s="1">
        <f t="shared" si="34"/>
        <v>299.87817449161258</v>
      </c>
    </row>
    <row r="106" spans="1:17" x14ac:dyDescent="0.25">
      <c r="A106" s="20">
        <v>0.03</v>
      </c>
      <c r="B106" s="21">
        <v>200</v>
      </c>
      <c r="D106" s="29"/>
      <c r="E106" s="29"/>
      <c r="F106" s="29"/>
      <c r="G106" s="29"/>
      <c r="H106" s="29"/>
      <c r="I106" s="29"/>
    </row>
    <row r="107" spans="1:17" x14ac:dyDescent="0.25">
      <c r="A107" s="20"/>
      <c r="B107" s="21"/>
      <c r="D107" s="29"/>
      <c r="E107" s="29"/>
      <c r="F107" s="29"/>
      <c r="G107" s="29"/>
      <c r="H107" s="29"/>
      <c r="I107" s="29"/>
    </row>
    <row r="108" spans="1:17" x14ac:dyDescent="0.25">
      <c r="A108" s="1" t="s">
        <v>12</v>
      </c>
      <c r="D108" s="1">
        <v>0.92500000000000004</v>
      </c>
      <c r="E108" s="1">
        <v>0.92500000000000004</v>
      </c>
      <c r="F108" s="1">
        <v>0.92500000000000004</v>
      </c>
      <c r="G108" s="1">
        <v>0.92500000000000004</v>
      </c>
      <c r="H108" s="1">
        <v>0.92500000000000004</v>
      </c>
      <c r="I108" s="1">
        <v>0.92500000000000004</v>
      </c>
    </row>
    <row r="109" spans="1:17" x14ac:dyDescent="0.25">
      <c r="A109" s="22">
        <v>0.25</v>
      </c>
      <c r="B109" s="23">
        <v>200</v>
      </c>
      <c r="C109" s="1">
        <f>+[1]LEM!X307</f>
        <v>0.95</v>
      </c>
      <c r="D109" s="1">
        <f>+(0.867+0.74+0.563+0.553)/4</f>
        <v>0.68074999999999997</v>
      </c>
      <c r="E109" s="1">
        <f>+[1]LEM!Z307</f>
        <v>0.8</v>
      </c>
      <c r="F109" s="1">
        <f>+[1]LEM!AA307</f>
        <v>0.92500000000000004</v>
      </c>
      <c r="G109" s="1">
        <f>+[1]LEM!AB307</f>
        <v>0.95</v>
      </c>
      <c r="H109" s="1">
        <f>+[1]LEM!AC307</f>
        <v>0.97499999999999998</v>
      </c>
      <c r="I109" s="1">
        <f>+[1]LEM!AD307</f>
        <v>0.875</v>
      </c>
    </row>
    <row r="110" spans="1:17" x14ac:dyDescent="0.25">
      <c r="A110" s="22">
        <v>0.25</v>
      </c>
      <c r="B110" s="23">
        <v>300</v>
      </c>
      <c r="C110" s="1">
        <f>+[1]LEM!X308</f>
        <v>0.95</v>
      </c>
      <c r="D110" s="1">
        <f>+(0.867+0.74+0.563+0.553)/4</f>
        <v>0.68074999999999997</v>
      </c>
      <c r="E110" s="1">
        <f>+[1]LEM!Z308</f>
        <v>0.8</v>
      </c>
      <c r="F110" s="1">
        <f>+[1]LEM!AA308</f>
        <v>0.92500000000000004</v>
      </c>
      <c r="G110" s="1">
        <f>+[1]LEM!AB308</f>
        <v>0.95</v>
      </c>
      <c r="H110" s="1">
        <f>+[1]LEM!AC308</f>
        <v>0.97499999999999998</v>
      </c>
      <c r="I110" s="1">
        <f>+[1]LEM!AD308</f>
        <v>0.875</v>
      </c>
    </row>
    <row r="111" spans="1:17" x14ac:dyDescent="0.25">
      <c r="A111" s="22">
        <v>0.18</v>
      </c>
      <c r="B111" s="23">
        <v>200</v>
      </c>
      <c r="C111" s="1">
        <f>+[1]LEM!X309</f>
        <v>0.95</v>
      </c>
      <c r="D111" s="1">
        <f>+(0.81+0.837+0.79+0.835)/4</f>
        <v>0.81800000000000006</v>
      </c>
      <c r="E111" s="1">
        <f>+[1]LEM!Z309</f>
        <v>0.8</v>
      </c>
      <c r="F111" s="1">
        <f>+[1]LEM!AA309</f>
        <v>0.92500000000000004</v>
      </c>
      <c r="G111" s="1">
        <f>+[1]LEM!AB309</f>
        <v>0.95</v>
      </c>
      <c r="H111" s="1">
        <f>+[1]LEM!AC309</f>
        <v>0.97499999999999998</v>
      </c>
      <c r="I111" s="1">
        <f>+[1]LEM!AD309</f>
        <v>0.875</v>
      </c>
    </row>
    <row r="112" spans="1:17" x14ac:dyDescent="0.25">
      <c r="A112" s="22">
        <v>0.18</v>
      </c>
      <c r="B112" s="23">
        <v>300</v>
      </c>
      <c r="C112" s="1">
        <f>+[1]LEM!X310</f>
        <v>0.95</v>
      </c>
      <c r="D112" s="1">
        <f t="shared" ref="D112:D121" si="35">+(0.81+0.837+0.79+0.835)/4</f>
        <v>0.81800000000000006</v>
      </c>
      <c r="E112" s="1">
        <f>+[1]LEM!Z310</f>
        <v>0.8</v>
      </c>
      <c r="F112" s="1">
        <f>+[1]LEM!AA310</f>
        <v>0.92500000000000004</v>
      </c>
      <c r="G112" s="1">
        <f>+[1]LEM!AB310</f>
        <v>0.95</v>
      </c>
      <c r="H112" s="1">
        <f>+[1]LEM!AC310</f>
        <v>0.97499999999999998</v>
      </c>
      <c r="I112" s="1">
        <f>+[1]LEM!AD310</f>
        <v>0.875</v>
      </c>
    </row>
    <row r="113" spans="1:9" x14ac:dyDescent="0.25">
      <c r="A113" s="22">
        <v>0.13</v>
      </c>
      <c r="B113" s="23">
        <v>200</v>
      </c>
      <c r="C113" s="1">
        <f>+[1]LEM!X311</f>
        <v>0.95</v>
      </c>
      <c r="D113" s="1">
        <f t="shared" si="35"/>
        <v>0.81800000000000006</v>
      </c>
      <c r="E113" s="1">
        <f>+[1]LEM!Z311</f>
        <v>0.8</v>
      </c>
      <c r="F113" s="1">
        <f>+[1]LEM!AA311</f>
        <v>0.92500000000000004</v>
      </c>
      <c r="G113" s="1">
        <f>+[1]LEM!AB311</f>
        <v>0.95</v>
      </c>
      <c r="H113" s="1">
        <f>+[1]LEM!AC311</f>
        <v>0.97499999999999998</v>
      </c>
      <c r="I113" s="1">
        <f>+[1]LEM!AD311</f>
        <v>0.875</v>
      </c>
    </row>
    <row r="114" spans="1:9" x14ac:dyDescent="0.25">
      <c r="A114" s="22">
        <v>0.13</v>
      </c>
      <c r="B114" s="23">
        <v>300</v>
      </c>
      <c r="C114" s="1">
        <f>+[1]LEM!X312</f>
        <v>0.95</v>
      </c>
      <c r="D114" s="1">
        <f t="shared" si="35"/>
        <v>0.81800000000000006</v>
      </c>
      <c r="E114" s="1">
        <f>+[1]LEM!Z312</f>
        <v>0.8</v>
      </c>
      <c r="F114" s="1">
        <f>+[1]LEM!AA312</f>
        <v>0.92500000000000004</v>
      </c>
      <c r="G114" s="1">
        <f>+[1]LEM!AB312</f>
        <v>0.95</v>
      </c>
      <c r="H114" s="1">
        <f>+[1]LEM!AC312</f>
        <v>0.97499999999999998</v>
      </c>
      <c r="I114" s="1">
        <f>+[1]LEM!AD312</f>
        <v>0.875</v>
      </c>
    </row>
    <row r="115" spans="1:9" x14ac:dyDescent="0.25">
      <c r="A115" s="22">
        <v>0.09</v>
      </c>
      <c r="B115" s="23">
        <v>200</v>
      </c>
      <c r="C115" s="1">
        <f>+[1]LEM!X313</f>
        <v>0.95</v>
      </c>
      <c r="D115" s="1">
        <f t="shared" si="35"/>
        <v>0.81800000000000006</v>
      </c>
      <c r="E115" s="1">
        <f>+[1]LEM!Z313</f>
        <v>0.8</v>
      </c>
      <c r="F115" s="1">
        <f>+[1]LEM!AA313</f>
        <v>0.92500000000000004</v>
      </c>
      <c r="G115" s="1">
        <f>+[1]LEM!AB313</f>
        <v>0.95</v>
      </c>
      <c r="H115" s="1">
        <f>+[1]LEM!AC313</f>
        <v>0.97499999999999998</v>
      </c>
      <c r="I115" s="1">
        <f>+[1]LEM!AD313</f>
        <v>0.875</v>
      </c>
    </row>
    <row r="116" spans="1:9" x14ac:dyDescent="0.25">
      <c r="A116" s="22">
        <v>0.09</v>
      </c>
      <c r="B116" s="23">
        <v>300</v>
      </c>
      <c r="C116" s="1">
        <f>+[1]LEM!X314</f>
        <v>0.95</v>
      </c>
      <c r="D116" s="1">
        <f t="shared" si="35"/>
        <v>0.81800000000000006</v>
      </c>
      <c r="E116" s="1">
        <f>+[1]LEM!Z314</f>
        <v>0.8</v>
      </c>
      <c r="F116" s="1">
        <f>+[1]LEM!AA314</f>
        <v>0.92500000000000004</v>
      </c>
      <c r="G116" s="1">
        <f>+[1]LEM!AB314</f>
        <v>0.95</v>
      </c>
      <c r="H116" s="1">
        <f>+[1]LEM!AC314</f>
        <v>0.97499999999999998</v>
      </c>
      <c r="I116" s="1">
        <f>+[1]LEM!AD314</f>
        <v>0.875</v>
      </c>
    </row>
    <row r="117" spans="1:9" x14ac:dyDescent="0.25">
      <c r="A117" s="22">
        <v>6.5000000000000002E-2</v>
      </c>
      <c r="B117" s="23">
        <v>200</v>
      </c>
      <c r="C117" s="1">
        <f>+[1]LEM!X315</f>
        <v>0.95</v>
      </c>
      <c r="D117" s="1">
        <f t="shared" si="35"/>
        <v>0.81800000000000006</v>
      </c>
      <c r="E117" s="1">
        <f>+[1]LEM!Z315</f>
        <v>0.8</v>
      </c>
      <c r="F117" s="1">
        <f>+[1]LEM!AA315</f>
        <v>0.92500000000000004</v>
      </c>
      <c r="G117" s="1">
        <f>+[1]LEM!AB315</f>
        <v>0.95</v>
      </c>
      <c r="H117" s="1">
        <f>+[1]LEM!AC315</f>
        <v>0.97499999999999998</v>
      </c>
      <c r="I117" s="1">
        <f>+[1]LEM!AD315</f>
        <v>0.875</v>
      </c>
    </row>
    <row r="118" spans="1:9" x14ac:dyDescent="0.25">
      <c r="A118" s="22">
        <v>6.5000000000000002E-2</v>
      </c>
      <c r="B118" s="23">
        <v>300</v>
      </c>
      <c r="C118" s="1">
        <f>+[1]LEM!X316</f>
        <v>0.95</v>
      </c>
      <c r="D118" s="1">
        <f t="shared" si="35"/>
        <v>0.81800000000000006</v>
      </c>
      <c r="E118" s="1">
        <f>+[1]LEM!Z316</f>
        <v>0.8</v>
      </c>
      <c r="F118" s="1">
        <f>+[1]LEM!AA316</f>
        <v>0.92500000000000004</v>
      </c>
      <c r="G118" s="1">
        <f>+[1]LEM!AB316</f>
        <v>0.95</v>
      </c>
      <c r="H118" s="1">
        <f>+[1]LEM!AC316</f>
        <v>0.97499999999999998</v>
      </c>
      <c r="I118" s="1">
        <f>+[1]LEM!AD316</f>
        <v>0.875</v>
      </c>
    </row>
    <row r="119" spans="1:9" x14ac:dyDescent="0.25">
      <c r="A119" s="20">
        <v>4.4999999999999998E-2</v>
      </c>
      <c r="B119" s="21">
        <v>200</v>
      </c>
      <c r="C119" s="1">
        <f>+[1]LEM!X317</f>
        <v>0.95</v>
      </c>
      <c r="D119" s="1">
        <f t="shared" si="35"/>
        <v>0.81800000000000006</v>
      </c>
      <c r="E119" s="1">
        <f>+[1]LEM!Z317</f>
        <v>0.8</v>
      </c>
      <c r="F119" s="1">
        <f>+[1]LEM!AA317</f>
        <v>0.92500000000000004</v>
      </c>
      <c r="G119" s="1">
        <f>+[1]LEM!AB317</f>
        <v>0.95</v>
      </c>
      <c r="H119" s="1">
        <f>+[1]LEM!AC317</f>
        <v>0.97499999999999998</v>
      </c>
      <c r="I119" s="1">
        <f>+[1]LEM!AD317</f>
        <v>0.875</v>
      </c>
    </row>
    <row r="120" spans="1:9" x14ac:dyDescent="0.25">
      <c r="A120" s="20">
        <v>4.4999999999999998E-2</v>
      </c>
      <c r="B120" s="21">
        <v>300</v>
      </c>
      <c r="C120" s="1">
        <f>+[1]LEM!X318</f>
        <v>0.95</v>
      </c>
      <c r="D120" s="1">
        <f t="shared" si="35"/>
        <v>0.81800000000000006</v>
      </c>
      <c r="E120" s="1">
        <f>+[1]LEM!Z318</f>
        <v>0.8</v>
      </c>
      <c r="F120" s="1">
        <f>+[1]LEM!AA318</f>
        <v>0.92500000000000004</v>
      </c>
      <c r="G120" s="1">
        <f>+[1]LEM!AB318</f>
        <v>0.95</v>
      </c>
      <c r="H120" s="1">
        <f>+[1]LEM!AC318</f>
        <v>0.97499999999999998</v>
      </c>
      <c r="I120" s="1">
        <f>+[1]LEM!AD318</f>
        <v>0.875</v>
      </c>
    </row>
    <row r="121" spans="1:9" x14ac:dyDescent="0.25">
      <c r="A121" s="20">
        <v>0.03</v>
      </c>
      <c r="B121" s="21">
        <v>200</v>
      </c>
      <c r="C121" s="1">
        <f>+[1]LEM!X319</f>
        <v>0.95</v>
      </c>
      <c r="D121" s="1">
        <f t="shared" si="35"/>
        <v>0.81800000000000006</v>
      </c>
      <c r="E121" s="1">
        <f>+[1]LEM!Z319</f>
        <v>0.8</v>
      </c>
      <c r="F121" s="1">
        <f>+[1]LEM!AA319</f>
        <v>0.92500000000000004</v>
      </c>
      <c r="G121" s="1">
        <f>+[1]LEM!AB319</f>
        <v>0.95</v>
      </c>
      <c r="H121" s="1">
        <f>+[1]LEM!AC319</f>
        <v>0.97499999999999998</v>
      </c>
      <c r="I121" s="1">
        <f>+[1]LEM!AD319</f>
        <v>0.875</v>
      </c>
    </row>
    <row r="123" spans="1:9" x14ac:dyDescent="0.25">
      <c r="A123" s="1" t="s">
        <v>13</v>
      </c>
    </row>
    <row r="124" spans="1:9" x14ac:dyDescent="0.25">
      <c r="A124" s="22">
        <v>0.25</v>
      </c>
      <c r="B124" s="23">
        <v>200</v>
      </c>
      <c r="C124" s="1">
        <f>+[1]LEM!X231</f>
        <v>0.73894424626587696</v>
      </c>
      <c r="D124" s="1">
        <f>+[1]LEM!Y231</f>
        <v>0.73894424626587696</v>
      </c>
      <c r="E124" s="1">
        <f>+[1]LEM!Z231</f>
        <v>0.73894424626587696</v>
      </c>
      <c r="F124" s="1">
        <f>+[1]LEM!AA231</f>
        <v>0.73894424626587696</v>
      </c>
      <c r="G124" s="1">
        <f>+[1]LEM!AB231</f>
        <v>0.73894424626587696</v>
      </c>
      <c r="H124" s="1">
        <f>+[1]LEM!AC231</f>
        <v>0.73894424626587696</v>
      </c>
      <c r="I124" s="1">
        <f>+[1]LEM!AD231</f>
        <v>0.73894424626587696</v>
      </c>
    </row>
    <row r="125" spans="1:9" x14ac:dyDescent="0.25">
      <c r="A125" s="22">
        <v>0.25</v>
      </c>
      <c r="B125" s="23">
        <v>300</v>
      </c>
      <c r="C125" s="1">
        <f>+[1]LEM!X232</f>
        <v>0.5542081846994078</v>
      </c>
      <c r="D125" s="1">
        <f>+[1]LEM!Y232</f>
        <v>0.5542081846994078</v>
      </c>
      <c r="E125" s="1">
        <f>+[1]LEM!Z232</f>
        <v>0.64657621548264232</v>
      </c>
      <c r="F125" s="1">
        <f>+[1]LEM!AA232</f>
        <v>0.73894424626587696</v>
      </c>
      <c r="G125" s="1">
        <f>+[1]LEM!AB232</f>
        <v>0.73894424626587696</v>
      </c>
      <c r="H125" s="1">
        <f>+[1]LEM!AC232</f>
        <v>0.73894424626587696</v>
      </c>
      <c r="I125" s="1">
        <f>+[1]LEM!AD232</f>
        <v>0.73894424626587696</v>
      </c>
    </row>
    <row r="126" spans="1:9" x14ac:dyDescent="0.25">
      <c r="A126" s="22">
        <v>0.18</v>
      </c>
      <c r="B126" s="23">
        <v>200</v>
      </c>
      <c r="C126" s="1">
        <f>+[1]LEM!X233</f>
        <v>0.73894424626587696</v>
      </c>
      <c r="D126" s="1">
        <f>+[1]LEM!Y233</f>
        <v>0.73894424626587696</v>
      </c>
      <c r="E126" s="1">
        <f>+[1]LEM!Z233</f>
        <v>0.73894424626587696</v>
      </c>
      <c r="F126" s="1">
        <f>+[1]LEM!AA233</f>
        <v>0.73894424626587696</v>
      </c>
      <c r="G126" s="1">
        <f>+[1]LEM!AB233</f>
        <v>0.73894424626587696</v>
      </c>
      <c r="H126" s="1">
        <f>+[1]LEM!AC233</f>
        <v>0.73894424626587696</v>
      </c>
      <c r="I126" s="1">
        <f>+[1]LEM!AD233</f>
        <v>0.73894424626587696</v>
      </c>
    </row>
    <row r="127" spans="1:9" x14ac:dyDescent="0.25">
      <c r="A127" s="22">
        <v>0.18</v>
      </c>
      <c r="B127" s="23">
        <v>300</v>
      </c>
      <c r="C127" s="1">
        <f>+[1]LEM!X234</f>
        <v>0.5542081846994078</v>
      </c>
      <c r="D127" s="1">
        <f>+[1]LEM!Y234</f>
        <v>0.5542081846994078</v>
      </c>
      <c r="E127" s="1">
        <f>+[1]LEM!Z234</f>
        <v>0.64657621548264232</v>
      </c>
      <c r="F127" s="1">
        <f>+[1]LEM!AA234</f>
        <v>0.73894424626587696</v>
      </c>
      <c r="G127" s="1">
        <f>+[1]LEM!AB234</f>
        <v>0.73894424626587696</v>
      </c>
      <c r="H127" s="1">
        <f>+[1]LEM!AC234</f>
        <v>0.73894424626587696</v>
      </c>
      <c r="I127" s="1">
        <f>+[1]LEM!AD234</f>
        <v>0.73894424626587696</v>
      </c>
    </row>
    <row r="128" spans="1:9" x14ac:dyDescent="0.25">
      <c r="A128" s="22">
        <v>0.13</v>
      </c>
      <c r="B128" s="23">
        <v>200</v>
      </c>
      <c r="C128" s="1">
        <f>+[1]LEM!X235</f>
        <v>0.5966974788596956</v>
      </c>
      <c r="D128" s="1">
        <f>+[1]LEM!Y235</f>
        <v>0.66643534210103783</v>
      </c>
      <c r="E128" s="1">
        <f>+[1]LEM!Z235</f>
        <v>0.73894424626587696</v>
      </c>
      <c r="F128" s="1">
        <f>+[1]LEM!AA235</f>
        <v>0.73894424626587696</v>
      </c>
      <c r="G128" s="1">
        <f>+[1]LEM!AB235</f>
        <v>0.73894424626587696</v>
      </c>
      <c r="H128" s="1">
        <f>+[1]LEM!AC235</f>
        <v>0.73894424626587696</v>
      </c>
      <c r="I128" s="1">
        <f>+[1]LEM!AD235</f>
        <v>0.73894424626587696</v>
      </c>
    </row>
    <row r="129" spans="1:9" x14ac:dyDescent="0.25">
      <c r="A129" s="22">
        <v>0.13</v>
      </c>
      <c r="B129" s="23">
        <v>300</v>
      </c>
      <c r="C129" s="1">
        <f>+[1]LEM!X236</f>
        <v>0.47107695699449653</v>
      </c>
      <c r="D129" s="1">
        <f>+[1]LEM!Y236</f>
        <v>0.51264257084695219</v>
      </c>
      <c r="E129" s="1">
        <f>+[1]LEM!Z236</f>
        <v>0.64657621548264232</v>
      </c>
      <c r="F129" s="1">
        <f>+[1]LEM!AA236</f>
        <v>0.73894424626587696</v>
      </c>
      <c r="G129" s="1">
        <f>+[1]LEM!AB236</f>
        <v>0.73894424626587696</v>
      </c>
      <c r="H129" s="1">
        <f>+[1]LEM!AC236</f>
        <v>0.73894424626587696</v>
      </c>
      <c r="I129" s="1">
        <f>+[1]LEM!AD236</f>
        <v>0.73894424626587696</v>
      </c>
    </row>
    <row r="130" spans="1:9" x14ac:dyDescent="0.25">
      <c r="A130" s="22">
        <v>0.09</v>
      </c>
      <c r="B130" s="23">
        <v>200</v>
      </c>
      <c r="C130" s="1">
        <f>+[1]LEM!X237</f>
        <v>0</v>
      </c>
      <c r="D130" s="1">
        <f>+[1]LEM!Y237</f>
        <v>0</v>
      </c>
      <c r="E130" s="1">
        <f>+[1]LEM!Z237</f>
        <v>0.61240004409284554</v>
      </c>
      <c r="F130" s="1">
        <f>+[1]LEM!AA237</f>
        <v>0.67497938494848708</v>
      </c>
      <c r="G130" s="1">
        <f>+[1]LEM!AB237</f>
        <v>0.73894424626587696</v>
      </c>
      <c r="H130" s="1">
        <f>+[1]LEM!AC237</f>
        <v>0.73894424626587696</v>
      </c>
      <c r="I130" s="1">
        <f>+[1]LEM!AD237</f>
        <v>0.73894424626587696</v>
      </c>
    </row>
    <row r="131" spans="1:9" x14ac:dyDescent="0.25">
      <c r="A131" s="22">
        <v>0.09</v>
      </c>
      <c r="B131" s="23">
        <v>300</v>
      </c>
      <c r="C131" s="1">
        <f>+[1]LEM!X238</f>
        <v>0</v>
      </c>
      <c r="D131" s="1">
        <f>+[1]LEM!Y238</f>
        <v>0</v>
      </c>
      <c r="E131" s="1">
        <f>+[1]LEM!Z238</f>
        <v>0.48677952222764642</v>
      </c>
      <c r="F131" s="1">
        <f>+[1]LEM!AA238</f>
        <v>0.60662704216889329</v>
      </c>
      <c r="G131" s="1">
        <f>+[1]LEM!AB238</f>
        <v>0.73894424626587696</v>
      </c>
      <c r="H131" s="1">
        <f>+[1]LEM!AC238</f>
        <v>0.73894424626587696</v>
      </c>
      <c r="I131" s="1">
        <f>+[1]LEM!AD238</f>
        <v>0.73894424626587696</v>
      </c>
    </row>
    <row r="132" spans="1:9" x14ac:dyDescent="0.25">
      <c r="A132" s="22">
        <v>6.5000000000000002E-2</v>
      </c>
      <c r="B132" s="23">
        <v>200</v>
      </c>
      <c r="C132" s="1">
        <f>+[1]LEM!X239</f>
        <v>0</v>
      </c>
      <c r="D132" s="1">
        <f>+[1]LEM!Y239</f>
        <v>0</v>
      </c>
      <c r="E132" s="1">
        <f>+[1]LEM!Z239</f>
        <v>0</v>
      </c>
      <c r="F132" s="1">
        <f>+[1]LEM!AA239</f>
        <v>0</v>
      </c>
      <c r="G132" s="1">
        <f>+[1]LEM!AB239</f>
        <v>0.61240004409284554</v>
      </c>
      <c r="H132" s="1">
        <f>+[1]LEM!AC239</f>
        <v>0.67497938494848708</v>
      </c>
      <c r="I132" s="1">
        <f>+[1]LEM!AD239</f>
        <v>0.73894424626587696</v>
      </c>
    </row>
    <row r="133" spans="1:9" x14ac:dyDescent="0.25">
      <c r="A133" s="22">
        <v>6.5000000000000002E-2</v>
      </c>
      <c r="B133" s="23">
        <v>300</v>
      </c>
      <c r="C133" s="1">
        <f>+[1]LEM!X240</f>
        <v>0</v>
      </c>
      <c r="D133" s="1">
        <f>+[1]LEM!Y240</f>
        <v>0</v>
      </c>
      <c r="E133" s="1">
        <f>+[1]LEM!Z240</f>
        <v>0</v>
      </c>
      <c r="F133" s="1">
        <f>+[1]LEM!AA240</f>
        <v>0</v>
      </c>
      <c r="G133" s="1">
        <f>+[1]LEM!AB240</f>
        <v>0.5181846526939462</v>
      </c>
      <c r="H133" s="1">
        <f>+[1]LEM!AC240</f>
        <v>0.6237151278637918</v>
      </c>
      <c r="I133" s="1">
        <f>+[1]LEM!AD240</f>
        <v>0.73894424626587696</v>
      </c>
    </row>
    <row r="134" spans="1:9" x14ac:dyDescent="0.25">
      <c r="A134" s="20">
        <v>4.4999999999999998E-2</v>
      </c>
      <c r="B134" s="21">
        <v>200</v>
      </c>
      <c r="C134" s="1">
        <f>+[1]LEM!X241</f>
        <v>0</v>
      </c>
      <c r="D134" s="1">
        <f>+[1]LEM!Y241</f>
        <v>0</v>
      </c>
      <c r="E134" s="1">
        <f>+[1]LEM!Z241</f>
        <v>0</v>
      </c>
      <c r="F134" s="1">
        <f>+[1]LEM!AA241</f>
        <v>0</v>
      </c>
      <c r="G134" s="1">
        <f>+[1]LEM!AB241</f>
        <v>0</v>
      </c>
      <c r="H134" s="1">
        <f>+[1]LEM!AC241</f>
        <v>0</v>
      </c>
      <c r="I134" s="1">
        <f>+[1]LEM!AD241</f>
        <v>0.61240004409284554</v>
      </c>
    </row>
    <row r="135" spans="1:9" x14ac:dyDescent="0.25">
      <c r="A135" s="20">
        <v>4.4999999999999998E-2</v>
      </c>
      <c r="B135" s="21">
        <v>300</v>
      </c>
      <c r="C135" s="1">
        <f>+[1]LEM!X242</f>
        <v>0</v>
      </c>
      <c r="D135" s="1">
        <f>+[1]LEM!Y242</f>
        <v>0</v>
      </c>
      <c r="E135" s="1">
        <f>+[1]LEM!Z242</f>
        <v>0</v>
      </c>
      <c r="F135" s="1">
        <f>+[1]LEM!AA242</f>
        <v>0</v>
      </c>
      <c r="G135" s="1">
        <f>+[1]LEM!AB242</f>
        <v>0</v>
      </c>
      <c r="H135" s="1">
        <f>+[1]LEM!AC242</f>
        <v>0</v>
      </c>
      <c r="I135" s="1">
        <f>+[1]LEM!AD242</f>
        <v>0.54958978316024598</v>
      </c>
    </row>
    <row r="136" spans="1:9" x14ac:dyDescent="0.25">
      <c r="A136" s="20">
        <v>0.03</v>
      </c>
      <c r="B136" s="21">
        <v>200</v>
      </c>
      <c r="C136" s="1">
        <f>+[1]LEM!X243</f>
        <v>0</v>
      </c>
      <c r="D136" s="1">
        <f>+[1]LEM!Y243</f>
        <v>0</v>
      </c>
      <c r="E136" s="1">
        <f>+[1]LEM!Z243</f>
        <v>0</v>
      </c>
      <c r="F136" s="1">
        <f>+[1]LEM!AA243</f>
        <v>0</v>
      </c>
      <c r="G136" s="1">
        <f>+[1]LEM!AB243</f>
        <v>0</v>
      </c>
      <c r="H136" s="1">
        <f>+[1]LEM!AC243</f>
        <v>0</v>
      </c>
      <c r="I136" s="1">
        <f>+[1]LEM!AD243</f>
        <v>0</v>
      </c>
    </row>
    <row r="137" spans="1:9" x14ac:dyDescent="0.25">
      <c r="B137" s="1" t="s">
        <v>14</v>
      </c>
    </row>
    <row r="138" spans="1:9" x14ac:dyDescent="0.25">
      <c r="A138" s="22">
        <v>0.25</v>
      </c>
      <c r="B138" s="23">
        <v>200</v>
      </c>
      <c r="D138" s="1">
        <v>53.087340688150626</v>
      </c>
      <c r="E138" s="1">
        <v>53.087340688150626</v>
      </c>
      <c r="F138" s="1">
        <v>53.087340688150626</v>
      </c>
      <c r="G138" s="1">
        <v>53.087340688150626</v>
      </c>
      <c r="H138" s="1">
        <v>53.087340688150626</v>
      </c>
      <c r="I138" s="1">
        <v>53.087340688150626</v>
      </c>
    </row>
    <row r="139" spans="1:9" x14ac:dyDescent="0.25">
      <c r="A139" s="22">
        <v>0.25</v>
      </c>
      <c r="B139" s="23">
        <v>300</v>
      </c>
      <c r="D139" s="1">
        <v>53.087340688150626</v>
      </c>
      <c r="E139" s="1">
        <v>53.087340688150626</v>
      </c>
      <c r="F139" s="1">
        <v>53.087340688150626</v>
      </c>
      <c r="G139" s="1">
        <v>53.087340688150626</v>
      </c>
      <c r="H139" s="1">
        <v>53.087340688150626</v>
      </c>
      <c r="I139" s="1">
        <v>53.087340688150626</v>
      </c>
    </row>
    <row r="140" spans="1:9" x14ac:dyDescent="0.25">
      <c r="A140" s="22">
        <v>0.18</v>
      </c>
      <c r="B140" s="23">
        <v>200</v>
      </c>
      <c r="D140" s="1">
        <v>53.087340688150626</v>
      </c>
      <c r="E140" s="1">
        <v>53.087340688150626</v>
      </c>
      <c r="F140" s="1">
        <v>53.087340688150626</v>
      </c>
      <c r="G140" s="1">
        <v>53.087340688150626</v>
      </c>
      <c r="H140" s="1">
        <v>53.087340688150626</v>
      </c>
      <c r="I140" s="1">
        <v>53.087340688150626</v>
      </c>
    </row>
    <row r="141" spans="1:9" x14ac:dyDescent="0.25">
      <c r="A141" s="22">
        <v>0.18</v>
      </c>
      <c r="B141" s="23">
        <v>300</v>
      </c>
      <c r="D141" s="1">
        <v>53.087340688150626</v>
      </c>
      <c r="E141" s="1">
        <v>53.087340688150626</v>
      </c>
      <c r="F141" s="1">
        <v>53.087340688150626</v>
      </c>
      <c r="G141" s="1">
        <v>53.087340688150626</v>
      </c>
      <c r="H141" s="1">
        <v>53.087340688150626</v>
      </c>
      <c r="I141" s="1">
        <v>53.087340688150626</v>
      </c>
    </row>
    <row r="142" spans="1:9" x14ac:dyDescent="0.25">
      <c r="A142" s="22">
        <v>0.13</v>
      </c>
      <c r="B142" s="23">
        <v>200</v>
      </c>
      <c r="D142" s="1">
        <v>65.303037905673293</v>
      </c>
      <c r="E142" s="1">
        <v>58.879237607748387</v>
      </c>
      <c r="F142" s="1">
        <v>53.087340688150626</v>
      </c>
      <c r="G142" s="1">
        <v>53.087340688150626</v>
      </c>
      <c r="H142" s="1">
        <v>53.087340688150626</v>
      </c>
      <c r="I142" s="1">
        <v>53.087340688150626</v>
      </c>
    </row>
    <row r="143" spans="1:9" x14ac:dyDescent="0.25">
      <c r="A143" s="22">
        <v>0.13</v>
      </c>
      <c r="B143" s="23">
        <v>300</v>
      </c>
      <c r="D143" s="1">
        <v>65.303037905673293</v>
      </c>
      <c r="E143" s="1">
        <v>58.879237607748387</v>
      </c>
      <c r="F143" s="1">
        <v>53.087340688150626</v>
      </c>
      <c r="G143" s="1">
        <v>53.087340688150626</v>
      </c>
      <c r="H143" s="1">
        <v>53.087340688150626</v>
      </c>
      <c r="I143" s="1">
        <v>53.087340688150626</v>
      </c>
    </row>
    <row r="144" spans="1:9" x14ac:dyDescent="0.25">
      <c r="A144" s="22">
        <v>0.09</v>
      </c>
      <c r="B144" s="23">
        <v>200</v>
      </c>
      <c r="F144" s="1">
        <v>72.427683050512272</v>
      </c>
      <c r="G144" s="1">
        <v>65.303037905673293</v>
      </c>
      <c r="H144" s="1">
        <v>58.879237607748387</v>
      </c>
      <c r="I144" s="1">
        <v>53.087340688150626</v>
      </c>
    </row>
    <row r="145" spans="1:9" x14ac:dyDescent="0.25">
      <c r="A145" s="22">
        <v>0.09</v>
      </c>
      <c r="B145" s="23">
        <v>300</v>
      </c>
      <c r="F145" s="1">
        <v>72.427683050512272</v>
      </c>
      <c r="G145" s="1">
        <v>65.303037905673293</v>
      </c>
      <c r="H145" s="1">
        <v>58.879237607748387</v>
      </c>
      <c r="I145" s="1">
        <v>53.087340688150626</v>
      </c>
    </row>
    <row r="146" spans="1:9" x14ac:dyDescent="0.25">
      <c r="A146" s="22">
        <v>6.5000000000000002E-2</v>
      </c>
      <c r="B146" s="23">
        <v>200</v>
      </c>
      <c r="I146" s="1">
        <v>72.427683050512272</v>
      </c>
    </row>
    <row r="147" spans="1:9" x14ac:dyDescent="0.25">
      <c r="A147" s="22">
        <v>6.5000000000000002E-2</v>
      </c>
      <c r="B147" s="23">
        <v>300</v>
      </c>
      <c r="I147" s="1">
        <v>72.427683050512272</v>
      </c>
    </row>
    <row r="148" spans="1:9" x14ac:dyDescent="0.25">
      <c r="A148" s="20">
        <v>4.4999999999999998E-2</v>
      </c>
      <c r="B148" s="21">
        <v>200</v>
      </c>
    </row>
    <row r="149" spans="1:9" x14ac:dyDescent="0.25">
      <c r="A149" s="20">
        <v>4.4999999999999998E-2</v>
      </c>
      <c r="B149" s="21">
        <v>300</v>
      </c>
    </row>
    <row r="150" spans="1:9" x14ac:dyDescent="0.25">
      <c r="A150" s="20">
        <v>0.03</v>
      </c>
      <c r="B150" s="21">
        <v>200</v>
      </c>
    </row>
    <row r="157" spans="1:9" x14ac:dyDescent="0.25">
      <c r="B157" s="1" t="s">
        <v>40</v>
      </c>
      <c r="D157" s="1" t="s">
        <v>171</v>
      </c>
    </row>
    <row r="158" spans="1:9" x14ac:dyDescent="0.25">
      <c r="A158" s="22">
        <v>0.25</v>
      </c>
      <c r="B158" s="23">
        <v>200</v>
      </c>
      <c r="C158" s="8">
        <f t="shared" ref="C158:I163" si="36">+(($B158/2))^2*3.14159/C49</f>
        <v>605.70049488688346</v>
      </c>
      <c r="D158" s="8">
        <f t="shared" si="36"/>
        <v>605.70049488688346</v>
      </c>
      <c r="E158" s="8">
        <f t="shared" si="36"/>
        <v>605.70049488688346</v>
      </c>
      <c r="F158" s="8">
        <f t="shared" si="36"/>
        <v>605.70049488688346</v>
      </c>
      <c r="G158" s="8">
        <f t="shared" si="36"/>
        <v>605.70049488688346</v>
      </c>
      <c r="H158" s="8">
        <f t="shared" si="36"/>
        <v>605.70049488688346</v>
      </c>
      <c r="I158" s="8">
        <f t="shared" si="36"/>
        <v>605.70049488688346</v>
      </c>
    </row>
    <row r="159" spans="1:9" x14ac:dyDescent="0.25">
      <c r="A159" s="22">
        <v>0.25</v>
      </c>
      <c r="B159" s="23">
        <v>300</v>
      </c>
      <c r="C159" s="8">
        <f t="shared" si="36"/>
        <v>1362.8261134954878</v>
      </c>
      <c r="D159" s="8">
        <f t="shared" si="36"/>
        <v>1362.8261134954878</v>
      </c>
      <c r="E159" s="8">
        <f t="shared" si="36"/>
        <v>1362.8261134954878</v>
      </c>
      <c r="F159" s="8">
        <f t="shared" si="36"/>
        <v>1362.8261134954878</v>
      </c>
      <c r="G159" s="8">
        <f t="shared" si="36"/>
        <v>1362.8261134954878</v>
      </c>
      <c r="H159" s="8">
        <f t="shared" si="36"/>
        <v>1362.8261134954878</v>
      </c>
      <c r="I159" s="8">
        <f t="shared" si="36"/>
        <v>1362.8261134954878</v>
      </c>
    </row>
    <row r="160" spans="1:9" x14ac:dyDescent="0.25">
      <c r="A160" s="22">
        <v>0.18</v>
      </c>
      <c r="B160" s="23">
        <v>200</v>
      </c>
      <c r="C160" s="8">
        <f t="shared" si="36"/>
        <v>630.17278352940457</v>
      </c>
      <c r="D160" s="8">
        <f t="shared" si="36"/>
        <v>630.17278352940457</v>
      </c>
      <c r="E160" s="8">
        <f t="shared" si="36"/>
        <v>630.17278352940457</v>
      </c>
      <c r="F160" s="8">
        <f t="shared" si="36"/>
        <v>630.17278352940457</v>
      </c>
      <c r="G160" s="8">
        <f t="shared" si="36"/>
        <v>630.17278352940457</v>
      </c>
      <c r="H160" s="8">
        <f t="shared" si="36"/>
        <v>630.17278352940457</v>
      </c>
      <c r="I160" s="8">
        <f t="shared" si="36"/>
        <v>630.17278352940457</v>
      </c>
    </row>
    <row r="161" spans="1:9" x14ac:dyDescent="0.25">
      <c r="A161" s="22">
        <v>0.18</v>
      </c>
      <c r="B161" s="23">
        <v>300</v>
      </c>
      <c r="C161" s="8">
        <f t="shared" si="36"/>
        <v>1417.8887629411604</v>
      </c>
      <c r="D161" s="8">
        <f t="shared" si="36"/>
        <v>1417.8887629411604</v>
      </c>
      <c r="E161" s="8">
        <f t="shared" si="36"/>
        <v>1417.8887629411604</v>
      </c>
      <c r="F161" s="8">
        <f t="shared" si="36"/>
        <v>1417.8887629411604</v>
      </c>
      <c r="G161" s="8">
        <f t="shared" si="36"/>
        <v>1417.8887629411604</v>
      </c>
      <c r="H161" s="8">
        <f t="shared" si="36"/>
        <v>1417.8887629411604</v>
      </c>
      <c r="I161" s="8">
        <f t="shared" si="36"/>
        <v>1417.8887629411604</v>
      </c>
    </row>
    <row r="162" spans="1:9" x14ac:dyDescent="0.25">
      <c r="A162" s="22">
        <v>0.13</v>
      </c>
      <c r="B162" s="23">
        <v>200</v>
      </c>
      <c r="C162" s="8">
        <f t="shared" si="36"/>
        <v>471.13376485661047</v>
      </c>
      <c r="D162" s="8">
        <f t="shared" si="36"/>
        <v>555.77984499235458</v>
      </c>
      <c r="E162" s="8">
        <f t="shared" si="36"/>
        <v>655.63383298103611</v>
      </c>
      <c r="F162" s="8">
        <f t="shared" si="36"/>
        <v>655.63383298103611</v>
      </c>
      <c r="G162" s="8">
        <f t="shared" si="36"/>
        <v>655.63383298103611</v>
      </c>
      <c r="H162" s="8">
        <f t="shared" si="36"/>
        <v>655.63383298103611</v>
      </c>
      <c r="I162" s="8">
        <f t="shared" si="36"/>
        <v>655.63383298103611</v>
      </c>
    </row>
    <row r="163" spans="1:9" x14ac:dyDescent="0.25">
      <c r="A163" s="22">
        <v>0.13</v>
      </c>
      <c r="B163" s="23">
        <v>300</v>
      </c>
      <c r="C163" s="8">
        <f t="shared" si="36"/>
        <v>1060.0509709273736</v>
      </c>
      <c r="D163" s="8">
        <f t="shared" si="36"/>
        <v>1250.5046512327979</v>
      </c>
      <c r="E163" s="8">
        <f t="shared" si="36"/>
        <v>1475.1761242073312</v>
      </c>
      <c r="F163" s="8">
        <f t="shared" si="36"/>
        <v>1475.1761242073312</v>
      </c>
      <c r="G163" s="8">
        <f t="shared" si="36"/>
        <v>1475.1761242073312</v>
      </c>
      <c r="H163" s="8">
        <f t="shared" si="36"/>
        <v>1475.1761242073312</v>
      </c>
      <c r="I163" s="8">
        <f t="shared" si="36"/>
        <v>1475.1761242073312</v>
      </c>
    </row>
    <row r="164" spans="1:9" x14ac:dyDescent="0.25">
      <c r="A164" s="22">
        <v>0.09</v>
      </c>
      <c r="B164" s="23">
        <v>200</v>
      </c>
      <c r="C164" s="8"/>
      <c r="D164" s="8"/>
      <c r="E164" s="8">
        <f t="shared" ref="E164:I165" si="37">+(($B164/2))^2*3.14159/E55</f>
        <v>501.77681819483587</v>
      </c>
      <c r="F164" s="8">
        <f t="shared" si="37"/>
        <v>591.92837159943122</v>
      </c>
      <c r="G164" s="8">
        <f t="shared" si="37"/>
        <v>698.27697175182152</v>
      </c>
      <c r="H164" s="8">
        <f t="shared" si="37"/>
        <v>698.27697175182152</v>
      </c>
      <c r="I164" s="8">
        <f t="shared" si="37"/>
        <v>698.27697175182152</v>
      </c>
    </row>
    <row r="165" spans="1:9" x14ac:dyDescent="0.25">
      <c r="A165" s="22">
        <v>0.09</v>
      </c>
      <c r="B165" s="23">
        <v>300</v>
      </c>
      <c r="C165" s="8"/>
      <c r="D165" s="8"/>
      <c r="E165" s="8">
        <f t="shared" si="37"/>
        <v>1128.9978409383807</v>
      </c>
      <c r="F165" s="8">
        <f t="shared" si="37"/>
        <v>1331.8388360987201</v>
      </c>
      <c r="G165" s="8">
        <f t="shared" si="37"/>
        <v>1571.1231864415984</v>
      </c>
      <c r="H165" s="8">
        <f t="shared" si="37"/>
        <v>1571.1231864415984</v>
      </c>
      <c r="I165" s="8">
        <f t="shared" si="37"/>
        <v>1571.1231864415984</v>
      </c>
    </row>
    <row r="166" spans="1:9" x14ac:dyDescent="0.25">
      <c r="A166" s="22">
        <v>6.5000000000000002E-2</v>
      </c>
      <c r="B166" s="23">
        <v>200</v>
      </c>
      <c r="C166" s="8"/>
      <c r="D166" s="8"/>
      <c r="E166" s="8"/>
      <c r="F166" s="8"/>
      <c r="G166" s="8">
        <f t="shared" ref="G166:I167" si="38">+(($B166/2))^2*3.14159/G57</f>
        <v>534.41292910594632</v>
      </c>
      <c r="H166" s="8">
        <f t="shared" si="38"/>
        <v>630.42803775868151</v>
      </c>
      <c r="I166" s="8">
        <f t="shared" si="38"/>
        <v>743.69366672539832</v>
      </c>
    </row>
    <row r="167" spans="1:9" x14ac:dyDescent="0.25">
      <c r="A167" s="22">
        <v>6.5000000000000002E-2</v>
      </c>
      <c r="B167" s="23">
        <v>300</v>
      </c>
      <c r="C167" s="8"/>
      <c r="D167" s="8"/>
      <c r="E167" s="8"/>
      <c r="F167" s="8"/>
      <c r="G167" s="8">
        <f t="shared" si="38"/>
        <v>1202.4290904883792</v>
      </c>
      <c r="H167" s="8">
        <f t="shared" si="38"/>
        <v>1418.4630849570333</v>
      </c>
      <c r="I167" s="8">
        <f t="shared" si="38"/>
        <v>1673.3107501321463</v>
      </c>
    </row>
    <row r="168" spans="1:9" x14ac:dyDescent="0.25">
      <c r="A168" s="20">
        <v>6.5000000000000002E-2</v>
      </c>
      <c r="B168" s="21">
        <v>450</v>
      </c>
      <c r="C168" s="8"/>
      <c r="D168" s="8"/>
      <c r="E168" s="8"/>
      <c r="F168" s="8"/>
      <c r="G168" s="8"/>
      <c r="H168" s="8"/>
      <c r="I168" s="8">
        <f>+(($B168/2))^2*3.14159/I59</f>
        <v>2881.4318741431066</v>
      </c>
    </row>
    <row r="169" spans="1:9" x14ac:dyDescent="0.25">
      <c r="A169" s="20">
        <v>4.4999999999999998E-2</v>
      </c>
      <c r="B169" s="21">
        <v>300</v>
      </c>
      <c r="C169" s="8"/>
      <c r="D169" s="8"/>
      <c r="E169" s="8"/>
      <c r="F169" s="8"/>
      <c r="G169" s="8"/>
      <c r="H169" s="8"/>
      <c r="I169" s="8">
        <f>+(($B169/2))^2*3.14159/I60</f>
        <v>1280.6363885080473</v>
      </c>
    </row>
    <row r="170" spans="1:9" x14ac:dyDescent="0.25">
      <c r="A170" s="20">
        <v>4.4999999999999998E-2</v>
      </c>
      <c r="B170" s="21">
        <v>450</v>
      </c>
      <c r="C170" s="8"/>
      <c r="D170" s="8"/>
      <c r="E170" s="8"/>
      <c r="F170" s="8"/>
      <c r="G170" s="8"/>
      <c r="H170" s="8"/>
      <c r="I170" s="8"/>
    </row>
    <row r="171" spans="1:9" x14ac:dyDescent="0.25">
      <c r="D171" s="8"/>
      <c r="E171" s="8"/>
      <c r="F171" s="8"/>
      <c r="G171" s="8"/>
      <c r="H171" s="8"/>
      <c r="I171" s="8"/>
    </row>
    <row r="172" spans="1:9" x14ac:dyDescent="0.25">
      <c r="D172" s="8"/>
      <c r="E172" s="8"/>
      <c r="F172" s="8"/>
      <c r="G172" s="8"/>
      <c r="H172" s="8"/>
      <c r="I172" s="8"/>
    </row>
    <row r="173" spans="1:9" x14ac:dyDescent="0.25">
      <c r="A173" s="2" t="s">
        <v>15</v>
      </c>
      <c r="B173" s="3"/>
      <c r="C173" s="3"/>
    </row>
    <row r="174" spans="1:9" x14ac:dyDescent="0.25">
      <c r="A174" s="1" t="s">
        <v>10</v>
      </c>
    </row>
    <row r="175" spans="1:9" x14ac:dyDescent="0.25">
      <c r="A175" s="22">
        <v>0.25</v>
      </c>
      <c r="B175" s="23">
        <v>200</v>
      </c>
      <c r="C175" s="1">
        <f>+[1]LEM!X1377</f>
        <v>0.96512372960985138</v>
      </c>
      <c r="D175" s="1">
        <f>+[1]LEM!Y1377</f>
        <v>0.97931932841768232</v>
      </c>
      <c r="E175" s="1">
        <f>+D175</f>
        <v>0.97931932841768232</v>
      </c>
      <c r="F175" s="1">
        <f>+E175</f>
        <v>0.97931932841768232</v>
      </c>
      <c r="G175" s="1">
        <f>+F175</f>
        <v>0.97931932841768232</v>
      </c>
      <c r="H175" s="1">
        <f>+G175</f>
        <v>0.97931932841768232</v>
      </c>
      <c r="I175" s="1">
        <f>+H175</f>
        <v>0.97931932841768232</v>
      </c>
    </row>
    <row r="176" spans="1:9" x14ac:dyDescent="0.25">
      <c r="A176" s="22">
        <v>0.25</v>
      </c>
      <c r="B176" s="23">
        <v>300</v>
      </c>
      <c r="C176" s="1">
        <f>+[1]LEM!X1378</f>
        <v>0</v>
      </c>
      <c r="D176" s="1">
        <f>+[1]LEM!Y1378</f>
        <v>0</v>
      </c>
      <c r="E176" s="1">
        <f>+[1]LEM!Z1378</f>
        <v>0</v>
      </c>
      <c r="F176" s="1">
        <f>+[1]LEM!AA1378</f>
        <v>0</v>
      </c>
      <c r="G176" s="1">
        <f>+[1]LEM!AB1378</f>
        <v>0</v>
      </c>
      <c r="H176" s="1">
        <f>+[1]LEM!AC1378</f>
        <v>0</v>
      </c>
      <c r="I176" s="1">
        <f>+[1]LEM!AD1378</f>
        <v>0</v>
      </c>
    </row>
    <row r="177" spans="1:9" x14ac:dyDescent="0.25">
      <c r="A177" s="22">
        <v>0.18</v>
      </c>
      <c r="B177" s="23">
        <v>200</v>
      </c>
      <c r="C177" s="1">
        <f>+[1]LEM!X1379</f>
        <v>0.88299596240534706</v>
      </c>
      <c r="D177" s="1">
        <f>+[1]LEM!Y1379</f>
        <v>0.94571551394843056</v>
      </c>
      <c r="E177" s="1">
        <f>+[1]LEM!Z1379</f>
        <v>0.96806818332199251</v>
      </c>
      <c r="F177" s="1">
        <f>+[1]LEM!AA1379</f>
        <v>0.9783909026069143</v>
      </c>
      <c r="G177" s="1">
        <f>+F177</f>
        <v>0.9783909026069143</v>
      </c>
      <c r="H177" s="1">
        <f>+G177</f>
        <v>0.9783909026069143</v>
      </c>
      <c r="I177" s="1">
        <f>+H177</f>
        <v>0.9783909026069143</v>
      </c>
    </row>
    <row r="178" spans="1:9" x14ac:dyDescent="0.25">
      <c r="A178" s="22">
        <v>0.18</v>
      </c>
      <c r="B178" s="23">
        <v>300</v>
      </c>
      <c r="C178" s="1">
        <f>+[1]LEM!X1380</f>
        <v>0</v>
      </c>
      <c r="D178" s="1">
        <f>+[1]LEM!Y1380</f>
        <v>0</v>
      </c>
      <c r="E178" s="1">
        <f>+[1]LEM!Z1380</f>
        <v>0</v>
      </c>
      <c r="F178" s="1">
        <f>+[1]LEM!AA1380</f>
        <v>0</v>
      </c>
      <c r="G178" s="1">
        <f>+[1]LEM!AB1380</f>
        <v>0</v>
      </c>
      <c r="H178" s="1">
        <f>+[1]LEM!AC1380</f>
        <v>0</v>
      </c>
      <c r="I178" s="1">
        <f>+[1]LEM!AD1380</f>
        <v>0</v>
      </c>
    </row>
    <row r="179" spans="1:9" x14ac:dyDescent="0.25">
      <c r="A179" s="22">
        <v>0.13</v>
      </c>
      <c r="B179" s="23">
        <v>200</v>
      </c>
      <c r="C179" s="1">
        <f>+[1]LEM!X1381</f>
        <v>0.82263387387379594</v>
      </c>
      <c r="D179" s="1">
        <f>+[1]LEM!Y1381</f>
        <v>0.85257925621138664</v>
      </c>
      <c r="E179" s="1">
        <f>+[1]LEM!Z1381</f>
        <v>0.93210430706334269</v>
      </c>
      <c r="F179" s="1">
        <f>+[1]LEM!AA1381</f>
        <v>0.96886422571931397</v>
      </c>
      <c r="G179" s="1">
        <f>+[1]LEM!AB1381</f>
        <v>0.96290071939815458</v>
      </c>
      <c r="H179" s="1">
        <f>+G179</f>
        <v>0.96290071939815458</v>
      </c>
      <c r="I179" s="1">
        <f>+H179</f>
        <v>0.96290071939815458</v>
      </c>
    </row>
    <row r="180" spans="1:9" x14ac:dyDescent="0.25">
      <c r="A180" s="22">
        <v>0.13</v>
      </c>
      <c r="B180" s="23">
        <v>300</v>
      </c>
      <c r="C180" s="1">
        <f>+[1]LEM!X1382</f>
        <v>0</v>
      </c>
      <c r="D180" s="1">
        <f>+[1]LEM!Y1382</f>
        <v>0.65624997711372401</v>
      </c>
      <c r="E180" s="1">
        <f>+[1]LEM!Z1382</f>
        <v>0.65625000000000011</v>
      </c>
      <c r="F180" s="1">
        <f>+[1]LEM!AA1382</f>
        <v>0.82031250000000011</v>
      </c>
      <c r="G180" s="1">
        <f>+[1]LEM!AB1382</f>
        <v>0.99999998339751839</v>
      </c>
      <c r="H180" s="1">
        <f>+[1]LEM!AC1382</f>
        <v>0.99999998166589188</v>
      </c>
      <c r="I180" s="1">
        <f>+H180</f>
        <v>0.99999998166589188</v>
      </c>
    </row>
    <row r="181" spans="1:9" x14ac:dyDescent="0.25">
      <c r="A181" s="22">
        <v>0.09</v>
      </c>
      <c r="B181" s="23">
        <v>200</v>
      </c>
      <c r="C181" s="1">
        <f>+[1]LEM!X1383</f>
        <v>0</v>
      </c>
      <c r="D181" s="1">
        <f>+[1]LEM!Y1383</f>
        <v>0</v>
      </c>
      <c r="E181" s="1">
        <f>+[1]LEM!Z1383</f>
        <v>0.90187497852107623</v>
      </c>
      <c r="F181" s="1">
        <f>+[1]LEM!AA1383</f>
        <v>0.92132551803003582</v>
      </c>
      <c r="G181" s="1">
        <f>+[1]LEM!AB1383</f>
        <v>0.94054045444275047</v>
      </c>
      <c r="H181" s="1">
        <f>+[1]LEM!AC1383</f>
        <v>0.9585070804794108</v>
      </c>
      <c r="I181" s="1">
        <f>+[1]LEM!AD1383</f>
        <v>0.95345542835374475</v>
      </c>
    </row>
    <row r="182" spans="1:9" x14ac:dyDescent="0.25">
      <c r="A182" s="22">
        <v>0.09</v>
      </c>
      <c r="B182" s="23">
        <v>300</v>
      </c>
      <c r="C182" s="1">
        <f>+[1]LEM!X1384</f>
        <v>0</v>
      </c>
      <c r="D182" s="1">
        <f>+[1]LEM!Y1384</f>
        <v>0</v>
      </c>
      <c r="E182" s="1">
        <f>+[1]LEM!Z1384</f>
        <v>0.65875001594736549</v>
      </c>
      <c r="F182" s="1">
        <f>+[1]LEM!AA1384</f>
        <v>0.65875000000000017</v>
      </c>
      <c r="G182" s="1">
        <f>+[1]LEM!AB1384</f>
        <v>0.82093754186181611</v>
      </c>
      <c r="H182" s="1">
        <f>+[1]LEM!AC1384</f>
        <v>0.84409170805176614</v>
      </c>
      <c r="I182" s="1">
        <f>+[1]LEM!AD1384</f>
        <v>0.84409169444711418</v>
      </c>
    </row>
    <row r="183" spans="1:9" x14ac:dyDescent="0.25">
      <c r="A183" s="22">
        <v>6.5000000000000002E-2</v>
      </c>
      <c r="B183" s="23">
        <v>200</v>
      </c>
      <c r="C183" s="1">
        <f>+[1]LEM!X1385</f>
        <v>0</v>
      </c>
      <c r="D183" s="1">
        <f>+[1]LEM!Y1385</f>
        <v>0</v>
      </c>
      <c r="E183" s="1">
        <f>+[1]LEM!Z1385</f>
        <v>0</v>
      </c>
      <c r="F183" s="1">
        <f>+[1]LEM!AA1385</f>
        <v>0</v>
      </c>
      <c r="G183" s="1">
        <f>+[1]LEM!AB1385</f>
        <v>0</v>
      </c>
      <c r="H183" s="1">
        <f>+[1]LEM!AC1385</f>
        <v>0</v>
      </c>
      <c r="I183" s="1">
        <f>+[1]LEM!AD1385</f>
        <v>0.95062502925064718</v>
      </c>
    </row>
    <row r="184" spans="1:9" x14ac:dyDescent="0.25">
      <c r="A184" s="22">
        <v>6.5000000000000002E-2</v>
      </c>
      <c r="B184" s="23">
        <v>300</v>
      </c>
      <c r="C184" s="1">
        <f>+[1]LEM!X1386</f>
        <v>0</v>
      </c>
      <c r="D184" s="1">
        <f>+[1]LEM!Y1386</f>
        <v>0</v>
      </c>
      <c r="E184" s="1">
        <f>+[1]LEM!Z1386</f>
        <v>0</v>
      </c>
      <c r="F184" s="1">
        <f>+[1]LEM!AA1386</f>
        <v>0</v>
      </c>
      <c r="G184" s="1">
        <f>+[1]LEM!AB1386</f>
        <v>0.70124999211967565</v>
      </c>
      <c r="H184" s="1">
        <f>+[1]LEM!AC1386</f>
        <v>0.73183021437264106</v>
      </c>
      <c r="I184" s="1">
        <f>+[1]LEM!AD1386</f>
        <v>0.77188418140689075</v>
      </c>
    </row>
    <row r="185" spans="1:9" x14ac:dyDescent="0.25">
      <c r="A185" s="20">
        <v>6.5000000000000002E-2</v>
      </c>
      <c r="B185" s="21">
        <v>450</v>
      </c>
      <c r="C185" s="1">
        <f>+[1]LEM!X1387</f>
        <v>0</v>
      </c>
      <c r="D185" s="1">
        <f>+[1]LEM!Y1387</f>
        <v>0</v>
      </c>
      <c r="E185" s="1">
        <f>+[1]LEM!Z1387</f>
        <v>0</v>
      </c>
      <c r="F185" s="1">
        <f>+[1]LEM!AA1387</f>
        <v>0</v>
      </c>
      <c r="G185" s="1">
        <f>+[1]LEM!AB1387</f>
        <v>0</v>
      </c>
      <c r="H185" s="1">
        <f>+[1]LEM!AC1387</f>
        <v>0</v>
      </c>
      <c r="I185" s="1">
        <f>+[1]LEM!AD1387</f>
        <v>0.9018750387593617</v>
      </c>
    </row>
    <row r="186" spans="1:9" x14ac:dyDescent="0.25">
      <c r="A186" s="20">
        <v>4.4999999999999998E-2</v>
      </c>
      <c r="B186" s="21">
        <v>300</v>
      </c>
      <c r="C186" s="1">
        <f>+[1]LEM!X1388</f>
        <v>0</v>
      </c>
      <c r="D186" s="1">
        <f>+[1]LEM!Y1388</f>
        <v>0</v>
      </c>
      <c r="E186" s="1">
        <f>+[1]LEM!Z1388</f>
        <v>0</v>
      </c>
      <c r="F186" s="1">
        <f>+[1]LEM!AA1388</f>
        <v>0</v>
      </c>
      <c r="G186" s="1">
        <f>+[1]LEM!AB1388</f>
        <v>0</v>
      </c>
      <c r="H186" s="1">
        <f>+[1]LEM!AC1388</f>
        <v>0</v>
      </c>
      <c r="I186" s="1">
        <f>+[1]LEM!AD1388</f>
        <v>0.74375000087683785</v>
      </c>
    </row>
    <row r="187" spans="1:9" x14ac:dyDescent="0.25">
      <c r="A187" s="20">
        <v>4.4999999999999998E-2</v>
      </c>
      <c r="B187" s="21">
        <v>450</v>
      </c>
      <c r="C187" s="1">
        <f>+[1]LEM!X1389</f>
        <v>0</v>
      </c>
      <c r="D187" s="1">
        <f>+[1]LEM!Y1389</f>
        <v>0</v>
      </c>
      <c r="E187" s="1">
        <f>+[1]LEM!Z1389</f>
        <v>0</v>
      </c>
      <c r="F187" s="1">
        <f>+[1]LEM!AA1389</f>
        <v>0</v>
      </c>
      <c r="G187" s="1">
        <f>+[1]LEM!AB1389</f>
        <v>0</v>
      </c>
      <c r="H187" s="1">
        <f>+[1]LEM!AC1389</f>
        <v>0</v>
      </c>
      <c r="I187" s="1">
        <f>+[1]LEM!AD1389</f>
        <v>0</v>
      </c>
    </row>
    <row r="189" spans="1:9" x14ac:dyDescent="0.25">
      <c r="B189" s="1" t="s">
        <v>18</v>
      </c>
      <c r="D189" s="27" t="s">
        <v>169</v>
      </c>
    </row>
    <row r="190" spans="1:9" x14ac:dyDescent="0.25">
      <c r="A190" s="1" t="s">
        <v>10</v>
      </c>
    </row>
    <row r="191" spans="1:9" x14ac:dyDescent="0.25">
      <c r="A191" s="22">
        <v>0.25</v>
      </c>
      <c r="B191" s="23">
        <v>200</v>
      </c>
      <c r="C191" s="1">
        <f t="shared" ref="C191:I201" si="39">+C175*C158*C124</f>
        <v>431.96901307119708</v>
      </c>
      <c r="D191" s="1">
        <f t="shared" si="39"/>
        <v>438.32266350879672</v>
      </c>
      <c r="E191" s="1">
        <f t="shared" si="39"/>
        <v>438.32266350879672</v>
      </c>
      <c r="F191" s="1">
        <f t="shared" si="39"/>
        <v>438.32266350879672</v>
      </c>
      <c r="G191" s="1">
        <f t="shared" si="39"/>
        <v>438.32266350879672</v>
      </c>
      <c r="H191" s="1">
        <f t="shared" si="39"/>
        <v>438.32266350879672</v>
      </c>
      <c r="I191" s="1">
        <f t="shared" si="39"/>
        <v>438.32266350879672</v>
      </c>
    </row>
    <row r="192" spans="1:9" x14ac:dyDescent="0.25">
      <c r="A192" s="22">
        <v>0.25</v>
      </c>
      <c r="B192" s="23">
        <v>300</v>
      </c>
      <c r="C192" s="1">
        <f t="shared" si="39"/>
        <v>0</v>
      </c>
      <c r="D192" s="1">
        <f t="shared" si="39"/>
        <v>0</v>
      </c>
      <c r="E192" s="1">
        <f t="shared" si="39"/>
        <v>0</v>
      </c>
      <c r="F192" s="1">
        <f t="shared" si="39"/>
        <v>0</v>
      </c>
      <c r="G192" s="1">
        <f t="shared" si="39"/>
        <v>0</v>
      </c>
      <c r="H192" s="1">
        <f t="shared" si="39"/>
        <v>0</v>
      </c>
      <c r="I192" s="1">
        <f t="shared" si="39"/>
        <v>0</v>
      </c>
    </row>
    <row r="193" spans="1:9" x14ac:dyDescent="0.25">
      <c r="A193" s="22">
        <v>0.18</v>
      </c>
      <c r="B193" s="23">
        <v>200</v>
      </c>
      <c r="C193" s="1">
        <f t="shared" si="39"/>
        <v>411.17815373831183</v>
      </c>
      <c r="D193" s="1">
        <f t="shared" si="39"/>
        <v>440.38430020417906</v>
      </c>
      <c r="E193" s="1">
        <f t="shared" si="39"/>
        <v>450.7931012808084</v>
      </c>
      <c r="F193" s="1">
        <f t="shared" si="39"/>
        <v>455.60000509220379</v>
      </c>
      <c r="G193" s="1">
        <f t="shared" si="39"/>
        <v>455.60000509220379</v>
      </c>
      <c r="H193" s="1">
        <f t="shared" si="39"/>
        <v>455.60000509220379</v>
      </c>
      <c r="I193" s="1">
        <f t="shared" si="39"/>
        <v>455.60000509220379</v>
      </c>
    </row>
    <row r="194" spans="1:9" x14ac:dyDescent="0.25">
      <c r="A194" s="22">
        <v>0.18</v>
      </c>
      <c r="B194" s="23">
        <v>300</v>
      </c>
      <c r="C194" s="1">
        <f t="shared" si="39"/>
        <v>0</v>
      </c>
      <c r="D194" s="1">
        <f t="shared" si="39"/>
        <v>0</v>
      </c>
      <c r="E194" s="1">
        <f t="shared" si="39"/>
        <v>0</v>
      </c>
      <c r="F194" s="1">
        <f t="shared" si="39"/>
        <v>0</v>
      </c>
      <c r="G194" s="1">
        <f t="shared" si="39"/>
        <v>0</v>
      </c>
      <c r="H194" s="1">
        <f t="shared" si="39"/>
        <v>0</v>
      </c>
      <c r="I194" s="1">
        <f t="shared" si="39"/>
        <v>0</v>
      </c>
    </row>
    <row r="195" spans="1:9" x14ac:dyDescent="0.25">
      <c r="A195" s="22">
        <v>0.13</v>
      </c>
      <c r="B195" s="23">
        <v>200</v>
      </c>
      <c r="C195" s="1">
        <f t="shared" si="39"/>
        <v>231.2623963776789</v>
      </c>
      <c r="D195" s="1">
        <f t="shared" si="39"/>
        <v>315.78796560225209</v>
      </c>
      <c r="E195" s="1">
        <f t="shared" si="39"/>
        <v>451.58295719528479</v>
      </c>
      <c r="F195" s="1">
        <f t="shared" si="39"/>
        <v>469.39228673826426</v>
      </c>
      <c r="G195" s="1">
        <f t="shared" si="39"/>
        <v>466.50310598954906</v>
      </c>
      <c r="H195" s="1">
        <f t="shared" si="39"/>
        <v>466.50310598954906</v>
      </c>
      <c r="I195" s="1">
        <f t="shared" si="39"/>
        <v>466.50310598954906</v>
      </c>
    </row>
    <row r="196" spans="1:9" x14ac:dyDescent="0.25">
      <c r="A196" s="22">
        <v>0.13</v>
      </c>
      <c r="B196" s="23">
        <v>300</v>
      </c>
      <c r="C196" s="1">
        <f t="shared" si="39"/>
        <v>0</v>
      </c>
      <c r="D196" s="1">
        <f t="shared" si="39"/>
        <v>420.69686984551464</v>
      </c>
      <c r="E196" s="1">
        <f t="shared" si="39"/>
        <v>625.94030333646572</v>
      </c>
      <c r="F196" s="1">
        <f t="shared" si="39"/>
        <v>894.20043333780814</v>
      </c>
      <c r="G196" s="1">
        <f t="shared" si="39"/>
        <v>1090.0728911138885</v>
      </c>
      <c r="H196" s="1">
        <f t="shared" si="39"/>
        <v>1090.0728892262894</v>
      </c>
      <c r="I196" s="1">
        <f t="shared" si="39"/>
        <v>1090.0728892262894</v>
      </c>
    </row>
    <row r="197" spans="1:9" x14ac:dyDescent="0.25">
      <c r="A197" s="22">
        <v>0.09</v>
      </c>
      <c r="B197" s="23">
        <v>200</v>
      </c>
      <c r="C197" s="1">
        <f t="shared" si="39"/>
        <v>0</v>
      </c>
      <c r="D197" s="1">
        <f t="shared" si="39"/>
        <v>0</v>
      </c>
      <c r="E197" s="1">
        <f t="shared" si="39"/>
        <v>277.13548970131421</v>
      </c>
      <c r="F197" s="1">
        <f t="shared" si="39"/>
        <v>368.1058890823781</v>
      </c>
      <c r="G197" s="1">
        <f t="shared" si="39"/>
        <v>485.30735341361424</v>
      </c>
      <c r="H197" s="1">
        <f t="shared" si="39"/>
        <v>494.57791236771033</v>
      </c>
      <c r="I197" s="1">
        <f t="shared" si="39"/>
        <v>491.97132175069555</v>
      </c>
    </row>
    <row r="198" spans="1:9" x14ac:dyDescent="0.25">
      <c r="A198" s="22">
        <v>0.09</v>
      </c>
      <c r="B198" s="23">
        <v>300</v>
      </c>
      <c r="C198" s="1">
        <f t="shared" si="39"/>
        <v>0</v>
      </c>
      <c r="D198" s="1">
        <f t="shared" si="39"/>
        <v>0</v>
      </c>
      <c r="E198" s="1">
        <f t="shared" si="39"/>
        <v>362.03124201853126</v>
      </c>
      <c r="F198" s="1">
        <f t="shared" si="39"/>
        <v>532.22352768299538</v>
      </c>
      <c r="G198" s="1">
        <f t="shared" si="39"/>
        <v>953.08586007444842</v>
      </c>
      <c r="H198" s="1">
        <f t="shared" si="39"/>
        <v>979.96720886428091</v>
      </c>
      <c r="I198" s="1">
        <f t="shared" si="39"/>
        <v>979.96719306965497</v>
      </c>
    </row>
    <row r="199" spans="1:9" x14ac:dyDescent="0.25">
      <c r="A199" s="22">
        <v>6.5000000000000002E-2</v>
      </c>
      <c r="B199" s="23">
        <v>200</v>
      </c>
      <c r="C199" s="1">
        <f t="shared" si="39"/>
        <v>0</v>
      </c>
      <c r="D199" s="1">
        <f t="shared" si="39"/>
        <v>0</v>
      </c>
      <c r="E199" s="1">
        <f t="shared" si="39"/>
        <v>0</v>
      </c>
      <c r="F199" s="1">
        <f t="shared" si="39"/>
        <v>0</v>
      </c>
      <c r="G199" s="1">
        <f t="shared" si="39"/>
        <v>0</v>
      </c>
      <c r="H199" s="1">
        <f t="shared" si="39"/>
        <v>0</v>
      </c>
      <c r="I199" s="1">
        <f t="shared" si="39"/>
        <v>522.41423188269664</v>
      </c>
    </row>
    <row r="200" spans="1:9" x14ac:dyDescent="0.25">
      <c r="A200" s="22">
        <v>6.5000000000000002E-2</v>
      </c>
      <c r="B200" s="23">
        <v>300</v>
      </c>
      <c r="C200" s="1">
        <f t="shared" si="39"/>
        <v>0</v>
      </c>
      <c r="D200" s="1">
        <f t="shared" si="39"/>
        <v>0</v>
      </c>
      <c r="E200" s="1">
        <f t="shared" si="39"/>
        <v>0</v>
      </c>
      <c r="F200" s="1">
        <f t="shared" si="39"/>
        <v>0</v>
      </c>
      <c r="G200" s="1">
        <f t="shared" si="39"/>
        <v>436.93505591640275</v>
      </c>
      <c r="H200" s="1">
        <f t="shared" si="39"/>
        <v>647.46254717250713</v>
      </c>
      <c r="I200" s="1">
        <f t="shared" si="39"/>
        <v>954.42193922917204</v>
      </c>
    </row>
    <row r="201" spans="1:9" x14ac:dyDescent="0.25">
      <c r="A201" s="20">
        <v>6.5000000000000002E-2</v>
      </c>
      <c r="B201" s="21">
        <v>450</v>
      </c>
      <c r="C201" s="1">
        <f t="shared" si="39"/>
        <v>0</v>
      </c>
      <c r="D201" s="1">
        <f t="shared" si="39"/>
        <v>0</v>
      </c>
      <c r="E201" s="1">
        <f t="shared" si="39"/>
        <v>0</v>
      </c>
      <c r="F201" s="1">
        <f t="shared" si="39"/>
        <v>0</v>
      </c>
      <c r="G201" s="1">
        <f t="shared" si="39"/>
        <v>0</v>
      </c>
      <c r="H201" s="1">
        <f t="shared" si="39"/>
        <v>0</v>
      </c>
      <c r="I201" s="1">
        <f t="shared" si="39"/>
        <v>1591.4387788802403</v>
      </c>
    </row>
    <row r="202" spans="1:9" x14ac:dyDescent="0.25">
      <c r="A202" s="20">
        <v>4.4999999999999998E-2</v>
      </c>
      <c r="B202" s="21">
        <v>300</v>
      </c>
      <c r="C202" s="1">
        <f t="shared" ref="C202:I202" si="40">+C186*C169*C135</f>
        <v>0</v>
      </c>
      <c r="D202" s="1">
        <f t="shared" si="40"/>
        <v>0</v>
      </c>
      <c r="E202" s="1">
        <f t="shared" si="40"/>
        <v>0</v>
      </c>
      <c r="F202" s="1">
        <f t="shared" si="40"/>
        <v>0</v>
      </c>
      <c r="G202" s="1">
        <f t="shared" si="40"/>
        <v>0</v>
      </c>
      <c r="H202" s="1">
        <f t="shared" si="40"/>
        <v>0</v>
      </c>
      <c r="I202" s="1">
        <f t="shared" si="40"/>
        <v>523.46960269841338</v>
      </c>
    </row>
    <row r="203" spans="1:9" x14ac:dyDescent="0.25">
      <c r="A203" s="20">
        <v>4.4999999999999998E-2</v>
      </c>
      <c r="B203" s="21">
        <v>450</v>
      </c>
      <c r="C203" s="1">
        <f t="shared" ref="C203:I203" si="41">+C187*C170*C136</f>
        <v>0</v>
      </c>
      <c r="D203" s="1">
        <f t="shared" si="41"/>
        <v>0</v>
      </c>
      <c r="E203" s="1">
        <f t="shared" si="41"/>
        <v>0</v>
      </c>
      <c r="F203" s="1">
        <f t="shared" si="41"/>
        <v>0</v>
      </c>
      <c r="G203" s="1">
        <f t="shared" si="41"/>
        <v>0</v>
      </c>
      <c r="H203" s="1">
        <f t="shared" si="41"/>
        <v>0</v>
      </c>
      <c r="I203" s="1">
        <f t="shared" si="41"/>
        <v>0</v>
      </c>
    </row>
    <row r="206" spans="1:9" x14ac:dyDescent="0.25">
      <c r="B206" s="1" t="s">
        <v>16</v>
      </c>
    </row>
    <row r="207" spans="1:9" x14ac:dyDescent="0.25">
      <c r="A207" s="1" t="s">
        <v>10</v>
      </c>
    </row>
    <row r="208" spans="1:9" x14ac:dyDescent="0.25">
      <c r="A208" s="1">
        <v>0.25</v>
      </c>
      <c r="B208" s="1">
        <v>200</v>
      </c>
      <c r="D208" s="4">
        <v>505.54849708219029</v>
      </c>
      <c r="E208" s="4">
        <v>505.54849708219029</v>
      </c>
      <c r="F208" s="4">
        <v>505.54849708219029</v>
      </c>
      <c r="G208" s="4">
        <v>505.54849708219029</v>
      </c>
      <c r="H208" s="4">
        <v>505.54849708219029</v>
      </c>
      <c r="I208" s="4">
        <v>505.54849708219029</v>
      </c>
    </row>
    <row r="209" spans="1:9" x14ac:dyDescent="0.25">
      <c r="A209" s="1">
        <v>0.25</v>
      </c>
      <c r="B209" s="1">
        <v>300</v>
      </c>
      <c r="D209" s="4">
        <v>773.38529924158445</v>
      </c>
      <c r="E209" s="4">
        <v>773.38529924158445</v>
      </c>
      <c r="F209" s="4">
        <v>773.38529924158445</v>
      </c>
      <c r="G209" s="4">
        <v>773.38529924158445</v>
      </c>
      <c r="H209" s="4">
        <v>773.38529924158445</v>
      </c>
      <c r="I209" s="4">
        <v>773.38529924158445</v>
      </c>
    </row>
    <row r="210" spans="1:9" x14ac:dyDescent="0.25">
      <c r="A210" s="1">
        <v>0.18</v>
      </c>
      <c r="B210" s="1">
        <v>200</v>
      </c>
      <c r="D210" s="4">
        <v>564.31490074874262</v>
      </c>
      <c r="E210" s="4">
        <v>564.31490074874262</v>
      </c>
      <c r="F210" s="4">
        <v>564.31490074874262</v>
      </c>
      <c r="G210" s="4">
        <v>564.31490074874262</v>
      </c>
      <c r="H210" s="4">
        <v>564.31490074874262</v>
      </c>
      <c r="I210" s="4">
        <v>564.31490074874262</v>
      </c>
    </row>
    <row r="211" spans="1:9" x14ac:dyDescent="0.25">
      <c r="A211" s="1">
        <v>0.18</v>
      </c>
      <c r="B211" s="1">
        <v>300</v>
      </c>
      <c r="D211" s="4">
        <v>854.21342249999998</v>
      </c>
      <c r="E211" s="4">
        <v>854.21342249999998</v>
      </c>
      <c r="F211" s="4">
        <v>854.21342249999998</v>
      </c>
      <c r="G211" s="4">
        <v>854.21342249999998</v>
      </c>
      <c r="H211" s="4">
        <v>854.21342249999998</v>
      </c>
      <c r="I211" s="4">
        <v>854.21342249999998</v>
      </c>
    </row>
    <row r="212" spans="1:9" x14ac:dyDescent="0.25">
      <c r="A212" s="1">
        <v>0.13</v>
      </c>
      <c r="B212" s="1">
        <v>200</v>
      </c>
      <c r="D212" s="4">
        <v>608.58019191529502</v>
      </c>
      <c r="E212" s="4">
        <v>608.58019191529502</v>
      </c>
      <c r="F212" s="4">
        <v>608.58019191529502</v>
      </c>
      <c r="G212" s="4">
        <v>608.58019191529502</v>
      </c>
      <c r="H212" s="4">
        <v>608.58019191529502</v>
      </c>
      <c r="I212" s="4">
        <v>608.58019191529502</v>
      </c>
    </row>
    <row r="213" spans="1:9" x14ac:dyDescent="0.25">
      <c r="A213" s="1">
        <v>0.13</v>
      </c>
      <c r="B213" s="1">
        <v>300</v>
      </c>
      <c r="D213" s="4">
        <v>916.34649375000004</v>
      </c>
      <c r="E213" s="4">
        <v>916.34649375000004</v>
      </c>
      <c r="F213" s="4">
        <v>916.34649375000004</v>
      </c>
      <c r="G213" s="4">
        <v>916.34649375000004</v>
      </c>
      <c r="H213" s="4">
        <v>916.34649375000004</v>
      </c>
      <c r="I213" s="4">
        <v>916.34649375000004</v>
      </c>
    </row>
    <row r="214" spans="1:9" x14ac:dyDescent="0.25">
      <c r="A214" s="1">
        <v>0.09</v>
      </c>
      <c r="B214" s="1">
        <v>200</v>
      </c>
      <c r="D214" s="4">
        <v>712.43129974851399</v>
      </c>
      <c r="E214" s="4">
        <v>712.43129974851399</v>
      </c>
      <c r="F214" s="4">
        <v>712.43129974851399</v>
      </c>
      <c r="G214" s="4">
        <v>712.43129974851399</v>
      </c>
      <c r="H214" s="4">
        <v>712.43129974851399</v>
      </c>
      <c r="I214" s="4">
        <v>712.43129974851399</v>
      </c>
    </row>
    <row r="215" spans="1:9" x14ac:dyDescent="0.25">
      <c r="A215" s="1">
        <v>0.09</v>
      </c>
      <c r="B215" s="1">
        <v>300</v>
      </c>
      <c r="D215" s="4">
        <v>1030.3659275000002</v>
      </c>
      <c r="E215" s="4">
        <v>1030.3659275000002</v>
      </c>
      <c r="F215" s="4">
        <v>1030.3659275000002</v>
      </c>
      <c r="G215" s="4">
        <v>1030.3659275000002</v>
      </c>
      <c r="H215" s="4">
        <v>1030.3659275000002</v>
      </c>
      <c r="I215" s="4">
        <v>1030.3659275000002</v>
      </c>
    </row>
    <row r="216" spans="1:9" x14ac:dyDescent="0.25">
      <c r="A216" s="1">
        <v>6.5000000000000002E-2</v>
      </c>
      <c r="B216" s="1">
        <v>200</v>
      </c>
      <c r="D216" s="4">
        <v>825.3554054983997</v>
      </c>
      <c r="E216" s="4">
        <v>825.3554054983997</v>
      </c>
      <c r="F216" s="4">
        <v>825.3554054983997</v>
      </c>
      <c r="G216" s="4">
        <v>825.3554054983997</v>
      </c>
      <c r="H216" s="4">
        <v>825.3554054983997</v>
      </c>
      <c r="I216" s="4">
        <v>825.3554054983997</v>
      </c>
    </row>
    <row r="217" spans="1:9" x14ac:dyDescent="0.25">
      <c r="A217" s="1">
        <v>6.5000000000000002E-2</v>
      </c>
      <c r="B217" s="1">
        <v>300</v>
      </c>
      <c r="D217" s="4">
        <v>1150.2704695833334</v>
      </c>
      <c r="E217" s="4">
        <v>1150.2704695833334</v>
      </c>
      <c r="F217" s="4">
        <v>1150.2704695833334</v>
      </c>
      <c r="G217" s="4">
        <v>1150.2704695833334</v>
      </c>
      <c r="H217" s="4">
        <v>1150.2704695833334</v>
      </c>
      <c r="I217" s="4">
        <v>1150.2704695833334</v>
      </c>
    </row>
    <row r="218" spans="1:9" x14ac:dyDescent="0.25">
      <c r="B218" s="1" t="s">
        <v>17</v>
      </c>
    </row>
    <row r="219" spans="1:9" x14ac:dyDescent="0.25">
      <c r="A219" s="1" t="s">
        <v>10</v>
      </c>
      <c r="D219" s="1" t="s">
        <v>175</v>
      </c>
    </row>
    <row r="220" spans="1:9" x14ac:dyDescent="0.25">
      <c r="A220" s="1">
        <v>0.25</v>
      </c>
      <c r="B220" s="1">
        <v>200</v>
      </c>
      <c r="D220" s="1">
        <f t="shared" ref="D220:I220" si="42">+D208/D191</f>
        <v>1.1533706540183142</v>
      </c>
      <c r="E220" s="1">
        <f t="shared" si="42"/>
        <v>1.1533706540183142</v>
      </c>
      <c r="F220" s="1">
        <f t="shared" si="42"/>
        <v>1.1533706540183142</v>
      </c>
      <c r="G220" s="1">
        <f t="shared" si="42"/>
        <v>1.1533706540183142</v>
      </c>
      <c r="H220" s="1">
        <f t="shared" si="42"/>
        <v>1.1533706540183142</v>
      </c>
      <c r="I220" s="1">
        <f t="shared" si="42"/>
        <v>1.1533706540183142</v>
      </c>
    </row>
    <row r="221" spans="1:9" x14ac:dyDescent="0.25">
      <c r="A221" s="1">
        <v>0.25</v>
      </c>
      <c r="B221" s="1">
        <v>300</v>
      </c>
    </row>
    <row r="222" spans="1:9" x14ac:dyDescent="0.25">
      <c r="A222" s="1">
        <v>0.18</v>
      </c>
      <c r="B222" s="1">
        <v>200</v>
      </c>
      <c r="D222" s="1">
        <f t="shared" ref="D222:I222" si="43">+D210/D193</f>
        <v>1.2814146655253253</v>
      </c>
      <c r="E222" s="1">
        <f t="shared" si="43"/>
        <v>1.2518268339630583</v>
      </c>
      <c r="F222" s="1">
        <f t="shared" si="43"/>
        <v>1.2386191712937695</v>
      </c>
      <c r="G222" s="1">
        <f t="shared" si="43"/>
        <v>1.2386191712937695</v>
      </c>
      <c r="H222" s="1">
        <f t="shared" si="43"/>
        <v>1.2386191712937695</v>
      </c>
      <c r="I222" s="1">
        <f t="shared" si="43"/>
        <v>1.2386191712937695</v>
      </c>
    </row>
    <row r="223" spans="1:9" x14ac:dyDescent="0.25">
      <c r="A223" s="1">
        <v>0.18</v>
      </c>
      <c r="B223" s="1">
        <v>300</v>
      </c>
    </row>
    <row r="224" spans="1:9" x14ac:dyDescent="0.25">
      <c r="A224" s="1">
        <v>0.13</v>
      </c>
      <c r="B224" s="1">
        <v>200</v>
      </c>
      <c r="D224" s="31">
        <f t="shared" ref="D224:I225" si="44">+D212/D195</f>
        <v>1.9271798111579299</v>
      </c>
      <c r="E224" s="31">
        <f t="shared" si="44"/>
        <v>1.3476597870191933</v>
      </c>
      <c r="F224" s="31">
        <f t="shared" si="44"/>
        <v>1.296527891721925</v>
      </c>
      <c r="G224" s="31">
        <f t="shared" si="44"/>
        <v>1.3045576419568981</v>
      </c>
      <c r="H224" s="31">
        <f t="shared" si="44"/>
        <v>1.3045576419568981</v>
      </c>
      <c r="I224" s="31">
        <f t="shared" si="44"/>
        <v>1.3045576419568981</v>
      </c>
    </row>
    <row r="225" spans="1:9" x14ac:dyDescent="0.25">
      <c r="A225" s="1">
        <v>0.13</v>
      </c>
      <c r="B225" s="1">
        <v>300</v>
      </c>
      <c r="D225" s="1">
        <f t="shared" si="44"/>
        <v>2.1781633271635568</v>
      </c>
      <c r="E225" s="1">
        <f t="shared" si="44"/>
        <v>1.4639518958366713</v>
      </c>
      <c r="F225" s="1">
        <f t="shared" si="44"/>
        <v>1.0247663270856699</v>
      </c>
      <c r="G225" s="1">
        <f t="shared" si="44"/>
        <v>0.84062864164398532</v>
      </c>
      <c r="H225" s="1">
        <f t="shared" si="44"/>
        <v>0.84062864309964025</v>
      </c>
      <c r="I225" s="1">
        <f t="shared" si="44"/>
        <v>0.84062864309964025</v>
      </c>
    </row>
    <row r="226" spans="1:9" x14ac:dyDescent="0.25">
      <c r="A226" s="1">
        <v>0.09</v>
      </c>
      <c r="B226" s="1">
        <v>200</v>
      </c>
      <c r="F226" s="31">
        <f t="shared" ref="F226:I227" si="45">+F214/F197</f>
        <v>1.9353977235313387</v>
      </c>
      <c r="G226" s="31">
        <f t="shared" si="45"/>
        <v>1.4680002162285972</v>
      </c>
      <c r="H226" s="31">
        <f t="shared" si="45"/>
        <v>1.4404834545438279</v>
      </c>
      <c r="I226" s="31">
        <f t="shared" si="45"/>
        <v>1.4481155064350186</v>
      </c>
    </row>
    <row r="227" spans="1:9" x14ac:dyDescent="0.25">
      <c r="A227" s="1">
        <v>0.09</v>
      </c>
      <c r="B227" s="1">
        <v>300</v>
      </c>
      <c r="F227" s="1">
        <f t="shared" si="45"/>
        <v>1.935964634982672</v>
      </c>
      <c r="G227" s="1">
        <f t="shared" si="45"/>
        <v>1.081084056183055</v>
      </c>
      <c r="H227" s="1">
        <f t="shared" si="45"/>
        <v>1.051428984745447</v>
      </c>
      <c r="I227" s="1">
        <f t="shared" si="45"/>
        <v>1.0514290016918586</v>
      </c>
    </row>
    <row r="228" spans="1:9" x14ac:dyDescent="0.25">
      <c r="A228" s="1">
        <v>6.5000000000000002E-2</v>
      </c>
      <c r="B228" s="1">
        <v>200</v>
      </c>
    </row>
    <row r="229" spans="1:9" x14ac:dyDescent="0.25">
      <c r="A229" s="1">
        <v>6.5000000000000002E-2</v>
      </c>
      <c r="B229" s="1">
        <v>300</v>
      </c>
      <c r="I229" s="1">
        <f>+I217/I200</f>
        <v>1.2052012032669075</v>
      </c>
    </row>
    <row r="230" spans="1:9" x14ac:dyDescent="0.25">
      <c r="A230" s="1" t="s">
        <v>19</v>
      </c>
      <c r="D230" s="1" t="s">
        <v>20</v>
      </c>
    </row>
    <row r="231" spans="1:9" x14ac:dyDescent="0.25">
      <c r="A231" s="1" t="s">
        <v>10</v>
      </c>
    </row>
    <row r="232" spans="1:9" x14ac:dyDescent="0.25">
      <c r="A232" s="1">
        <v>0.25</v>
      </c>
      <c r="B232" s="1">
        <v>200</v>
      </c>
      <c r="D232" s="4">
        <v>529.01640000000032</v>
      </c>
      <c r="E232" s="4">
        <v>529.01640000000032</v>
      </c>
      <c r="F232" s="4">
        <v>529.01640000000032</v>
      </c>
      <c r="G232" s="4">
        <v>529.01640000000032</v>
      </c>
      <c r="H232" s="4">
        <v>529.01640000000032</v>
      </c>
      <c r="I232" s="4">
        <v>529.01640000000032</v>
      </c>
    </row>
    <row r="233" spans="1:9" x14ac:dyDescent="0.25">
      <c r="A233" s="1">
        <v>0.25</v>
      </c>
      <c r="B233" s="1">
        <v>300</v>
      </c>
      <c r="D233" s="4">
        <v>716.26810978770459</v>
      </c>
      <c r="E233" s="4">
        <v>716.26810978770459</v>
      </c>
      <c r="F233" s="4">
        <v>716.26810978770459</v>
      </c>
      <c r="G233" s="4">
        <v>716.26810978770459</v>
      </c>
      <c r="H233" s="4">
        <v>716.26810978770459</v>
      </c>
      <c r="I233" s="4">
        <v>716.26810978770459</v>
      </c>
    </row>
    <row r="234" spans="1:9" x14ac:dyDescent="0.25">
      <c r="A234" s="1">
        <v>0.18</v>
      </c>
      <c r="B234" s="1">
        <v>200</v>
      </c>
      <c r="D234" s="4">
        <v>609.64200000000017</v>
      </c>
      <c r="E234" s="4">
        <v>609.64200000000017</v>
      </c>
      <c r="F234" s="4">
        <v>609.64200000000017</v>
      </c>
      <c r="G234" s="4">
        <v>609.64200000000017</v>
      </c>
      <c r="H234" s="4">
        <v>609.64200000000017</v>
      </c>
      <c r="I234" s="4">
        <v>609.64200000000017</v>
      </c>
    </row>
    <row r="235" spans="1:9" x14ac:dyDescent="0.25">
      <c r="A235" s="1">
        <v>0.18</v>
      </c>
      <c r="B235" s="1">
        <v>300</v>
      </c>
      <c r="D235" s="4">
        <v>849.36851999999988</v>
      </c>
      <c r="E235" s="4">
        <v>849.36851999999988</v>
      </c>
      <c r="F235" s="4">
        <v>849.36851999999988</v>
      </c>
      <c r="G235" s="4">
        <v>849.36851999999988</v>
      </c>
      <c r="H235" s="4">
        <v>849.36851999999988</v>
      </c>
      <c r="I235" s="4">
        <v>849.36851999999988</v>
      </c>
    </row>
    <row r="236" spans="1:9" x14ac:dyDescent="0.25">
      <c r="A236" s="1">
        <v>0.13</v>
      </c>
      <c r="B236" s="1">
        <v>200</v>
      </c>
      <c r="D236" s="4">
        <v>667.39200000000017</v>
      </c>
      <c r="E236" s="4">
        <v>667.39200000000017</v>
      </c>
      <c r="F236" s="4">
        <v>667.39200000000017</v>
      </c>
      <c r="G236" s="4">
        <v>667.39200000000017</v>
      </c>
      <c r="H236" s="4">
        <v>667.39200000000017</v>
      </c>
      <c r="I236" s="4">
        <v>667.39200000000017</v>
      </c>
    </row>
    <row r="237" spans="1:9" x14ac:dyDescent="0.25">
      <c r="A237" s="1">
        <v>0.13</v>
      </c>
      <c r="B237" s="1">
        <v>300</v>
      </c>
      <c r="D237" s="4">
        <v>969.85680000000002</v>
      </c>
      <c r="E237" s="4">
        <v>969.85680000000002</v>
      </c>
      <c r="F237" s="4">
        <v>969.85680000000002</v>
      </c>
      <c r="G237" s="4">
        <v>969.85680000000002</v>
      </c>
      <c r="H237" s="4">
        <v>969.85680000000002</v>
      </c>
      <c r="I237" s="4">
        <v>969.85680000000002</v>
      </c>
    </row>
    <row r="238" spans="1:9" x14ac:dyDescent="0.25">
      <c r="A238" s="1">
        <v>0.09</v>
      </c>
      <c r="B238" s="1">
        <v>200</v>
      </c>
      <c r="D238" s="4">
        <v>853.0368000000002</v>
      </c>
      <c r="E238" s="4">
        <v>853.0368000000002</v>
      </c>
      <c r="F238" s="4">
        <v>853.0368000000002</v>
      </c>
      <c r="G238" s="4">
        <v>853.0368000000002</v>
      </c>
      <c r="H238" s="4">
        <v>853.0368000000002</v>
      </c>
      <c r="I238" s="4">
        <v>853.0368000000002</v>
      </c>
    </row>
    <row r="239" spans="1:9" x14ac:dyDescent="0.25">
      <c r="A239" s="1">
        <v>0.09</v>
      </c>
      <c r="B239" s="1">
        <v>300</v>
      </c>
      <c r="D239" s="4">
        <v>1206.9406800000004</v>
      </c>
      <c r="E239" s="4">
        <v>1206.9406800000004</v>
      </c>
      <c r="F239" s="4">
        <v>1206.9406800000004</v>
      </c>
      <c r="G239" s="4">
        <v>1206.9406800000004</v>
      </c>
      <c r="H239" s="4">
        <v>1206.9406800000004</v>
      </c>
      <c r="I239" s="4">
        <v>1206.9406800000004</v>
      </c>
    </row>
    <row r="240" spans="1:9" x14ac:dyDescent="0.25">
      <c r="A240" s="1">
        <v>6.5000000000000002E-2</v>
      </c>
      <c r="B240" s="1">
        <v>200</v>
      </c>
      <c r="D240" s="4">
        <v>1034.7117000000001</v>
      </c>
      <c r="E240" s="4">
        <v>1034.7117000000001</v>
      </c>
      <c r="F240" s="4">
        <v>1034.7117000000001</v>
      </c>
      <c r="G240" s="4">
        <v>1034.7117000000001</v>
      </c>
      <c r="H240" s="4">
        <v>1034.7117000000001</v>
      </c>
      <c r="I240" s="4">
        <v>1034.7117000000001</v>
      </c>
    </row>
    <row r="241" spans="1:9" x14ac:dyDescent="0.25">
      <c r="A241" s="1">
        <v>6.5000000000000002E-2</v>
      </c>
      <c r="B241" s="1">
        <v>300</v>
      </c>
      <c r="D241" s="4">
        <v>1413.5276100000001</v>
      </c>
      <c r="E241" s="4">
        <v>1413.5276100000001</v>
      </c>
      <c r="F241" s="4">
        <v>1413.5276100000001</v>
      </c>
      <c r="G241" s="4">
        <v>1413.5276100000001</v>
      </c>
      <c r="H241" s="4">
        <v>1413.5276100000001</v>
      </c>
      <c r="I241" s="4">
        <v>1413.5276100000001</v>
      </c>
    </row>
    <row r="242" spans="1:9" x14ac:dyDescent="0.25">
      <c r="A242" s="1" t="s">
        <v>19</v>
      </c>
      <c r="D242" s="1" t="s">
        <v>21</v>
      </c>
    </row>
    <row r="243" spans="1:9" x14ac:dyDescent="0.25">
      <c r="A243" s="1" t="s">
        <v>10</v>
      </c>
      <c r="E243" s="1" t="s">
        <v>178</v>
      </c>
    </row>
    <row r="244" spans="1:9" x14ac:dyDescent="0.25">
      <c r="A244" s="1">
        <v>0.25</v>
      </c>
      <c r="B244" s="1">
        <v>200</v>
      </c>
      <c r="D244" s="1">
        <v>1.0748526713759081</v>
      </c>
      <c r="E244" s="1">
        <v>1.0748526713759081</v>
      </c>
      <c r="F244" s="1">
        <v>1.0748526713759081</v>
      </c>
      <c r="G244" s="1">
        <v>1.0748526713759081</v>
      </c>
      <c r="H244" s="1">
        <v>1.0748526713759081</v>
      </c>
      <c r="I244" s="1">
        <v>1.0748526713759081</v>
      </c>
    </row>
    <row r="245" spans="1:9" x14ac:dyDescent="0.25">
      <c r="A245" s="1">
        <v>0.25</v>
      </c>
      <c r="B245" s="1">
        <v>300</v>
      </c>
      <c r="D245" s="1">
        <v>1.0909341364728695</v>
      </c>
      <c r="E245" s="1">
        <v>1.0909341364728695</v>
      </c>
      <c r="F245" s="1">
        <v>1.0909341364728695</v>
      </c>
      <c r="G245" s="1">
        <v>1.0909341364728695</v>
      </c>
      <c r="H245" s="1">
        <v>1.0909341364728695</v>
      </c>
      <c r="I245" s="1">
        <v>1.0909341364728695</v>
      </c>
    </row>
    <row r="246" spans="1:9" x14ac:dyDescent="0.25">
      <c r="A246" s="1">
        <v>0.18</v>
      </c>
      <c r="B246" s="1">
        <v>200</v>
      </c>
      <c r="D246" s="1">
        <v>1.0468281168249316</v>
      </c>
      <c r="E246" s="1">
        <v>1.0468281168249316</v>
      </c>
      <c r="F246" s="1">
        <v>1.0468281168249316</v>
      </c>
      <c r="G246" s="1">
        <v>1.0468281168249316</v>
      </c>
      <c r="H246" s="1">
        <v>1.0468281168249316</v>
      </c>
      <c r="I246" s="1">
        <v>1.0468281168249316</v>
      </c>
    </row>
    <row r="247" spans="1:9" x14ac:dyDescent="0.25">
      <c r="A247" s="1">
        <v>0.18</v>
      </c>
      <c r="B247" s="1">
        <v>300</v>
      </c>
      <c r="D247" s="1">
        <v>1.0697524593851713</v>
      </c>
      <c r="E247" s="1">
        <v>1.0697524593851713</v>
      </c>
      <c r="F247" s="1">
        <v>1.0697524593851713</v>
      </c>
      <c r="G247" s="1">
        <v>1.0697524593851713</v>
      </c>
      <c r="H247" s="1">
        <v>1.0697524593851713</v>
      </c>
      <c r="I247" s="1">
        <v>1.0697524593851713</v>
      </c>
    </row>
    <row r="248" spans="1:9" x14ac:dyDescent="0.25">
      <c r="A248" s="1">
        <v>0.13</v>
      </c>
      <c r="B248" s="1">
        <v>200</v>
      </c>
      <c r="D248" s="1">
        <v>1.0426239117467144</v>
      </c>
      <c r="E248" s="1">
        <v>1.0870646213460204</v>
      </c>
      <c r="F248" s="1">
        <v>1.1333995678292488</v>
      </c>
      <c r="G248" s="1">
        <v>1.1333995678292488</v>
      </c>
      <c r="H248" s="1">
        <v>1.1333995678292488</v>
      </c>
      <c r="I248" s="1">
        <v>1.1333995678292488</v>
      </c>
    </row>
    <row r="249" spans="1:9" x14ac:dyDescent="0.25">
      <c r="A249" s="1">
        <v>0.13</v>
      </c>
      <c r="B249" s="1">
        <v>300</v>
      </c>
      <c r="D249" s="1">
        <v>1.0378107032720478</v>
      </c>
      <c r="E249" s="1">
        <v>1.0770510558260225</v>
      </c>
      <c r="F249" s="1">
        <v>1.117775113706706</v>
      </c>
      <c r="G249" s="1">
        <v>1.117775113706706</v>
      </c>
      <c r="H249" s="1">
        <v>1.117775113706706</v>
      </c>
      <c r="I249" s="1">
        <v>1.117775113706706</v>
      </c>
    </row>
    <row r="250" spans="1:9" x14ac:dyDescent="0.25">
      <c r="A250" s="1">
        <v>0.09</v>
      </c>
      <c r="B250" s="1">
        <v>200</v>
      </c>
      <c r="F250" s="1">
        <v>1</v>
      </c>
      <c r="G250" s="1">
        <v>1.0332373178614354</v>
      </c>
      <c r="H250" s="1">
        <v>1.0675793550214927</v>
      </c>
      <c r="I250" s="1">
        <v>1.1030628293866482</v>
      </c>
    </row>
    <row r="251" spans="1:9" x14ac:dyDescent="0.25">
      <c r="A251" s="1">
        <v>0.09</v>
      </c>
      <c r="B251" s="1">
        <v>300</v>
      </c>
      <c r="F251" s="1">
        <v>1</v>
      </c>
      <c r="G251" s="1">
        <v>1.0270390497600927</v>
      </c>
      <c r="H251" s="1">
        <v>1.0548092097321142</v>
      </c>
      <c r="I251" s="1">
        <v>1.0833302484414651</v>
      </c>
    </row>
    <row r="252" spans="1:9" x14ac:dyDescent="0.25">
      <c r="A252" s="1">
        <v>6.5000000000000002E-2</v>
      </c>
      <c r="B252" s="1">
        <v>200</v>
      </c>
      <c r="I252" s="1">
        <v>1</v>
      </c>
    </row>
    <row r="253" spans="1:9" x14ac:dyDescent="0.25">
      <c r="A253" s="1">
        <v>6.5000000000000002E-2</v>
      </c>
      <c r="B253" s="1">
        <v>300</v>
      </c>
      <c r="I253" s="1">
        <v>1</v>
      </c>
    </row>
    <row r="254" spans="1:9" x14ac:dyDescent="0.25">
      <c r="A254" s="1" t="s">
        <v>22</v>
      </c>
    </row>
    <row r="255" spans="1:9" x14ac:dyDescent="0.25">
      <c r="A255" s="1" t="s">
        <v>10</v>
      </c>
      <c r="D255" s="1" t="s">
        <v>167</v>
      </c>
    </row>
    <row r="256" spans="1:9" x14ac:dyDescent="0.25">
      <c r="A256" s="1">
        <v>0.25</v>
      </c>
      <c r="B256" s="1">
        <v>200</v>
      </c>
      <c r="D256" s="1">
        <f t="shared" ref="D256:I261" si="46">D232/(20*D244)</f>
        <v>24.608786584807561</v>
      </c>
      <c r="E256" s="1">
        <f t="shared" si="46"/>
        <v>24.608786584807561</v>
      </c>
      <c r="F256" s="1">
        <f t="shared" si="46"/>
        <v>24.608786584807561</v>
      </c>
      <c r="G256" s="1">
        <f t="shared" si="46"/>
        <v>24.608786584807561</v>
      </c>
      <c r="H256" s="1">
        <f t="shared" si="46"/>
        <v>24.608786584807561</v>
      </c>
      <c r="I256" s="1">
        <f t="shared" si="46"/>
        <v>24.608786584807561</v>
      </c>
    </row>
    <row r="257" spans="1:9" x14ac:dyDescent="0.25">
      <c r="A257" s="1">
        <v>0.25</v>
      </c>
      <c r="B257" s="1">
        <v>300</v>
      </c>
      <c r="D257" s="1">
        <f t="shared" si="46"/>
        <v>32.82820134786008</v>
      </c>
      <c r="E257" s="1">
        <f t="shared" si="46"/>
        <v>32.82820134786008</v>
      </c>
      <c r="F257" s="1">
        <f t="shared" si="46"/>
        <v>32.82820134786008</v>
      </c>
      <c r="G257" s="1">
        <f t="shared" si="46"/>
        <v>32.82820134786008</v>
      </c>
      <c r="H257" s="1">
        <f t="shared" si="46"/>
        <v>32.82820134786008</v>
      </c>
      <c r="I257" s="1">
        <f t="shared" si="46"/>
        <v>32.82820134786008</v>
      </c>
    </row>
    <row r="258" spans="1:9" x14ac:dyDescent="0.25">
      <c r="A258" s="1">
        <v>0.18</v>
      </c>
      <c r="B258" s="1">
        <v>200</v>
      </c>
      <c r="D258" s="1">
        <f t="shared" si="46"/>
        <v>29.118533893083942</v>
      </c>
      <c r="E258" s="1">
        <f t="shared" si="46"/>
        <v>29.118533893083942</v>
      </c>
      <c r="F258" s="1">
        <f t="shared" si="46"/>
        <v>29.118533893083942</v>
      </c>
      <c r="G258" s="1">
        <f t="shared" si="46"/>
        <v>29.118533893083942</v>
      </c>
      <c r="H258" s="1">
        <f t="shared" si="46"/>
        <v>29.118533893083942</v>
      </c>
      <c r="I258" s="1">
        <f t="shared" si="46"/>
        <v>29.118533893083942</v>
      </c>
    </row>
    <row r="259" spans="1:9" x14ac:dyDescent="0.25">
      <c r="A259" s="1">
        <v>0.18</v>
      </c>
      <c r="B259" s="1">
        <v>300</v>
      </c>
      <c r="D259" s="1">
        <f t="shared" si="46"/>
        <v>39.699302046389562</v>
      </c>
      <c r="E259" s="1">
        <f t="shared" si="46"/>
        <v>39.699302046389562</v>
      </c>
      <c r="F259" s="1">
        <f t="shared" si="46"/>
        <v>39.699302046389562</v>
      </c>
      <c r="G259" s="1">
        <f t="shared" si="46"/>
        <v>39.699302046389562</v>
      </c>
      <c r="H259" s="1">
        <f t="shared" si="46"/>
        <v>39.699302046389562</v>
      </c>
      <c r="I259" s="1">
        <f t="shared" si="46"/>
        <v>39.699302046389562</v>
      </c>
    </row>
    <row r="260" spans="1:9" x14ac:dyDescent="0.25">
      <c r="A260" s="1">
        <v>0.13</v>
      </c>
      <c r="B260" s="1">
        <v>200</v>
      </c>
      <c r="D260" s="1">
        <f t="shared" si="46"/>
        <v>32.005404464679607</v>
      </c>
      <c r="E260" s="1">
        <f t="shared" si="46"/>
        <v>30.696979135132967</v>
      </c>
      <c r="F260" s="1">
        <f t="shared" si="46"/>
        <v>29.442044047988617</v>
      </c>
      <c r="G260" s="1">
        <f t="shared" si="46"/>
        <v>29.442044047988617</v>
      </c>
      <c r="H260" s="1">
        <f t="shared" si="46"/>
        <v>29.442044047988617</v>
      </c>
      <c r="I260" s="1">
        <f t="shared" si="46"/>
        <v>29.442044047988617</v>
      </c>
    </row>
    <row r="261" spans="1:9" x14ac:dyDescent="0.25">
      <c r="A261" s="1">
        <v>0.13</v>
      </c>
      <c r="B261" s="1">
        <v>300</v>
      </c>
      <c r="D261" s="1">
        <f t="shared" si="46"/>
        <v>46.726093542020706</v>
      </c>
      <c r="E261" s="1">
        <f t="shared" si="46"/>
        <v>45.023715206155579</v>
      </c>
      <c r="F261" s="1">
        <f t="shared" si="46"/>
        <v>43.383359859561232</v>
      </c>
      <c r="G261" s="1">
        <f t="shared" si="46"/>
        <v>43.383359859561232</v>
      </c>
      <c r="H261" s="1">
        <f t="shared" si="46"/>
        <v>43.383359859561232</v>
      </c>
      <c r="I261" s="1">
        <f t="shared" si="46"/>
        <v>43.383359859561232</v>
      </c>
    </row>
    <row r="262" spans="1:9" x14ac:dyDescent="0.25">
      <c r="A262" s="1">
        <v>0.09</v>
      </c>
      <c r="B262" s="1">
        <v>200</v>
      </c>
      <c r="F262" s="1">
        <f t="shared" ref="F262:I263" si="47">F238/(20*F250)</f>
        <v>42.651840000000007</v>
      </c>
      <c r="G262" s="1">
        <f t="shared" si="47"/>
        <v>41.279809839117647</v>
      </c>
      <c r="H262" s="1">
        <f t="shared" si="47"/>
        <v>39.951915330117394</v>
      </c>
      <c r="I262" s="1">
        <f t="shared" si="47"/>
        <v>38.666736711376927</v>
      </c>
    </row>
    <row r="263" spans="1:9" x14ac:dyDescent="0.25">
      <c r="A263" s="1">
        <v>0.09</v>
      </c>
      <c r="B263" s="1">
        <v>300</v>
      </c>
      <c r="F263" s="1">
        <f t="shared" si="47"/>
        <v>60.347034000000022</v>
      </c>
      <c r="G263" s="1">
        <f t="shared" si="47"/>
        <v>58.758266313336918</v>
      </c>
      <c r="H263" s="1">
        <f t="shared" si="47"/>
        <v>57.211326411651378</v>
      </c>
      <c r="I263" s="1">
        <f t="shared" si="47"/>
        <v>55.70511308700037</v>
      </c>
    </row>
    <row r="264" spans="1:9" x14ac:dyDescent="0.25">
      <c r="A264" s="1">
        <v>6.5000000000000002E-2</v>
      </c>
      <c r="B264" s="1">
        <v>200</v>
      </c>
      <c r="I264" s="1">
        <f>I240/(20*I252)</f>
        <v>51.735585</v>
      </c>
    </row>
    <row r="265" spans="1:9" x14ac:dyDescent="0.25">
      <c r="A265" s="1">
        <v>6.5000000000000002E-2</v>
      </c>
      <c r="B265" s="1">
        <v>300</v>
      </c>
      <c r="I265" s="1">
        <f>I241/(20*I253)</f>
        <v>70.676380500000008</v>
      </c>
    </row>
    <row r="266" spans="1:9" x14ac:dyDescent="0.25">
      <c r="A266" s="1" t="s">
        <v>23</v>
      </c>
    </row>
    <row r="267" spans="1:9" x14ac:dyDescent="0.25">
      <c r="A267" s="1" t="s">
        <v>10</v>
      </c>
    </row>
    <row r="268" spans="1:9" x14ac:dyDescent="0.25">
      <c r="A268" s="1">
        <v>0.25</v>
      </c>
      <c r="B268" s="1">
        <v>200</v>
      </c>
      <c r="D268" s="32">
        <v>170.39400000000003</v>
      </c>
      <c r="E268" s="32">
        <v>170.39400000000003</v>
      </c>
      <c r="F268" s="32">
        <v>170.39400000000003</v>
      </c>
      <c r="G268" s="32">
        <v>170.39400000000003</v>
      </c>
      <c r="H268" s="32">
        <v>170.39400000000003</v>
      </c>
      <c r="I268" s="32">
        <v>170.39400000000003</v>
      </c>
    </row>
    <row r="269" spans="1:9" x14ac:dyDescent="0.25">
      <c r="A269" s="1">
        <v>0.25</v>
      </c>
      <c r="B269" s="1">
        <v>300</v>
      </c>
      <c r="D269" s="33"/>
      <c r="E269" s="33"/>
      <c r="F269" s="33"/>
      <c r="G269" s="33"/>
      <c r="H269" s="33"/>
      <c r="I269" s="33"/>
    </row>
    <row r="270" spans="1:9" x14ac:dyDescent="0.25">
      <c r="A270" s="1">
        <v>0.18</v>
      </c>
      <c r="B270" s="1">
        <v>200</v>
      </c>
      <c r="D270" s="32">
        <v>164.77800000000002</v>
      </c>
      <c r="E270" s="32">
        <v>164.77800000000002</v>
      </c>
      <c r="F270" s="32">
        <v>164.77800000000002</v>
      </c>
      <c r="G270" s="32">
        <v>164.77800000000002</v>
      </c>
      <c r="H270" s="32">
        <v>164.77800000000002</v>
      </c>
      <c r="I270" s="32">
        <v>164.77800000000002</v>
      </c>
    </row>
    <row r="271" spans="1:9" x14ac:dyDescent="0.25">
      <c r="A271" s="1">
        <v>0.18</v>
      </c>
      <c r="B271" s="1">
        <v>300</v>
      </c>
      <c r="D271" s="32">
        <v>397.8617900000001</v>
      </c>
      <c r="E271" s="32">
        <v>397.8617900000001</v>
      </c>
      <c r="F271" s="32">
        <v>397.8617900000001</v>
      </c>
      <c r="G271" s="32">
        <v>397.8617900000001</v>
      </c>
      <c r="H271" s="32">
        <v>397.8617900000001</v>
      </c>
      <c r="I271" s="32">
        <v>397.8617900000001</v>
      </c>
    </row>
    <row r="272" spans="1:9" x14ac:dyDescent="0.25">
      <c r="A272" s="1">
        <v>0.13</v>
      </c>
      <c r="B272" s="1">
        <v>200</v>
      </c>
      <c r="D272" s="32">
        <v>238.0976</v>
      </c>
      <c r="E272" s="32">
        <v>238.0976</v>
      </c>
      <c r="F272" s="32">
        <v>238.0976</v>
      </c>
      <c r="G272" s="32">
        <v>238.0976</v>
      </c>
      <c r="H272" s="32">
        <v>238.0976</v>
      </c>
      <c r="I272" s="32">
        <v>238.0976</v>
      </c>
    </row>
    <row r="273" spans="1:9" x14ac:dyDescent="0.25">
      <c r="A273" s="1">
        <v>0.13</v>
      </c>
      <c r="B273" s="1">
        <v>300</v>
      </c>
      <c r="D273" s="32">
        <v>368.9756799999999</v>
      </c>
      <c r="E273" s="32">
        <v>368.9756799999999</v>
      </c>
      <c r="F273" s="32">
        <v>368.9756799999999</v>
      </c>
      <c r="G273" s="32">
        <v>368.9756799999999</v>
      </c>
      <c r="H273" s="32">
        <v>368.9756799999999</v>
      </c>
      <c r="I273" s="32">
        <v>368.9756799999999</v>
      </c>
    </row>
    <row r="274" spans="1:9" x14ac:dyDescent="0.25">
      <c r="A274" s="1">
        <v>0.09</v>
      </c>
      <c r="B274" s="1">
        <v>200</v>
      </c>
      <c r="D274" s="32">
        <v>280.58879999999994</v>
      </c>
      <c r="E274" s="32">
        <v>280.58879999999994</v>
      </c>
      <c r="F274" s="32">
        <v>280.58879999999994</v>
      </c>
      <c r="G274" s="32">
        <v>280.58879999999994</v>
      </c>
      <c r="H274" s="32">
        <v>280.58879999999994</v>
      </c>
      <c r="I274" s="32">
        <v>280.58879999999994</v>
      </c>
    </row>
    <row r="275" spans="1:9" x14ac:dyDescent="0.25">
      <c r="A275" s="1">
        <v>0.09</v>
      </c>
      <c r="B275" s="1">
        <v>300</v>
      </c>
      <c r="D275" s="32">
        <v>367.00628000000006</v>
      </c>
      <c r="E275" s="32">
        <v>367.00628000000006</v>
      </c>
      <c r="F275" s="32">
        <v>367.00628000000006</v>
      </c>
      <c r="G275" s="32">
        <v>367.00628000000006</v>
      </c>
      <c r="H275" s="32">
        <v>367.00628000000006</v>
      </c>
      <c r="I275" s="32">
        <v>367.00628000000006</v>
      </c>
    </row>
    <row r="276" spans="1:9" x14ac:dyDescent="0.25">
      <c r="A276" s="1">
        <v>6.5000000000000002E-2</v>
      </c>
      <c r="B276" s="1">
        <v>200</v>
      </c>
      <c r="D276" s="32">
        <v>358.12170000000003</v>
      </c>
      <c r="E276" s="32">
        <v>358.12170000000003</v>
      </c>
      <c r="F276" s="32">
        <v>358.12170000000003</v>
      </c>
      <c r="G276" s="32">
        <v>358.12170000000003</v>
      </c>
      <c r="H276" s="32">
        <v>358.12170000000003</v>
      </c>
      <c r="I276" s="32">
        <v>358.12170000000003</v>
      </c>
    </row>
    <row r="277" spans="1:9" x14ac:dyDescent="0.25">
      <c r="A277" s="1">
        <v>6.5000000000000002E-2</v>
      </c>
      <c r="B277" s="1">
        <v>300</v>
      </c>
      <c r="D277" s="33">
        <v>457.60341000000017</v>
      </c>
      <c r="E277" s="33">
        <v>457.60341000000017</v>
      </c>
      <c r="F277" s="33">
        <v>457.60341000000017</v>
      </c>
      <c r="G277" s="33">
        <v>457.60341000000017</v>
      </c>
      <c r="H277" s="33">
        <v>457.60341000000017</v>
      </c>
      <c r="I277" s="33">
        <v>457.60341000000017</v>
      </c>
    </row>
    <row r="278" spans="1:9" x14ac:dyDescent="0.25">
      <c r="A278" s="1" t="s">
        <v>24</v>
      </c>
    </row>
    <row r="279" spans="1:9" x14ac:dyDescent="0.25">
      <c r="A279" s="1" t="s">
        <v>10</v>
      </c>
    </row>
    <row r="280" spans="1:9" x14ac:dyDescent="0.25">
      <c r="A280" s="1">
        <v>0.25</v>
      </c>
      <c r="B280" s="1">
        <v>200</v>
      </c>
      <c r="D280" s="1">
        <f t="shared" ref="D280:I280" si="48">+D268/(20*D244)</f>
        <v>7.9263886362156217</v>
      </c>
      <c r="E280" s="1">
        <f t="shared" si="48"/>
        <v>7.9263886362156217</v>
      </c>
      <c r="F280" s="1">
        <f t="shared" si="48"/>
        <v>7.9263886362156217</v>
      </c>
      <c r="G280" s="1">
        <f t="shared" si="48"/>
        <v>7.9263886362156217</v>
      </c>
      <c r="H280" s="1">
        <f t="shared" si="48"/>
        <v>7.9263886362156217</v>
      </c>
      <c r="I280" s="1">
        <f t="shared" si="48"/>
        <v>7.9263886362156217</v>
      </c>
    </row>
    <row r="281" spans="1:9" x14ac:dyDescent="0.25">
      <c r="A281" s="1">
        <v>0.25</v>
      </c>
      <c r="B281" s="1">
        <v>300</v>
      </c>
    </row>
    <row r="282" spans="1:9" x14ac:dyDescent="0.25">
      <c r="A282" s="1">
        <v>0.18</v>
      </c>
      <c r="B282" s="1">
        <v>200</v>
      </c>
      <c r="D282" s="1">
        <f t="shared" ref="D282:I285" si="49">+D270/(20*D246)</f>
        <v>7.8703464948848429</v>
      </c>
      <c r="E282" s="1">
        <f t="shared" si="49"/>
        <v>7.8703464948848429</v>
      </c>
      <c r="F282" s="1">
        <f t="shared" si="49"/>
        <v>7.8703464948848429</v>
      </c>
      <c r="G282" s="1">
        <f t="shared" si="49"/>
        <v>7.8703464948848429</v>
      </c>
      <c r="H282" s="1">
        <f t="shared" si="49"/>
        <v>7.8703464948848429</v>
      </c>
      <c r="I282" s="1">
        <f t="shared" si="49"/>
        <v>7.8703464948848429</v>
      </c>
    </row>
    <row r="283" spans="1:9" x14ac:dyDescent="0.25">
      <c r="A283" s="1">
        <v>0.18</v>
      </c>
      <c r="B283" s="1">
        <v>300</v>
      </c>
      <c r="D283" s="1">
        <f t="shared" si="49"/>
        <v>18.595974541094623</v>
      </c>
      <c r="E283" s="1">
        <f t="shared" si="49"/>
        <v>18.595974541094623</v>
      </c>
      <c r="F283" s="1">
        <f t="shared" si="49"/>
        <v>18.595974541094623</v>
      </c>
      <c r="G283" s="1">
        <f t="shared" si="49"/>
        <v>18.595974541094623</v>
      </c>
      <c r="H283" s="1">
        <f t="shared" si="49"/>
        <v>18.595974541094623</v>
      </c>
      <c r="I283" s="1">
        <f t="shared" si="49"/>
        <v>18.595974541094623</v>
      </c>
    </row>
    <row r="284" spans="1:9" x14ac:dyDescent="0.25">
      <c r="A284" s="1">
        <v>0.13</v>
      </c>
      <c r="B284" s="1">
        <v>200</v>
      </c>
      <c r="D284" s="1">
        <f t="shared" si="49"/>
        <v>11.418191992216713</v>
      </c>
      <c r="E284" s="1">
        <f t="shared" si="49"/>
        <v>10.951400465281623</v>
      </c>
      <c r="F284" s="1">
        <f t="shared" si="49"/>
        <v>10.503692023459037</v>
      </c>
      <c r="G284" s="1">
        <f t="shared" si="49"/>
        <v>10.503692023459037</v>
      </c>
      <c r="H284" s="1">
        <f t="shared" si="49"/>
        <v>10.503692023459037</v>
      </c>
      <c r="I284" s="1">
        <f t="shared" si="49"/>
        <v>10.503692023459037</v>
      </c>
    </row>
    <row r="285" spans="1:9" x14ac:dyDescent="0.25">
      <c r="A285" s="1">
        <v>0.13</v>
      </c>
      <c r="B285" s="1">
        <v>300</v>
      </c>
      <c r="D285" s="1">
        <f t="shared" si="49"/>
        <v>17.776636858565812</v>
      </c>
      <c r="E285" s="1">
        <f t="shared" si="49"/>
        <v>17.128978148441696</v>
      </c>
      <c r="F285" s="1">
        <f t="shared" si="49"/>
        <v>16.504915679166558</v>
      </c>
      <c r="G285" s="1">
        <f t="shared" si="49"/>
        <v>16.504915679166558</v>
      </c>
      <c r="H285" s="1">
        <f t="shared" si="49"/>
        <v>16.504915679166558</v>
      </c>
      <c r="I285" s="1">
        <f t="shared" si="49"/>
        <v>16.504915679166558</v>
      </c>
    </row>
    <row r="286" spans="1:9" x14ac:dyDescent="0.25">
      <c r="A286" s="1">
        <v>0.09</v>
      </c>
      <c r="B286" s="1">
        <v>200</v>
      </c>
      <c r="F286" s="1">
        <f t="shared" ref="F286:I287" si="50">+F274/(20*F250)</f>
        <v>14.029439999999997</v>
      </c>
      <c r="G286" s="1">
        <f t="shared" si="50"/>
        <v>13.578139075578227</v>
      </c>
      <c r="H286" s="1">
        <f t="shared" si="50"/>
        <v>13.141355660364521</v>
      </c>
      <c r="I286" s="1">
        <f t="shared" si="50"/>
        <v>12.718622753158121</v>
      </c>
    </row>
    <row r="287" spans="1:9" x14ac:dyDescent="0.25">
      <c r="A287" s="1">
        <v>0.09</v>
      </c>
      <c r="B287" s="1">
        <v>300</v>
      </c>
      <c r="F287" s="1">
        <f t="shared" si="50"/>
        <v>18.350314000000004</v>
      </c>
      <c r="G287" s="1">
        <f t="shared" si="50"/>
        <v>17.867201840364757</v>
      </c>
      <c r="H287" s="1">
        <f t="shared" si="50"/>
        <v>17.396808665199615</v>
      </c>
      <c r="I287" s="1">
        <f t="shared" si="50"/>
        <v>16.938799619414038</v>
      </c>
    </row>
    <row r="288" spans="1:9" x14ac:dyDescent="0.25">
      <c r="A288" s="1">
        <v>6.5000000000000002E-2</v>
      </c>
      <c r="B288" s="1">
        <v>200</v>
      </c>
      <c r="I288" s="1">
        <f>+I276/(20*I252)</f>
        <v>17.906085000000001</v>
      </c>
    </row>
    <row r="289" spans="1:9" x14ac:dyDescent="0.25">
      <c r="A289" s="1">
        <v>6.5000000000000002E-2</v>
      </c>
      <c r="B289" s="1">
        <v>300</v>
      </c>
      <c r="I289" s="1">
        <f>+I277/(20*I253)</f>
        <v>22.880170500000009</v>
      </c>
    </row>
    <row r="290" spans="1:9" x14ac:dyDescent="0.25">
      <c r="A290" s="1" t="s">
        <v>25</v>
      </c>
    </row>
    <row r="291" spans="1:9" x14ac:dyDescent="0.25">
      <c r="A291" s="1" t="s">
        <v>10</v>
      </c>
    </row>
    <row r="292" spans="1:9" x14ac:dyDescent="0.25">
      <c r="A292" s="1">
        <v>0.25</v>
      </c>
      <c r="B292" s="1">
        <v>200</v>
      </c>
      <c r="D292" s="32">
        <v>222.23340000000007</v>
      </c>
      <c r="E292" s="32">
        <v>222.23340000000007</v>
      </c>
      <c r="F292" s="32">
        <v>222.23340000000007</v>
      </c>
      <c r="G292" s="32">
        <v>222.23340000000007</v>
      </c>
      <c r="H292" s="32">
        <v>222.23340000000007</v>
      </c>
      <c r="I292" s="32">
        <v>222.23340000000007</v>
      </c>
    </row>
    <row r="293" spans="1:9" x14ac:dyDescent="0.25">
      <c r="A293" s="1">
        <v>0.25</v>
      </c>
      <c r="B293" s="1">
        <v>300</v>
      </c>
      <c r="D293" s="33"/>
      <c r="E293" s="33"/>
      <c r="F293" s="33"/>
      <c r="G293" s="33"/>
      <c r="H293" s="33"/>
      <c r="I293" s="33"/>
    </row>
    <row r="294" spans="1:9" x14ac:dyDescent="0.25">
      <c r="A294" s="1">
        <v>0.18</v>
      </c>
      <c r="B294" s="1">
        <v>200</v>
      </c>
      <c r="D294" s="32">
        <v>348.07980000000003</v>
      </c>
      <c r="E294" s="32">
        <v>348.07980000000003</v>
      </c>
      <c r="F294" s="32">
        <v>348.07980000000003</v>
      </c>
      <c r="G294" s="32">
        <v>348.07980000000003</v>
      </c>
      <c r="H294" s="32">
        <v>348.07980000000003</v>
      </c>
      <c r="I294" s="32">
        <v>348.07980000000003</v>
      </c>
    </row>
    <row r="295" spans="1:9" x14ac:dyDescent="0.25">
      <c r="A295" s="1">
        <v>0.18</v>
      </c>
      <c r="B295" s="1">
        <v>300</v>
      </c>
      <c r="D295" s="32"/>
      <c r="E295" s="32"/>
      <c r="F295" s="32"/>
      <c r="G295" s="32"/>
      <c r="H295" s="32"/>
      <c r="I295" s="32"/>
    </row>
    <row r="296" spans="1:9" x14ac:dyDescent="0.25">
      <c r="A296" s="1">
        <v>0.13</v>
      </c>
      <c r="B296" s="1">
        <v>200</v>
      </c>
      <c r="D296" s="32">
        <v>296.90659999999997</v>
      </c>
      <c r="E296" s="32">
        <v>296.90659999999997</v>
      </c>
      <c r="F296" s="32">
        <v>296.90659999999997</v>
      </c>
      <c r="G296" s="32">
        <v>296.90659999999997</v>
      </c>
      <c r="H296" s="32">
        <v>296.90659999999997</v>
      </c>
      <c r="I296" s="32">
        <v>296.90659999999997</v>
      </c>
    </row>
    <row r="297" spans="1:9" x14ac:dyDescent="0.25">
      <c r="A297" s="1">
        <v>0.13</v>
      </c>
      <c r="B297" s="1">
        <v>300</v>
      </c>
      <c r="D297" s="32">
        <v>753.73157500000025</v>
      </c>
      <c r="E297" s="32">
        <v>753.73157500000025</v>
      </c>
      <c r="F297" s="32">
        <v>753.73157500000025</v>
      </c>
      <c r="G297" s="32">
        <v>753.73157500000025</v>
      </c>
      <c r="H297" s="32">
        <v>753.73157500000025</v>
      </c>
      <c r="I297" s="32">
        <v>753.73157500000025</v>
      </c>
    </row>
    <row r="298" spans="1:9" x14ac:dyDescent="0.25">
      <c r="A298" s="1">
        <v>0.09</v>
      </c>
      <c r="B298" s="1">
        <v>200</v>
      </c>
      <c r="D298" s="32">
        <v>541.8922</v>
      </c>
      <c r="E298" s="32">
        <v>541.8922</v>
      </c>
      <c r="F298" s="32">
        <v>541.8922</v>
      </c>
      <c r="G298" s="32">
        <v>541.8922</v>
      </c>
      <c r="H298" s="32">
        <v>541.8922</v>
      </c>
      <c r="I298" s="32">
        <v>541.8922</v>
      </c>
    </row>
    <row r="299" spans="1:9" x14ac:dyDescent="0.25">
      <c r="A299" s="1">
        <v>0.09</v>
      </c>
      <c r="B299" s="1">
        <v>300</v>
      </c>
      <c r="D299" s="32">
        <v>765.89274000000023</v>
      </c>
      <c r="E299" s="32">
        <v>765.89274000000023</v>
      </c>
      <c r="F299" s="32">
        <v>765.89274000000023</v>
      </c>
      <c r="G299" s="32">
        <v>765.89274000000023</v>
      </c>
      <c r="H299" s="32">
        <v>765.89274000000023</v>
      </c>
      <c r="I299" s="32">
        <v>765.89274000000023</v>
      </c>
    </row>
    <row r="300" spans="1:9" x14ac:dyDescent="0.25">
      <c r="A300" s="1">
        <v>6.5000000000000002E-2</v>
      </c>
      <c r="B300" s="1">
        <v>200</v>
      </c>
      <c r="D300" s="32">
        <v>581.06370000000015</v>
      </c>
      <c r="E300" s="32">
        <v>581.06370000000015</v>
      </c>
      <c r="F300" s="32">
        <v>581.06370000000015</v>
      </c>
      <c r="G300" s="32">
        <v>581.06370000000015</v>
      </c>
      <c r="H300" s="32">
        <v>581.06370000000015</v>
      </c>
      <c r="I300" s="32">
        <v>581.06370000000015</v>
      </c>
    </row>
    <row r="301" spans="1:9" x14ac:dyDescent="0.25">
      <c r="A301" s="1">
        <v>6.5000000000000002E-2</v>
      </c>
      <c r="B301" s="1">
        <v>300</v>
      </c>
      <c r="D301" s="33">
        <v>741.57041000000027</v>
      </c>
      <c r="E301" s="33">
        <v>741.57041000000027</v>
      </c>
      <c r="F301" s="33">
        <v>741.57041000000027</v>
      </c>
      <c r="G301" s="33">
        <v>741.57041000000027</v>
      </c>
      <c r="H301" s="33">
        <v>741.57041000000027</v>
      </c>
      <c r="I301" s="33">
        <v>741.57041000000027</v>
      </c>
    </row>
    <row r="302" spans="1:9" x14ac:dyDescent="0.25">
      <c r="D302" s="33"/>
      <c r="E302" s="33"/>
      <c r="F302" s="33"/>
      <c r="G302" s="33"/>
      <c r="H302" s="33"/>
      <c r="I302" s="33"/>
    </row>
    <row r="303" spans="1:9" x14ac:dyDescent="0.25">
      <c r="A303" s="1" t="s">
        <v>26</v>
      </c>
      <c r="D303" s="1" t="s">
        <v>180</v>
      </c>
    </row>
    <row r="304" spans="1:9" x14ac:dyDescent="0.25">
      <c r="A304" s="1" t="s">
        <v>10</v>
      </c>
    </row>
    <row r="305" spans="1:12" x14ac:dyDescent="0.25">
      <c r="A305" s="1">
        <v>0.25</v>
      </c>
      <c r="B305" s="1">
        <v>200</v>
      </c>
      <c r="D305" s="1">
        <f t="shared" ref="D305:I305" si="51">+D292/(20*D244)</f>
        <v>10.337854010983726</v>
      </c>
      <c r="E305" s="1">
        <f t="shared" si="51"/>
        <v>10.337854010983726</v>
      </c>
      <c r="F305" s="1">
        <f t="shared" si="51"/>
        <v>10.337854010983726</v>
      </c>
      <c r="G305" s="1">
        <f t="shared" si="51"/>
        <v>10.337854010983726</v>
      </c>
      <c r="H305" s="1">
        <f t="shared" si="51"/>
        <v>10.337854010983726</v>
      </c>
      <c r="I305" s="1">
        <f t="shared" si="51"/>
        <v>10.337854010983726</v>
      </c>
    </row>
    <row r="306" spans="1:12" x14ac:dyDescent="0.25">
      <c r="A306" s="1">
        <v>0.25</v>
      </c>
      <c r="B306" s="1">
        <v>300</v>
      </c>
    </row>
    <row r="307" spans="1:12" x14ac:dyDescent="0.25">
      <c r="A307" s="1">
        <v>0.18</v>
      </c>
      <c r="B307" s="1">
        <v>200</v>
      </c>
      <c r="D307" s="1">
        <f t="shared" ref="D307:I307" si="52">+D294/(20*D246)</f>
        <v>16.625451418697988</v>
      </c>
      <c r="E307" s="1">
        <f t="shared" si="52"/>
        <v>16.625451418697988</v>
      </c>
      <c r="F307" s="1">
        <f t="shared" si="52"/>
        <v>16.625451418697988</v>
      </c>
      <c r="G307" s="1">
        <f t="shared" si="52"/>
        <v>16.625451418697988</v>
      </c>
      <c r="H307" s="1">
        <f t="shared" si="52"/>
        <v>16.625451418697988</v>
      </c>
      <c r="I307" s="1">
        <f t="shared" si="52"/>
        <v>16.625451418697988</v>
      </c>
    </row>
    <row r="308" spans="1:12" x14ac:dyDescent="0.25">
      <c r="A308" s="1">
        <v>0.18</v>
      </c>
      <c r="B308" s="1">
        <v>300</v>
      </c>
    </row>
    <row r="309" spans="1:12" x14ac:dyDescent="0.25">
      <c r="A309" s="1">
        <v>0.13</v>
      </c>
      <c r="B309" s="1">
        <v>200</v>
      </c>
      <c r="D309" s="1">
        <f t="shared" ref="D309:I310" si="53">+D296/(20*D248)</f>
        <v>14.238432317487831</v>
      </c>
      <c r="E309" s="1">
        <f t="shared" si="53"/>
        <v>13.65634545407087</v>
      </c>
      <c r="F309" s="1">
        <f t="shared" si="53"/>
        <v>13.098055109049156</v>
      </c>
      <c r="G309" s="1">
        <f t="shared" si="53"/>
        <v>13.098055109049156</v>
      </c>
      <c r="H309" s="1">
        <f t="shared" si="53"/>
        <v>13.098055109049156</v>
      </c>
      <c r="I309" s="1">
        <f t="shared" si="53"/>
        <v>13.098055109049156</v>
      </c>
    </row>
    <row r="310" spans="1:12" x14ac:dyDescent="0.25">
      <c r="A310" s="1">
        <v>0.13</v>
      </c>
      <c r="B310" s="1">
        <v>300</v>
      </c>
      <c r="D310" s="1">
        <f t="shared" si="53"/>
        <v>36.313538327539284</v>
      </c>
      <c r="E310" s="1">
        <f t="shared" si="53"/>
        <v>34.990522079844261</v>
      </c>
      <c r="F310" s="1">
        <f t="shared" si="53"/>
        <v>33.715707469122115</v>
      </c>
      <c r="G310" s="1">
        <f t="shared" si="53"/>
        <v>33.715707469122115</v>
      </c>
      <c r="H310" s="1">
        <f t="shared" si="53"/>
        <v>33.715707469122115</v>
      </c>
      <c r="I310" s="1">
        <f t="shared" si="53"/>
        <v>33.715707469122115</v>
      </c>
    </row>
    <row r="311" spans="1:12" x14ac:dyDescent="0.25">
      <c r="A311" s="1">
        <v>0.09</v>
      </c>
      <c r="B311" s="1">
        <v>200</v>
      </c>
      <c r="F311" s="1">
        <f t="shared" ref="F311:I312" si="54">+F298/(20*F250)</f>
        <v>27.094609999999999</v>
      </c>
      <c r="G311" s="1">
        <f t="shared" si="54"/>
        <v>26.223026919004084</v>
      </c>
      <c r="H311" s="1">
        <f t="shared" si="54"/>
        <v>25.379481040502633</v>
      </c>
      <c r="I311" s="1">
        <f t="shared" si="54"/>
        <v>24.563070459971719</v>
      </c>
    </row>
    <row r="312" spans="1:12" x14ac:dyDescent="0.25">
      <c r="A312" s="1">
        <v>0.09</v>
      </c>
      <c r="B312" s="1">
        <v>300</v>
      </c>
      <c r="F312" s="1">
        <f t="shared" si="54"/>
        <v>38.294637000000009</v>
      </c>
      <c r="G312" s="1">
        <f t="shared" si="54"/>
        <v>37.286446906712357</v>
      </c>
      <c r="H312" s="1">
        <f t="shared" si="54"/>
        <v>36.304799623171242</v>
      </c>
      <c r="I312" s="1">
        <f t="shared" si="54"/>
        <v>35.348996351844377</v>
      </c>
    </row>
    <row r="313" spans="1:12" x14ac:dyDescent="0.25">
      <c r="A313" s="1">
        <v>6.5000000000000002E-2</v>
      </c>
      <c r="B313" s="1">
        <v>200</v>
      </c>
      <c r="I313" s="1">
        <f>+I300/(20*I252)</f>
        <v>29.053185000000006</v>
      </c>
    </row>
    <row r="314" spans="1:12" x14ac:dyDescent="0.25">
      <c r="A314" s="1">
        <v>6.5000000000000002E-2</v>
      </c>
      <c r="B314" s="1">
        <v>300</v>
      </c>
      <c r="I314" s="1">
        <f>+I301/(20*I253)</f>
        <v>37.07852050000001</v>
      </c>
    </row>
    <row r="315" spans="1:12" x14ac:dyDescent="0.25">
      <c r="A315" s="1" t="s">
        <v>27</v>
      </c>
      <c r="L315" s="1" t="s">
        <v>30</v>
      </c>
    </row>
    <row r="316" spans="1:12" x14ac:dyDescent="0.25">
      <c r="A316" s="1">
        <v>0.25</v>
      </c>
      <c r="B316" s="1">
        <v>200</v>
      </c>
    </row>
    <row r="317" spans="1:12" x14ac:dyDescent="0.25">
      <c r="A317" s="1">
        <v>0.25</v>
      </c>
      <c r="B317" s="1">
        <v>300</v>
      </c>
    </row>
    <row r="318" spans="1:12" x14ac:dyDescent="0.25">
      <c r="A318" s="1">
        <v>0.18</v>
      </c>
      <c r="B318" s="1">
        <v>200</v>
      </c>
      <c r="D318" s="34">
        <v>1</v>
      </c>
      <c r="E318" s="34">
        <v>1</v>
      </c>
      <c r="F318" s="34">
        <v>1</v>
      </c>
      <c r="G318" s="34">
        <v>1</v>
      </c>
      <c r="H318" s="34">
        <v>1</v>
      </c>
      <c r="I318" s="34">
        <v>1</v>
      </c>
    </row>
    <row r="319" spans="1:12" x14ac:dyDescent="0.25">
      <c r="A319" s="1">
        <v>0.18</v>
      </c>
      <c r="B319" s="1">
        <v>300</v>
      </c>
    </row>
    <row r="320" spans="1:12" x14ac:dyDescent="0.25">
      <c r="A320" s="1">
        <v>0.13</v>
      </c>
      <c r="B320" s="1">
        <v>200</v>
      </c>
      <c r="D320" s="34">
        <v>1</v>
      </c>
      <c r="E320" s="34">
        <v>1</v>
      </c>
      <c r="F320" s="34">
        <v>1</v>
      </c>
      <c r="G320" s="34">
        <v>1</v>
      </c>
      <c r="H320" s="34">
        <v>1</v>
      </c>
      <c r="I320" s="34">
        <v>1</v>
      </c>
    </row>
    <row r="321" spans="1:9" x14ac:dyDescent="0.25">
      <c r="A321" s="1">
        <v>0.13</v>
      </c>
      <c r="B321" s="1">
        <v>300</v>
      </c>
    </row>
    <row r="322" spans="1:9" x14ac:dyDescent="0.25">
      <c r="A322" s="1">
        <v>0.09</v>
      </c>
      <c r="B322" s="1">
        <v>200</v>
      </c>
      <c r="F322" s="34">
        <v>1</v>
      </c>
      <c r="G322" s="34">
        <v>1</v>
      </c>
      <c r="H322" s="34">
        <v>1</v>
      </c>
      <c r="I322" s="34">
        <v>1</v>
      </c>
    </row>
    <row r="323" spans="1:9" x14ac:dyDescent="0.25">
      <c r="A323" s="1">
        <v>0.09</v>
      </c>
      <c r="B323" s="1">
        <v>300</v>
      </c>
      <c r="F323" s="34">
        <v>1</v>
      </c>
      <c r="G323" s="34">
        <v>1</v>
      </c>
      <c r="H323" s="34">
        <v>1</v>
      </c>
      <c r="I323" s="34">
        <v>1</v>
      </c>
    </row>
    <row r="324" spans="1:9" x14ac:dyDescent="0.25">
      <c r="A324" s="1">
        <v>6.5000000000000002E-2</v>
      </c>
      <c r="B324" s="1">
        <v>200</v>
      </c>
    </row>
    <row r="325" spans="1:9" x14ac:dyDescent="0.25">
      <c r="A325" s="1">
        <v>6.5000000000000002E-2</v>
      </c>
      <c r="B325" s="1">
        <v>300</v>
      </c>
    </row>
    <row r="326" spans="1:9" x14ac:dyDescent="0.25">
      <c r="A326" s="1" t="s">
        <v>28</v>
      </c>
    </row>
    <row r="327" spans="1:9" x14ac:dyDescent="0.25">
      <c r="A327" s="1">
        <v>0.25</v>
      </c>
      <c r="B327" s="1">
        <v>200</v>
      </c>
    </row>
    <row r="328" spans="1:9" x14ac:dyDescent="0.25">
      <c r="A328" s="1">
        <v>0.25</v>
      </c>
      <c r="B328" s="1">
        <v>300</v>
      </c>
    </row>
    <row r="329" spans="1:9" x14ac:dyDescent="0.25">
      <c r="A329" s="1">
        <v>0.18</v>
      </c>
      <c r="B329" s="1">
        <v>200</v>
      </c>
    </row>
    <row r="330" spans="1:9" x14ac:dyDescent="0.25">
      <c r="A330" s="1">
        <v>0.18</v>
      </c>
      <c r="B330" s="1">
        <v>300</v>
      </c>
    </row>
    <row r="331" spans="1:9" x14ac:dyDescent="0.25">
      <c r="A331" s="1">
        <v>0.13</v>
      </c>
      <c r="B331" s="1">
        <v>200</v>
      </c>
      <c r="E331" s="34">
        <v>1</v>
      </c>
      <c r="F331" s="34"/>
      <c r="G331" s="34"/>
      <c r="H331" s="34"/>
      <c r="I331" s="34"/>
    </row>
    <row r="332" spans="1:9" x14ac:dyDescent="0.25">
      <c r="A332" s="1">
        <v>0.13</v>
      </c>
      <c r="B332" s="1">
        <v>300</v>
      </c>
    </row>
    <row r="333" spans="1:9" x14ac:dyDescent="0.25">
      <c r="A333" s="1">
        <v>0.09</v>
      </c>
      <c r="B333" s="1">
        <v>200</v>
      </c>
      <c r="G333" s="34">
        <v>1</v>
      </c>
      <c r="H333" s="34"/>
      <c r="I333" s="34"/>
    </row>
    <row r="334" spans="1:9" x14ac:dyDescent="0.25">
      <c r="A334" s="1">
        <v>0.09</v>
      </c>
      <c r="B334" s="1">
        <v>300</v>
      </c>
    </row>
    <row r="335" spans="1:9" x14ac:dyDescent="0.25">
      <c r="A335" s="1">
        <v>6.5000000000000002E-2</v>
      </c>
      <c r="B335" s="1">
        <v>200</v>
      </c>
      <c r="I335" s="34">
        <v>1</v>
      </c>
    </row>
    <row r="336" spans="1:9" x14ac:dyDescent="0.25">
      <c r="A336" s="1">
        <v>6.5000000000000002E-2</v>
      </c>
      <c r="B336" s="1">
        <v>300</v>
      </c>
    </row>
    <row r="337" spans="1:9" x14ac:dyDescent="0.25">
      <c r="A337" s="1" t="s">
        <v>29</v>
      </c>
    </row>
    <row r="338" spans="1:9" x14ac:dyDescent="0.25">
      <c r="A338" s="1">
        <v>0.25</v>
      </c>
      <c r="B338" s="1">
        <v>200</v>
      </c>
      <c r="D338" s="34">
        <v>1</v>
      </c>
      <c r="E338" s="34">
        <v>1</v>
      </c>
      <c r="F338" s="34">
        <v>1</v>
      </c>
      <c r="G338" s="34">
        <v>1</v>
      </c>
      <c r="H338" s="34">
        <v>1</v>
      </c>
      <c r="I338" s="34">
        <v>1</v>
      </c>
    </row>
    <row r="339" spans="1:9" x14ac:dyDescent="0.25">
      <c r="A339" s="1">
        <v>0.25</v>
      </c>
      <c r="B339" s="1">
        <v>300</v>
      </c>
    </row>
    <row r="340" spans="1:9" x14ac:dyDescent="0.25">
      <c r="A340" s="1">
        <v>0.18</v>
      </c>
      <c r="B340" s="1">
        <v>200</v>
      </c>
      <c r="D340" s="34">
        <v>1</v>
      </c>
      <c r="E340" s="34">
        <v>1</v>
      </c>
      <c r="F340" s="34">
        <v>1</v>
      </c>
      <c r="G340" s="34">
        <v>1</v>
      </c>
      <c r="H340" s="34">
        <v>1</v>
      </c>
      <c r="I340" s="34">
        <v>1</v>
      </c>
    </row>
    <row r="341" spans="1:9" x14ac:dyDescent="0.25">
      <c r="A341" s="1">
        <v>0.18</v>
      </c>
      <c r="B341" s="1">
        <v>300</v>
      </c>
    </row>
    <row r="342" spans="1:9" x14ac:dyDescent="0.25">
      <c r="A342" s="1">
        <v>0.13</v>
      </c>
      <c r="B342" s="1">
        <v>200</v>
      </c>
      <c r="D342" s="34">
        <v>1</v>
      </c>
      <c r="E342" s="34">
        <v>1</v>
      </c>
      <c r="F342" s="34">
        <v>1</v>
      </c>
      <c r="G342" s="34">
        <v>1</v>
      </c>
      <c r="H342" s="34">
        <v>1</v>
      </c>
      <c r="I342" s="34">
        <v>1</v>
      </c>
    </row>
    <row r="343" spans="1:9" x14ac:dyDescent="0.25">
      <c r="A343" s="1">
        <v>0.13</v>
      </c>
      <c r="B343" s="1">
        <v>300</v>
      </c>
      <c r="D343" s="34">
        <v>1</v>
      </c>
      <c r="E343" s="34">
        <v>1</v>
      </c>
      <c r="F343" s="34">
        <v>1</v>
      </c>
      <c r="G343" s="34">
        <v>1</v>
      </c>
      <c r="H343" s="34">
        <v>1</v>
      </c>
      <c r="I343" s="34">
        <v>1</v>
      </c>
    </row>
    <row r="344" spans="1:9" x14ac:dyDescent="0.25">
      <c r="A344" s="1">
        <v>0.09</v>
      </c>
      <c r="B344" s="1">
        <v>200</v>
      </c>
      <c r="F344" s="34">
        <v>1</v>
      </c>
      <c r="G344" s="34">
        <v>1</v>
      </c>
      <c r="H344" s="34">
        <v>1</v>
      </c>
      <c r="I344" s="34">
        <v>1</v>
      </c>
    </row>
    <row r="345" spans="1:9" x14ac:dyDescent="0.25">
      <c r="A345" s="1">
        <v>0.09</v>
      </c>
      <c r="B345" s="1">
        <v>300</v>
      </c>
      <c r="F345" s="34">
        <v>1</v>
      </c>
      <c r="G345" s="34">
        <v>1</v>
      </c>
      <c r="H345" s="34">
        <v>1</v>
      </c>
      <c r="I345" s="34">
        <v>1</v>
      </c>
    </row>
    <row r="346" spans="1:9" x14ac:dyDescent="0.25">
      <c r="A346" s="1">
        <v>6.5000000000000002E-2</v>
      </c>
      <c r="B346" s="1">
        <v>200</v>
      </c>
    </row>
    <row r="347" spans="1:9" x14ac:dyDescent="0.25">
      <c r="A347" s="1">
        <v>6.5000000000000002E-2</v>
      </c>
      <c r="B347" s="1">
        <v>300</v>
      </c>
      <c r="I347" s="34">
        <v>1</v>
      </c>
    </row>
    <row r="348" spans="1:9" x14ac:dyDescent="0.25">
      <c r="A348" s="1" t="s">
        <v>59</v>
      </c>
      <c r="D348" s="1" t="s">
        <v>166</v>
      </c>
    </row>
    <row r="349" spans="1:9" x14ac:dyDescent="0.25">
      <c r="A349" s="1">
        <v>0.25</v>
      </c>
      <c r="B349" s="1">
        <v>200</v>
      </c>
      <c r="C349" s="4">
        <v>259.30799999999999</v>
      </c>
      <c r="D349" s="1">
        <f t="shared" ref="D349:I354" si="55">+$C349/D244</f>
        <v>241.24980744390058</v>
      </c>
      <c r="E349" s="1">
        <f t="shared" si="55"/>
        <v>241.24980744390058</v>
      </c>
      <c r="F349" s="1">
        <f t="shared" si="55"/>
        <v>241.24980744390058</v>
      </c>
      <c r="G349" s="1">
        <f t="shared" si="55"/>
        <v>241.24980744390058</v>
      </c>
      <c r="H349" s="1">
        <f t="shared" si="55"/>
        <v>241.24980744390058</v>
      </c>
      <c r="I349" s="1">
        <f t="shared" si="55"/>
        <v>241.24980744390058</v>
      </c>
    </row>
    <row r="350" spans="1:9" x14ac:dyDescent="0.25">
      <c r="A350" s="1">
        <v>0.25</v>
      </c>
      <c r="B350" s="1">
        <v>300</v>
      </c>
      <c r="C350" s="4">
        <v>293.21631047047975</v>
      </c>
      <c r="D350" s="1">
        <f t="shared" si="55"/>
        <v>268.7754472680503</v>
      </c>
      <c r="E350" s="1">
        <f t="shared" si="55"/>
        <v>268.7754472680503</v>
      </c>
      <c r="F350" s="1">
        <f t="shared" si="55"/>
        <v>268.7754472680503</v>
      </c>
      <c r="G350" s="1">
        <f t="shared" si="55"/>
        <v>268.7754472680503</v>
      </c>
      <c r="H350" s="1">
        <f t="shared" si="55"/>
        <v>268.7754472680503</v>
      </c>
      <c r="I350" s="1">
        <f t="shared" si="55"/>
        <v>268.7754472680503</v>
      </c>
    </row>
    <row r="351" spans="1:9" x14ac:dyDescent="0.25">
      <c r="A351" s="1">
        <v>0.18</v>
      </c>
      <c r="B351" s="1">
        <v>200</v>
      </c>
      <c r="C351" s="4">
        <v>286.10399999999998</v>
      </c>
      <c r="D351" s="1">
        <f t="shared" si="55"/>
        <v>273.30561283333122</v>
      </c>
      <c r="E351" s="1">
        <f t="shared" si="55"/>
        <v>273.30561283333122</v>
      </c>
      <c r="F351" s="1">
        <f t="shared" si="55"/>
        <v>273.30561283333122</v>
      </c>
      <c r="G351" s="1">
        <f t="shared" si="55"/>
        <v>273.30561283333122</v>
      </c>
      <c r="H351" s="1">
        <f t="shared" si="55"/>
        <v>273.30561283333122</v>
      </c>
      <c r="I351" s="1">
        <f t="shared" si="55"/>
        <v>273.30561283333122</v>
      </c>
    </row>
    <row r="352" spans="1:9" x14ac:dyDescent="0.25">
      <c r="A352" s="1">
        <v>0.18</v>
      </c>
      <c r="B352" s="1">
        <v>300</v>
      </c>
      <c r="C352" s="4">
        <v>320.12400000000002</v>
      </c>
      <c r="D352" s="1">
        <f t="shared" si="55"/>
        <v>299.25053893681894</v>
      </c>
      <c r="E352" s="1">
        <f t="shared" si="55"/>
        <v>299.25053893681894</v>
      </c>
      <c r="F352" s="1">
        <f t="shared" si="55"/>
        <v>299.25053893681894</v>
      </c>
      <c r="G352" s="1">
        <f t="shared" si="55"/>
        <v>299.25053893681894</v>
      </c>
      <c r="H352" s="1">
        <f t="shared" si="55"/>
        <v>299.25053893681894</v>
      </c>
      <c r="I352" s="1">
        <f t="shared" si="55"/>
        <v>299.25053893681894</v>
      </c>
    </row>
    <row r="353" spans="1:9" x14ac:dyDescent="0.25">
      <c r="A353" s="1">
        <v>0.13</v>
      </c>
      <c r="B353" s="1">
        <v>200</v>
      </c>
      <c r="C353" s="4">
        <v>316.84800000000001</v>
      </c>
      <c r="D353" s="1">
        <f t="shared" si="55"/>
        <v>303.8948142568326</v>
      </c>
      <c r="E353" s="1">
        <f t="shared" si="55"/>
        <v>291.47117271434502</v>
      </c>
      <c r="F353" s="1">
        <f t="shared" si="55"/>
        <v>279.55542687107715</v>
      </c>
      <c r="G353" s="1">
        <f t="shared" si="55"/>
        <v>279.55542687107715</v>
      </c>
      <c r="H353" s="1">
        <f t="shared" si="55"/>
        <v>279.55542687107715</v>
      </c>
      <c r="I353" s="1">
        <f t="shared" si="55"/>
        <v>279.55542687107715</v>
      </c>
    </row>
    <row r="354" spans="1:9" x14ac:dyDescent="0.25">
      <c r="A354" s="1">
        <v>0.13</v>
      </c>
      <c r="B354" s="1">
        <v>300</v>
      </c>
      <c r="C354" s="4">
        <v>361.36799999999999</v>
      </c>
      <c r="D354" s="1">
        <f t="shared" si="55"/>
        <v>348.20222884642226</v>
      </c>
      <c r="E354" s="1">
        <f t="shared" si="55"/>
        <v>335.51612808443525</v>
      </c>
      <c r="F354" s="1">
        <f t="shared" si="55"/>
        <v>323.29222181521897</v>
      </c>
      <c r="G354" s="1">
        <f t="shared" si="55"/>
        <v>323.29222181521897</v>
      </c>
      <c r="H354" s="1">
        <f t="shared" si="55"/>
        <v>323.29222181521897</v>
      </c>
      <c r="I354" s="1">
        <f t="shared" si="55"/>
        <v>323.29222181521897</v>
      </c>
    </row>
    <row r="355" spans="1:9" x14ac:dyDescent="0.25">
      <c r="A355" s="1">
        <v>0.09</v>
      </c>
      <c r="B355" s="1">
        <v>200</v>
      </c>
      <c r="C355" s="4">
        <v>367.24799999999999</v>
      </c>
      <c r="F355" s="1">
        <f t="shared" ref="F355:I356" si="56">+$C355/F250</f>
        <v>367.24799999999999</v>
      </c>
      <c r="G355" s="1">
        <f t="shared" si="56"/>
        <v>355.43431663900725</v>
      </c>
      <c r="H355" s="1">
        <f t="shared" si="56"/>
        <v>344.00065744303055</v>
      </c>
      <c r="I355" s="1">
        <f t="shared" si="56"/>
        <v>332.93479774330365</v>
      </c>
    </row>
    <row r="356" spans="1:9" x14ac:dyDescent="0.25">
      <c r="A356" s="1">
        <v>0.09</v>
      </c>
      <c r="B356" s="1">
        <v>300</v>
      </c>
      <c r="C356" s="4">
        <v>407.82</v>
      </c>
      <c r="F356" s="1">
        <f t="shared" si="56"/>
        <v>407.82</v>
      </c>
      <c r="G356" s="1">
        <f t="shared" si="56"/>
        <v>397.08324634322634</v>
      </c>
      <c r="H356" s="1">
        <f t="shared" si="56"/>
        <v>386.62916121444601</v>
      </c>
      <c r="I356" s="1">
        <f t="shared" si="56"/>
        <v>376.45030274628715</v>
      </c>
    </row>
    <row r="357" spans="1:9" x14ac:dyDescent="0.25">
      <c r="A357" s="1">
        <v>6.5000000000000002E-2</v>
      </c>
      <c r="B357" s="1">
        <v>200</v>
      </c>
      <c r="C357" s="4">
        <v>377.74799999999999</v>
      </c>
      <c r="I357" s="1">
        <f>+$C357/I252</f>
        <v>377.74799999999999</v>
      </c>
    </row>
    <row r="358" spans="1:9" x14ac:dyDescent="0.25">
      <c r="A358" s="1">
        <v>6.5000000000000002E-2</v>
      </c>
      <c r="B358" s="1">
        <v>300</v>
      </c>
      <c r="C358" s="4">
        <v>415.12799999999999</v>
      </c>
      <c r="I358" s="1">
        <f>+$C358/I253</f>
        <v>415.12799999999999</v>
      </c>
    </row>
    <row r="359" spans="1:9" x14ac:dyDescent="0.25">
      <c r="A359" s="1" t="s">
        <v>60</v>
      </c>
    </row>
    <row r="360" spans="1:9" x14ac:dyDescent="0.25">
      <c r="A360" s="1">
        <v>0.25</v>
      </c>
      <c r="B360" s="1">
        <v>200</v>
      </c>
      <c r="C360" s="1">
        <v>55.103999999999999</v>
      </c>
      <c r="D360" s="1">
        <f t="shared" ref="D360:I360" si="57">+$C360/D244</f>
        <v>51.266560959895948</v>
      </c>
      <c r="E360" s="1">
        <f t="shared" si="57"/>
        <v>51.266560959895948</v>
      </c>
      <c r="F360" s="1">
        <f t="shared" si="57"/>
        <v>51.266560959895948</v>
      </c>
      <c r="G360" s="1">
        <f t="shared" si="57"/>
        <v>51.266560959895948</v>
      </c>
      <c r="H360" s="1">
        <f t="shared" si="57"/>
        <v>51.266560959895948</v>
      </c>
      <c r="I360" s="1">
        <f t="shared" si="57"/>
        <v>51.266560959895948</v>
      </c>
    </row>
    <row r="361" spans="1:9" x14ac:dyDescent="0.25">
      <c r="A361" s="1">
        <v>0.25</v>
      </c>
      <c r="B361" s="1">
        <v>300</v>
      </c>
    </row>
    <row r="362" spans="1:9" x14ac:dyDescent="0.25">
      <c r="A362" s="1">
        <v>0.18</v>
      </c>
      <c r="B362" s="1">
        <v>200</v>
      </c>
      <c r="C362" s="1">
        <v>46.914000000000001</v>
      </c>
      <c r="D362" s="1">
        <f t="shared" ref="D362:I365" si="58">+$C362/D246</f>
        <v>44.81538014310496</v>
      </c>
      <c r="E362" s="1">
        <f t="shared" si="58"/>
        <v>44.81538014310496</v>
      </c>
      <c r="F362" s="1">
        <f t="shared" si="58"/>
        <v>44.81538014310496</v>
      </c>
      <c r="G362" s="1">
        <f t="shared" si="58"/>
        <v>44.81538014310496</v>
      </c>
      <c r="H362" s="1">
        <f t="shared" si="58"/>
        <v>44.81538014310496</v>
      </c>
      <c r="I362" s="1">
        <f t="shared" si="58"/>
        <v>44.81538014310496</v>
      </c>
    </row>
    <row r="363" spans="1:9" x14ac:dyDescent="0.25">
      <c r="A363" s="1">
        <v>0.18</v>
      </c>
      <c r="B363" s="1">
        <v>300</v>
      </c>
      <c r="C363" s="1">
        <v>50.768614921586703</v>
      </c>
      <c r="D363" s="1">
        <f t="shared" si="58"/>
        <v>47.458282966477512</v>
      </c>
      <c r="E363" s="1">
        <f t="shared" si="58"/>
        <v>47.458282966477512</v>
      </c>
      <c r="F363" s="1">
        <f t="shared" si="58"/>
        <v>47.458282966477512</v>
      </c>
      <c r="G363" s="1">
        <f t="shared" si="58"/>
        <v>47.458282966477512</v>
      </c>
      <c r="H363" s="1">
        <f t="shared" si="58"/>
        <v>47.458282966477512</v>
      </c>
      <c r="I363" s="1">
        <f t="shared" si="58"/>
        <v>47.458282966477512</v>
      </c>
    </row>
    <row r="364" spans="1:9" x14ac:dyDescent="0.25">
      <c r="A364" s="1">
        <v>0.13</v>
      </c>
      <c r="B364" s="1">
        <v>200</v>
      </c>
      <c r="C364" s="1">
        <v>44.141999999999996</v>
      </c>
      <c r="D364" s="1">
        <f t="shared" si="58"/>
        <v>42.337413810171135</v>
      </c>
      <c r="E364" s="1">
        <f t="shared" si="58"/>
        <v>40.606601606942817</v>
      </c>
      <c r="F364" s="1">
        <f t="shared" si="58"/>
        <v>38.946547407410137</v>
      </c>
      <c r="G364" s="1">
        <f t="shared" si="58"/>
        <v>38.946547407410137</v>
      </c>
      <c r="H364" s="1">
        <f t="shared" si="58"/>
        <v>38.946547407410137</v>
      </c>
      <c r="I364" s="1">
        <f t="shared" si="58"/>
        <v>38.946547407410137</v>
      </c>
    </row>
    <row r="365" spans="1:9" x14ac:dyDescent="0.25">
      <c r="A365" s="1">
        <v>0.13</v>
      </c>
      <c r="B365" s="1">
        <v>300</v>
      </c>
      <c r="C365" s="1">
        <v>54.69784476476012</v>
      </c>
      <c r="D365" s="1">
        <f t="shared" si="58"/>
        <v>52.705030495741411</v>
      </c>
      <c r="E365" s="1">
        <f t="shared" si="58"/>
        <v>50.78482070918237</v>
      </c>
      <c r="F365" s="1">
        <f t="shared" si="58"/>
        <v>48.934570195765097</v>
      </c>
      <c r="G365" s="1">
        <f t="shared" si="58"/>
        <v>48.934570195765097</v>
      </c>
      <c r="H365" s="1">
        <f t="shared" si="58"/>
        <v>48.934570195765097</v>
      </c>
      <c r="I365" s="1">
        <f t="shared" si="58"/>
        <v>48.934570195765097</v>
      </c>
    </row>
    <row r="366" spans="1:9" x14ac:dyDescent="0.25">
      <c r="A366" s="1">
        <v>0.09</v>
      </c>
      <c r="B366" s="1">
        <v>200</v>
      </c>
      <c r="C366" s="1">
        <v>65.772000000000006</v>
      </c>
      <c r="F366" s="1">
        <f t="shared" ref="F366:I367" si="59">+$C366/F250</f>
        <v>65.772000000000006</v>
      </c>
      <c r="G366" s="1">
        <f t="shared" si="59"/>
        <v>63.656237403555053</v>
      </c>
      <c r="H366" s="1">
        <f t="shared" si="59"/>
        <v>61.608534944623273</v>
      </c>
      <c r="I366" s="1">
        <f t="shared" si="59"/>
        <v>59.62670325549103</v>
      </c>
    </row>
    <row r="367" spans="1:9" x14ac:dyDescent="0.25">
      <c r="A367" s="1">
        <v>0.09</v>
      </c>
      <c r="B367" s="1">
        <v>300</v>
      </c>
      <c r="C367" s="1">
        <v>67.073999999999984</v>
      </c>
      <c r="F367" s="1">
        <f t="shared" si="59"/>
        <v>67.073999999999984</v>
      </c>
      <c r="G367" s="1">
        <f t="shared" si="59"/>
        <v>65.30813021731538</v>
      </c>
      <c r="H367" s="1">
        <f t="shared" si="59"/>
        <v>63.588750819718861</v>
      </c>
      <c r="I367" s="1">
        <f t="shared" si="59"/>
        <v>61.914637846119511</v>
      </c>
    </row>
    <row r="368" spans="1:9" x14ac:dyDescent="0.25">
      <c r="A368" s="1">
        <v>6.5000000000000002E-2</v>
      </c>
      <c r="B368" s="1">
        <v>200</v>
      </c>
      <c r="C368" s="1">
        <v>35.700000000000003</v>
      </c>
      <c r="I368" s="1">
        <f>+$C368/I252</f>
        <v>35.700000000000003</v>
      </c>
    </row>
    <row r="369" spans="1:9" x14ac:dyDescent="0.25">
      <c r="A369" s="1">
        <v>6.5000000000000002E-2</v>
      </c>
      <c r="B369" s="1">
        <v>300</v>
      </c>
      <c r="C369" s="1">
        <v>30.533999999999999</v>
      </c>
      <c r="I369" s="1">
        <f>+$C369/I253</f>
        <v>30.533999999999999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workbookViewId="0">
      <selection activeCell="E29" sqref="E29"/>
    </sheetView>
  </sheetViews>
  <sheetFormatPr defaultColWidth="8.85546875" defaultRowHeight="12.75" x14ac:dyDescent="0.25"/>
  <cols>
    <col min="1" max="1" width="15.5703125" style="1" customWidth="1"/>
    <col min="2" max="2" width="15" style="1" customWidth="1"/>
    <col min="3" max="3" width="10.28515625" style="1" customWidth="1"/>
    <col min="4" max="16384" width="8.85546875" style="1"/>
  </cols>
  <sheetData>
    <row r="1" spans="1:9" x14ac:dyDescent="0.25">
      <c r="A1" s="16" t="s">
        <v>198</v>
      </c>
    </row>
    <row r="2" spans="1:9" x14ac:dyDescent="0.25">
      <c r="A2" s="50" t="s">
        <v>79</v>
      </c>
      <c r="B2" s="50"/>
      <c r="C2" s="50">
        <v>2000</v>
      </c>
      <c r="D2" s="51">
        <v>2001</v>
      </c>
      <c r="E2" s="51">
        <v>2002</v>
      </c>
      <c r="F2" s="51">
        <v>2003</v>
      </c>
      <c r="G2" s="51">
        <v>2004</v>
      </c>
      <c r="H2" s="51">
        <v>2005</v>
      </c>
      <c r="I2" s="51">
        <v>2006</v>
      </c>
    </row>
    <row r="3" spans="1:9" x14ac:dyDescent="0.25">
      <c r="A3" s="50" t="s">
        <v>31</v>
      </c>
      <c r="B3" s="50" t="s">
        <v>78</v>
      </c>
      <c r="C3" s="52">
        <f>+[2]Trends!K$2214</f>
        <v>39543.591999999997</v>
      </c>
      <c r="D3" s="52">
        <f>+[2]Trends!L$2214</f>
        <v>18793.993000000002</v>
      </c>
      <c r="E3" s="52">
        <f>+[2]Trends!M$2214</f>
        <v>24656.680369984198</v>
      </c>
      <c r="F3" s="52">
        <f>+[2]Trends!N$2214</f>
        <v>34696.56799999949</v>
      </c>
      <c r="G3" s="52">
        <f>+[2]Trends!O$2214</f>
        <v>47582.486211273688</v>
      </c>
      <c r="H3" s="52">
        <f>+[2]Trends!P$2214</f>
        <v>42087.532087261359</v>
      </c>
      <c r="I3" s="52">
        <f>+[2]Trends!Q$2214</f>
        <v>55488.426247246331</v>
      </c>
    </row>
    <row r="4" spans="1:9" x14ac:dyDescent="0.25">
      <c r="A4" s="50" t="s">
        <v>0</v>
      </c>
      <c r="B4" s="50" t="s">
        <v>78</v>
      </c>
      <c r="C4" s="52">
        <f>+[2]Trends!K$2216</f>
        <v>5860.9859999999999</v>
      </c>
      <c r="D4" s="52">
        <f>+[2]Trends!L$2216</f>
        <v>5497.0119999999997</v>
      </c>
      <c r="E4" s="52">
        <f>+[2]Trends!M$2216</f>
        <v>6209.4464860862299</v>
      </c>
      <c r="F4" s="52">
        <f>+[2]Trends!N$2216</f>
        <v>7846.9523724278806</v>
      </c>
      <c r="G4" s="52">
        <f>+[2]Trends!O$2216</f>
        <v>9834.9584680926619</v>
      </c>
      <c r="H4" s="52">
        <f>+[2]Trends!P$2216</f>
        <v>13191.056054997376</v>
      </c>
      <c r="I4" s="52">
        <f>+[2]Trends!Q$2216</f>
        <v>15160.616863525145</v>
      </c>
    </row>
    <row r="5" spans="1:9" x14ac:dyDescent="0.25">
      <c r="A5" s="50" t="s">
        <v>98</v>
      </c>
      <c r="B5" s="50" t="s">
        <v>82</v>
      </c>
      <c r="C5" s="52">
        <f>+[2]Trends!K$2218</f>
        <v>12901.774931596228</v>
      </c>
      <c r="D5" s="52">
        <f>+[2]Trends!L$2218</f>
        <v>12698.512012157957</v>
      </c>
      <c r="E5" s="52">
        <f>+[2]Trends!M$2218</f>
        <v>13766.639550761141</v>
      </c>
      <c r="F5" s="52">
        <f>+[2]Trends!N$2218</f>
        <v>17204.023922540342</v>
      </c>
      <c r="G5" s="52">
        <f>+[2]Trends!O$2218</f>
        <v>19014.03664047677</v>
      </c>
      <c r="H5" s="52">
        <f>+[2]Trends!P$2218</f>
        <v>23602.177097520063</v>
      </c>
      <c r="I5" s="52">
        <f>+[2]Trends!Q$2218</f>
        <v>22904.986360816067</v>
      </c>
    </row>
    <row r="6" spans="1:9" s="6" customFormat="1" x14ac:dyDescent="0.25">
      <c r="A6" s="53" t="s">
        <v>80</v>
      </c>
      <c r="B6" s="53" t="s">
        <v>83</v>
      </c>
      <c r="C6" s="53">
        <f>+[2]Trends!K$2220</f>
        <v>0.23996576105836923</v>
      </c>
      <c r="D6" s="53">
        <f>+[2]Trends!L$2220</f>
        <v>0.21747418830281989</v>
      </c>
      <c r="E6" s="53">
        <f>+[2]Trends!M$2220</f>
        <v>0.17625470720352907</v>
      </c>
      <c r="F6" s="53">
        <f>+[2]Trends!N$2220</f>
        <v>0.14702776476605478</v>
      </c>
      <c r="G6" s="53">
        <f>+[2]Trends!O$2220</f>
        <v>0.13639390827675116</v>
      </c>
      <c r="H6" s="53">
        <f>+[2]Trends!P$2220</f>
        <v>0.11481337137047143</v>
      </c>
      <c r="I6" s="53">
        <f>+[2]Trends!Q$2220</f>
        <v>0.10460712198863541</v>
      </c>
    </row>
    <row r="7" spans="1:9" s="6" customFormat="1" x14ac:dyDescent="0.25">
      <c r="A7" s="53" t="s">
        <v>81</v>
      </c>
      <c r="B7" s="53"/>
      <c r="C7" s="53">
        <f>+[2]Trends!K$2221</f>
        <v>0.70719267174951572</v>
      </c>
      <c r="D7" s="53">
        <f>+[2]Trends!L$2221</f>
        <v>0.7005308468328918</v>
      </c>
      <c r="E7" s="53">
        <f>+[2]Trends!M$2221</f>
        <v>0.71090288469467144</v>
      </c>
      <c r="F7" s="53">
        <f>+[2]Trends!N$2221</f>
        <v>0.73866965829702835</v>
      </c>
      <c r="G7" s="53">
        <f>+[2]Trends!O$2221</f>
        <v>0.71866797153044459</v>
      </c>
      <c r="H7" s="53">
        <f>+[2]Trends!P$2221</f>
        <v>0.72872238921565013</v>
      </c>
      <c r="I7" s="53">
        <f>+[2]Trends!Q$2221</f>
        <v>0.80804657013018488</v>
      </c>
    </row>
    <row r="8" spans="1:9" x14ac:dyDescent="0.25">
      <c r="A8" s="50" t="s">
        <v>87</v>
      </c>
      <c r="B8" s="50" t="s">
        <v>88</v>
      </c>
      <c r="C8" s="52">
        <f>+[2]Trends!K$2222</f>
        <v>48.906479531762372</v>
      </c>
      <c r="D8" s="52">
        <f>+[2]Trends!L$2222</f>
        <v>50.83973584194468</v>
      </c>
      <c r="E8" s="52">
        <f>+[2]Trends!M$2222</f>
        <v>49.514819713383503</v>
      </c>
      <c r="F8" s="52">
        <f>+[2]Trends!N$2222</f>
        <v>50.877897269886574</v>
      </c>
      <c r="G8" s="52">
        <f>+[2]Trends!O$2222</f>
        <v>43.649568941143329</v>
      </c>
      <c r="H8" s="52">
        <f>+[2]Trends!P$2222</f>
        <v>40.962314204370671</v>
      </c>
      <c r="I8" s="52">
        <f>+[2]Trends!Q$2222</f>
        <v>38.353007812049874</v>
      </c>
    </row>
    <row r="9" spans="1:9" x14ac:dyDescent="0.25">
      <c r="A9" s="50" t="s">
        <v>105</v>
      </c>
      <c r="B9" s="50" t="s">
        <v>84</v>
      </c>
      <c r="C9" s="52">
        <f>+[2]Trends!K$2226</f>
        <v>3064.9730141515965</v>
      </c>
      <c r="D9" s="52">
        <f>+[2]Trends!L$2226</f>
        <v>1480.0153736127538</v>
      </c>
      <c r="E9" s="52">
        <f>+[2]Trends!M$2226</f>
        <v>1791.0456854099125</v>
      </c>
      <c r="F9" s="52">
        <f>+[2]Trends!N$2226</f>
        <v>2016.770504169132</v>
      </c>
      <c r="G9" s="52">
        <f>+[2]Trends!O$2226</f>
        <v>2502.4926116940824</v>
      </c>
      <c r="H9" s="52">
        <f>+[2]Trends!P$2226</f>
        <v>1783.20550317723</v>
      </c>
      <c r="I9" s="52">
        <f>+[2]Trends!Q$2226</f>
        <v>2422.5478842533294</v>
      </c>
    </row>
    <row r="10" spans="1:9" x14ac:dyDescent="0.25">
      <c r="A10" s="50" t="s">
        <v>106</v>
      </c>
      <c r="B10" s="50" t="s">
        <v>91</v>
      </c>
      <c r="C10" s="52">
        <f>+[2]Trends!K$2227</f>
        <v>9.7561121129098431</v>
      </c>
      <c r="D10" s="52">
        <f>+[2]Trends!L$2227</f>
        <v>4.7110352512493616</v>
      </c>
      <c r="E10" s="52">
        <f>+[2]Trends!M$2227</f>
        <v>5.7010754827279859</v>
      </c>
      <c r="F10" s="52">
        <f>+[2]Trends!N$2227</f>
        <v>6.4195798964090249</v>
      </c>
      <c r="G10" s="52">
        <f>+[2]Trends!O$2227</f>
        <v>7.9656813840412042</v>
      </c>
      <c r="H10" s="52">
        <f>+[2]Trends!P$2227</f>
        <v>5.6761194075865324</v>
      </c>
      <c r="I10" s="52">
        <f>+[2]Trends!Q$2227</f>
        <v>7.7112094131146023</v>
      </c>
    </row>
    <row r="11" spans="1:9" x14ac:dyDescent="0.25">
      <c r="A11" s="50" t="s">
        <v>100</v>
      </c>
      <c r="B11" s="50" t="s">
        <v>92</v>
      </c>
      <c r="C11" s="52">
        <f>+C4*C8/100</f>
        <v>2866.4019184494582</v>
      </c>
      <c r="D11" s="52">
        <f t="shared" ref="D11:I11" si="0">+D4*D8/100</f>
        <v>2794.6663799999997</v>
      </c>
      <c r="E11" s="52">
        <f t="shared" si="0"/>
        <v>3074.5962327846237</v>
      </c>
      <c r="F11" s="52">
        <f t="shared" si="0"/>
        <v>3992.3643668607842</v>
      </c>
      <c r="G11" s="52">
        <f t="shared" si="0"/>
        <v>4292.9169768629199</v>
      </c>
      <c r="H11" s="52">
        <f t="shared" si="0"/>
        <v>5403.3618281226873</v>
      </c>
      <c r="I11" s="52">
        <f t="shared" si="0"/>
        <v>5814.5525700227499</v>
      </c>
    </row>
    <row r="12" spans="1:9" hidden="1" x14ac:dyDescent="0.25">
      <c r="A12" s="50"/>
      <c r="B12" s="50"/>
      <c r="C12" s="52"/>
      <c r="D12" s="52"/>
      <c r="E12" s="52"/>
      <c r="F12" s="52"/>
      <c r="G12" s="52"/>
      <c r="H12" s="52"/>
      <c r="I12" s="52"/>
    </row>
    <row r="13" spans="1:9" hidden="1" x14ac:dyDescent="0.25">
      <c r="A13" s="50"/>
      <c r="B13" s="50"/>
      <c r="C13" s="52"/>
      <c r="D13" s="52"/>
      <c r="E13" s="52"/>
      <c r="F13" s="52"/>
      <c r="G13" s="52"/>
      <c r="H13" s="52"/>
      <c r="I13" s="52"/>
    </row>
    <row r="14" spans="1:9" hidden="1" x14ac:dyDescent="0.25">
      <c r="A14" s="50" t="s">
        <v>110</v>
      </c>
      <c r="B14" s="50" t="s">
        <v>78</v>
      </c>
      <c r="C14" s="52">
        <f>+C11*100/(C8)</f>
        <v>5860.9859999999999</v>
      </c>
      <c r="D14" s="52">
        <f t="shared" ref="D14:I14" si="1">+D11*100/(D8)</f>
        <v>5497.0119999999997</v>
      </c>
      <c r="E14" s="52">
        <f t="shared" si="1"/>
        <v>6209.4464860862299</v>
      </c>
      <c r="F14" s="52">
        <f t="shared" si="1"/>
        <v>7846.9523724278806</v>
      </c>
      <c r="G14" s="52">
        <f t="shared" si="1"/>
        <v>9834.9584680926619</v>
      </c>
      <c r="H14" s="52">
        <f t="shared" si="1"/>
        <v>13191.056054997376</v>
      </c>
      <c r="I14" s="52">
        <f t="shared" si="1"/>
        <v>15160.616863525145</v>
      </c>
    </row>
    <row r="15" spans="1:9" hidden="1" x14ac:dyDescent="0.25">
      <c r="A15" s="50" t="s">
        <v>85</v>
      </c>
      <c r="B15" s="50"/>
      <c r="C15" s="52">
        <f>1000000*C3/(1000*C5)</f>
        <v>3064.9730141515965</v>
      </c>
      <c r="D15" s="52">
        <f t="shared" ref="D15:I15" si="2">1000000*D3/(1000*D5)</f>
        <v>1480.015373612754</v>
      </c>
      <c r="E15" s="52">
        <f t="shared" si="2"/>
        <v>1791.0456854099127</v>
      </c>
      <c r="F15" s="52">
        <f t="shared" si="2"/>
        <v>2016.770504169132</v>
      </c>
      <c r="G15" s="52">
        <f t="shared" si="2"/>
        <v>2502.4926116940824</v>
      </c>
      <c r="H15" s="52">
        <f t="shared" si="2"/>
        <v>1783.20550317723</v>
      </c>
      <c r="I15" s="52">
        <f t="shared" si="2"/>
        <v>2422.5478842533298</v>
      </c>
    </row>
    <row r="16" spans="1:9" hidden="1" x14ac:dyDescent="0.25">
      <c r="A16" s="50" t="s">
        <v>86</v>
      </c>
      <c r="B16" s="50" t="s">
        <v>90</v>
      </c>
      <c r="C16" s="52">
        <f>+C9/C10</f>
        <v>314.15926535897938</v>
      </c>
      <c r="D16" s="52">
        <f t="shared" ref="D16:I16" si="3">+D9/D10</f>
        <v>314.15926535897927</v>
      </c>
      <c r="E16" s="52">
        <f t="shared" si="3"/>
        <v>314.15926535897933</v>
      </c>
      <c r="F16" s="52">
        <f t="shared" si="3"/>
        <v>314.15926535897933</v>
      </c>
      <c r="G16" s="52">
        <f t="shared" si="3"/>
        <v>314.15926535897933</v>
      </c>
      <c r="H16" s="52">
        <f t="shared" si="3"/>
        <v>314.15926535897933</v>
      </c>
      <c r="I16" s="52">
        <f t="shared" si="3"/>
        <v>314.15926535897933</v>
      </c>
    </row>
    <row r="17" spans="1:17" hidden="1" x14ac:dyDescent="0.25">
      <c r="A17" s="50" t="s">
        <v>89</v>
      </c>
      <c r="B17" s="50" t="s">
        <v>78</v>
      </c>
      <c r="C17" s="52">
        <f t="shared" ref="C17:I17" si="4">+C5*100000*C16*C7/(C8*1000000)</f>
        <v>5860.9860000000017</v>
      </c>
      <c r="D17" s="52">
        <f t="shared" si="4"/>
        <v>5497.0119999999988</v>
      </c>
      <c r="E17" s="52">
        <f t="shared" si="4"/>
        <v>6209.446486086229</v>
      </c>
      <c r="F17" s="52">
        <f t="shared" si="4"/>
        <v>7846.9523724278788</v>
      </c>
      <c r="G17" s="52">
        <f t="shared" si="4"/>
        <v>9834.9584680926637</v>
      </c>
      <c r="H17" s="52">
        <f t="shared" si="4"/>
        <v>13191.056054997378</v>
      </c>
      <c r="I17" s="52">
        <f t="shared" si="4"/>
        <v>15160.616863525143</v>
      </c>
    </row>
    <row r="18" spans="1:17" hidden="1" x14ac:dyDescent="0.25">
      <c r="A18" s="50" t="s">
        <v>98</v>
      </c>
      <c r="B18" s="50" t="s">
        <v>82</v>
      </c>
      <c r="C18" s="52">
        <f>1000*C4*C8/(C7*C16*100)</f>
        <v>12901.774931596225</v>
      </c>
      <c r="D18" s="52">
        <f t="shared" ref="D18:I18" si="5">1000*D4*D8/(D7*D16*100)</f>
        <v>12698.51201215796</v>
      </c>
      <c r="E18" s="52">
        <f t="shared" si="5"/>
        <v>13766.639550761141</v>
      </c>
      <c r="F18" s="52">
        <f t="shared" si="5"/>
        <v>17204.023922540342</v>
      </c>
      <c r="G18" s="52">
        <f t="shared" si="5"/>
        <v>19014.036640476766</v>
      </c>
      <c r="H18" s="52">
        <f t="shared" si="5"/>
        <v>23602.17709752006</v>
      </c>
      <c r="I18" s="52">
        <f t="shared" si="5"/>
        <v>22904.986360816067</v>
      </c>
    </row>
    <row r="19" spans="1:17" x14ac:dyDescent="0.25">
      <c r="A19" s="50" t="s">
        <v>109</v>
      </c>
      <c r="B19" s="50" t="s">
        <v>92</v>
      </c>
      <c r="C19" s="52">
        <f t="shared" ref="C19:I19" si="6">+C18*C16/1000</f>
        <v>4053.2121343371664</v>
      </c>
      <c r="D19" s="52">
        <f t="shared" si="6"/>
        <v>3989.3552048917186</v>
      </c>
      <c r="E19" s="52">
        <f t="shared" si="6"/>
        <v>4324.9173677289891</v>
      </c>
      <c r="F19" s="52">
        <f t="shared" si="6"/>
        <v>5404.8035167235794</v>
      </c>
      <c r="G19" s="52">
        <f t="shared" si="6"/>
        <v>5973.4357824808967</v>
      </c>
      <c r="H19" s="52">
        <f t="shared" si="6"/>
        <v>7414.8426178294294</v>
      </c>
      <c r="I19" s="52">
        <f t="shared" si="6"/>
        <v>7195.8136881714163</v>
      </c>
    </row>
    <row r="20" spans="1:17" x14ac:dyDescent="0.25">
      <c r="A20" s="50"/>
      <c r="B20" s="50"/>
      <c r="C20" s="52"/>
      <c r="D20" s="52"/>
      <c r="E20" s="52"/>
      <c r="F20" s="52"/>
      <c r="G20" s="52"/>
      <c r="H20" s="52"/>
      <c r="I20" s="52"/>
    </row>
    <row r="21" spans="1:17" x14ac:dyDescent="0.25">
      <c r="D21" s="8"/>
      <c r="E21" s="8"/>
      <c r="F21" s="8"/>
      <c r="G21" s="8"/>
      <c r="H21" s="8"/>
      <c r="I21" s="8"/>
    </row>
    <row r="22" spans="1:17" x14ac:dyDescent="0.25">
      <c r="A22" s="16" t="s">
        <v>208</v>
      </c>
      <c r="D22" s="15" t="s">
        <v>209</v>
      </c>
      <c r="E22" s="8"/>
      <c r="F22" s="8"/>
      <c r="G22" s="8"/>
      <c r="H22" s="8"/>
      <c r="I22" s="8"/>
    </row>
    <row r="23" spans="1:17" x14ac:dyDescent="0.25">
      <c r="A23" s="1" t="s">
        <v>107</v>
      </c>
      <c r="B23" s="1" t="s">
        <v>84</v>
      </c>
      <c r="C23" s="8">
        <f>+[1]LEM!X$1611</f>
        <v>3244.3304092964181</v>
      </c>
      <c r="D23" s="8">
        <f>+[1]LEM!Y$1611</f>
        <v>2775.9406504892258</v>
      </c>
      <c r="E23" s="8">
        <f>+[1]LEM!Z$1611</f>
        <v>3003.0655187813832</v>
      </c>
      <c r="F23" s="8">
        <f>+[1]LEM!AA$1611</f>
        <v>2965.316727524998</v>
      </c>
      <c r="G23" s="8">
        <f>+[1]LEM!AB$1611</f>
        <v>2971.7381476612886</v>
      </c>
      <c r="H23" s="8">
        <f>+[1]LEM!AC$1611</f>
        <v>3273.5622597838496</v>
      </c>
      <c r="I23" s="8">
        <f>+[1]LEM!AD$1611</f>
        <v>3499.7390059126237</v>
      </c>
      <c r="L23" s="1" t="s">
        <v>96</v>
      </c>
      <c r="Q23" s="1" t="s">
        <v>97</v>
      </c>
    </row>
    <row r="24" spans="1:17" x14ac:dyDescent="0.25">
      <c r="A24" s="1" t="s">
        <v>108</v>
      </c>
      <c r="B24" s="1" t="s">
        <v>92</v>
      </c>
      <c r="C24" s="8">
        <f>+[1]LEM!X$291</f>
        <v>2952.4204105537219</v>
      </c>
      <c r="D24" s="8">
        <f>+[1]LEM!Y$291</f>
        <v>2877.5093438022141</v>
      </c>
      <c r="E24" s="8">
        <f>+[1]LEM!Z$291</f>
        <v>3021.3834094551139</v>
      </c>
      <c r="F24" s="8">
        <f>+[1]LEM!AA$291</f>
        <v>3657.6120537878969</v>
      </c>
      <c r="G24" s="8">
        <f>+[1]LEM!AB$291</f>
        <v>4065.522143619316</v>
      </c>
      <c r="H24" s="8">
        <f>+[1]LEM!AC$291</f>
        <v>6595.7390261174314</v>
      </c>
      <c r="I24" s="8">
        <f>+[1]LEM!AD$291</f>
        <v>5475.1071853773228</v>
      </c>
    </row>
    <row r="25" spans="1:17" x14ac:dyDescent="0.25">
      <c r="A25" s="1" t="s">
        <v>200</v>
      </c>
      <c r="C25" s="8">
        <f>+[1]LEM!$Y$72*1000/C4</f>
        <v>1.0174058891099613</v>
      </c>
      <c r="D25" s="8">
        <f>+[1]LEM!$Y$72*1000/D4</f>
        <v>1.0847714489964795</v>
      </c>
      <c r="E25" s="8">
        <f>+[1]LEM!$Y$72*1000/E4</f>
        <v>0.96031130725622427</v>
      </c>
      <c r="F25" s="8">
        <f>+[1]LEM!$Y$72*1000/F4</f>
        <v>0.75991307062643199</v>
      </c>
      <c r="G25" s="8">
        <f>+[1]LEM!$Y$72*1000/G4</f>
        <v>0.60630674666666562</v>
      </c>
      <c r="H25" s="8">
        <f>+[1]LEM!$Y$72*1000/H4</f>
        <v>0.45204884639482507</v>
      </c>
      <c r="I25" s="8">
        <f>+[1]LEM!$Y$72*1000/I4</f>
        <v>0.39332183684012179</v>
      </c>
      <c r="L25" s="1" t="s">
        <v>95</v>
      </c>
    </row>
    <row r="26" spans="1:17" x14ac:dyDescent="0.25">
      <c r="A26" s="1" t="s">
        <v>201</v>
      </c>
      <c r="C26" s="8">
        <f>1000*[1]LEM!$Y$81/C4</f>
        <v>0.64979075947518705</v>
      </c>
      <c r="D26" s="8">
        <f>1000*[1]LEM!$Y$81/D4</f>
        <v>0.69281539574835183</v>
      </c>
      <c r="E26" s="8">
        <f>1000*[1]LEM!$Y$81/E4</f>
        <v>0.6133259305393991</v>
      </c>
      <c r="F26" s="8">
        <f>1000*[1]LEM!$Y$81/F4</f>
        <v>0.48533677324144364</v>
      </c>
      <c r="G26" s="8">
        <f>1000*[1]LEM!$Y$81/G4</f>
        <v>0.38723239722556974</v>
      </c>
      <c r="H26" s="8">
        <f>1000*[1]LEM!$Y$81/H4</f>
        <v>0.28871187631490935</v>
      </c>
      <c r="I26" s="8">
        <f>1000*[1]LEM!$Y$81/I4</f>
        <v>0.25120445813627046</v>
      </c>
    </row>
    <row r="27" spans="1:17" x14ac:dyDescent="0.25">
      <c r="A27" s="1" t="s">
        <v>93</v>
      </c>
      <c r="B27" s="1" t="s">
        <v>82</v>
      </c>
      <c r="C27" s="8">
        <f>1000*C24/(C16*C7)</f>
        <v>13288.947162378441</v>
      </c>
      <c r="D27" s="8">
        <f t="shared" ref="D27:I27" si="7">1000*D24/(D16*D7)</f>
        <v>13074.937040380893</v>
      </c>
      <c r="E27" s="8">
        <f t="shared" si="7"/>
        <v>13528.376799234831</v>
      </c>
      <c r="F27" s="8">
        <f t="shared" si="7"/>
        <v>15761.498573392399</v>
      </c>
      <c r="G27" s="8">
        <f t="shared" si="7"/>
        <v>18006.867455875265</v>
      </c>
      <c r="H27" s="8">
        <f t="shared" si="7"/>
        <v>28810.545274465636</v>
      </c>
      <c r="I27" s="8">
        <f t="shared" si="7"/>
        <v>21567.825536846591</v>
      </c>
      <c r="L27" s="1" t="s">
        <v>94</v>
      </c>
    </row>
    <row r="28" spans="1:17" x14ac:dyDescent="0.25">
      <c r="A28" s="1" t="s">
        <v>202</v>
      </c>
      <c r="C28" s="8">
        <f t="shared" ref="C28:I28" si="8">+C27/C5</f>
        <v>1.030009222206631</v>
      </c>
      <c r="D28" s="8">
        <f t="shared" si="8"/>
        <v>1.0296432391340447</v>
      </c>
      <c r="E28" s="8">
        <f t="shared" si="8"/>
        <v>0.98269274424976594</v>
      </c>
      <c r="F28" s="8">
        <f t="shared" si="8"/>
        <v>0.91615186332902165</v>
      </c>
      <c r="G28" s="8">
        <f t="shared" si="8"/>
        <v>0.9470302280549171</v>
      </c>
      <c r="H28" s="8">
        <f t="shared" si="8"/>
        <v>1.220673209739318</v>
      </c>
      <c r="I28" s="8">
        <f t="shared" si="8"/>
        <v>0.94162140929029414</v>
      </c>
    </row>
    <row r="29" spans="1:17" x14ac:dyDescent="0.25">
      <c r="A29" s="1" t="s">
        <v>205</v>
      </c>
      <c r="C29" s="8">
        <f>+C9/C23</f>
        <v>0.94471666799692022</v>
      </c>
      <c r="D29" s="8">
        <f t="shared" ref="D29:I29" si="9">+D9/D23</f>
        <v>0.53315814707779108</v>
      </c>
      <c r="E29" s="8">
        <f t="shared" si="9"/>
        <v>0.59640579741220656</v>
      </c>
      <c r="F29" s="8">
        <f t="shared" si="9"/>
        <v>0.68011976105244909</v>
      </c>
      <c r="G29" s="8">
        <f t="shared" si="9"/>
        <v>0.84209728022756813</v>
      </c>
      <c r="H29" s="8">
        <f t="shared" si="9"/>
        <v>0.54472936870153599</v>
      </c>
      <c r="I29" s="8">
        <f t="shared" si="9"/>
        <v>0.69220815613980446</v>
      </c>
    </row>
    <row r="30" spans="1:17" x14ac:dyDescent="0.25">
      <c r="A30" s="1" t="s">
        <v>116</v>
      </c>
      <c r="B30" s="1" t="s">
        <v>92</v>
      </c>
      <c r="C30" s="8">
        <f>+'ylded area estimate'!D35</f>
        <v>2132.7024285327984</v>
      </c>
      <c r="D30" s="8">
        <f>+'ylded area estimate'!E35</f>
        <v>1973.6426311320031</v>
      </c>
      <c r="E30" s="8">
        <f>+'ylded area estimate'!F35</f>
        <v>2099.690044092762</v>
      </c>
      <c r="F30" s="8">
        <f>+'ylded area estimate'!G35</f>
        <v>2615.8992534354807</v>
      </c>
      <c r="G30" s="8">
        <f>+'ylded area estimate'!H35</f>
        <v>2889.2082068296154</v>
      </c>
      <c r="H30" s="8">
        <f>+'ylded area estimate'!I35</f>
        <v>4644.6771327733495</v>
      </c>
      <c r="I30" s="8">
        <f>+'ylded area estimate'!J35</f>
        <v>3942.6949200642593</v>
      </c>
    </row>
    <row r="31" spans="1:17" x14ac:dyDescent="0.25">
      <c r="A31" s="1" t="s">
        <v>99</v>
      </c>
      <c r="B31" s="1" t="s">
        <v>132</v>
      </c>
      <c r="C31" s="8">
        <f>+[1]LEM!X$1687</f>
        <v>44.554767607442372</v>
      </c>
      <c r="D31" s="8">
        <f>+[1]LEM!Y$1687</f>
        <v>56.712594929636438</v>
      </c>
      <c r="E31" s="8">
        <f>+[1]LEM!Z$1687</f>
        <v>95.145001980167478</v>
      </c>
      <c r="F31" s="8">
        <f>+[1]LEM!AA$1687</f>
        <v>158.69149748632196</v>
      </c>
      <c r="G31" s="8">
        <f>+[1]LEM!AB$1687</f>
        <v>266.91334088637319</v>
      </c>
      <c r="H31" s="8">
        <f>+[1]LEM!AC$1687</f>
        <v>566.11667477917968</v>
      </c>
      <c r="I31" s="8">
        <f>+[1]LEM!AD$1687</f>
        <v>728.47493006733237</v>
      </c>
    </row>
    <row r="32" spans="1:17" x14ac:dyDescent="0.25">
      <c r="A32" s="1" t="s">
        <v>137</v>
      </c>
      <c r="C32" s="8">
        <f>+[1]LEM!X181</f>
        <v>4.1076171929814844</v>
      </c>
      <c r="D32" s="8">
        <f>+[1]LEM!Y181</f>
        <v>3.8084145442134392</v>
      </c>
      <c r="E32" s="8">
        <f>+[1]LEM!Z181</f>
        <v>4.2168232183099601</v>
      </c>
      <c r="F32" s="8">
        <f>+[1]LEM!AA181</f>
        <v>5.285020458319174</v>
      </c>
      <c r="G32" s="8">
        <f>+[1]LEM!AB181</f>
        <v>6.1217568171465615</v>
      </c>
      <c r="H32" s="8">
        <f>+[1]LEM!AC181</f>
        <v>9.9585598636561254</v>
      </c>
      <c r="I32" s="8">
        <f>+[1]LEM!AD181</f>
        <v>8.8972700048490658</v>
      </c>
    </row>
    <row r="33" spans="1:11" x14ac:dyDescent="0.25">
      <c r="A33" s="1" t="s">
        <v>139</v>
      </c>
      <c r="B33" s="1" t="s">
        <v>138</v>
      </c>
      <c r="C33" s="8">
        <f t="shared" ref="C33:I33" si="10">+C31/C32</f>
        <v>10.84686462106821</v>
      </c>
      <c r="D33" s="8">
        <f t="shared" si="10"/>
        <v>14.891392276559385</v>
      </c>
      <c r="E33" s="8">
        <f t="shared" si="10"/>
        <v>22.563194389329933</v>
      </c>
      <c r="F33" s="8">
        <f t="shared" si="10"/>
        <v>30.026657179070135</v>
      </c>
      <c r="G33" s="8">
        <f t="shared" si="10"/>
        <v>43.600774885204494</v>
      </c>
      <c r="H33" s="8">
        <f t="shared" si="10"/>
        <v>56.847243228936016</v>
      </c>
      <c r="I33" s="8">
        <f t="shared" si="10"/>
        <v>81.876230537042161</v>
      </c>
    </row>
    <row r="34" spans="1:11" s="6" customFormat="1" x14ac:dyDescent="0.25">
      <c r="A34" s="6" t="s">
        <v>102</v>
      </c>
      <c r="B34" s="6" t="s">
        <v>121</v>
      </c>
      <c r="C34" s="6">
        <f t="shared" ref="C34:I34" si="11">+C31*1000/C30</f>
        <v>20.891225616549804</v>
      </c>
      <c r="D34" s="6">
        <f>+D31*1000/D30</f>
        <v>28.734986787911218</v>
      </c>
      <c r="E34" s="6">
        <f t="shared" si="11"/>
        <v>45.313832033374197</v>
      </c>
      <c r="F34" s="6">
        <f t="shared" si="11"/>
        <v>60.664223699712892</v>
      </c>
      <c r="G34" s="6">
        <f t="shared" si="11"/>
        <v>92.382868169706057</v>
      </c>
      <c r="H34" s="6">
        <f t="shared" si="11"/>
        <v>121.88504358776598</v>
      </c>
      <c r="I34" s="6">
        <f t="shared" si="11"/>
        <v>184.76573633941209</v>
      </c>
    </row>
    <row r="35" spans="1:11" x14ac:dyDescent="0.25">
      <c r="B35" s="1" t="s">
        <v>136</v>
      </c>
      <c r="D35" s="8"/>
      <c r="E35" s="8"/>
      <c r="F35" s="8"/>
      <c r="G35" s="8"/>
      <c r="H35" s="8"/>
      <c r="I35" s="8"/>
    </row>
    <row r="36" spans="1:11" x14ac:dyDescent="0.25">
      <c r="A36" s="16" t="s">
        <v>210</v>
      </c>
      <c r="D36" s="8"/>
      <c r="E36" s="8"/>
      <c r="F36" s="8"/>
      <c r="G36" s="8"/>
      <c r="H36" s="8"/>
      <c r="I36" s="8"/>
    </row>
    <row r="37" spans="1:11" s="6" customFormat="1" x14ac:dyDescent="0.25">
      <c r="A37" s="6" t="s">
        <v>203</v>
      </c>
      <c r="B37" s="6" t="s">
        <v>101</v>
      </c>
      <c r="C37" s="6">
        <f>+C3/C4</f>
        <v>6.7469180100413135</v>
      </c>
      <c r="D37" s="6">
        <f t="shared" ref="D37:I37" si="12">+D3/D4</f>
        <v>3.4189470570557248</v>
      </c>
      <c r="E37" s="6">
        <f t="shared" si="12"/>
        <v>3.9708338617996737</v>
      </c>
      <c r="F37" s="6">
        <f t="shared" si="12"/>
        <v>4.4216616022691904</v>
      </c>
      <c r="G37" s="6">
        <f t="shared" si="12"/>
        <v>4.8380973204558506</v>
      </c>
      <c r="H37" s="6">
        <f t="shared" si="12"/>
        <v>3.1906112681036385</v>
      </c>
      <c r="I37" s="6">
        <f t="shared" si="12"/>
        <v>3.6600375002382433</v>
      </c>
    </row>
    <row r="38" spans="1:11" ht="10.9" customHeight="1" x14ac:dyDescent="0.25">
      <c r="A38" s="1" t="s">
        <v>204</v>
      </c>
      <c r="B38" s="1" t="s">
        <v>103</v>
      </c>
      <c r="C38" s="8">
        <f t="shared" ref="C38:I38" si="13">100*C37/C8</f>
        <v>13.795550353730775</v>
      </c>
      <c r="D38" s="8">
        <f t="shared" si="13"/>
        <v>6.724950475126124</v>
      </c>
      <c r="E38" s="8">
        <f t="shared" si="13"/>
        <v>8.01948565052815</v>
      </c>
      <c r="F38" s="8">
        <f t="shared" si="13"/>
        <v>8.690731809952899</v>
      </c>
      <c r="G38" s="8">
        <f t="shared" si="13"/>
        <v>11.08395211641035</v>
      </c>
      <c r="H38" s="8">
        <f t="shared" si="13"/>
        <v>7.7891382117351204</v>
      </c>
      <c r="I38" s="8">
        <f t="shared" si="13"/>
        <v>9.5430259816241083</v>
      </c>
    </row>
    <row r="39" spans="1:11" s="38" customFormat="1" x14ac:dyDescent="0.25">
      <c r="A39" s="38" t="s">
        <v>206</v>
      </c>
      <c r="B39" s="38" t="s">
        <v>104</v>
      </c>
      <c r="C39" s="38">
        <f t="shared" ref="C39:I39" si="14">+C38/(C34)</f>
        <v>0.66035141293012933</v>
      </c>
      <c r="D39" s="38">
        <f t="shared" si="14"/>
        <v>0.23403353287621154</v>
      </c>
      <c r="E39" s="38">
        <f t="shared" si="14"/>
        <v>0.1769765497789218</v>
      </c>
      <c r="F39" s="38">
        <f t="shared" si="14"/>
        <v>0.14325958991862991</v>
      </c>
      <c r="G39" s="38">
        <f t="shared" si="14"/>
        <v>0.11997843686828691</v>
      </c>
      <c r="H39" s="38">
        <f t="shared" si="14"/>
        <v>6.3905611242009219E-2</v>
      </c>
      <c r="I39" s="38">
        <f t="shared" si="14"/>
        <v>5.1649327254560347E-2</v>
      </c>
      <c r="J39" s="36" t="s">
        <v>192</v>
      </c>
    </row>
    <row r="40" spans="1:11" x14ac:dyDescent="0.25">
      <c r="A40" s="1" t="s">
        <v>72</v>
      </c>
      <c r="C40" s="17">
        <f t="shared" ref="C40:I40" si="15">+C39/$D$39</f>
        <v>2.8216102402701928</v>
      </c>
      <c r="D40" s="17">
        <f t="shared" si="15"/>
        <v>1</v>
      </c>
      <c r="E40" s="17">
        <f t="shared" si="15"/>
        <v>0.75620167590484066</v>
      </c>
      <c r="F40" s="17">
        <f t="shared" si="15"/>
        <v>0.61213274934581652</v>
      </c>
      <c r="G40" s="17">
        <f t="shared" si="15"/>
        <v>0.51265489775667172</v>
      </c>
      <c r="H40" s="17">
        <f t="shared" si="15"/>
        <v>0.27306177220258054</v>
      </c>
      <c r="I40" s="17">
        <f t="shared" si="15"/>
        <v>0.22069199494535457</v>
      </c>
      <c r="J40" s="7">
        <f>+(I40/D40)^(1/5)-1</f>
        <v>-0.26080790116420804</v>
      </c>
    </row>
    <row r="41" spans="1:11" x14ac:dyDescent="0.25">
      <c r="C41" s="8"/>
      <c r="D41" s="8"/>
      <c r="E41" s="8"/>
      <c r="F41" s="8"/>
      <c r="G41" s="8"/>
      <c r="H41" s="8"/>
      <c r="I41" s="8"/>
    </row>
    <row r="42" spans="1:11" x14ac:dyDescent="0.25">
      <c r="A42" s="16" t="s">
        <v>211</v>
      </c>
      <c r="C42" s="8"/>
      <c r="D42" s="8"/>
      <c r="E42" s="8"/>
      <c r="F42" s="8"/>
      <c r="G42" s="8"/>
      <c r="H42" s="8"/>
      <c r="I42" s="8"/>
    </row>
    <row r="43" spans="1:11" s="36" customFormat="1" x14ac:dyDescent="0.25">
      <c r="A43" s="36" t="s">
        <v>120</v>
      </c>
      <c r="C43" s="37">
        <f>+C11*C34/1000</f>
        <v>59.882649186038819</v>
      </c>
      <c r="D43" s="37">
        <f t="shared" ref="D43:I43" si="16">+D11*D34/1000</f>
        <v>80.304701505919653</v>
      </c>
      <c r="E43" s="37">
        <f t="shared" si="16"/>
        <v>139.32173726284751</v>
      </c>
      <c r="F43" s="37">
        <f t="shared" si="16"/>
        <v>242.19368504200523</v>
      </c>
      <c r="G43" s="37">
        <f t="shared" si="16"/>
        <v>396.59198313702018</v>
      </c>
      <c r="H43" s="37">
        <f t="shared" si="16"/>
        <v>658.58899194120465</v>
      </c>
      <c r="I43" s="37">
        <f t="shared" si="16"/>
        <v>1074.3300870844744</v>
      </c>
      <c r="K43" s="36" t="s">
        <v>33</v>
      </c>
    </row>
    <row r="44" spans="1:11" x14ac:dyDescent="0.25">
      <c r="A44" s="1" t="s">
        <v>143</v>
      </c>
      <c r="C44" s="8">
        <f>+C43*1000/C4</f>
        <v>10.217162980092226</v>
      </c>
      <c r="D44" s="8">
        <f t="shared" ref="D44:I44" si="17">+D43*1000/D4</f>
        <v>14.608791377191766</v>
      </c>
      <c r="E44" s="8">
        <f t="shared" si="17"/>
        <v>22.437062236550656</v>
      </c>
      <c r="F44" s="8">
        <f t="shared" si="17"/>
        <v>30.864681413514106</v>
      </c>
      <c r="G44" s="8">
        <f t="shared" si="17"/>
        <v>40.324723731541397</v>
      </c>
      <c r="H44" s="8">
        <f t="shared" si="17"/>
        <v>49.926934522554845</v>
      </c>
      <c r="I44" s="8">
        <f t="shared" si="17"/>
        <v>70.86321729224619</v>
      </c>
    </row>
    <row r="45" spans="1:11" x14ac:dyDescent="0.25">
      <c r="A45" s="1" t="s">
        <v>36</v>
      </c>
      <c r="C45" s="8">
        <f>+C3/C40</f>
        <v>14014.547946995461</v>
      </c>
      <c r="D45" s="8">
        <f t="shared" ref="D45:I45" si="18">+D3/D40</f>
        <v>18793.993000000002</v>
      </c>
      <c r="E45" s="8">
        <f t="shared" si="18"/>
        <v>32605.958378075535</v>
      </c>
      <c r="F45" s="8">
        <f t="shared" si="18"/>
        <v>56681.443750688974</v>
      </c>
      <c r="G45" s="8">
        <f t="shared" si="18"/>
        <v>92815.822923939762</v>
      </c>
      <c r="H45" s="8">
        <f t="shared" si="18"/>
        <v>154131.90849738292</v>
      </c>
      <c r="I45" s="8">
        <f t="shared" si="18"/>
        <v>251429.26575558752</v>
      </c>
      <c r="J45" s="1" t="s">
        <v>192</v>
      </c>
      <c r="K45" s="1" t="s">
        <v>32</v>
      </c>
    </row>
    <row r="46" spans="1:11" x14ac:dyDescent="0.25">
      <c r="A46" s="1" t="s">
        <v>165</v>
      </c>
      <c r="C46" s="6">
        <f t="shared" ref="C46:I46" si="19">+C45/C4</f>
        <v>2.3911587482030261</v>
      </c>
      <c r="D46" s="6">
        <f t="shared" si="19"/>
        <v>3.4189470570557248</v>
      </c>
      <c r="E46" s="6">
        <f t="shared" si="19"/>
        <v>5.251024942583383</v>
      </c>
      <c r="F46" s="6">
        <f t="shared" si="19"/>
        <v>7.2233704323034518</v>
      </c>
      <c r="G46" s="6">
        <f t="shared" si="19"/>
        <v>9.4373375571498421</v>
      </c>
      <c r="H46" s="6">
        <f t="shared" si="19"/>
        <v>11.6845768719928</v>
      </c>
      <c r="I46" s="6">
        <f t="shared" si="19"/>
        <v>16.584369093879022</v>
      </c>
      <c r="J46" s="7">
        <f>+(I46/D46)^(1/5)-1</f>
        <v>0.3713910656190369</v>
      </c>
      <c r="K46" s="7">
        <f>+(4)^(1/3)-1</f>
        <v>0.58740105196819936</v>
      </c>
    </row>
    <row r="47" spans="1:11" x14ac:dyDescent="0.25">
      <c r="A47" s="1" t="s">
        <v>74</v>
      </c>
      <c r="C47" s="6">
        <f t="shared" ref="C47:I47" si="20">+C46/$D$46</f>
        <v>0.69938454977486741</v>
      </c>
      <c r="D47" s="6">
        <f t="shared" si="20"/>
        <v>1</v>
      </c>
      <c r="E47" s="6">
        <f t="shared" si="20"/>
        <v>1.5358602677823794</v>
      </c>
      <c r="F47" s="6">
        <f t="shared" si="20"/>
        <v>2.1127470860937989</v>
      </c>
      <c r="G47" s="6">
        <f t="shared" si="20"/>
        <v>2.7603052634798448</v>
      </c>
      <c r="H47" s="6">
        <f t="shared" si="20"/>
        <v>3.4175951475701236</v>
      </c>
      <c r="I47" s="6">
        <f t="shared" si="20"/>
        <v>4.8507241607189115</v>
      </c>
    </row>
    <row r="48" spans="1:11" x14ac:dyDescent="0.25">
      <c r="C48" s="6"/>
      <c r="D48" s="6"/>
      <c r="E48" s="6"/>
      <c r="F48" s="6"/>
      <c r="G48" s="6"/>
      <c r="H48" s="6"/>
      <c r="I48" s="6"/>
    </row>
    <row r="49" spans="1:9" x14ac:dyDescent="0.25">
      <c r="A49" s="1" t="s">
        <v>73</v>
      </c>
      <c r="D49" s="8" t="s">
        <v>77</v>
      </c>
      <c r="E49" s="8"/>
      <c r="F49" s="8"/>
      <c r="G49" s="8"/>
      <c r="H49" s="8"/>
      <c r="I49" s="8"/>
    </row>
    <row r="50" spans="1:9" x14ac:dyDescent="0.25">
      <c r="A50" s="22">
        <v>0.25</v>
      </c>
      <c r="B50" s="23">
        <v>200</v>
      </c>
      <c r="C50" s="8">
        <f>+'LEM cost side'!C80</f>
        <v>5.9250910386693842</v>
      </c>
      <c r="D50" s="8">
        <f>+'LEM cost side'!D80</f>
        <v>5.9250910386693842</v>
      </c>
      <c r="E50" s="8">
        <f>+'LEM cost side'!E80</f>
        <v>5.9250910386693842</v>
      </c>
      <c r="F50" s="8">
        <f>+'LEM cost side'!F80</f>
        <v>5.9250910386693842</v>
      </c>
      <c r="G50" s="8">
        <f>+'LEM cost side'!G80</f>
        <v>5.9250910386693842</v>
      </c>
      <c r="H50" s="8">
        <f>+'LEM cost side'!H80</f>
        <v>5.9250910386693842</v>
      </c>
      <c r="I50" s="8">
        <f>+'LEM cost side'!I80</f>
        <v>5.9250910386693842</v>
      </c>
    </row>
    <row r="51" spans="1:9" x14ac:dyDescent="0.25">
      <c r="A51" s="22">
        <v>0.25</v>
      </c>
      <c r="B51" s="23">
        <v>300</v>
      </c>
      <c r="C51" s="8">
        <f>+'LEM cost side'!C81</f>
        <v>5.9250910386693842</v>
      </c>
      <c r="D51" s="8">
        <f>+'LEM cost side'!D81</f>
        <v>5.9250910386693842</v>
      </c>
      <c r="E51" s="8">
        <f>+'LEM cost side'!E81</f>
        <v>5.9250910386693842</v>
      </c>
      <c r="F51" s="8">
        <f>+'LEM cost side'!F81</f>
        <v>5.9250910386693842</v>
      </c>
      <c r="G51" s="8">
        <f>+'LEM cost side'!G81</f>
        <v>5.9250910386693842</v>
      </c>
      <c r="H51" s="8">
        <f>+'LEM cost side'!H81</f>
        <v>5.9250910386693842</v>
      </c>
      <c r="I51" s="8">
        <f>+'LEM cost side'!I81</f>
        <v>5.9250910386693842</v>
      </c>
    </row>
    <row r="52" spans="1:9" x14ac:dyDescent="0.25">
      <c r="A52" s="22">
        <v>0.18</v>
      </c>
      <c r="B52" s="23">
        <v>200</v>
      </c>
      <c r="C52" s="8">
        <f>+'LEM cost side'!C82</f>
        <v>12.575567549343623</v>
      </c>
      <c r="D52" s="8">
        <f>+'LEM cost side'!D82</f>
        <v>12.575567549343623</v>
      </c>
      <c r="E52" s="8">
        <f>+'LEM cost side'!E82</f>
        <v>12.575567549343623</v>
      </c>
      <c r="F52" s="8">
        <f>+'LEM cost side'!F82</f>
        <v>12.575567549343623</v>
      </c>
      <c r="G52" s="8">
        <f>+'LEM cost side'!G82</f>
        <v>12.575567549343623</v>
      </c>
      <c r="H52" s="8">
        <f>+'LEM cost side'!H82</f>
        <v>12.575567549343623</v>
      </c>
      <c r="I52" s="8">
        <f>+'LEM cost side'!I82</f>
        <v>12.575567549343623</v>
      </c>
    </row>
    <row r="53" spans="1:9" x14ac:dyDescent="0.25">
      <c r="A53" s="22">
        <v>0.18</v>
      </c>
      <c r="B53" s="23">
        <v>300</v>
      </c>
      <c r="C53" s="8">
        <f>+'LEM cost side'!C83</f>
        <v>12.575567549343623</v>
      </c>
      <c r="D53" s="8">
        <f>+'LEM cost side'!D83</f>
        <v>12.575567549343623</v>
      </c>
      <c r="E53" s="8">
        <f>+'LEM cost side'!E83</f>
        <v>12.575567549343623</v>
      </c>
      <c r="F53" s="8">
        <f>+'LEM cost side'!F83</f>
        <v>12.575567549343623</v>
      </c>
      <c r="G53" s="8">
        <f>+'LEM cost side'!G83</f>
        <v>12.575567549343623</v>
      </c>
      <c r="H53" s="8">
        <f>+'LEM cost side'!H83</f>
        <v>12.575567549343623</v>
      </c>
      <c r="I53" s="8">
        <f>+'LEM cost side'!I83</f>
        <v>12.575567549343623</v>
      </c>
    </row>
    <row r="54" spans="1:9" x14ac:dyDescent="0.25">
      <c r="A54" s="22">
        <v>0.13</v>
      </c>
      <c r="B54" s="23">
        <v>200</v>
      </c>
      <c r="C54" s="8">
        <f>+'LEM cost side'!C84</f>
        <v>24.995403229267385</v>
      </c>
      <c r="D54" s="8">
        <f>+'LEM cost side'!D84</f>
        <v>25.829152364611225</v>
      </c>
      <c r="E54" s="8">
        <f>+'LEM cost side'!E84</f>
        <v>26.690712118344003</v>
      </c>
      <c r="F54" s="8">
        <f>+'LEM cost side'!F84</f>
        <v>26.690712118344003</v>
      </c>
      <c r="G54" s="8">
        <f>+'LEM cost side'!G84</f>
        <v>26.690712118344003</v>
      </c>
      <c r="H54" s="8">
        <f>+'LEM cost side'!H84</f>
        <v>26.690712118344003</v>
      </c>
      <c r="I54" s="8">
        <f>+'LEM cost side'!I84</f>
        <v>26.690712118344003</v>
      </c>
    </row>
    <row r="55" spans="1:9" x14ac:dyDescent="0.25">
      <c r="A55" s="22">
        <v>0.13</v>
      </c>
      <c r="B55" s="23">
        <v>300</v>
      </c>
      <c r="C55" s="8">
        <f>+'LEM cost side'!C85</f>
        <v>24.995403229267385</v>
      </c>
      <c r="D55" s="8">
        <f>+'LEM cost side'!D85</f>
        <v>25.829152364611225</v>
      </c>
      <c r="E55" s="8">
        <f>+'LEM cost side'!E85</f>
        <v>26.690712118344003</v>
      </c>
      <c r="F55" s="8">
        <f>+'LEM cost side'!F85</f>
        <v>26.690712118344003</v>
      </c>
      <c r="G55" s="8">
        <f>+'LEM cost side'!G85</f>
        <v>26.690712118344003</v>
      </c>
      <c r="H55" s="8">
        <f>+'LEM cost side'!H85</f>
        <v>26.690712118344003</v>
      </c>
      <c r="I55" s="8">
        <f>+'LEM cost side'!I85</f>
        <v>26.690712118344003</v>
      </c>
    </row>
    <row r="56" spans="1:9" x14ac:dyDescent="0.25">
      <c r="A56" s="22">
        <v>0.09</v>
      </c>
      <c r="B56" s="23">
        <v>200</v>
      </c>
      <c r="C56" s="8">
        <f>+'LEM cost side'!C86</f>
        <v>0</v>
      </c>
      <c r="D56" s="8">
        <f>+'LEM cost side'!D86</f>
        <v>0</v>
      </c>
      <c r="E56" s="8">
        <f>+'LEM cost side'!E86</f>
        <v>46.937913432825134</v>
      </c>
      <c r="F56" s="8">
        <f>+'LEM cost side'!F86</f>
        <v>48.503579102648736</v>
      </c>
      <c r="G56" s="8">
        <f>+'LEM cost side'!G86</f>
        <v>50.12146927097232</v>
      </c>
      <c r="H56" s="8">
        <f>+'LEM cost side'!H86</f>
        <v>50.12146927097232</v>
      </c>
      <c r="I56" s="8">
        <f>+'LEM cost side'!I86</f>
        <v>50.12146927097232</v>
      </c>
    </row>
    <row r="57" spans="1:9" x14ac:dyDescent="0.25">
      <c r="A57" s="22">
        <v>0.09</v>
      </c>
      <c r="B57" s="23">
        <v>300</v>
      </c>
      <c r="C57" s="8">
        <f>+'LEM cost side'!C87</f>
        <v>0</v>
      </c>
      <c r="D57" s="8">
        <f>+'LEM cost side'!D87</f>
        <v>0</v>
      </c>
      <c r="E57" s="8">
        <f>+'LEM cost side'!E87</f>
        <v>46.937913432825134</v>
      </c>
      <c r="F57" s="8">
        <f>+'LEM cost side'!F87</f>
        <v>48.503579102648736</v>
      </c>
      <c r="G57" s="8">
        <f>+'LEM cost side'!G87</f>
        <v>50.12146927097232</v>
      </c>
      <c r="H57" s="8">
        <f>+'LEM cost side'!H87</f>
        <v>50.12146927097232</v>
      </c>
      <c r="I57" s="8">
        <f>+'LEM cost side'!I87</f>
        <v>50.12146927097232</v>
      </c>
    </row>
    <row r="58" spans="1:9" x14ac:dyDescent="0.25">
      <c r="A58" s="22">
        <v>6.5000000000000002E-2</v>
      </c>
      <c r="B58" s="23">
        <v>200</v>
      </c>
      <c r="C58" s="8">
        <f>+'LEM cost side'!C88</f>
        <v>0</v>
      </c>
      <c r="D58" s="8">
        <f>+'LEM cost side'!D88</f>
        <v>0</v>
      </c>
      <c r="E58" s="8">
        <f>+'LEM cost side'!E88</f>
        <v>0</v>
      </c>
      <c r="F58" s="8">
        <f>+'LEM cost side'!F88</f>
        <v>0</v>
      </c>
      <c r="G58" s="8">
        <f>+'LEM cost side'!G88</f>
        <v>88.142915608085602</v>
      </c>
      <c r="H58" s="8">
        <f>+'LEM cost side'!H88</f>
        <v>91.083019394404133</v>
      </c>
      <c r="I58" s="8">
        <f>+'LEM cost side'!I88</f>
        <v>94.121193572593484</v>
      </c>
    </row>
    <row r="59" spans="1:9" x14ac:dyDescent="0.25">
      <c r="A59" s="22">
        <v>6.5000000000000002E-2</v>
      </c>
      <c r="B59" s="23">
        <v>300</v>
      </c>
      <c r="C59" s="8">
        <f>+'LEM cost side'!C89</f>
        <v>0</v>
      </c>
      <c r="D59" s="8">
        <f>+'LEM cost side'!D89</f>
        <v>0</v>
      </c>
      <c r="E59" s="8">
        <f>+'LEM cost side'!E89</f>
        <v>0</v>
      </c>
      <c r="F59" s="8">
        <f>+'LEM cost side'!F89</f>
        <v>0</v>
      </c>
      <c r="G59" s="8">
        <f>+'LEM cost side'!G89</f>
        <v>88.142915608085602</v>
      </c>
      <c r="H59" s="8">
        <f>+'LEM cost side'!H89</f>
        <v>91.083019394404133</v>
      </c>
      <c r="I59" s="8">
        <f>+'LEM cost side'!I89</f>
        <v>94.121193572593484</v>
      </c>
    </row>
    <row r="60" spans="1:9" x14ac:dyDescent="0.25">
      <c r="A60" s="20">
        <v>4.4999999999999998E-2</v>
      </c>
      <c r="B60" s="21">
        <v>200</v>
      </c>
      <c r="C60" s="8">
        <f>+'LEM cost side'!C90</f>
        <v>0</v>
      </c>
      <c r="D60" s="8">
        <f>+'LEM cost side'!D90</f>
        <v>0</v>
      </c>
      <c r="E60" s="8">
        <f>+'LEM cost side'!E90</f>
        <v>0</v>
      </c>
      <c r="F60" s="8">
        <f>+'LEM cost side'!F90</f>
        <v>0</v>
      </c>
      <c r="G60" s="8">
        <f>+'LEM cost side'!G90</f>
        <v>0</v>
      </c>
      <c r="H60" s="8">
        <f>+'LEM cost side'!H90</f>
        <v>0</v>
      </c>
      <c r="I60" s="8">
        <f>+'LEM cost side'!I90</f>
        <v>165.52021604055543</v>
      </c>
    </row>
    <row r="61" spans="1:9" x14ac:dyDescent="0.25">
      <c r="A61" s="20">
        <v>4.4999999999999998E-2</v>
      </c>
      <c r="B61" s="21">
        <v>300</v>
      </c>
      <c r="C61" s="8">
        <f>+'LEM cost side'!C91</f>
        <v>0</v>
      </c>
      <c r="D61" s="8">
        <f>+'LEM cost side'!D91</f>
        <v>0</v>
      </c>
      <c r="E61" s="8">
        <f>+'LEM cost side'!E91</f>
        <v>0</v>
      </c>
      <c r="F61" s="8">
        <f>+'LEM cost side'!F91</f>
        <v>0</v>
      </c>
      <c r="G61" s="8">
        <f>+'LEM cost side'!G91</f>
        <v>0</v>
      </c>
      <c r="H61" s="8">
        <f>+'LEM cost side'!H91</f>
        <v>0</v>
      </c>
      <c r="I61" s="8">
        <f>+'LEM cost side'!I91</f>
        <v>165.52021604055543</v>
      </c>
    </row>
    <row r="62" spans="1:9" x14ac:dyDescent="0.25">
      <c r="A62" s="20">
        <v>0.03</v>
      </c>
      <c r="B62" s="21">
        <v>200</v>
      </c>
      <c r="C62" s="8">
        <f>+'LEM cost side'!C92</f>
        <v>0</v>
      </c>
      <c r="D62" s="8">
        <f>+'LEM cost side'!D92</f>
        <v>0</v>
      </c>
      <c r="E62" s="8">
        <f>+'LEM cost side'!E92</f>
        <v>0</v>
      </c>
      <c r="F62" s="8">
        <f>+'LEM cost side'!F92</f>
        <v>0</v>
      </c>
      <c r="G62" s="8">
        <f>+'LEM cost side'!G92</f>
        <v>0</v>
      </c>
      <c r="H62" s="8">
        <f>+'LEM cost side'!H92</f>
        <v>0</v>
      </c>
      <c r="I62" s="8">
        <f>+'LEM cost side'!I92</f>
        <v>0</v>
      </c>
    </row>
    <row r="63" spans="1:9" x14ac:dyDescent="0.25">
      <c r="A63" s="1" t="s">
        <v>141</v>
      </c>
      <c r="C63" s="8"/>
      <c r="D63" s="8"/>
      <c r="E63" s="8"/>
      <c r="F63" s="8"/>
      <c r="G63" s="8"/>
      <c r="H63" s="8"/>
      <c r="I63" s="8"/>
    </row>
    <row r="64" spans="1:9" x14ac:dyDescent="0.25">
      <c r="A64" s="22">
        <v>0.25</v>
      </c>
      <c r="B64" s="23">
        <v>200</v>
      </c>
      <c r="C64" s="8">
        <f>+C50*C$39</f>
        <v>3.9126422391249753</v>
      </c>
      <c r="D64" s="8">
        <f t="shared" ref="D64:I64" si="21">+D50*D$39</f>
        <v>1.3866699883929776</v>
      </c>
      <c r="E64" s="8">
        <f t="shared" si="21"/>
        <v>1.0486021691497158</v>
      </c>
      <c r="F64" s="8">
        <f t="shared" si="21"/>
        <v>0.84882611243032502</v>
      </c>
      <c r="G64" s="8">
        <f t="shared" si="21"/>
        <v>0.71088316112184724</v>
      </c>
      <c r="H64" s="8">
        <f t="shared" si="21"/>
        <v>0.37864656449071826</v>
      </c>
      <c r="I64" s="8">
        <f t="shared" si="21"/>
        <v>0.30602696606929791</v>
      </c>
    </row>
    <row r="65" spans="1:9" x14ac:dyDescent="0.25">
      <c r="A65" s="22">
        <v>0.25</v>
      </c>
      <c r="B65" s="23">
        <v>300</v>
      </c>
      <c r="C65" s="8">
        <f t="shared" ref="C65:I65" si="22">+C51*C$39</f>
        <v>3.9126422391249753</v>
      </c>
      <c r="D65" s="8">
        <f t="shared" si="22"/>
        <v>1.3866699883929776</v>
      </c>
      <c r="E65" s="8">
        <f t="shared" si="22"/>
        <v>1.0486021691497158</v>
      </c>
      <c r="F65" s="8">
        <f t="shared" si="22"/>
        <v>0.84882611243032502</v>
      </c>
      <c r="G65" s="8">
        <f t="shared" si="22"/>
        <v>0.71088316112184724</v>
      </c>
      <c r="H65" s="8">
        <f t="shared" si="22"/>
        <v>0.37864656449071826</v>
      </c>
      <c r="I65" s="8">
        <f t="shared" si="22"/>
        <v>0.30602696606929791</v>
      </c>
    </row>
    <row r="66" spans="1:9" x14ac:dyDescent="0.25">
      <c r="A66" s="22">
        <v>0.18</v>
      </c>
      <c r="B66" s="23">
        <v>200</v>
      </c>
      <c r="C66" s="8">
        <f t="shared" ref="C66:I66" si="23">+C52*C$39</f>
        <v>8.3042937996073452</v>
      </c>
      <c r="D66" s="8">
        <f t="shared" si="23"/>
        <v>2.9431045014963297</v>
      </c>
      <c r="E66" s="8">
        <f t="shared" si="23"/>
        <v>2.2255805563946054</v>
      </c>
      <c r="F66" s="8">
        <f t="shared" si="23"/>
        <v>1.8015706501129971</v>
      </c>
      <c r="G66" s="8">
        <f t="shared" si="23"/>
        <v>1.5087969373018013</v>
      </c>
      <c r="H66" s="8">
        <f t="shared" si="23"/>
        <v>0.80364933095598012</v>
      </c>
      <c r="I66" s="8">
        <f t="shared" si="23"/>
        <v>0.64951960376787821</v>
      </c>
    </row>
    <row r="67" spans="1:9" x14ac:dyDescent="0.25">
      <c r="A67" s="22">
        <v>0.18</v>
      </c>
      <c r="B67" s="23">
        <v>300</v>
      </c>
      <c r="C67" s="8">
        <f t="shared" ref="C67:I67" si="24">+C53*C$39</f>
        <v>8.3042937996073452</v>
      </c>
      <c r="D67" s="8">
        <f t="shared" si="24"/>
        <v>2.9431045014963297</v>
      </c>
      <c r="E67" s="8">
        <f t="shared" si="24"/>
        <v>2.2255805563946054</v>
      </c>
      <c r="F67" s="8">
        <f t="shared" si="24"/>
        <v>1.8015706501129971</v>
      </c>
      <c r="G67" s="8">
        <f t="shared" si="24"/>
        <v>1.5087969373018013</v>
      </c>
      <c r="H67" s="8">
        <f t="shared" si="24"/>
        <v>0.80364933095598012</v>
      </c>
      <c r="I67" s="8">
        <f t="shared" si="24"/>
        <v>0.64951960376787821</v>
      </c>
    </row>
    <row r="68" spans="1:9" x14ac:dyDescent="0.25">
      <c r="A68" s="22">
        <v>0.13</v>
      </c>
      <c r="B68" s="23">
        <v>200</v>
      </c>
      <c r="C68" s="8">
        <f t="shared" ref="C68:I68" si="25">+C54*C$39</f>
        <v>16.505749839205034</v>
      </c>
      <c r="D68" s="8">
        <f t="shared" si="25"/>
        <v>6.0448877790879179</v>
      </c>
      <c r="E68" s="8">
        <f t="shared" si="25"/>
        <v>4.7236301418469786</v>
      </c>
      <c r="F68" s="8">
        <f t="shared" si="25"/>
        <v>3.8237004727101676</v>
      </c>
      <c r="G68" s="8">
        <f t="shared" si="25"/>
        <v>3.2023099188603563</v>
      </c>
      <c r="H68" s="8">
        <f t="shared" si="25"/>
        <v>1.7056862724072761</v>
      </c>
      <c r="I68" s="8">
        <f t="shared" si="25"/>
        <v>1.3785573248576091</v>
      </c>
    </row>
    <row r="69" spans="1:9" x14ac:dyDescent="0.25">
      <c r="A69" s="22">
        <v>0.13</v>
      </c>
      <c r="B69" s="23">
        <v>300</v>
      </c>
      <c r="C69" s="8">
        <f t="shared" ref="C69:I69" si="26">+C55*C$39</f>
        <v>16.505749839205034</v>
      </c>
      <c r="D69" s="8">
        <f t="shared" si="26"/>
        <v>6.0448877790879179</v>
      </c>
      <c r="E69" s="8">
        <f t="shared" si="26"/>
        <v>4.7236301418469786</v>
      </c>
      <c r="F69" s="8">
        <f t="shared" si="26"/>
        <v>3.8237004727101676</v>
      </c>
      <c r="G69" s="8">
        <f t="shared" si="26"/>
        <v>3.2023099188603563</v>
      </c>
      <c r="H69" s="8">
        <f t="shared" si="26"/>
        <v>1.7056862724072761</v>
      </c>
      <c r="I69" s="8">
        <f t="shared" si="26"/>
        <v>1.3785573248576091</v>
      </c>
    </row>
    <row r="70" spans="1:9" x14ac:dyDescent="0.25">
      <c r="A70" s="22">
        <v>0.09</v>
      </c>
      <c r="B70" s="23">
        <v>200</v>
      </c>
      <c r="C70" s="8">
        <f t="shared" ref="C70:I70" si="27">+C56*C$39</f>
        <v>0</v>
      </c>
      <c r="D70" s="8">
        <f t="shared" si="27"/>
        <v>0</v>
      </c>
      <c r="E70" s="8">
        <f t="shared" si="27"/>
        <v>8.3069099731630995</v>
      </c>
      <c r="F70" s="8">
        <f t="shared" si="27"/>
        <v>6.9486028518312857</v>
      </c>
      <c r="G70" s="8">
        <f t="shared" si="27"/>
        <v>6.0134955366731351</v>
      </c>
      <c r="H70" s="8">
        <f t="shared" si="27"/>
        <v>3.2030431301090685</v>
      </c>
      <c r="I70" s="8">
        <f t="shared" si="27"/>
        <v>2.5887401688558396</v>
      </c>
    </row>
    <row r="71" spans="1:9" x14ac:dyDescent="0.25">
      <c r="A71" s="22">
        <v>0.09</v>
      </c>
      <c r="B71" s="23">
        <v>300</v>
      </c>
      <c r="C71" s="8">
        <f t="shared" ref="C71:I71" si="28">+C57*C$39</f>
        <v>0</v>
      </c>
      <c r="D71" s="8">
        <f t="shared" si="28"/>
        <v>0</v>
      </c>
      <c r="E71" s="8">
        <f t="shared" si="28"/>
        <v>8.3069099731630995</v>
      </c>
      <c r="F71" s="8">
        <f t="shared" si="28"/>
        <v>6.9486028518312857</v>
      </c>
      <c r="G71" s="8">
        <f t="shared" si="28"/>
        <v>6.0134955366731351</v>
      </c>
      <c r="H71" s="8">
        <f t="shared" si="28"/>
        <v>3.2030431301090685</v>
      </c>
      <c r="I71" s="8">
        <f t="shared" si="28"/>
        <v>2.5887401688558396</v>
      </c>
    </row>
    <row r="72" spans="1:9" x14ac:dyDescent="0.25">
      <c r="A72" s="22">
        <v>6.5000000000000002E-2</v>
      </c>
      <c r="B72" s="23">
        <v>200</v>
      </c>
      <c r="C72" s="8">
        <f>+C58*C$39</f>
        <v>0</v>
      </c>
      <c r="D72" s="8">
        <f t="shared" ref="D72:I72" si="29">+D58*D$39</f>
        <v>0</v>
      </c>
      <c r="E72" s="8">
        <f t="shared" si="29"/>
        <v>0</v>
      </c>
      <c r="F72" s="8">
        <f t="shared" si="29"/>
        <v>0</v>
      </c>
      <c r="G72" s="8">
        <f t="shared" si="29"/>
        <v>10.575249235671439</v>
      </c>
      <c r="H72" s="8">
        <f t="shared" si="29"/>
        <v>5.8207160281671761</v>
      </c>
      <c r="I72" s="8">
        <f t="shared" si="29"/>
        <v>4.8612963284207025</v>
      </c>
    </row>
    <row r="73" spans="1:9" x14ac:dyDescent="0.25">
      <c r="A73" s="22">
        <v>6.5000000000000002E-2</v>
      </c>
      <c r="B73" s="23">
        <v>300</v>
      </c>
      <c r="C73" s="8">
        <f t="shared" ref="C73:I73" si="30">+C59*C$39</f>
        <v>0</v>
      </c>
      <c r="D73" s="8">
        <f t="shared" si="30"/>
        <v>0</v>
      </c>
      <c r="E73" s="8">
        <f t="shared" si="30"/>
        <v>0</v>
      </c>
      <c r="F73" s="8">
        <f t="shared" si="30"/>
        <v>0</v>
      </c>
      <c r="G73" s="8">
        <f t="shared" si="30"/>
        <v>10.575249235671439</v>
      </c>
      <c r="H73" s="8">
        <f t="shared" si="30"/>
        <v>5.8207160281671761</v>
      </c>
      <c r="I73" s="8">
        <f t="shared" si="30"/>
        <v>4.8612963284207025</v>
      </c>
    </row>
    <row r="74" spans="1:9" x14ac:dyDescent="0.25">
      <c r="A74" s="20">
        <v>4.4999999999999998E-2</v>
      </c>
      <c r="B74" s="21">
        <v>200</v>
      </c>
      <c r="C74" s="8">
        <f t="shared" ref="C74:I74" si="31">+C60*C$39</f>
        <v>0</v>
      </c>
      <c r="D74" s="8">
        <f t="shared" si="31"/>
        <v>0</v>
      </c>
      <c r="E74" s="8">
        <f t="shared" si="31"/>
        <v>0</v>
      </c>
      <c r="F74" s="8">
        <f t="shared" si="31"/>
        <v>0</v>
      </c>
      <c r="G74" s="8">
        <f t="shared" si="31"/>
        <v>0</v>
      </c>
      <c r="H74" s="8">
        <f t="shared" si="31"/>
        <v>0</v>
      </c>
      <c r="I74" s="8">
        <f t="shared" si="31"/>
        <v>8.5490078055241767</v>
      </c>
    </row>
    <row r="75" spans="1:9" x14ac:dyDescent="0.25">
      <c r="A75" s="20">
        <v>4.4999999999999998E-2</v>
      </c>
      <c r="B75" s="21">
        <v>300</v>
      </c>
      <c r="C75" s="8">
        <f t="shared" ref="C75:I75" si="32">+C61*C$39</f>
        <v>0</v>
      </c>
      <c r="D75" s="8">
        <f t="shared" si="32"/>
        <v>0</v>
      </c>
      <c r="E75" s="8">
        <f t="shared" si="32"/>
        <v>0</v>
      </c>
      <c r="F75" s="8">
        <f t="shared" si="32"/>
        <v>0</v>
      </c>
      <c r="G75" s="8">
        <f t="shared" si="32"/>
        <v>0</v>
      </c>
      <c r="H75" s="8">
        <f t="shared" si="32"/>
        <v>0</v>
      </c>
      <c r="I75" s="8">
        <f t="shared" si="32"/>
        <v>8.5490078055241767</v>
      </c>
    </row>
    <row r="76" spans="1:9" x14ac:dyDescent="0.25">
      <c r="A76" s="20">
        <v>0.03</v>
      </c>
      <c r="B76" s="21">
        <v>200</v>
      </c>
      <c r="C76" s="8">
        <f t="shared" ref="C76:I76" si="33">+C62*C$39</f>
        <v>0</v>
      </c>
      <c r="D76" s="8">
        <f t="shared" si="33"/>
        <v>0</v>
      </c>
      <c r="E76" s="8">
        <f t="shared" si="33"/>
        <v>0</v>
      </c>
      <c r="F76" s="8">
        <f t="shared" si="33"/>
        <v>0</v>
      </c>
      <c r="G76" s="8">
        <f t="shared" si="33"/>
        <v>0</v>
      </c>
      <c r="H76" s="8">
        <f t="shared" si="33"/>
        <v>0</v>
      </c>
      <c r="I76" s="8">
        <f t="shared" si="33"/>
        <v>0</v>
      </c>
    </row>
    <row r="77" spans="1:9" x14ac:dyDescent="0.25">
      <c r="A77" s="20" t="s">
        <v>144</v>
      </c>
      <c r="B77" s="21"/>
      <c r="C77" s="8"/>
      <c r="D77" s="8"/>
      <c r="E77" s="8"/>
      <c r="F77" s="8"/>
      <c r="G77" s="8"/>
      <c r="H77" s="8"/>
      <c r="I77" s="8"/>
    </row>
    <row r="78" spans="1:9" x14ac:dyDescent="0.25">
      <c r="A78" s="22">
        <v>0.25</v>
      </c>
      <c r="B78" s="23">
        <v>200</v>
      </c>
      <c r="C78" s="8">
        <f>'LEM cost side'!C34*C$11</f>
        <v>1145.3767259760839</v>
      </c>
      <c r="D78" s="8">
        <f>'LEM cost side'!D34*D$11</f>
        <v>419.55461673742781</v>
      </c>
      <c r="E78" s="8">
        <f>'LEM cost side'!E34*E$11</f>
        <v>0</v>
      </c>
      <c r="F78" s="8">
        <f>'LEM cost side'!F34*F$11</f>
        <v>0</v>
      </c>
      <c r="G78" s="8">
        <f>'LEM cost side'!G34*G$11</f>
        <v>0</v>
      </c>
      <c r="H78" s="8">
        <f>'LEM cost side'!H34*H$11</f>
        <v>0</v>
      </c>
      <c r="I78" s="8">
        <f>'LEM cost side'!I34*I$11</f>
        <v>0</v>
      </c>
    </row>
    <row r="79" spans="1:9" x14ac:dyDescent="0.25">
      <c r="A79" s="22">
        <v>0.25</v>
      </c>
      <c r="B79" s="23">
        <v>300</v>
      </c>
      <c r="C79" s="8">
        <f>'LEM cost side'!C35*C$11</f>
        <v>0</v>
      </c>
      <c r="D79" s="8">
        <f>'LEM cost side'!D35*D$11</f>
        <v>0</v>
      </c>
      <c r="E79" s="8">
        <f>'LEM cost side'!E35*E$11</f>
        <v>0</v>
      </c>
      <c r="F79" s="8">
        <f>'LEM cost side'!F35*F$11</f>
        <v>0</v>
      </c>
      <c r="G79" s="8">
        <f>'LEM cost side'!G35*G$11</f>
        <v>0</v>
      </c>
      <c r="H79" s="8">
        <f>'LEM cost side'!H35*H$11</f>
        <v>0</v>
      </c>
      <c r="I79" s="8">
        <f>'LEM cost side'!I35*I$11</f>
        <v>0</v>
      </c>
    </row>
    <row r="80" spans="1:9" x14ac:dyDescent="0.25">
      <c r="A80" s="22">
        <v>0.18</v>
      </c>
      <c r="B80" s="23">
        <v>200</v>
      </c>
      <c r="C80" s="8">
        <f>'LEM cost side'!C36*C$11</f>
        <v>1444.9271518908431</v>
      </c>
      <c r="D80" s="8">
        <f>'LEM cost side'!D36*D$11</f>
        <v>1613.0461081906055</v>
      </c>
      <c r="E80" s="8">
        <f>'LEM cost side'!E36*E$11</f>
        <v>1231.3121102123525</v>
      </c>
      <c r="F80" s="8">
        <f>'LEM cost side'!F36*F$11</f>
        <v>603.166137863877</v>
      </c>
      <c r="G80" s="8">
        <f>'LEM cost side'!G36*G$11</f>
        <v>0</v>
      </c>
      <c r="H80" s="8">
        <f>'LEM cost side'!H36*H$11</f>
        <v>0</v>
      </c>
      <c r="I80" s="8">
        <f>'LEM cost side'!I36*I$11</f>
        <v>0</v>
      </c>
    </row>
    <row r="81" spans="1:9" x14ac:dyDescent="0.25">
      <c r="A81" s="22">
        <v>0.18</v>
      </c>
      <c r="B81" s="23">
        <v>300</v>
      </c>
      <c r="C81" s="8">
        <f>'LEM cost side'!C37*C$11</f>
        <v>0</v>
      </c>
      <c r="D81" s="8">
        <f>'LEM cost side'!D37*D$11</f>
        <v>0</v>
      </c>
      <c r="E81" s="8">
        <f>'LEM cost side'!E37*E$11</f>
        <v>0</v>
      </c>
      <c r="F81" s="8">
        <f>'LEM cost side'!F37*F$11</f>
        <v>0</v>
      </c>
      <c r="G81" s="8">
        <f>'LEM cost side'!G37*G$11</f>
        <v>0</v>
      </c>
      <c r="H81" s="8">
        <f>'LEM cost side'!H37*H$11</f>
        <v>0</v>
      </c>
      <c r="I81" s="8">
        <f>'LEM cost side'!I37*I$11</f>
        <v>0</v>
      </c>
    </row>
    <row r="82" spans="1:9" x14ac:dyDescent="0.25">
      <c r="A82" s="22">
        <v>0.13</v>
      </c>
      <c r="B82" s="23">
        <v>200</v>
      </c>
      <c r="C82" s="8">
        <f>'LEM cost side'!C38*C$11</f>
        <v>276.09804058253104</v>
      </c>
      <c r="D82" s="8">
        <f>'LEM cost side'!D38*D$11</f>
        <v>361.40703743410546</v>
      </c>
      <c r="E82" s="8">
        <f>'LEM cost side'!E38*E$11</f>
        <v>976.69957830900148</v>
      </c>
      <c r="F82" s="8">
        <f>'LEM cost side'!F38*F$11</f>
        <v>1326.236404711155</v>
      </c>
      <c r="G82" s="8">
        <f>'LEM cost side'!G38*G$11</f>
        <v>533.36259775983456</v>
      </c>
      <c r="H82" s="8">
        <f>'LEM cost side'!H38*H$11</f>
        <v>0</v>
      </c>
      <c r="I82" s="8">
        <f>'LEM cost side'!I38*I$11</f>
        <v>0</v>
      </c>
    </row>
    <row r="83" spans="1:9" x14ac:dyDescent="0.25">
      <c r="A83" s="22">
        <v>0.13</v>
      </c>
      <c r="B83" s="23">
        <v>300</v>
      </c>
      <c r="C83" s="8">
        <f>'LEM cost side'!C39*C$11</f>
        <v>0</v>
      </c>
      <c r="D83" s="8">
        <f>'LEM cost side'!D39*D$11</f>
        <v>400.65861763786091</v>
      </c>
      <c r="E83" s="8">
        <f>'LEM cost side'!E39*E$11</f>
        <v>576.63764266661292</v>
      </c>
      <c r="F83" s="8">
        <f>'LEM cost side'!F39*F$11</f>
        <v>992.73412370179301</v>
      </c>
      <c r="G83" s="8">
        <f>'LEM cost side'!G39*G$11</f>
        <v>1210.040702750427</v>
      </c>
      <c r="H83" s="8">
        <f>'LEM cost side'!H39*H$11</f>
        <v>832.69214336406117</v>
      </c>
      <c r="I83" s="8">
        <f>'LEM cost side'!I39*I$11</f>
        <v>0</v>
      </c>
    </row>
    <row r="84" spans="1:9" x14ac:dyDescent="0.25">
      <c r="A84" s="22">
        <v>0.09</v>
      </c>
      <c r="B84" s="23">
        <v>200</v>
      </c>
      <c r="C84" s="8">
        <f>'LEM cost side'!C40*C$11</f>
        <v>0</v>
      </c>
      <c r="D84" s="8">
        <f>'LEM cost side'!D40*D$11</f>
        <v>0</v>
      </c>
      <c r="E84" s="8">
        <f>'LEM cost side'!E40*E$11</f>
        <v>121.73176763299757</v>
      </c>
      <c r="F84" s="8">
        <f>'LEM cost side'!F40*F$11</f>
        <v>817.59909651713679</v>
      </c>
      <c r="G84" s="8">
        <f>'LEM cost side'!G40*G$11</f>
        <v>1765.027920296149</v>
      </c>
      <c r="H84" s="8">
        <f>'LEM cost side'!H40*H$11</f>
        <v>1869.9920325422179</v>
      </c>
      <c r="I84" s="8">
        <f>'LEM cost side'!I40*I$11</f>
        <v>930.87983032063801</v>
      </c>
    </row>
    <row r="85" spans="1:9" x14ac:dyDescent="0.25">
      <c r="A85" s="22">
        <v>0.09</v>
      </c>
      <c r="B85" s="23">
        <v>300</v>
      </c>
      <c r="C85" s="8">
        <f>'LEM cost side'!C41*C$11</f>
        <v>0</v>
      </c>
      <c r="D85" s="8">
        <f>'LEM cost side'!D41*D$11</f>
        <v>0</v>
      </c>
      <c r="E85" s="8">
        <f>'LEM cost side'!E41*E$11</f>
        <v>168.21513396365961</v>
      </c>
      <c r="F85" s="8">
        <f>'LEM cost side'!F41*F$11</f>
        <v>252.62860406682231</v>
      </c>
      <c r="G85" s="8">
        <f>'LEM cost side'!G41*G$11</f>
        <v>383.44959348967609</v>
      </c>
      <c r="H85" s="8">
        <f>'LEM cost side'!H41*H$11</f>
        <v>1257.3695373364455</v>
      </c>
      <c r="I85" s="8">
        <f>'LEM cost side'!I41*I$11</f>
        <v>1430.4773066104965</v>
      </c>
    </row>
    <row r="86" spans="1:9" x14ac:dyDescent="0.25">
      <c r="A86" s="22">
        <v>6.5000000000000002E-2</v>
      </c>
      <c r="B86" s="23">
        <v>200</v>
      </c>
      <c r="C86" s="8">
        <f>'LEM cost side'!C42*C$11</f>
        <v>0</v>
      </c>
      <c r="D86" s="8">
        <f>'LEM cost side'!D42*D$11</f>
        <v>0</v>
      </c>
      <c r="E86" s="8">
        <f>'LEM cost side'!E42*E$11</f>
        <v>0</v>
      </c>
      <c r="F86" s="8">
        <f>'LEM cost side'!F42*F$11</f>
        <v>0</v>
      </c>
      <c r="G86" s="8">
        <f>'LEM cost side'!G42*G$11</f>
        <v>0</v>
      </c>
      <c r="H86" s="8">
        <f>'LEM cost side'!H42*H$11</f>
        <v>0</v>
      </c>
      <c r="I86" s="8">
        <f>'LEM cost side'!I42*I$11</f>
        <v>858.16715289549632</v>
      </c>
    </row>
    <row r="87" spans="1:9" x14ac:dyDescent="0.25">
      <c r="A87" s="22">
        <v>6.5000000000000002E-2</v>
      </c>
      <c r="B87" s="23">
        <v>300</v>
      </c>
      <c r="C87" s="8">
        <f>'LEM cost side'!C43*C$11</f>
        <v>0</v>
      </c>
      <c r="D87" s="8">
        <f>'LEM cost side'!D43*D$11</f>
        <v>0</v>
      </c>
      <c r="E87" s="8">
        <f>'LEM cost side'!E43*E$11</f>
        <v>0</v>
      </c>
      <c r="F87" s="8">
        <f>'LEM cost side'!F43*F$11</f>
        <v>0</v>
      </c>
      <c r="G87" s="8">
        <f>'LEM cost side'!G43*G$11</f>
        <v>401.03616256683301</v>
      </c>
      <c r="H87" s="8">
        <f>'LEM cost side'!H43*H$11</f>
        <v>1443.3081148799627</v>
      </c>
      <c r="I87" s="8">
        <f>'LEM cost side'!I43*I$11</f>
        <v>2051.843806260857</v>
      </c>
    </row>
    <row r="88" spans="1:9" x14ac:dyDescent="0.25">
      <c r="A88" s="20">
        <v>4.4999999999999998E-2</v>
      </c>
      <c r="B88" s="21">
        <v>200</v>
      </c>
      <c r="C88" s="8">
        <f>'LEM cost side'!C44*C$11</f>
        <v>0</v>
      </c>
      <c r="D88" s="8">
        <f>'LEM cost side'!D44*D$11</f>
        <v>0</v>
      </c>
      <c r="E88" s="8">
        <f>'LEM cost side'!E44*E$11</f>
        <v>0</v>
      </c>
      <c r="F88" s="8">
        <f>'LEM cost side'!F44*F$11</f>
        <v>0</v>
      </c>
      <c r="G88" s="8">
        <f>'LEM cost side'!G44*G$11</f>
        <v>0</v>
      </c>
      <c r="H88" s="8">
        <f>'LEM cost side'!H44*H$11</f>
        <v>0</v>
      </c>
      <c r="I88" s="8">
        <f>'LEM cost side'!I44*I$11</f>
        <v>254.48101612269079</v>
      </c>
    </row>
    <row r="89" spans="1:9" x14ac:dyDescent="0.25">
      <c r="A89" s="20">
        <v>4.4999999999999998E-2</v>
      </c>
      <c r="B89" s="21">
        <v>300</v>
      </c>
      <c r="C89" s="8">
        <f>'LEM cost side'!C45*C$11</f>
        <v>0</v>
      </c>
      <c r="D89" s="8">
        <f>'LEM cost side'!D45*D$11</f>
        <v>0</v>
      </c>
      <c r="E89" s="8">
        <f>'LEM cost side'!E45*E$11</f>
        <v>0</v>
      </c>
      <c r="F89" s="8">
        <f>'LEM cost side'!F45*F$11</f>
        <v>0</v>
      </c>
      <c r="G89" s="8">
        <f>'LEM cost side'!G45*G$11</f>
        <v>0</v>
      </c>
      <c r="H89" s="8">
        <f>'LEM cost side'!H45*H$11</f>
        <v>0</v>
      </c>
      <c r="I89" s="8">
        <f>'LEM cost side'!I45*I$11</f>
        <v>288.70345781257129</v>
      </c>
    </row>
    <row r="90" spans="1:9" x14ac:dyDescent="0.25">
      <c r="A90" s="20">
        <v>0.03</v>
      </c>
      <c r="B90" s="21">
        <v>200</v>
      </c>
      <c r="C90" s="8">
        <f>'LEM cost side'!C46*C$11</f>
        <v>0</v>
      </c>
      <c r="D90" s="8">
        <f>'LEM cost side'!D46*D$11</f>
        <v>0</v>
      </c>
      <c r="E90" s="8">
        <f>'LEM cost side'!E46*E$11</f>
        <v>0</v>
      </c>
      <c r="F90" s="8">
        <f>'LEM cost side'!F46*F$11</f>
        <v>0</v>
      </c>
      <c r="G90" s="8">
        <f>'LEM cost side'!G46*G$11</f>
        <v>0</v>
      </c>
      <c r="H90" s="8">
        <f>'LEM cost side'!H46*H$11</f>
        <v>0</v>
      </c>
      <c r="I90" s="8">
        <f>'LEM cost side'!I46*I$11</f>
        <v>0</v>
      </c>
    </row>
    <row r="91" spans="1:9" x14ac:dyDescent="0.25">
      <c r="A91" s="20"/>
      <c r="B91" s="21" t="s">
        <v>39</v>
      </c>
      <c r="C91" s="8">
        <f>+SUM(C78:C90)</f>
        <v>2866.4019184494582</v>
      </c>
      <c r="D91" s="8">
        <f t="shared" ref="D91:I91" si="34">+SUM(D78:D90)</f>
        <v>2794.6663799999997</v>
      </c>
      <c r="E91" s="8">
        <f t="shared" si="34"/>
        <v>3074.5962327846241</v>
      </c>
      <c r="F91" s="8">
        <f t="shared" si="34"/>
        <v>3992.3643668607842</v>
      </c>
      <c r="G91" s="8">
        <f t="shared" si="34"/>
        <v>4292.916976862919</v>
      </c>
      <c r="H91" s="8">
        <f t="shared" si="34"/>
        <v>5403.3618281226873</v>
      </c>
      <c r="I91" s="8">
        <f t="shared" si="34"/>
        <v>5814.5525700227499</v>
      </c>
    </row>
    <row r="92" spans="1:9" x14ac:dyDescent="0.25">
      <c r="A92" s="20" t="s">
        <v>146</v>
      </c>
      <c r="B92" s="21" t="s">
        <v>147</v>
      </c>
      <c r="C92" s="8"/>
      <c r="D92" s="8"/>
      <c r="E92" s="8"/>
      <c r="F92" s="8"/>
      <c r="G92" s="8"/>
      <c r="H92" s="8"/>
      <c r="I92" s="8"/>
    </row>
    <row r="93" spans="1:9" x14ac:dyDescent="0.25">
      <c r="A93" s="22">
        <v>0.25</v>
      </c>
      <c r="B93" s="23">
        <v>200</v>
      </c>
      <c r="C93" s="8">
        <f>100*C78/'LEM cost side'!C49</f>
        <v>2208.2934111568738</v>
      </c>
      <c r="D93" s="8">
        <f>100*D78/'LEM cost side'!D49</f>
        <v>808.90389576595533</v>
      </c>
      <c r="E93" s="8">
        <f>100*E78/'LEM cost side'!E49</f>
        <v>0</v>
      </c>
      <c r="F93" s="8">
        <f>100*F78/'LEM cost side'!F49</f>
        <v>0</v>
      </c>
      <c r="G93" s="8">
        <f>100*G78/'LEM cost side'!G49</f>
        <v>0</v>
      </c>
      <c r="H93" s="8">
        <f>100*H78/'LEM cost side'!H49</f>
        <v>0</v>
      </c>
      <c r="I93" s="8">
        <f>100*I78/'LEM cost side'!I49</f>
        <v>0</v>
      </c>
    </row>
    <row r="94" spans="1:9" x14ac:dyDescent="0.25">
      <c r="A94" s="22">
        <v>0.25</v>
      </c>
      <c r="B94" s="23">
        <v>300</v>
      </c>
      <c r="C94" s="8">
        <f>100*C79/'LEM cost side'!C50</f>
        <v>0</v>
      </c>
      <c r="D94" s="8">
        <f>100*D79/'LEM cost side'!D50</f>
        <v>0</v>
      </c>
      <c r="E94" s="8">
        <f>100*E79/'LEM cost side'!E50</f>
        <v>0</v>
      </c>
      <c r="F94" s="8">
        <f>100*F79/'LEM cost side'!F50</f>
        <v>0</v>
      </c>
      <c r="G94" s="8">
        <f>100*G79/'LEM cost side'!G50</f>
        <v>0</v>
      </c>
      <c r="H94" s="8">
        <f>100*H79/'LEM cost side'!H50</f>
        <v>0</v>
      </c>
      <c r="I94" s="8">
        <f>100*I79/'LEM cost side'!I50</f>
        <v>0</v>
      </c>
    </row>
    <row r="95" spans="1:9" x14ac:dyDescent="0.25">
      <c r="A95" s="22">
        <v>0.18</v>
      </c>
      <c r="B95" s="23">
        <v>200</v>
      </c>
      <c r="C95" s="8">
        <f>100*C80/'LEM cost side'!C51</f>
        <v>2898.3851021433975</v>
      </c>
      <c r="D95" s="8">
        <f>100*D80/'LEM cost side'!D51</f>
        <v>3235.6155830638218</v>
      </c>
      <c r="E95" s="8">
        <f>100*E80/'LEM cost side'!E51</f>
        <v>2469.8938432003642</v>
      </c>
      <c r="F95" s="8">
        <f>100*F80/'LEM cost side'!F51</f>
        <v>1209.8933470897221</v>
      </c>
      <c r="G95" s="8">
        <f>100*G80/'LEM cost side'!G51</f>
        <v>0</v>
      </c>
      <c r="H95" s="8">
        <f>100*H80/'LEM cost side'!H51</f>
        <v>0</v>
      </c>
      <c r="I95" s="8">
        <f>100*I80/'LEM cost side'!I51</f>
        <v>0</v>
      </c>
    </row>
    <row r="96" spans="1:9" x14ac:dyDescent="0.25">
      <c r="A96" s="22">
        <v>0.18</v>
      </c>
      <c r="B96" s="23">
        <v>300</v>
      </c>
      <c r="C96" s="8">
        <f>100*C81/'LEM cost side'!C52</f>
        <v>0</v>
      </c>
      <c r="D96" s="8">
        <f>100*D81/'LEM cost side'!D52</f>
        <v>0</v>
      </c>
      <c r="E96" s="8">
        <f>100*E81/'LEM cost side'!E52</f>
        <v>0</v>
      </c>
      <c r="F96" s="8">
        <f>100*F81/'LEM cost side'!F52</f>
        <v>0</v>
      </c>
      <c r="G96" s="8">
        <f>100*G81/'LEM cost side'!G52</f>
        <v>0</v>
      </c>
      <c r="H96" s="8">
        <f>100*H81/'LEM cost side'!H52</f>
        <v>0</v>
      </c>
      <c r="I96" s="8">
        <f>100*I81/'LEM cost side'!I52</f>
        <v>0</v>
      </c>
    </row>
    <row r="97" spans="1:9" x14ac:dyDescent="0.25">
      <c r="A97" s="22">
        <v>0.13</v>
      </c>
      <c r="B97" s="23">
        <v>200</v>
      </c>
      <c r="C97" s="8">
        <f>100*C82/'LEM cost side'!C53</f>
        <v>414.0550145919139</v>
      </c>
      <c r="D97" s="8">
        <f>100*D82/'LEM cost side'!D53</f>
        <v>639.36652218867914</v>
      </c>
      <c r="E97" s="8">
        <f>100*E82/'LEM cost side'!E53</f>
        <v>2038.3222769288557</v>
      </c>
      <c r="F97" s="8">
        <f>100*F82/'LEM cost side'!F53</f>
        <v>2767.7878318296252</v>
      </c>
      <c r="G97" s="8">
        <f>100*G82/'LEM cost side'!G53</f>
        <v>1113.1005775355884</v>
      </c>
      <c r="H97" s="8">
        <f>100*H82/'LEM cost side'!H53</f>
        <v>0</v>
      </c>
      <c r="I97" s="8">
        <f>100*I82/'LEM cost side'!I53</f>
        <v>0</v>
      </c>
    </row>
    <row r="98" spans="1:9" x14ac:dyDescent="0.25">
      <c r="A98" s="22">
        <v>0.13</v>
      </c>
      <c r="B98" s="23">
        <v>300</v>
      </c>
      <c r="C98" s="8">
        <f>100*C83/'LEM cost side'!C54</f>
        <v>0</v>
      </c>
      <c r="D98" s="8">
        <f>100*D83/'LEM cost side'!D54</f>
        <v>708.80663742124659</v>
      </c>
      <c r="E98" s="8">
        <f>100*E83/'LEM cost side'!E54</f>
        <v>1203.4133922716221</v>
      </c>
      <c r="F98" s="8">
        <f>100*F83/'LEM cost side'!F54</f>
        <v>2071.7855565292625</v>
      </c>
      <c r="G98" s="8">
        <f>100*G83/'LEM cost side'!G54</f>
        <v>2525.2933196481054</v>
      </c>
      <c r="H98" s="8">
        <f>100*H83/'LEM cost side'!H54</f>
        <v>1737.7860944520892</v>
      </c>
      <c r="I98" s="8">
        <f>100*I83/'LEM cost side'!I54</f>
        <v>0</v>
      </c>
    </row>
    <row r="99" spans="1:9" x14ac:dyDescent="0.25">
      <c r="A99" s="22">
        <v>0.09</v>
      </c>
      <c r="B99" s="23">
        <v>200</v>
      </c>
      <c r="C99" s="8"/>
      <c r="D99" s="8"/>
      <c r="E99" s="8">
        <f>100*E84/'LEM cost side'!E55</f>
        <v>194.4307787971016</v>
      </c>
      <c r="F99" s="8">
        <f>100*F84/'LEM cost side'!F55</f>
        <v>1540.4941504860756</v>
      </c>
      <c r="G99" s="8">
        <f>100*G84/'LEM cost side'!G55</f>
        <v>3923.1037507816441</v>
      </c>
      <c r="H99" s="8">
        <f>100*H84/'LEM cost side'!H55</f>
        <v>4156.4060672577061</v>
      </c>
      <c r="I99" s="8">
        <f>100*I84/'LEM cost side'!I55</f>
        <v>2069.0540426381053</v>
      </c>
    </row>
    <row r="100" spans="1:9" x14ac:dyDescent="0.25">
      <c r="A100" s="22">
        <v>0.09</v>
      </c>
      <c r="B100" s="23">
        <v>300</v>
      </c>
      <c r="C100" s="8"/>
      <c r="D100" s="8"/>
      <c r="E100" s="8">
        <f>100*E85/'LEM cost side'!E56</f>
        <v>268.67431680296664</v>
      </c>
      <c r="F100" s="8">
        <f>100*F85/'LEM cost side'!F56</f>
        <v>475.99476133012769</v>
      </c>
      <c r="G100" s="8">
        <f>100*G85/'LEM cost side'!G56</f>
        <v>852.28823927195469</v>
      </c>
      <c r="H100" s="8">
        <f>100*H85/'LEM cost side'!H56</f>
        <v>2794.7383105506515</v>
      </c>
      <c r="I100" s="8">
        <f>100*I85/'LEM cost side'!I56</f>
        <v>3179.5026143439454</v>
      </c>
    </row>
    <row r="101" spans="1:9" x14ac:dyDescent="0.25">
      <c r="A101" s="22">
        <v>6.5000000000000002E-2</v>
      </c>
      <c r="B101" s="23">
        <v>200</v>
      </c>
      <c r="C101" s="8"/>
      <c r="D101" s="8"/>
      <c r="E101" s="8"/>
      <c r="F101" s="8"/>
      <c r="G101" s="8">
        <f>100*G86/'LEM cost side'!G57</f>
        <v>0</v>
      </c>
      <c r="H101" s="8">
        <f>100*H86/'LEM cost side'!H57</f>
        <v>0</v>
      </c>
      <c r="I101" s="8">
        <f>100*I86/'LEM cost side'!I57</f>
        <v>2031.4983069087539</v>
      </c>
    </row>
    <row r="102" spans="1:9" x14ac:dyDescent="0.25">
      <c r="A102" s="22">
        <v>6.5000000000000002E-2</v>
      </c>
      <c r="B102" s="23">
        <v>300</v>
      </c>
      <c r="C102" s="8"/>
      <c r="D102" s="8"/>
      <c r="E102" s="8"/>
      <c r="F102" s="8"/>
      <c r="G102" s="8">
        <f>100*G87/'LEM cost side'!G58</f>
        <v>682.19885572194244</v>
      </c>
      <c r="H102" s="8">
        <f>100*H87/'LEM cost side'!H58</f>
        <v>2896.3101574201487</v>
      </c>
      <c r="I102" s="8">
        <f>100*I87/'LEM cost side'!I58</f>
        <v>4857.2323053801892</v>
      </c>
    </row>
    <row r="103" spans="1:9" x14ac:dyDescent="0.25">
      <c r="A103" s="20">
        <v>4.4999999999999998E-2</v>
      </c>
      <c r="B103" s="21">
        <v>200</v>
      </c>
      <c r="C103" s="8"/>
      <c r="D103" s="8"/>
      <c r="E103" s="8"/>
      <c r="F103" s="8"/>
      <c r="G103" s="8"/>
      <c r="H103" s="8"/>
      <c r="I103" s="8">
        <f>100*I88/'LEM cost side'!I59</f>
        <v>461.05125031340594</v>
      </c>
    </row>
    <row r="104" spans="1:9" x14ac:dyDescent="0.25">
      <c r="A104" s="20">
        <v>4.4999999999999998E-2</v>
      </c>
      <c r="B104" s="21">
        <v>300</v>
      </c>
      <c r="C104" s="8"/>
      <c r="D104" s="8"/>
      <c r="E104" s="8"/>
      <c r="F104" s="8"/>
      <c r="G104" s="8"/>
      <c r="H104" s="8"/>
      <c r="I104" s="8">
        <f>100*I89/'LEM cost side'!I60</f>
        <v>523.05312287072854</v>
      </c>
    </row>
    <row r="105" spans="1:9" x14ac:dyDescent="0.25">
      <c r="A105" s="20">
        <v>0.03</v>
      </c>
      <c r="B105" s="21">
        <v>200</v>
      </c>
      <c r="C105" s="8"/>
      <c r="D105" s="8"/>
      <c r="E105" s="8"/>
      <c r="F105" s="8"/>
      <c r="G105" s="8"/>
      <c r="H105" s="8"/>
      <c r="I105" s="8"/>
    </row>
    <row r="106" spans="1:9" x14ac:dyDescent="0.25">
      <c r="A106" s="20"/>
      <c r="B106" s="21" t="s">
        <v>9</v>
      </c>
      <c r="C106" s="8">
        <f>+SUM(C93:C105)</f>
        <v>5520.7335278921855</v>
      </c>
      <c r="D106" s="8">
        <f t="shared" ref="D106:I106" si="35">+SUM(D93:D105)</f>
        <v>5392.6926384397029</v>
      </c>
      <c r="E106" s="8">
        <f t="shared" si="35"/>
        <v>6174.7346080009111</v>
      </c>
      <c r="F106" s="8">
        <f t="shared" si="35"/>
        <v>8065.9556472648128</v>
      </c>
      <c r="G106" s="8">
        <f t="shared" si="35"/>
        <v>9095.9847429592355</v>
      </c>
      <c r="H106" s="8">
        <f t="shared" si="35"/>
        <v>11585.240629680595</v>
      </c>
      <c r="I106" s="8">
        <f t="shared" si="35"/>
        <v>13121.391642455126</v>
      </c>
    </row>
    <row r="107" spans="1:9" x14ac:dyDescent="0.25">
      <c r="A107" s="20" t="s">
        <v>148</v>
      </c>
      <c r="B107" s="21"/>
      <c r="C107" s="8"/>
      <c r="D107" s="8"/>
      <c r="E107" s="8"/>
      <c r="F107" s="8"/>
      <c r="G107" s="8"/>
      <c r="H107" s="8"/>
      <c r="I107" s="8"/>
    </row>
    <row r="108" spans="1:9" x14ac:dyDescent="0.25">
      <c r="A108" s="22">
        <v>0.25</v>
      </c>
      <c r="B108" s="23">
        <v>200</v>
      </c>
      <c r="C108" s="8">
        <f t="shared" ref="C108:I118" si="36">+C93*C64</f>
        <v>8640.2620768737615</v>
      </c>
      <c r="D108" s="8">
        <f t="shared" si="36"/>
        <v>1121.6827557528115</v>
      </c>
      <c r="E108" s="8">
        <f t="shared" si="36"/>
        <v>0</v>
      </c>
      <c r="F108" s="8">
        <f t="shared" si="36"/>
        <v>0</v>
      </c>
      <c r="G108" s="8">
        <f t="shared" si="36"/>
        <v>0</v>
      </c>
      <c r="H108" s="8">
        <f t="shared" si="36"/>
        <v>0</v>
      </c>
      <c r="I108" s="8">
        <f t="shared" si="36"/>
        <v>0</v>
      </c>
    </row>
    <row r="109" spans="1:9" x14ac:dyDescent="0.25">
      <c r="A109" s="22">
        <v>0.25</v>
      </c>
      <c r="B109" s="23">
        <v>300</v>
      </c>
      <c r="C109" s="8">
        <f t="shared" si="36"/>
        <v>0</v>
      </c>
      <c r="D109" s="8">
        <f t="shared" si="36"/>
        <v>0</v>
      </c>
      <c r="E109" s="8">
        <f t="shared" si="36"/>
        <v>0</v>
      </c>
      <c r="F109" s="8">
        <f t="shared" si="36"/>
        <v>0</v>
      </c>
      <c r="G109" s="8">
        <f t="shared" si="36"/>
        <v>0</v>
      </c>
      <c r="H109" s="8">
        <f t="shared" si="36"/>
        <v>0</v>
      </c>
      <c r="I109" s="8">
        <f t="shared" si="36"/>
        <v>0</v>
      </c>
    </row>
    <row r="110" spans="1:9" x14ac:dyDescent="0.25">
      <c r="A110" s="22">
        <v>0.18</v>
      </c>
      <c r="B110" s="23">
        <v>200</v>
      </c>
      <c r="C110" s="8">
        <f t="shared" si="36"/>
        <v>24069.041432603717</v>
      </c>
      <c r="D110" s="8">
        <f t="shared" si="36"/>
        <v>9522.7547876268054</v>
      </c>
      <c r="E110" s="8">
        <f t="shared" si="36"/>
        <v>5496.9477137854765</v>
      </c>
      <c r="F110" s="8">
        <f t="shared" si="36"/>
        <v>2179.7083438838208</v>
      </c>
      <c r="G110" s="8">
        <f t="shared" si="36"/>
        <v>0</v>
      </c>
      <c r="H110" s="8">
        <f t="shared" si="36"/>
        <v>0</v>
      </c>
      <c r="I110" s="8">
        <f t="shared" si="36"/>
        <v>0</v>
      </c>
    </row>
    <row r="111" spans="1:9" x14ac:dyDescent="0.25">
      <c r="A111" s="22">
        <v>0.18</v>
      </c>
      <c r="B111" s="23">
        <v>300</v>
      </c>
      <c r="C111" s="8">
        <f t="shared" si="36"/>
        <v>0</v>
      </c>
      <c r="D111" s="8">
        <f t="shared" si="36"/>
        <v>0</v>
      </c>
      <c r="E111" s="8">
        <f t="shared" si="36"/>
        <v>0</v>
      </c>
      <c r="F111" s="8">
        <f t="shared" si="36"/>
        <v>0</v>
      </c>
      <c r="G111" s="8">
        <f t="shared" si="36"/>
        <v>0</v>
      </c>
      <c r="H111" s="8">
        <f t="shared" si="36"/>
        <v>0</v>
      </c>
      <c r="I111" s="8">
        <f t="shared" si="36"/>
        <v>0</v>
      </c>
    </row>
    <row r="112" spans="1:9" x14ac:dyDescent="0.25">
      <c r="A112" s="22">
        <v>0.13</v>
      </c>
      <c r="B112" s="23">
        <v>200</v>
      </c>
      <c r="C112" s="8">
        <f t="shared" si="36"/>
        <v>6834.288490522521</v>
      </c>
      <c r="D112" s="8">
        <f t="shared" si="36"/>
        <v>3864.8988763362904</v>
      </c>
      <c r="E112" s="8">
        <f t="shared" si="36"/>
        <v>9628.2805460993077</v>
      </c>
      <c r="F112" s="8">
        <f t="shared" si="36"/>
        <v>10583.191640928388</v>
      </c>
      <c r="G112" s="8">
        <f t="shared" si="36"/>
        <v>3564.493020131406</v>
      </c>
      <c r="H112" s="8">
        <f t="shared" si="36"/>
        <v>0</v>
      </c>
      <c r="I112" s="8">
        <f t="shared" si="36"/>
        <v>0</v>
      </c>
    </row>
    <row r="113" spans="1:9" x14ac:dyDescent="0.25">
      <c r="A113" s="22">
        <v>0.13</v>
      </c>
      <c r="B113" s="23">
        <v>300</v>
      </c>
      <c r="C113" s="8">
        <f t="shared" si="36"/>
        <v>0</v>
      </c>
      <c r="D113" s="8">
        <f t="shared" si="36"/>
        <v>4284.6565802840942</v>
      </c>
      <c r="E113" s="8">
        <f t="shared" si="36"/>
        <v>5684.4797728365556</v>
      </c>
      <c r="F113" s="8">
        <f t="shared" si="36"/>
        <v>7921.8874118550384</v>
      </c>
      <c r="G113" s="8">
        <f t="shared" si="36"/>
        <v>8086.771845540924</v>
      </c>
      <c r="H113" s="8">
        <f t="shared" si="36"/>
        <v>2964.1178856871825</v>
      </c>
      <c r="I113" s="8">
        <f t="shared" si="36"/>
        <v>0</v>
      </c>
    </row>
    <row r="114" spans="1:9" x14ac:dyDescent="0.25">
      <c r="A114" s="22">
        <v>0.09</v>
      </c>
      <c r="B114" s="23">
        <v>200</v>
      </c>
      <c r="C114" s="8">
        <f t="shared" si="36"/>
        <v>0</v>
      </c>
      <c r="D114" s="8">
        <f t="shared" si="36"/>
        <v>0</v>
      </c>
      <c r="E114" s="8">
        <f t="shared" si="36"/>
        <v>1615.1189754795118</v>
      </c>
      <c r="F114" s="8">
        <f t="shared" si="36"/>
        <v>10704.282047296958</v>
      </c>
      <c r="G114" s="8">
        <f t="shared" si="36"/>
        <v>23591.566895231052</v>
      </c>
      <c r="H114" s="8">
        <f t="shared" si="36"/>
        <v>13313.147899673446</v>
      </c>
      <c r="I114" s="8">
        <f t="shared" si="36"/>
        <v>5356.2433117108267</v>
      </c>
    </row>
    <row r="115" spans="1:9" x14ac:dyDescent="0.25">
      <c r="A115" s="22">
        <v>0.09</v>
      </c>
      <c r="B115" s="23">
        <v>300</v>
      </c>
      <c r="C115" s="8">
        <f t="shared" si="36"/>
        <v>0</v>
      </c>
      <c r="D115" s="8">
        <f t="shared" si="36"/>
        <v>0</v>
      </c>
      <c r="E115" s="8">
        <f t="shared" si="36"/>
        <v>2231.8533617833459</v>
      </c>
      <c r="F115" s="8">
        <f t="shared" si="36"/>
        <v>3307.4985560352775</v>
      </c>
      <c r="G115" s="8">
        <f t="shared" si="36"/>
        <v>5125.2315228209045</v>
      </c>
      <c r="H115" s="8">
        <f t="shared" si="36"/>
        <v>8951.6673460618895</v>
      </c>
      <c r="I115" s="8">
        <f t="shared" si="36"/>
        <v>8230.9061347343286</v>
      </c>
    </row>
    <row r="116" spans="1:9" x14ac:dyDescent="0.25">
      <c r="A116" s="22">
        <v>6.5000000000000002E-2</v>
      </c>
      <c r="B116" s="23">
        <v>200</v>
      </c>
      <c r="C116" s="8">
        <f t="shared" si="36"/>
        <v>0</v>
      </c>
      <c r="D116" s="8">
        <f t="shared" si="36"/>
        <v>0</v>
      </c>
      <c r="E116" s="8">
        <f t="shared" si="36"/>
        <v>0</v>
      </c>
      <c r="F116" s="8">
        <f t="shared" si="36"/>
        <v>0</v>
      </c>
      <c r="G116" s="8">
        <f t="shared" si="36"/>
        <v>0</v>
      </c>
      <c r="H116" s="8">
        <f t="shared" si="36"/>
        <v>0</v>
      </c>
      <c r="I116" s="8">
        <f t="shared" si="36"/>
        <v>9875.7152605683987</v>
      </c>
    </row>
    <row r="117" spans="1:9" x14ac:dyDescent="0.25">
      <c r="A117" s="22">
        <v>6.5000000000000002E-2</v>
      </c>
      <c r="B117" s="23">
        <v>300</v>
      </c>
      <c r="C117" s="8">
        <f t="shared" si="36"/>
        <v>0</v>
      </c>
      <c r="D117" s="8">
        <f t="shared" si="36"/>
        <v>0</v>
      </c>
      <c r="E117" s="8">
        <f t="shared" si="36"/>
        <v>0</v>
      </c>
      <c r="F117" s="8">
        <f t="shared" si="36"/>
        <v>0</v>
      </c>
      <c r="G117" s="8">
        <f t="shared" si="36"/>
        <v>7214.4229275494017</v>
      </c>
      <c r="H117" s="8">
        <f t="shared" si="36"/>
        <v>16858.598955838857</v>
      </c>
      <c r="I117" s="8">
        <f t="shared" si="36"/>
        <v>23612.445572431137</v>
      </c>
    </row>
    <row r="118" spans="1:9" x14ac:dyDescent="0.25">
      <c r="A118" s="20">
        <v>4.4999999999999998E-2</v>
      </c>
      <c r="B118" s="21">
        <v>200</v>
      </c>
      <c r="C118" s="8">
        <f t="shared" si="36"/>
        <v>0</v>
      </c>
      <c r="D118" s="8">
        <f t="shared" si="36"/>
        <v>0</v>
      </c>
      <c r="E118" s="8">
        <f t="shared" si="36"/>
        <v>0</v>
      </c>
      <c r="F118" s="8">
        <f t="shared" si="36"/>
        <v>0</v>
      </c>
      <c r="G118" s="8">
        <f t="shared" si="36"/>
        <v>0</v>
      </c>
      <c r="H118" s="8">
        <f t="shared" si="36"/>
        <v>0</v>
      </c>
      <c r="I118" s="8">
        <f t="shared" si="36"/>
        <v>3941.5307376759883</v>
      </c>
    </row>
    <row r="119" spans="1:9" x14ac:dyDescent="0.25">
      <c r="A119" s="20">
        <v>4.4999999999999998E-2</v>
      </c>
      <c r="B119" s="21">
        <v>300</v>
      </c>
      <c r="C119" s="8">
        <f t="shared" ref="C119:I119" si="37">+C104*C75</f>
        <v>0</v>
      </c>
      <c r="D119" s="8">
        <f t="shared" si="37"/>
        <v>0</v>
      </c>
      <c r="E119" s="8">
        <f t="shared" si="37"/>
        <v>0</v>
      </c>
      <c r="F119" s="8">
        <f t="shared" si="37"/>
        <v>0</v>
      </c>
      <c r="G119" s="8">
        <f t="shared" si="37"/>
        <v>0</v>
      </c>
      <c r="H119" s="8">
        <f t="shared" si="37"/>
        <v>0</v>
      </c>
      <c r="I119" s="8">
        <f t="shared" si="37"/>
        <v>4471.5852301256546</v>
      </c>
    </row>
    <row r="120" spans="1:9" x14ac:dyDescent="0.25">
      <c r="A120" s="20">
        <v>0.03</v>
      </c>
      <c r="B120" s="21">
        <v>200</v>
      </c>
      <c r="C120" s="8">
        <f t="shared" ref="C120:I120" si="38">+C105*C76</f>
        <v>0</v>
      </c>
      <c r="D120" s="8">
        <f t="shared" si="38"/>
        <v>0</v>
      </c>
      <c r="E120" s="8">
        <f t="shared" si="38"/>
        <v>0</v>
      </c>
      <c r="F120" s="8">
        <f t="shared" si="38"/>
        <v>0</v>
      </c>
      <c r="G120" s="8">
        <f t="shared" si="38"/>
        <v>0</v>
      </c>
      <c r="H120" s="8">
        <f t="shared" si="38"/>
        <v>0</v>
      </c>
      <c r="I120" s="8">
        <f t="shared" si="38"/>
        <v>0</v>
      </c>
    </row>
    <row r="121" spans="1:9" x14ac:dyDescent="0.25">
      <c r="A121" s="20"/>
      <c r="B121" s="21" t="s">
        <v>9</v>
      </c>
      <c r="C121" s="8">
        <f>+SUM(C108:C120)</f>
        <v>39543.591999999997</v>
      </c>
      <c r="D121" s="8">
        <f t="shared" ref="D121:I121" si="39">+SUM(D108:D120)</f>
        <v>18793.993000000002</v>
      </c>
      <c r="E121" s="8">
        <f t="shared" si="39"/>
        <v>24656.680369984198</v>
      </c>
      <c r="F121" s="8">
        <f t="shared" si="39"/>
        <v>34696.567999999483</v>
      </c>
      <c r="G121" s="8">
        <f t="shared" si="39"/>
        <v>47582.486211273688</v>
      </c>
      <c r="H121" s="8">
        <f t="shared" si="39"/>
        <v>42087.532087261381</v>
      </c>
      <c r="I121" s="8">
        <f t="shared" si="39"/>
        <v>55488.426247246331</v>
      </c>
    </row>
    <row r="122" spans="1:9" x14ac:dyDescent="0.25">
      <c r="A122" s="20"/>
      <c r="B122" s="21" t="s">
        <v>199</v>
      </c>
      <c r="C122" s="8"/>
      <c r="D122" s="8"/>
      <c r="E122" s="8"/>
      <c r="F122" s="8"/>
      <c r="G122" s="8"/>
      <c r="H122" s="8"/>
      <c r="I122" s="8"/>
    </row>
    <row r="123" spans="1:9" x14ac:dyDescent="0.25">
      <c r="A123" s="20"/>
      <c r="B123" s="21"/>
      <c r="C123" s="8"/>
      <c r="D123" s="8"/>
      <c r="E123" s="8"/>
      <c r="F123" s="8"/>
      <c r="G123" s="8"/>
      <c r="H123" s="8"/>
      <c r="I123" s="8"/>
    </row>
    <row r="124" spans="1:9" x14ac:dyDescent="0.25">
      <c r="A124" s="1" t="s">
        <v>212</v>
      </c>
      <c r="C124" s="8"/>
      <c r="D124" s="8"/>
      <c r="E124" s="8"/>
      <c r="F124" s="8"/>
      <c r="G124" s="8"/>
      <c r="H124" s="8"/>
      <c r="I124" s="8"/>
    </row>
    <row r="125" spans="1:9" x14ac:dyDescent="0.25">
      <c r="A125" s="1" t="s">
        <v>5</v>
      </c>
      <c r="C125" s="8"/>
      <c r="D125" s="8"/>
      <c r="E125" s="8"/>
      <c r="F125" s="8"/>
      <c r="G125" s="8"/>
      <c r="H125" s="8"/>
      <c r="I125" s="8"/>
    </row>
    <row r="126" spans="1:9" x14ac:dyDescent="0.25">
      <c r="A126" s="1">
        <v>-1.5</v>
      </c>
      <c r="C126" s="9">
        <f>+A126</f>
        <v>-1.5</v>
      </c>
      <c r="D126" s="9">
        <f t="shared" ref="D126:I126" si="40">+C126</f>
        <v>-1.5</v>
      </c>
      <c r="E126" s="9">
        <f t="shared" si="40"/>
        <v>-1.5</v>
      </c>
      <c r="F126" s="9">
        <f t="shared" si="40"/>
        <v>-1.5</v>
      </c>
      <c r="G126" s="9">
        <f t="shared" si="40"/>
        <v>-1.5</v>
      </c>
      <c r="H126" s="9">
        <f t="shared" si="40"/>
        <v>-1.5</v>
      </c>
      <c r="I126" s="9">
        <f t="shared" si="40"/>
        <v>-1.5</v>
      </c>
    </row>
    <row r="127" spans="1:9" x14ac:dyDescent="0.25">
      <c r="A127" s="1" t="s">
        <v>1</v>
      </c>
      <c r="C127" s="8"/>
      <c r="D127" s="8"/>
      <c r="E127" s="8" t="s">
        <v>4</v>
      </c>
      <c r="F127" s="8"/>
      <c r="G127" s="8"/>
      <c r="H127" s="8"/>
      <c r="I127" s="8"/>
    </row>
    <row r="128" spans="1:9" x14ac:dyDescent="0.25">
      <c r="A128" s="1" t="s">
        <v>2</v>
      </c>
      <c r="B128" s="1" t="s">
        <v>34</v>
      </c>
      <c r="C128" s="8">
        <f t="shared" ref="C128:I128" si="41">+C43+C129*C39</f>
        <v>149.70662296509704</v>
      </c>
      <c r="D128" s="8">
        <f t="shared" si="41"/>
        <v>200.76175376479915</v>
      </c>
      <c r="E128" s="8">
        <f t="shared" si="41"/>
        <v>348.30434315711875</v>
      </c>
      <c r="F128" s="8">
        <f t="shared" si="41"/>
        <v>605.48421260501311</v>
      </c>
      <c r="G128" s="8">
        <f t="shared" si="41"/>
        <v>991.47995784255045</v>
      </c>
      <c r="H128" s="8">
        <f t="shared" si="41"/>
        <v>1646.4724798530115</v>
      </c>
      <c r="I128" s="8">
        <f t="shared" si="41"/>
        <v>2685.8252177111863</v>
      </c>
    </row>
    <row r="129" spans="1:9" x14ac:dyDescent="0.25">
      <c r="A129" s="1" t="s">
        <v>3</v>
      </c>
      <c r="B129" s="1" t="s">
        <v>35</v>
      </c>
      <c r="C129" s="8">
        <f t="shared" ref="C129:I129" si="42">-C126*C43/C39</f>
        <v>136.0245045596084</v>
      </c>
      <c r="D129" s="8">
        <f t="shared" si="42"/>
        <v>514.69996960902779</v>
      </c>
      <c r="E129" s="8">
        <f t="shared" si="42"/>
        <v>1180.8491359749712</v>
      </c>
      <c r="F129" s="8">
        <f t="shared" si="42"/>
        <v>2535.8897632567105</v>
      </c>
      <c r="G129" s="8">
        <f t="shared" si="42"/>
        <v>4958.2907581851732</v>
      </c>
      <c r="H129" s="8">
        <f t="shared" si="42"/>
        <v>15458.478038348037</v>
      </c>
      <c r="I129" s="8">
        <f t="shared" si="42"/>
        <v>31200.699336977825</v>
      </c>
    </row>
    <row r="130" spans="1:9" s="36" customFormat="1" x14ac:dyDescent="0.25">
      <c r="A130" s="36" t="s">
        <v>142</v>
      </c>
      <c r="C130" s="39">
        <f t="shared" ref="C130:I130" si="43">+(C128-C129*C39)</f>
        <v>59.882649186038805</v>
      </c>
      <c r="D130" s="39">
        <f t="shared" si="43"/>
        <v>80.304701505919667</v>
      </c>
      <c r="E130" s="39">
        <f t="shared" si="43"/>
        <v>139.32173726284748</v>
      </c>
      <c r="F130" s="39">
        <f t="shared" si="43"/>
        <v>242.19368504200526</v>
      </c>
      <c r="G130" s="39">
        <f t="shared" si="43"/>
        <v>396.59198313702018</v>
      </c>
      <c r="H130" s="39">
        <f t="shared" si="43"/>
        <v>658.58899194120454</v>
      </c>
      <c r="I130" s="39">
        <f t="shared" si="43"/>
        <v>1074.3300870844746</v>
      </c>
    </row>
    <row r="131" spans="1:9" s="36" customFormat="1" x14ac:dyDescent="0.25">
      <c r="C131" s="39"/>
      <c r="D131" s="39"/>
      <c r="E131" s="39"/>
      <c r="F131" s="39"/>
      <c r="G131" s="39"/>
      <c r="H131" s="39"/>
      <c r="I131" s="39"/>
    </row>
    <row r="132" spans="1:9" s="36" customFormat="1" x14ac:dyDescent="0.25">
      <c r="A132" s="36" t="s">
        <v>149</v>
      </c>
      <c r="C132" s="39"/>
      <c r="D132" s="39"/>
      <c r="E132" s="39"/>
      <c r="F132" s="39"/>
      <c r="G132" s="39"/>
      <c r="H132" s="39"/>
      <c r="I132" s="39"/>
    </row>
    <row r="133" spans="1:9" s="36" customFormat="1" x14ac:dyDescent="0.25">
      <c r="C133" s="39"/>
      <c r="D133" s="39" t="s">
        <v>150</v>
      </c>
      <c r="E133" s="39"/>
      <c r="F133" s="39"/>
      <c r="G133" s="39"/>
      <c r="H133" s="39"/>
      <c r="I133" s="39"/>
    </row>
    <row r="134" spans="1:9" s="36" customFormat="1" x14ac:dyDescent="0.25">
      <c r="A134" s="22">
        <v>0.25</v>
      </c>
      <c r="B134" s="23">
        <v>200</v>
      </c>
      <c r="C134" s="39"/>
      <c r="D134" s="39">
        <f>+D78</f>
        <v>419.55461673742781</v>
      </c>
      <c r="E134" s="39"/>
      <c r="F134" s="39"/>
      <c r="G134" s="39"/>
      <c r="H134" s="39"/>
      <c r="I134" s="39"/>
    </row>
    <row r="135" spans="1:9" s="36" customFormat="1" x14ac:dyDescent="0.25">
      <c r="A135" s="22">
        <v>0.25</v>
      </c>
      <c r="B135" s="23">
        <v>300</v>
      </c>
      <c r="C135" s="39"/>
      <c r="D135" s="39">
        <f t="shared" ref="D135:D147" si="44">+D79</f>
        <v>0</v>
      </c>
      <c r="E135" s="39"/>
      <c r="F135" s="39"/>
      <c r="G135" s="39"/>
      <c r="H135" s="39"/>
      <c r="I135" s="39"/>
    </row>
    <row r="136" spans="1:9" s="36" customFormat="1" x14ac:dyDescent="0.25">
      <c r="A136" s="22">
        <v>0.18</v>
      </c>
      <c r="B136" s="23">
        <v>200</v>
      </c>
      <c r="C136" s="39"/>
      <c r="D136" s="39">
        <f t="shared" si="44"/>
        <v>1613.0461081906055</v>
      </c>
      <c r="E136" s="39"/>
      <c r="F136" s="39"/>
      <c r="G136" s="39"/>
      <c r="H136" s="39"/>
      <c r="I136" s="39"/>
    </row>
    <row r="137" spans="1:9" s="36" customFormat="1" x14ac:dyDescent="0.25">
      <c r="A137" s="22">
        <v>0.18</v>
      </c>
      <c r="B137" s="23">
        <v>300</v>
      </c>
      <c r="C137" s="39"/>
      <c r="D137" s="39">
        <f t="shared" si="44"/>
        <v>0</v>
      </c>
      <c r="E137" s="39"/>
      <c r="F137" s="39"/>
      <c r="G137" s="39"/>
      <c r="H137" s="39"/>
      <c r="I137" s="39"/>
    </row>
    <row r="138" spans="1:9" s="36" customFormat="1" x14ac:dyDescent="0.25">
      <c r="A138" s="22">
        <v>0.13</v>
      </c>
      <c r="B138" s="23">
        <v>200</v>
      </c>
      <c r="C138" s="39"/>
      <c r="D138" s="39">
        <f t="shared" si="44"/>
        <v>361.40703743410546</v>
      </c>
      <c r="E138" s="39"/>
      <c r="F138" s="39"/>
      <c r="G138" s="39"/>
      <c r="H138" s="39"/>
      <c r="I138" s="39"/>
    </row>
    <row r="139" spans="1:9" s="36" customFormat="1" x14ac:dyDescent="0.25">
      <c r="A139" s="22">
        <v>0.13</v>
      </c>
      <c r="B139" s="23">
        <v>300</v>
      </c>
      <c r="C139" s="39"/>
      <c r="D139" s="39">
        <f t="shared" si="44"/>
        <v>400.65861763786091</v>
      </c>
      <c r="E139" s="39"/>
      <c r="F139" s="39"/>
      <c r="G139" s="39"/>
      <c r="H139" s="39"/>
      <c r="I139" s="39"/>
    </row>
    <row r="140" spans="1:9" s="36" customFormat="1" x14ac:dyDescent="0.25">
      <c r="A140" s="22">
        <v>0.09</v>
      </c>
      <c r="B140" s="23">
        <v>200</v>
      </c>
      <c r="C140" s="39"/>
      <c r="D140" s="39">
        <f t="shared" si="44"/>
        <v>0</v>
      </c>
      <c r="E140" s="39"/>
      <c r="F140" s="39"/>
      <c r="G140" s="39"/>
      <c r="H140" s="39"/>
      <c r="I140" s="39"/>
    </row>
    <row r="141" spans="1:9" s="36" customFormat="1" x14ac:dyDescent="0.25">
      <c r="A141" s="22">
        <v>0.09</v>
      </c>
      <c r="B141" s="23">
        <v>300</v>
      </c>
      <c r="C141" s="39"/>
      <c r="D141" s="39">
        <f t="shared" si="44"/>
        <v>0</v>
      </c>
      <c r="E141" s="39"/>
      <c r="F141" s="39"/>
      <c r="G141" s="39"/>
      <c r="H141" s="39"/>
      <c r="I141" s="39"/>
    </row>
    <row r="142" spans="1:9" s="36" customFormat="1" x14ac:dyDescent="0.25">
      <c r="A142" s="22">
        <v>6.5000000000000002E-2</v>
      </c>
      <c r="B142" s="23">
        <v>200</v>
      </c>
      <c r="C142" s="39"/>
      <c r="D142" s="39">
        <f t="shared" si="44"/>
        <v>0</v>
      </c>
      <c r="E142" s="39"/>
      <c r="F142" s="39"/>
      <c r="G142" s="39"/>
      <c r="H142" s="39"/>
      <c r="I142" s="39"/>
    </row>
    <row r="143" spans="1:9" s="36" customFormat="1" x14ac:dyDescent="0.25">
      <c r="A143" s="22">
        <v>6.5000000000000002E-2</v>
      </c>
      <c r="B143" s="23">
        <v>300</v>
      </c>
      <c r="C143" s="39"/>
      <c r="D143" s="39">
        <f t="shared" si="44"/>
        <v>0</v>
      </c>
      <c r="E143" s="39"/>
      <c r="F143" s="39"/>
      <c r="G143" s="39"/>
      <c r="H143" s="39"/>
      <c r="I143" s="39"/>
    </row>
    <row r="144" spans="1:9" s="36" customFormat="1" x14ac:dyDescent="0.25">
      <c r="A144" s="20">
        <v>4.4999999999999998E-2</v>
      </c>
      <c r="B144" s="21">
        <v>200</v>
      </c>
      <c r="C144" s="39"/>
      <c r="D144" s="39">
        <f t="shared" si="44"/>
        <v>0</v>
      </c>
      <c r="E144" s="39"/>
      <c r="F144" s="39"/>
      <c r="G144" s="39"/>
      <c r="H144" s="39"/>
      <c r="I144" s="39"/>
    </row>
    <row r="145" spans="1:9" s="36" customFormat="1" x14ac:dyDescent="0.25">
      <c r="A145" s="20">
        <v>4.4999999999999998E-2</v>
      </c>
      <c r="B145" s="21">
        <v>300</v>
      </c>
      <c r="C145" s="39"/>
      <c r="D145" s="39">
        <f t="shared" si="44"/>
        <v>0</v>
      </c>
      <c r="E145" s="39"/>
      <c r="F145" s="39"/>
      <c r="G145" s="39"/>
      <c r="H145" s="39"/>
      <c r="I145" s="39"/>
    </row>
    <row r="146" spans="1:9" s="36" customFormat="1" x14ac:dyDescent="0.25">
      <c r="A146" s="20">
        <v>0.03</v>
      </c>
      <c r="B146" s="21">
        <v>200</v>
      </c>
      <c r="C146" s="39"/>
      <c r="D146" s="39">
        <f t="shared" si="44"/>
        <v>0</v>
      </c>
      <c r="E146" s="39"/>
      <c r="F146" s="39"/>
      <c r="G146" s="39"/>
      <c r="H146" s="39"/>
      <c r="I146" s="39"/>
    </row>
    <row r="147" spans="1:9" s="36" customFormat="1" x14ac:dyDescent="0.25">
      <c r="C147" s="39" t="s">
        <v>39</v>
      </c>
      <c r="D147" s="39">
        <f t="shared" si="44"/>
        <v>2794.6663799999997</v>
      </c>
      <c r="E147" s="39"/>
      <c r="F147" s="39"/>
      <c r="G147" s="39"/>
      <c r="H147" s="39"/>
      <c r="I147" s="39"/>
    </row>
    <row r="148" spans="1:9" s="36" customFormat="1" x14ac:dyDescent="0.25">
      <c r="C148" s="39"/>
      <c r="D148" s="39" t="s">
        <v>151</v>
      </c>
      <c r="E148" s="39"/>
      <c r="F148" s="40" t="s">
        <v>152</v>
      </c>
      <c r="G148" s="39"/>
      <c r="H148" s="39"/>
      <c r="I148" s="39"/>
    </row>
    <row r="149" spans="1:9" s="36" customFormat="1" x14ac:dyDescent="0.25">
      <c r="A149" s="22">
        <v>0.25</v>
      </c>
      <c r="B149" s="23">
        <v>200</v>
      </c>
      <c r="C149" s="39"/>
      <c r="D149" s="39">
        <f>+D134/'LEM cost side'!D124</f>
        <v>567.7757406699792</v>
      </c>
      <c r="E149" s="39"/>
      <c r="F149" s="39"/>
      <c r="G149" s="39"/>
      <c r="H149" s="39"/>
      <c r="I149" s="39"/>
    </row>
    <row r="150" spans="1:9" s="36" customFormat="1" x14ac:dyDescent="0.25">
      <c r="A150" s="22">
        <v>0.25</v>
      </c>
      <c r="B150" s="23">
        <v>300</v>
      </c>
      <c r="C150" s="39"/>
      <c r="D150" s="39">
        <f>+D135/'LEM cost side'!D125</f>
        <v>0</v>
      </c>
      <c r="E150" s="39"/>
      <c r="F150" s="39"/>
      <c r="G150" s="39"/>
      <c r="H150" s="39"/>
      <c r="I150" s="39"/>
    </row>
    <row r="151" spans="1:9" s="36" customFormat="1" x14ac:dyDescent="0.25">
      <c r="A151" s="22">
        <v>0.18</v>
      </c>
      <c r="B151" s="23">
        <v>200</v>
      </c>
      <c r="C151" s="39"/>
      <c r="D151" s="39">
        <f>+D136/'LEM cost side'!D126</f>
        <v>2182.906378041167</v>
      </c>
      <c r="E151" s="39"/>
      <c r="F151" s="39"/>
      <c r="G151" s="39"/>
      <c r="H151" s="39"/>
      <c r="I151" s="39"/>
    </row>
    <row r="152" spans="1:9" s="36" customFormat="1" x14ac:dyDescent="0.25">
      <c r="A152" s="22">
        <v>0.18</v>
      </c>
      <c r="B152" s="23">
        <v>300</v>
      </c>
      <c r="C152" s="39"/>
      <c r="D152" s="39">
        <f>+D137/'LEM cost side'!D127</f>
        <v>0</v>
      </c>
      <c r="E152" s="39"/>
      <c r="F152" s="39"/>
      <c r="G152" s="39"/>
      <c r="H152" s="39"/>
      <c r="I152" s="39"/>
    </row>
    <row r="153" spans="1:9" s="36" customFormat="1" x14ac:dyDescent="0.25">
      <c r="A153" s="22">
        <v>0.13</v>
      </c>
      <c r="B153" s="23">
        <v>200</v>
      </c>
      <c r="C153" s="39"/>
      <c r="D153" s="39">
        <f>+D138/'LEM cost side'!D128</f>
        <v>542.29872667724271</v>
      </c>
      <c r="E153" s="39"/>
      <c r="F153" s="39"/>
      <c r="G153" s="39"/>
      <c r="H153" s="39"/>
      <c r="I153" s="39"/>
    </row>
    <row r="154" spans="1:9" s="36" customFormat="1" x14ac:dyDescent="0.25">
      <c r="A154" s="22">
        <v>0.13</v>
      </c>
      <c r="B154" s="23">
        <v>300</v>
      </c>
      <c r="C154" s="39"/>
      <c r="D154" s="39">
        <f>+D139/'LEM cost side'!D129</f>
        <v>781.55549387153076</v>
      </c>
      <c r="E154" s="39"/>
      <c r="F154" s="39"/>
      <c r="G154" s="39"/>
      <c r="H154" s="39"/>
      <c r="I154" s="39"/>
    </row>
    <row r="155" spans="1:9" s="36" customFormat="1" x14ac:dyDescent="0.25">
      <c r="A155" s="22">
        <v>0.09</v>
      </c>
      <c r="B155" s="23">
        <v>200</v>
      </c>
      <c r="C155" s="39"/>
      <c r="D155" s="39"/>
      <c r="E155" s="39"/>
      <c r="F155" s="39"/>
      <c r="G155" s="39"/>
      <c r="H155" s="39"/>
      <c r="I155" s="39"/>
    </row>
    <row r="156" spans="1:9" s="36" customFormat="1" x14ac:dyDescent="0.25">
      <c r="A156" s="22">
        <v>0.09</v>
      </c>
      <c r="B156" s="23">
        <v>300</v>
      </c>
      <c r="C156" s="39"/>
      <c r="D156" s="39"/>
      <c r="E156" s="39"/>
      <c r="F156" s="39"/>
      <c r="G156" s="39"/>
      <c r="H156" s="39"/>
      <c r="I156" s="39"/>
    </row>
    <row r="157" spans="1:9" s="36" customFormat="1" x14ac:dyDescent="0.25">
      <c r="A157" s="22">
        <v>6.5000000000000002E-2</v>
      </c>
      <c r="B157" s="23">
        <v>200</v>
      </c>
      <c r="C157" s="39"/>
      <c r="D157" s="39"/>
      <c r="E157" s="39"/>
      <c r="F157" s="39"/>
      <c r="G157" s="39"/>
      <c r="H157" s="39"/>
      <c r="I157" s="39"/>
    </row>
    <row r="158" spans="1:9" s="36" customFormat="1" x14ac:dyDescent="0.25">
      <c r="A158" s="22">
        <v>6.5000000000000002E-2</v>
      </c>
      <c r="B158" s="23">
        <v>300</v>
      </c>
      <c r="C158" s="39"/>
      <c r="D158" s="39"/>
      <c r="E158" s="39"/>
      <c r="F158" s="39"/>
      <c r="G158" s="39"/>
      <c r="H158" s="39"/>
      <c r="I158" s="39"/>
    </row>
    <row r="159" spans="1:9" s="36" customFormat="1" x14ac:dyDescent="0.25">
      <c r="A159" s="20">
        <v>4.4999999999999998E-2</v>
      </c>
      <c r="B159" s="21">
        <v>200</v>
      </c>
      <c r="C159" s="39"/>
      <c r="D159" s="39"/>
      <c r="E159" s="39"/>
      <c r="F159" s="39"/>
      <c r="G159" s="39"/>
      <c r="H159" s="39"/>
      <c r="I159" s="39"/>
    </row>
    <row r="160" spans="1:9" s="36" customFormat="1" x14ac:dyDescent="0.25">
      <c r="A160" s="20">
        <v>4.4999999999999998E-2</v>
      </c>
      <c r="B160" s="21">
        <v>300</v>
      </c>
      <c r="C160" s="39"/>
      <c r="D160" s="39"/>
      <c r="E160" s="39"/>
      <c r="F160" s="39"/>
      <c r="G160" s="39"/>
      <c r="H160" s="39"/>
      <c r="I160" s="39"/>
    </row>
    <row r="161" spans="1:9" s="36" customFormat="1" x14ac:dyDescent="0.25">
      <c r="A161" s="20">
        <v>0.03</v>
      </c>
      <c r="B161" s="21">
        <v>200</v>
      </c>
      <c r="C161" s="39"/>
      <c r="D161" s="39"/>
      <c r="E161" s="39"/>
      <c r="F161" s="39"/>
      <c r="G161" s="39"/>
      <c r="H161" s="39"/>
      <c r="I161" s="39"/>
    </row>
    <row r="162" spans="1:9" s="36" customFormat="1" x14ac:dyDescent="0.25">
      <c r="B162" s="36" t="s">
        <v>9</v>
      </c>
      <c r="C162" s="39"/>
      <c r="D162" s="39">
        <f>+SUM(D149:D154)</f>
        <v>4074.5363392599197</v>
      </c>
      <c r="E162" s="39"/>
      <c r="F162" s="39"/>
      <c r="G162" s="39"/>
      <c r="H162" s="39"/>
      <c r="I162" s="39"/>
    </row>
    <row r="163" spans="1:9" s="36" customFormat="1" x14ac:dyDescent="0.25">
      <c r="B163" s="36" t="s">
        <v>154</v>
      </c>
      <c r="C163" s="39">
        <f>3.14159*10^2</f>
        <v>314.15899999999999</v>
      </c>
      <c r="D163" s="39"/>
      <c r="E163" s="39"/>
      <c r="F163" s="39"/>
      <c r="G163" s="39"/>
      <c r="H163" s="39"/>
      <c r="I163" s="39"/>
    </row>
    <row r="164" spans="1:9" s="36" customFormat="1" x14ac:dyDescent="0.25">
      <c r="A164" s="36" t="s">
        <v>153</v>
      </c>
      <c r="B164" s="36" t="s">
        <v>155</v>
      </c>
      <c r="C164" s="39" t="s">
        <v>156</v>
      </c>
      <c r="D164" s="39"/>
      <c r="E164" s="39"/>
      <c r="F164" s="39"/>
      <c r="G164" s="39"/>
      <c r="H164" s="39"/>
      <c r="I164" s="39"/>
    </row>
    <row r="165" spans="1:9" s="36" customFormat="1" x14ac:dyDescent="0.25">
      <c r="A165" s="22">
        <v>0.25</v>
      </c>
      <c r="B165" s="23">
        <v>200</v>
      </c>
      <c r="C165" s="39"/>
      <c r="D165" s="39">
        <f>+D149/($C$163*'LEM cost side'!D175*'LEM cost side'!D109)</f>
        <v>2.7109115664796373</v>
      </c>
      <c r="E165" s="39"/>
      <c r="F165" s="39"/>
      <c r="G165" s="39"/>
      <c r="H165" s="39"/>
      <c r="I165" s="39"/>
    </row>
    <row r="166" spans="1:9" s="36" customFormat="1" x14ac:dyDescent="0.25">
      <c r="A166" s="22">
        <v>0.25</v>
      </c>
      <c r="B166" s="23">
        <v>300</v>
      </c>
      <c r="C166" s="39"/>
      <c r="D166" s="39"/>
      <c r="E166" s="39"/>
      <c r="F166" s="39"/>
      <c r="G166" s="39"/>
      <c r="H166" s="39"/>
      <c r="I166" s="39"/>
    </row>
    <row r="167" spans="1:9" s="36" customFormat="1" x14ac:dyDescent="0.25">
      <c r="A167" s="22">
        <v>0.18</v>
      </c>
      <c r="B167" s="23">
        <v>200</v>
      </c>
      <c r="C167" s="39"/>
      <c r="D167" s="39">
        <f>+D151/($C$163*'LEM cost side'!D177*'LEM cost side'!D111)</f>
        <v>8.9819738597861623</v>
      </c>
      <c r="E167" s="39"/>
      <c r="F167" s="39"/>
      <c r="G167" s="39"/>
      <c r="H167" s="39"/>
      <c r="I167" s="39"/>
    </row>
    <row r="168" spans="1:9" s="36" customFormat="1" x14ac:dyDescent="0.25">
      <c r="A168" s="22">
        <v>0.18</v>
      </c>
      <c r="B168" s="23">
        <v>300</v>
      </c>
      <c r="C168" s="39"/>
      <c r="D168" s="39"/>
      <c r="E168" s="39"/>
      <c r="F168" s="39"/>
      <c r="G168" s="39"/>
      <c r="H168" s="39"/>
      <c r="I168" s="39"/>
    </row>
    <row r="169" spans="1:9" s="36" customFormat="1" x14ac:dyDescent="0.25">
      <c r="A169" s="22">
        <v>0.13</v>
      </c>
      <c r="B169" s="23">
        <v>200</v>
      </c>
      <c r="C169" s="39"/>
      <c r="D169" s="39">
        <f>+D153/($C$163*'LEM cost side'!D179*'LEM cost side'!D113)</f>
        <v>2.475147093641366</v>
      </c>
      <c r="E169" s="39"/>
      <c r="F169" s="39"/>
      <c r="G169" s="39"/>
      <c r="H169" s="39"/>
      <c r="I169" s="39"/>
    </row>
    <row r="170" spans="1:9" s="36" customFormat="1" x14ac:dyDescent="0.25">
      <c r="A170" s="22">
        <v>0.13</v>
      </c>
      <c r="B170" s="23">
        <v>300</v>
      </c>
      <c r="C170" s="39"/>
      <c r="D170" s="39">
        <f>+D154/($C$163*'LEM cost side'!D180*'LEM cost side'!D114)</f>
        <v>4.634338043720672</v>
      </c>
      <c r="E170" s="39"/>
      <c r="F170" s="39"/>
      <c r="G170" s="39"/>
      <c r="H170" s="39"/>
      <c r="I170" s="39"/>
    </row>
    <row r="171" spans="1:9" s="36" customFormat="1" x14ac:dyDescent="0.25">
      <c r="A171" s="22">
        <v>0.09</v>
      </c>
      <c r="B171" s="23">
        <v>200</v>
      </c>
      <c r="C171" s="39"/>
      <c r="D171" s="39"/>
      <c r="E171" s="39"/>
      <c r="F171" s="39"/>
      <c r="G171" s="39"/>
      <c r="H171" s="39"/>
      <c r="I171" s="39"/>
    </row>
    <row r="172" spans="1:9" s="36" customFormat="1" x14ac:dyDescent="0.25">
      <c r="A172" s="22">
        <v>0.09</v>
      </c>
      <c r="B172" s="23">
        <v>300</v>
      </c>
      <c r="C172" s="39"/>
      <c r="D172" s="39"/>
      <c r="E172" s="39"/>
      <c r="F172" s="39"/>
      <c r="G172" s="39"/>
      <c r="H172" s="39"/>
      <c r="I172" s="39"/>
    </row>
    <row r="173" spans="1:9" s="36" customFormat="1" x14ac:dyDescent="0.25">
      <c r="A173" s="22">
        <v>6.5000000000000002E-2</v>
      </c>
      <c r="B173" s="23">
        <v>200</v>
      </c>
      <c r="C173" s="39"/>
      <c r="D173" s="39"/>
      <c r="E173" s="39"/>
      <c r="F173" s="39"/>
      <c r="G173" s="39"/>
      <c r="H173" s="39"/>
      <c r="I173" s="39"/>
    </row>
    <row r="174" spans="1:9" s="36" customFormat="1" x14ac:dyDescent="0.25">
      <c r="A174" s="22">
        <v>6.5000000000000002E-2</v>
      </c>
      <c r="B174" s="23">
        <v>300</v>
      </c>
      <c r="C174" s="39"/>
      <c r="D174" s="39"/>
      <c r="E174" s="39"/>
      <c r="F174" s="39"/>
      <c r="G174" s="39"/>
      <c r="H174" s="39"/>
      <c r="I174" s="39"/>
    </row>
    <row r="175" spans="1:9" s="36" customFormat="1" x14ac:dyDescent="0.25">
      <c r="A175" s="20">
        <v>4.4999999999999998E-2</v>
      </c>
      <c r="B175" s="21">
        <v>200</v>
      </c>
      <c r="C175" s="39"/>
      <c r="D175" s="39"/>
      <c r="E175" s="39"/>
      <c r="F175" s="39"/>
      <c r="G175" s="39"/>
      <c r="H175" s="39"/>
      <c r="I175" s="39"/>
    </row>
    <row r="176" spans="1:9" s="36" customFormat="1" x14ac:dyDescent="0.25">
      <c r="A176" s="20">
        <v>4.4999999999999998E-2</v>
      </c>
      <c r="B176" s="21">
        <v>300</v>
      </c>
      <c r="C176" s="39"/>
      <c r="D176" s="39"/>
      <c r="E176" s="39"/>
      <c r="F176" s="39"/>
      <c r="G176" s="39"/>
      <c r="H176" s="39"/>
      <c r="I176" s="39"/>
    </row>
    <row r="177" spans="1:9" s="36" customFormat="1" x14ac:dyDescent="0.25">
      <c r="A177" s="20">
        <v>0.03</v>
      </c>
      <c r="B177" s="21">
        <v>200</v>
      </c>
      <c r="C177" s="39"/>
      <c r="D177" s="39"/>
      <c r="E177" s="39"/>
      <c r="F177" s="39"/>
      <c r="G177" s="39"/>
      <c r="H177" s="39"/>
      <c r="I177" s="39"/>
    </row>
    <row r="178" spans="1:9" s="36" customFormat="1" x14ac:dyDescent="0.25">
      <c r="B178" s="36" t="s">
        <v>9</v>
      </c>
      <c r="C178" s="39"/>
      <c r="D178" s="39">
        <f>+SUM(D165:D170)</f>
        <v>18.802370563627839</v>
      </c>
      <c r="E178" s="39"/>
      <c r="F178" s="39"/>
      <c r="G178" s="39"/>
      <c r="H178" s="39"/>
      <c r="I178" s="39"/>
    </row>
    <row r="179" spans="1:9" s="36" customFormat="1" x14ac:dyDescent="0.25">
      <c r="A179" s="36" t="s">
        <v>157</v>
      </c>
      <c r="C179" s="39"/>
      <c r="D179" s="39"/>
      <c r="E179" s="39"/>
      <c r="F179" s="39"/>
      <c r="G179" s="39"/>
      <c r="H179" s="39"/>
      <c r="I179" s="39"/>
    </row>
    <row r="180" spans="1:9" s="36" customFormat="1" ht="13.5" x14ac:dyDescent="0.25">
      <c r="A180" s="42">
        <v>0.25</v>
      </c>
      <c r="B180" s="43">
        <v>200</v>
      </c>
      <c r="C180" s="44"/>
      <c r="D180" s="44">
        <f>+D165*1000/(20*12)</f>
        <v>11.295464860331823</v>
      </c>
      <c r="E180" s="39"/>
      <c r="F180" s="39"/>
      <c r="G180" s="39"/>
      <c r="H180" s="39"/>
      <c r="I180" s="39"/>
    </row>
    <row r="181" spans="1:9" s="36" customFormat="1" ht="13.5" x14ac:dyDescent="0.25">
      <c r="A181" s="42">
        <v>0.25</v>
      </c>
      <c r="B181" s="43">
        <v>300</v>
      </c>
      <c r="C181" s="44"/>
      <c r="D181" s="44"/>
      <c r="E181" s="39"/>
      <c r="F181" s="39"/>
      <c r="G181" s="39"/>
      <c r="H181" s="39"/>
      <c r="I181" s="39"/>
    </row>
    <row r="182" spans="1:9" s="36" customFormat="1" ht="13.5" x14ac:dyDescent="0.25">
      <c r="A182" s="42">
        <v>0.18</v>
      </c>
      <c r="B182" s="43">
        <v>200</v>
      </c>
      <c r="C182" s="44"/>
      <c r="D182" s="44">
        <f>+D167*1000/(20*12)</f>
        <v>37.424891082442336</v>
      </c>
      <c r="E182" s="39"/>
      <c r="F182" s="39"/>
      <c r="G182" s="39"/>
      <c r="H182" s="39"/>
      <c r="I182" s="39"/>
    </row>
    <row r="183" spans="1:9" s="36" customFormat="1" ht="13.5" x14ac:dyDescent="0.25">
      <c r="A183" s="42">
        <v>0.18</v>
      </c>
      <c r="B183" s="43">
        <v>300</v>
      </c>
      <c r="C183" s="44"/>
      <c r="D183" s="44"/>
      <c r="E183" s="39"/>
      <c r="F183" s="39"/>
      <c r="G183" s="39"/>
      <c r="H183" s="39"/>
      <c r="I183" s="39"/>
    </row>
    <row r="184" spans="1:9" s="36" customFormat="1" ht="13.5" x14ac:dyDescent="0.25">
      <c r="A184" s="42">
        <v>0.13</v>
      </c>
      <c r="B184" s="43">
        <v>200</v>
      </c>
      <c r="C184" s="44"/>
      <c r="D184" s="44">
        <f>+D169*1000/(20*12)</f>
        <v>10.313112890172359</v>
      </c>
      <c r="E184" s="39"/>
      <c r="F184" s="39"/>
      <c r="G184" s="39"/>
      <c r="H184" s="39"/>
      <c r="I184" s="39"/>
    </row>
    <row r="185" spans="1:9" s="36" customFormat="1" ht="13.5" x14ac:dyDescent="0.25">
      <c r="A185" s="42">
        <v>0.13</v>
      </c>
      <c r="B185" s="43">
        <v>300</v>
      </c>
      <c r="C185" s="44"/>
      <c r="D185" s="44">
        <f>+D170*1000/(20*12)</f>
        <v>19.309741848836136</v>
      </c>
      <c r="E185" s="39"/>
      <c r="F185" s="39"/>
      <c r="G185" s="39"/>
      <c r="H185" s="39"/>
      <c r="I185" s="39"/>
    </row>
    <row r="186" spans="1:9" s="36" customFormat="1" ht="13.5" x14ac:dyDescent="0.25">
      <c r="A186" s="42">
        <v>0.09</v>
      </c>
      <c r="B186" s="43">
        <v>200</v>
      </c>
      <c r="C186" s="44"/>
      <c r="D186" s="44"/>
      <c r="E186" s="39"/>
      <c r="F186" s="39"/>
      <c r="G186" s="39"/>
      <c r="H186" s="39"/>
      <c r="I186" s="39"/>
    </row>
    <row r="187" spans="1:9" s="36" customFormat="1" ht="13.5" x14ac:dyDescent="0.25">
      <c r="A187" s="42">
        <v>0.09</v>
      </c>
      <c r="B187" s="43">
        <v>300</v>
      </c>
      <c r="C187" s="44"/>
      <c r="D187" s="44"/>
      <c r="E187" s="39"/>
      <c r="F187" s="39"/>
      <c r="G187" s="39"/>
      <c r="H187" s="39"/>
      <c r="I187" s="39"/>
    </row>
    <row r="188" spans="1:9" s="36" customFormat="1" ht="13.5" x14ac:dyDescent="0.25">
      <c r="A188" s="42">
        <v>6.5000000000000002E-2</v>
      </c>
      <c r="B188" s="43">
        <v>200</v>
      </c>
      <c r="C188" s="44"/>
      <c r="D188" s="44"/>
      <c r="E188" s="39"/>
      <c r="F188" s="39"/>
      <c r="G188" s="39"/>
      <c r="H188" s="39"/>
      <c r="I188" s="39"/>
    </row>
    <row r="189" spans="1:9" s="36" customFormat="1" ht="13.5" x14ac:dyDescent="0.25">
      <c r="A189" s="42">
        <v>6.5000000000000002E-2</v>
      </c>
      <c r="B189" s="43">
        <v>300</v>
      </c>
      <c r="C189" s="44"/>
      <c r="D189" s="44"/>
      <c r="E189" s="39"/>
      <c r="F189" s="39"/>
      <c r="G189" s="39"/>
      <c r="H189" s="39"/>
      <c r="I189" s="39"/>
    </row>
    <row r="190" spans="1:9" s="36" customFormat="1" ht="13.5" x14ac:dyDescent="0.25">
      <c r="A190" s="45">
        <v>4.4999999999999998E-2</v>
      </c>
      <c r="B190" s="46">
        <v>200</v>
      </c>
      <c r="C190" s="44"/>
      <c r="D190" s="44"/>
      <c r="E190" s="39"/>
      <c r="F190" s="39"/>
      <c r="G190" s="39"/>
      <c r="H190" s="39"/>
      <c r="I190" s="39"/>
    </row>
    <row r="191" spans="1:9" s="36" customFormat="1" ht="13.5" x14ac:dyDescent="0.25">
      <c r="A191" s="45">
        <v>4.4999999999999998E-2</v>
      </c>
      <c r="B191" s="46">
        <v>300</v>
      </c>
      <c r="C191" s="44"/>
      <c r="D191" s="44"/>
      <c r="E191" s="39"/>
      <c r="F191" s="39"/>
      <c r="G191" s="39"/>
      <c r="H191" s="39"/>
      <c r="I191" s="39"/>
    </row>
    <row r="192" spans="1:9" s="36" customFormat="1" ht="13.5" x14ac:dyDescent="0.25">
      <c r="A192" s="45">
        <v>0.03</v>
      </c>
      <c r="B192" s="46">
        <v>200</v>
      </c>
      <c r="C192" s="44"/>
      <c r="D192" s="44"/>
      <c r="E192" s="39"/>
      <c r="F192" s="39"/>
      <c r="G192" s="39"/>
      <c r="H192" s="39"/>
      <c r="I192" s="39"/>
    </row>
    <row r="193" spans="1:9" s="36" customFormat="1" ht="13.5" x14ac:dyDescent="0.25">
      <c r="A193" s="47"/>
      <c r="B193" s="47" t="s">
        <v>9</v>
      </c>
      <c r="C193" s="44"/>
      <c r="D193" s="44">
        <f>+SUM(D180:D185)</f>
        <v>78.343210681782665</v>
      </c>
      <c r="E193" s="39"/>
      <c r="F193" s="39"/>
      <c r="G193" s="39"/>
      <c r="H193" s="39"/>
      <c r="I193" s="39"/>
    </row>
    <row r="194" spans="1:9" s="36" customFormat="1" x14ac:dyDescent="0.25">
      <c r="C194" s="39"/>
      <c r="D194" s="39"/>
      <c r="E194" s="39"/>
      <c r="F194" s="39"/>
      <c r="G194" s="39"/>
      <c r="H194" s="39"/>
      <c r="I194" s="39"/>
    </row>
    <row r="195" spans="1:9" s="36" customFormat="1" x14ac:dyDescent="0.25">
      <c r="C195" s="39"/>
      <c r="D195" s="39"/>
      <c r="E195" s="39"/>
      <c r="F195" s="39"/>
      <c r="G195" s="39"/>
      <c r="H195" s="39"/>
      <c r="I195" s="39"/>
    </row>
    <row r="196" spans="1:9" s="36" customFormat="1" x14ac:dyDescent="0.25">
      <c r="C196" s="39"/>
      <c r="D196" s="39"/>
      <c r="E196" s="39"/>
      <c r="F196" s="39"/>
      <c r="G196" s="39"/>
      <c r="H196" s="39"/>
      <c r="I196" s="39"/>
    </row>
    <row r="197" spans="1:9" s="36" customFormat="1" x14ac:dyDescent="0.25">
      <c r="C197" s="39"/>
      <c r="D197" s="39"/>
      <c r="E197" s="39"/>
      <c r="F197" s="39"/>
      <c r="G197" s="39"/>
      <c r="H197" s="39"/>
      <c r="I197" s="39"/>
    </row>
    <row r="198" spans="1:9" s="36" customFormat="1" x14ac:dyDescent="0.25">
      <c r="C198" s="39"/>
      <c r="D198" s="39"/>
      <c r="E198" s="39"/>
      <c r="F198" s="39"/>
      <c r="G198" s="39"/>
      <c r="H198" s="39"/>
      <c r="I198" s="39"/>
    </row>
    <row r="199" spans="1:9" s="36" customFormat="1" x14ac:dyDescent="0.25">
      <c r="C199" s="39"/>
      <c r="D199" s="39"/>
      <c r="E199" s="39"/>
      <c r="F199" s="39"/>
      <c r="G199" s="39"/>
      <c r="H199" s="39"/>
      <c r="I199" s="39"/>
    </row>
    <row r="200" spans="1:9" s="36" customFormat="1" x14ac:dyDescent="0.25">
      <c r="C200" s="39"/>
      <c r="D200" s="39"/>
      <c r="E200" s="39"/>
      <c r="F200" s="39"/>
      <c r="G200" s="39"/>
      <c r="H200" s="39"/>
      <c r="I200" s="39"/>
    </row>
    <row r="201" spans="1:9" s="36" customFormat="1" x14ac:dyDescent="0.25">
      <c r="C201" s="39"/>
      <c r="D201" s="39"/>
      <c r="E201" s="39"/>
      <c r="F201" s="39"/>
      <c r="G201" s="39"/>
      <c r="H201" s="39"/>
      <c r="I201" s="39"/>
    </row>
    <row r="202" spans="1:9" s="36" customFormat="1" x14ac:dyDescent="0.25">
      <c r="C202" s="39"/>
      <c r="D202" s="39"/>
      <c r="E202" s="39"/>
      <c r="F202" s="39"/>
      <c r="G202" s="39"/>
      <c r="H202" s="39"/>
      <c r="I202" s="39"/>
    </row>
    <row r="203" spans="1:9" s="36" customFormat="1" x14ac:dyDescent="0.25">
      <c r="C203" s="39"/>
      <c r="D203" s="39"/>
      <c r="E203" s="39"/>
      <c r="F203" s="39"/>
      <c r="G203" s="39"/>
      <c r="H203" s="39"/>
      <c r="I203" s="39"/>
    </row>
    <row r="204" spans="1:9" s="36" customFormat="1" x14ac:dyDescent="0.25">
      <c r="C204" s="39"/>
      <c r="D204" s="39"/>
      <c r="E204" s="39"/>
      <c r="F204" s="39"/>
      <c r="G204" s="39"/>
      <c r="H204" s="39"/>
      <c r="I204" s="39"/>
    </row>
    <row r="205" spans="1:9" s="36" customFormat="1" x14ac:dyDescent="0.25">
      <c r="C205" s="39"/>
      <c r="D205" s="39"/>
      <c r="E205" s="39"/>
      <c r="F205" s="39"/>
      <c r="G205" s="39"/>
      <c r="H205" s="39"/>
      <c r="I205" s="39"/>
    </row>
    <row r="206" spans="1:9" s="36" customFormat="1" x14ac:dyDescent="0.25">
      <c r="C206" s="39"/>
      <c r="D206" s="39"/>
      <c r="E206" s="39"/>
      <c r="F206" s="39"/>
      <c r="G206" s="39"/>
      <c r="H206" s="39"/>
      <c r="I206" s="39"/>
    </row>
    <row r="207" spans="1:9" s="36" customFormat="1" x14ac:dyDescent="0.25">
      <c r="C207" s="39"/>
      <c r="D207" s="39"/>
      <c r="E207" s="39"/>
      <c r="F207" s="39"/>
      <c r="G207" s="39"/>
      <c r="H207" s="39"/>
      <c r="I207" s="39"/>
    </row>
    <row r="208" spans="1:9" s="36" customFormat="1" x14ac:dyDescent="0.25">
      <c r="C208" s="39"/>
      <c r="D208" s="39"/>
      <c r="E208" s="39"/>
      <c r="F208" s="39"/>
      <c r="G208" s="39"/>
      <c r="H208" s="39"/>
      <c r="I208" s="39"/>
    </row>
    <row r="209" spans="1:3" x14ac:dyDescent="0.25">
      <c r="A209" s="20"/>
      <c r="B209" s="21"/>
      <c r="C209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J63" sqref="J63"/>
    </sheetView>
  </sheetViews>
  <sheetFormatPr defaultColWidth="8.85546875" defaultRowHeight="12.75" x14ac:dyDescent="0.25"/>
  <cols>
    <col min="1" max="1" width="9.7109375" style="1" customWidth="1"/>
    <col min="2" max="16384" width="8.85546875" style="1"/>
  </cols>
  <sheetData>
    <row r="1" spans="1:9" x14ac:dyDescent="0.25"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</row>
    <row r="2" spans="1:9" x14ac:dyDescent="0.25">
      <c r="A2" s="1" t="s">
        <v>37</v>
      </c>
      <c r="B2" s="1" t="s">
        <v>38</v>
      </c>
    </row>
    <row r="3" spans="1:9" x14ac:dyDescent="0.25">
      <c r="A3" s="22">
        <v>0.25</v>
      </c>
      <c r="B3" s="23">
        <v>200</v>
      </c>
      <c r="C3" s="23"/>
      <c r="D3" s="6">
        <f>+'LEM Demand Calibration'!D180</f>
        <v>11.295464860331823</v>
      </c>
      <c r="E3" s="6">
        <f t="shared" ref="E3:I13" si="0">+D3</f>
        <v>11.295464860331823</v>
      </c>
      <c r="F3" s="6">
        <f t="shared" si="0"/>
        <v>11.295464860331823</v>
      </c>
      <c r="G3" s="6">
        <f t="shared" si="0"/>
        <v>11.295464860331823</v>
      </c>
      <c r="H3" s="6">
        <f t="shared" si="0"/>
        <v>11.295464860331823</v>
      </c>
      <c r="I3" s="6">
        <f t="shared" si="0"/>
        <v>11.295464860331823</v>
      </c>
    </row>
    <row r="4" spans="1:9" x14ac:dyDescent="0.25">
      <c r="A4" s="22">
        <v>0.25</v>
      </c>
      <c r="B4" s="23">
        <v>300</v>
      </c>
      <c r="C4" s="23"/>
      <c r="D4" s="6">
        <f>+'LEM Demand Calibration'!D181</f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</row>
    <row r="5" spans="1:9" x14ac:dyDescent="0.25">
      <c r="A5" s="22">
        <v>0.18</v>
      </c>
      <c r="B5" s="23">
        <v>200</v>
      </c>
      <c r="C5" s="23"/>
      <c r="D5" s="6">
        <f>+'LEM Demand Calibration'!D182</f>
        <v>37.424891082442336</v>
      </c>
      <c r="E5" s="6">
        <f t="shared" si="0"/>
        <v>37.424891082442336</v>
      </c>
      <c r="F5" s="6">
        <f t="shared" si="0"/>
        <v>37.424891082442336</v>
      </c>
      <c r="G5" s="6">
        <f t="shared" si="0"/>
        <v>37.424891082442336</v>
      </c>
      <c r="H5" s="6">
        <f t="shared" si="0"/>
        <v>37.424891082442336</v>
      </c>
      <c r="I5" s="6">
        <f t="shared" si="0"/>
        <v>37.424891082442336</v>
      </c>
    </row>
    <row r="6" spans="1:9" x14ac:dyDescent="0.25">
      <c r="A6" s="22">
        <v>0.18</v>
      </c>
      <c r="B6" s="23">
        <v>300</v>
      </c>
      <c r="C6" s="23"/>
      <c r="D6" s="6">
        <f>+'LEM Demand Calibration'!D183</f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</row>
    <row r="7" spans="1:9" x14ac:dyDescent="0.25">
      <c r="A7" s="22">
        <v>0.13</v>
      </c>
      <c r="B7" s="23">
        <v>200</v>
      </c>
      <c r="C7" s="23"/>
      <c r="D7" s="6">
        <f>+'LEM Demand Calibration'!D184</f>
        <v>10.313112890172359</v>
      </c>
      <c r="E7" s="6">
        <f t="shared" si="0"/>
        <v>10.313112890172359</v>
      </c>
      <c r="F7" s="6">
        <f t="shared" si="0"/>
        <v>10.313112890172359</v>
      </c>
      <c r="G7" s="6">
        <f t="shared" si="0"/>
        <v>10.313112890172359</v>
      </c>
      <c r="H7" s="6">
        <f t="shared" si="0"/>
        <v>10.313112890172359</v>
      </c>
      <c r="I7" s="6">
        <f t="shared" si="0"/>
        <v>10.313112890172359</v>
      </c>
    </row>
    <row r="8" spans="1:9" x14ac:dyDescent="0.25">
      <c r="A8" s="22">
        <v>0.13</v>
      </c>
      <c r="B8" s="23">
        <v>300</v>
      </c>
      <c r="C8" s="23"/>
      <c r="D8" s="6">
        <f>+'LEM Demand Calibration'!D185</f>
        <v>19.309741848836136</v>
      </c>
      <c r="E8" s="6">
        <f t="shared" si="0"/>
        <v>19.309741848836136</v>
      </c>
      <c r="F8" s="6">
        <f t="shared" si="0"/>
        <v>19.309741848836136</v>
      </c>
      <c r="G8" s="6">
        <f t="shared" si="0"/>
        <v>19.309741848836136</v>
      </c>
      <c r="H8" s="6">
        <f t="shared" si="0"/>
        <v>19.309741848836136</v>
      </c>
      <c r="I8" s="6">
        <f t="shared" si="0"/>
        <v>19.309741848836136</v>
      </c>
    </row>
    <row r="9" spans="1:9" x14ac:dyDescent="0.25">
      <c r="A9" s="22">
        <v>0.09</v>
      </c>
      <c r="B9" s="23">
        <v>200</v>
      </c>
      <c r="C9" s="23"/>
      <c r="D9" s="6">
        <f>+'LEM Demand Calibration'!D186</f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</row>
    <row r="10" spans="1:9" x14ac:dyDescent="0.25">
      <c r="A10" s="22">
        <v>0.09</v>
      </c>
      <c r="B10" s="23">
        <v>300</v>
      </c>
      <c r="C10" s="23"/>
      <c r="D10" s="6">
        <f>+'LEM Demand Calibration'!D187</f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1:9" x14ac:dyDescent="0.25">
      <c r="A11" s="22">
        <v>6.5000000000000002E-2</v>
      </c>
      <c r="B11" s="23">
        <v>200</v>
      </c>
      <c r="C11" s="23"/>
      <c r="D11" s="6">
        <f>+'LEM Demand Calibration'!D188</f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</row>
    <row r="12" spans="1:9" x14ac:dyDescent="0.25">
      <c r="A12" s="22">
        <v>6.5000000000000002E-2</v>
      </c>
      <c r="B12" s="23">
        <v>300</v>
      </c>
      <c r="C12" s="23"/>
      <c r="D12" s="6">
        <f>+'LEM Demand Calibration'!D189</f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</row>
    <row r="13" spans="1:9" x14ac:dyDescent="0.25">
      <c r="A13" s="20">
        <v>4.4999999999999998E-2</v>
      </c>
      <c r="B13" s="21">
        <v>200</v>
      </c>
      <c r="C13" s="21"/>
      <c r="D13" s="6">
        <f>+'LEM Demand Calibration'!D190</f>
        <v>0</v>
      </c>
      <c r="E13" s="6">
        <f t="shared" si="0"/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</row>
    <row r="14" spans="1:9" x14ac:dyDescent="0.25">
      <c r="A14" s="20">
        <v>4.4999999999999998E-2</v>
      </c>
      <c r="B14" s="21">
        <v>300</v>
      </c>
      <c r="C14" s="21"/>
      <c r="D14" s="6">
        <f>+'LEM Demand Calibration'!D191</f>
        <v>0</v>
      </c>
      <c r="E14" s="6">
        <f t="shared" ref="E14:I15" si="1">+D14</f>
        <v>0</v>
      </c>
      <c r="F14" s="6">
        <f t="shared" si="1"/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</row>
    <row r="15" spans="1:9" x14ac:dyDescent="0.25">
      <c r="A15" s="20">
        <v>0.03</v>
      </c>
      <c r="B15" s="21">
        <v>200</v>
      </c>
      <c r="C15" s="21"/>
      <c r="D15" s="6">
        <f>+'LEM Demand Calibration'!D192</f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</row>
    <row r="16" spans="1:9" x14ac:dyDescent="0.25">
      <c r="B16" s="1" t="s">
        <v>11</v>
      </c>
      <c r="D16" s="6">
        <f t="shared" ref="D16:I16" si="2">+SUM(D3:D15)</f>
        <v>78.343210681782665</v>
      </c>
      <c r="E16" s="6">
        <f t="shared" si="2"/>
        <v>78.343210681782665</v>
      </c>
      <c r="F16" s="6">
        <f t="shared" si="2"/>
        <v>78.343210681782665</v>
      </c>
      <c r="G16" s="6">
        <f t="shared" si="2"/>
        <v>78.343210681782665</v>
      </c>
      <c r="H16" s="6">
        <f t="shared" si="2"/>
        <v>78.343210681782665</v>
      </c>
      <c r="I16" s="6">
        <f t="shared" si="2"/>
        <v>78.343210681782665</v>
      </c>
    </row>
    <row r="17" spans="1:9" x14ac:dyDescent="0.25">
      <c r="A17" s="1" t="s">
        <v>159</v>
      </c>
      <c r="D17" s="6"/>
      <c r="E17" s="6" t="s">
        <v>194</v>
      </c>
      <c r="F17" s="6"/>
      <c r="G17" s="6"/>
      <c r="H17" s="6"/>
      <c r="I17" s="6"/>
    </row>
    <row r="18" spans="1:9" x14ac:dyDescent="0.25">
      <c r="A18" s="22">
        <v>0.25</v>
      </c>
      <c r="B18" s="23">
        <v>200</v>
      </c>
      <c r="C18" s="23"/>
      <c r="D18" s="6">
        <f>+'LEM cost side'!K94*'c&amp;P calc'!D3*'LEM Demand Calibration'!$C$163*12*20*'LEM cost side'!$D$108*'LEM cost side'!D175*'LEM cost side'!D124/1000000</f>
        <v>6.5124745239097255</v>
      </c>
      <c r="E18" s="6">
        <f>+'LEM cost side'!L94*'c&amp;P calc'!E3*'LEM Demand Calibration'!$C$163*12*20*'LEM cost side'!$D$108*'LEM cost side'!E175*'LEM cost side'!E124/1000000</f>
        <v>6.5124745239097246</v>
      </c>
      <c r="F18" s="6">
        <f>+'LEM cost side'!M94*'c&amp;P calc'!F3*'LEM Demand Calibration'!$C$163*12*20*'LEM cost side'!$D$108*'LEM cost side'!F175*'LEM cost side'!F124/1000000</f>
        <v>6.5124745239097246</v>
      </c>
      <c r="G18" s="6">
        <f>+'LEM cost side'!N94*'c&amp;P calc'!G3*'LEM Demand Calibration'!$C$163*12*20*'LEM cost side'!$D$108*'LEM cost side'!G175*'LEM cost side'!G124/1000000</f>
        <v>6.5124745239097246</v>
      </c>
      <c r="H18" s="6">
        <f>+'LEM cost side'!O94*'c&amp;P calc'!H3*'LEM Demand Calibration'!$C$163*12*20*'LEM cost side'!$D$108*'LEM cost side'!H175*'LEM cost side'!H124/1000000</f>
        <v>6.5124745239097246</v>
      </c>
      <c r="I18" s="6">
        <f>+'LEM cost side'!P94*'c&amp;P calc'!I3*'LEM Demand Calibration'!$C$163*12*20*'LEM cost side'!$D$108*'LEM cost side'!I175*'LEM cost side'!I124/1000000</f>
        <v>6.5124745239097246</v>
      </c>
    </row>
    <row r="19" spans="1:9" x14ac:dyDescent="0.25">
      <c r="A19" s="22">
        <v>0.25</v>
      </c>
      <c r="B19" s="23">
        <v>300</v>
      </c>
      <c r="C19" s="23"/>
      <c r="D19" s="6">
        <f>+'LEM cost side'!K95*'c&amp;P calc'!D4*'LEM Demand Calibration'!$C$163*12*20*'LEM cost side'!$D$108*'LEM cost side'!D176*'LEM cost side'!D125/1000000</f>
        <v>0</v>
      </c>
      <c r="E19" s="6">
        <f>+'LEM cost side'!L95*'c&amp;P calc'!E4*'LEM Demand Calibration'!$C$163*12*20*'LEM cost side'!$D$108*'LEM cost side'!E176*'LEM cost side'!E125/1000000</f>
        <v>0</v>
      </c>
      <c r="F19" s="6">
        <f>+'LEM cost side'!M95*'c&amp;P calc'!F4*'LEM Demand Calibration'!$C$163*12*20*'LEM cost side'!$D$108*'LEM cost side'!F176*'LEM cost side'!F125/1000000</f>
        <v>0</v>
      </c>
      <c r="G19" s="6">
        <f>+'LEM cost side'!N95*'c&amp;P calc'!G4*'LEM Demand Calibration'!$C$163*12*20*'LEM cost side'!$D$108*'LEM cost side'!G176*'LEM cost side'!G125/1000000</f>
        <v>0</v>
      </c>
      <c r="H19" s="6">
        <f>+'LEM cost side'!O95*'c&amp;P calc'!H4*'LEM Demand Calibration'!$C$163*12*20*'LEM cost side'!$D$108*'LEM cost side'!H176*'LEM cost side'!H125/1000000</f>
        <v>0</v>
      </c>
      <c r="I19" s="6">
        <f>+'LEM cost side'!P95*'c&amp;P calc'!I4*'LEM Demand Calibration'!$C$163*12*20*'LEM cost side'!$D$108*'LEM cost side'!I176*'LEM cost side'!I125/1000000</f>
        <v>0</v>
      </c>
    </row>
    <row r="20" spans="1:9" x14ac:dyDescent="0.25">
      <c r="A20" s="22">
        <v>0.18</v>
      </c>
      <c r="B20" s="23">
        <v>200</v>
      </c>
      <c r="C20" s="23"/>
      <c r="D20" s="6">
        <f>+'LEM cost side'!K96*'c&amp;P calc'!D5*'LEM Demand Calibration'!$C$163*12*20*'LEM cost side'!$D$108*'LEM cost side'!D177*'LEM cost side'!D126/1000000</f>
        <v>46.012193953408726</v>
      </c>
      <c r="E20" s="6">
        <f>+'LEM cost side'!L96*'c&amp;P calc'!E5*'LEM Demand Calibration'!$C$163*12*20*'LEM cost side'!$D$108*'LEM cost side'!E177*'LEM cost side'!E126/1000000</f>
        <v>47.099725397509403</v>
      </c>
      <c r="F20" s="6">
        <f>+'LEM cost side'!M96*'c&amp;P calc'!F5*'LEM Demand Calibration'!$C$163*12*20*'LEM cost side'!$D$108*'LEM cost side'!F177*'LEM cost side'!F126/1000000</f>
        <v>47.601959901288851</v>
      </c>
      <c r="G20" s="6">
        <f>+'LEM cost side'!N96*'c&amp;P calc'!G5*'LEM Demand Calibration'!$C$163*12*20*'LEM cost side'!$D$108*'LEM cost side'!G177*'LEM cost side'!G126/1000000</f>
        <v>47.601959901288843</v>
      </c>
      <c r="H20" s="6">
        <f>+'LEM cost side'!O96*'c&amp;P calc'!H5*'LEM Demand Calibration'!$C$163*12*20*'LEM cost side'!$D$108*'LEM cost side'!H177*'LEM cost side'!H126/1000000</f>
        <v>47.601959901288843</v>
      </c>
      <c r="I20" s="6">
        <f>+'LEM cost side'!P96*'c&amp;P calc'!I5*'LEM Demand Calibration'!$C$163*12*20*'LEM cost side'!$D$108*'LEM cost side'!I177*'LEM cost side'!I126/1000000</f>
        <v>47.601959901288843</v>
      </c>
    </row>
    <row r="21" spans="1:9" x14ac:dyDescent="0.25">
      <c r="A21" s="22">
        <v>0.18</v>
      </c>
      <c r="B21" s="23">
        <v>300</v>
      </c>
      <c r="C21" s="23"/>
      <c r="D21" s="6">
        <f>+'LEM cost side'!K97*'c&amp;P calc'!D6*'LEM Demand Calibration'!$C$163*12*20*'LEM cost side'!$D$108*'LEM cost side'!D178*'LEM cost side'!D127/1000000</f>
        <v>0</v>
      </c>
      <c r="E21" s="6">
        <f>+'LEM cost side'!L97*'c&amp;P calc'!E6*'LEM Demand Calibration'!$C$163*12*20*'LEM cost side'!$D$108*'LEM cost side'!E178*'LEM cost side'!E127/1000000</f>
        <v>0</v>
      </c>
      <c r="F21" s="6">
        <f>+'LEM cost side'!M97*'c&amp;P calc'!F6*'LEM Demand Calibration'!$C$163*12*20*'LEM cost side'!$D$108*'LEM cost side'!F178*'LEM cost side'!F127/1000000</f>
        <v>0</v>
      </c>
      <c r="G21" s="6">
        <f>+'LEM cost side'!N97*'c&amp;P calc'!G6*'LEM Demand Calibration'!$C$163*12*20*'LEM cost side'!$D$108*'LEM cost side'!G178*'LEM cost side'!G127/1000000</f>
        <v>0</v>
      </c>
      <c r="H21" s="6">
        <f>+'LEM cost side'!O97*'c&amp;P calc'!H6*'LEM Demand Calibration'!$C$163*12*20*'LEM cost side'!$D$108*'LEM cost side'!H178*'LEM cost side'!H127/1000000</f>
        <v>0</v>
      </c>
      <c r="I21" s="6">
        <f>+'LEM cost side'!P97*'c&amp;P calc'!I6*'LEM Demand Calibration'!$C$163*12*20*'LEM cost side'!$D$108*'LEM cost side'!I178*'LEM cost side'!I127/1000000</f>
        <v>0</v>
      </c>
    </row>
    <row r="22" spans="1:9" x14ac:dyDescent="0.25">
      <c r="A22" s="22">
        <v>0.13</v>
      </c>
      <c r="B22" s="23">
        <v>200</v>
      </c>
      <c r="C22" s="23"/>
      <c r="D22" s="6">
        <f>+'LEM cost side'!K98*'c&amp;P calc'!D7*'LEM Demand Calibration'!$C$163*12*20*'LEM cost side'!$D$108*'LEM cost side'!D179*'LEM cost side'!D128/1000000</f>
        <v>15.319334724419226</v>
      </c>
      <c r="E22" s="6">
        <f>+'LEM cost side'!L98*'c&amp;P calc'!E7*'LEM Demand Calibration'!$C$163*12*20*'LEM cost side'!$D$108*'LEM cost side'!E179*'LEM cost side'!E128/1000000</f>
        <v>22.637678107515491</v>
      </c>
      <c r="F22" s="6">
        <f>+'LEM cost side'!M98*'c&amp;P calc'!F7*'LEM Demand Calibration'!$C$163*12*20*'LEM cost side'!$D$108*'LEM cost side'!F179*'LEM cost side'!F128/1000000</f>
        <v>28.683943343955569</v>
      </c>
      <c r="G22" s="6">
        <f>+'LEM cost side'!N98*'c&amp;P calc'!G7*'LEM Demand Calibration'!$C$163*12*20*'LEM cost side'!$D$108*'LEM cost side'!G179*'LEM cost side'!G128/1000000</f>
        <v>28.507389320278563</v>
      </c>
      <c r="H22" s="6">
        <f>+'LEM cost side'!O98*'c&amp;P calc'!H7*'LEM Demand Calibration'!$C$163*12*20*'LEM cost side'!$D$108*'LEM cost side'!H179*'LEM cost side'!H128/1000000</f>
        <v>28.507389320278563</v>
      </c>
      <c r="I22" s="6">
        <f>+'LEM cost side'!P98*'c&amp;P calc'!I7*'LEM Demand Calibration'!$C$163*12*20*'LEM cost side'!$D$108*'LEM cost side'!I179*'LEM cost side'!I128/1000000</f>
        <v>28.507389320278563</v>
      </c>
    </row>
    <row r="23" spans="1:9" x14ac:dyDescent="0.25">
      <c r="A23" s="22">
        <v>0.13</v>
      </c>
      <c r="B23" s="23">
        <v>300</v>
      </c>
      <c r="C23" s="23"/>
      <c r="D23" s="6">
        <f>+'LEM cost side'!K99*'c&amp;P calc'!D8*'LEM Demand Calibration'!$C$163*12*20*'LEM cost side'!$D$108*'LEM cost side'!D180*'LEM cost side'!D129/1000000</f>
        <v>0</v>
      </c>
      <c r="E23" s="6">
        <f>+'LEM cost side'!L99*'c&amp;P calc'!E8*'LEM Demand Calibration'!$C$163*12*20*'LEM cost side'!$D$108*'LEM cost side'!E180*'LEM cost side'!E129/1000000</f>
        <v>26.111476551412284</v>
      </c>
      <c r="F23" s="6">
        <f>+'LEM cost side'!M99*'c&amp;P calc'!F8*'LEM Demand Calibration'!$C$163*12*20*'LEM cost side'!$D$108*'LEM cost side'!F180*'LEM cost side'!F129/1000000</f>
        <v>45.471780639445093</v>
      </c>
      <c r="G23" s="6">
        <f>+'LEM cost side'!N99*'c&amp;P calc'!G8*'LEM Demand Calibration'!$C$163*12*20*'LEM cost side'!$D$108*'LEM cost side'!G180*'LEM cost side'!G129/1000000</f>
        <v>55.432265002057981</v>
      </c>
      <c r="H23" s="6">
        <f>+'LEM cost side'!O99*'c&amp;P calc'!H8*'LEM Demand Calibration'!$C$163*12*20*'LEM cost side'!$D$108*'LEM cost side'!H180*'LEM cost side'!H129/1000000</f>
        <v>55.432264906070003</v>
      </c>
      <c r="I23" s="6">
        <f>+'LEM cost side'!P99*'c&amp;P calc'!I8*'LEM Demand Calibration'!$C$163*12*20*'LEM cost side'!$D$108*'LEM cost side'!I180*'LEM cost side'!I129/1000000</f>
        <v>55.432264906069967</v>
      </c>
    </row>
    <row r="24" spans="1:9" x14ac:dyDescent="0.25">
      <c r="A24" s="22">
        <v>0.09</v>
      </c>
      <c r="B24" s="23">
        <v>200</v>
      </c>
      <c r="C24" s="23"/>
      <c r="D24" s="6">
        <f>+'LEM cost side'!K100*'c&amp;P calc'!D9*'LEM Demand Calibration'!$C$163*12*20*'LEM cost side'!$D$108*'LEM cost side'!D181*'LEM cost side'!D130/1000000</f>
        <v>0</v>
      </c>
      <c r="E24" s="6">
        <f>+'LEM cost side'!L100*'c&amp;P calc'!E9*'LEM Demand Calibration'!$C$163*12*20*'LEM cost side'!$D$108*'LEM cost side'!E181*'LEM cost side'!E130/1000000</f>
        <v>0</v>
      </c>
      <c r="F24" s="6">
        <f>+'LEM cost side'!M100*'c&amp;P calc'!F9*'LEM Demand Calibration'!$C$163*12*20*'LEM cost side'!$D$108*'LEM cost side'!F181*'LEM cost side'!F130/1000000</f>
        <v>0</v>
      </c>
      <c r="G24" s="6">
        <f>+'LEM cost side'!N100*'c&amp;P calc'!G9*'LEM Demand Calibration'!$C$163*12*20*'LEM cost side'!$D$108*'LEM cost side'!G181*'LEM cost side'!G130/1000000</f>
        <v>0</v>
      </c>
      <c r="H24" s="6">
        <f>+'LEM cost side'!O100*'c&amp;P calc'!H9*'LEM Demand Calibration'!$C$163*12*20*'LEM cost side'!$D$108*'LEM cost side'!H181*'LEM cost side'!H130/1000000</f>
        <v>0</v>
      </c>
      <c r="I24" s="6">
        <f>+'LEM cost side'!P100*'c&amp;P calc'!I9*'LEM Demand Calibration'!$C$163*12*20*'LEM cost side'!$D$108*'LEM cost side'!I181*'LEM cost side'!I130/1000000</f>
        <v>0</v>
      </c>
    </row>
    <row r="25" spans="1:9" x14ac:dyDescent="0.25">
      <c r="A25" s="22">
        <v>0.09</v>
      </c>
      <c r="B25" s="23">
        <v>300</v>
      </c>
      <c r="C25" s="23"/>
      <c r="D25" s="6">
        <f>+'LEM cost side'!K101*'c&amp;P calc'!D10*'LEM Demand Calibration'!$C$163*12*20*'LEM cost side'!$D$108*'LEM cost side'!D182*'LEM cost side'!D131/1000000</f>
        <v>0</v>
      </c>
      <c r="E25" s="6">
        <f>+'LEM cost side'!L101*'c&amp;P calc'!E10*'LEM Demand Calibration'!$C$163*12*20*'LEM cost side'!$D$108*'LEM cost side'!E182*'LEM cost side'!E131/1000000</f>
        <v>0</v>
      </c>
      <c r="F25" s="6">
        <f>+'LEM cost side'!M101*'c&amp;P calc'!F10*'LEM Demand Calibration'!$C$163*12*20*'LEM cost side'!$D$108*'LEM cost side'!F182*'LEM cost side'!F131/1000000</f>
        <v>0</v>
      </c>
      <c r="G25" s="6">
        <f>+'LEM cost side'!N101*'c&amp;P calc'!G10*'LEM Demand Calibration'!$C$163*12*20*'LEM cost side'!$D$108*'LEM cost side'!G182*'LEM cost side'!G131/1000000</f>
        <v>0</v>
      </c>
      <c r="H25" s="6">
        <f>+'LEM cost side'!O101*'c&amp;P calc'!H10*'LEM Demand Calibration'!$C$163*12*20*'LEM cost side'!$D$108*'LEM cost side'!H182*'LEM cost side'!H131/1000000</f>
        <v>0</v>
      </c>
      <c r="I25" s="6">
        <f>+'LEM cost side'!P101*'c&amp;P calc'!I10*'LEM Demand Calibration'!$C$163*12*20*'LEM cost side'!$D$108*'LEM cost side'!I182*'LEM cost side'!I131/1000000</f>
        <v>0</v>
      </c>
    </row>
    <row r="26" spans="1:9" x14ac:dyDescent="0.25">
      <c r="A26" s="22">
        <v>6.5000000000000002E-2</v>
      </c>
      <c r="B26" s="23">
        <v>200</v>
      </c>
      <c r="C26" s="23"/>
      <c r="D26" s="6">
        <f>+'LEM cost side'!K102*'c&amp;P calc'!D11*'LEM Demand Calibration'!$C$163*12*20*'LEM cost side'!$D$108*'LEM cost side'!D183*'LEM cost side'!D132/1000000</f>
        <v>0</v>
      </c>
      <c r="E26" s="6">
        <f>+'LEM cost side'!L102*'c&amp;P calc'!E11*'LEM Demand Calibration'!$C$163*12*20*'LEM cost side'!$D$108*'LEM cost side'!E183*'LEM cost side'!E132/1000000</f>
        <v>0</v>
      </c>
      <c r="F26" s="6">
        <f>+'LEM cost side'!M102*'c&amp;P calc'!F11*'LEM Demand Calibration'!$C$163*12*20*'LEM cost side'!$D$108*'LEM cost side'!F183*'LEM cost side'!F132/1000000</f>
        <v>0</v>
      </c>
      <c r="G26" s="6">
        <f>+'LEM cost side'!N102*'c&amp;P calc'!G11*'LEM Demand Calibration'!$C$163*12*20*'LEM cost side'!$D$108*'LEM cost side'!G183*'LEM cost side'!G132/1000000</f>
        <v>0</v>
      </c>
      <c r="H26" s="6">
        <f>+'LEM cost side'!O102*'c&amp;P calc'!H11*'LEM Demand Calibration'!$C$163*12*20*'LEM cost side'!$D$108*'LEM cost side'!H183*'LEM cost side'!H132/1000000</f>
        <v>0</v>
      </c>
      <c r="I26" s="6">
        <f>+'LEM cost side'!P102*'c&amp;P calc'!I11*'LEM Demand Calibration'!$C$163*12*20*'LEM cost side'!$D$108*'LEM cost side'!I183*'LEM cost side'!I132/1000000</f>
        <v>0</v>
      </c>
    </row>
    <row r="27" spans="1:9" x14ac:dyDescent="0.25">
      <c r="A27" s="22">
        <v>6.5000000000000002E-2</v>
      </c>
      <c r="B27" s="23">
        <v>300</v>
      </c>
      <c r="C27" s="23"/>
      <c r="D27" s="6">
        <f>+'LEM cost side'!K103*'c&amp;P calc'!D12*'LEM Demand Calibration'!$C$163*12*20*'LEM cost side'!$D$108*'LEM cost side'!D184*'LEM cost side'!D133/1000000</f>
        <v>0</v>
      </c>
      <c r="E27" s="6">
        <f>+'LEM cost side'!L103*'c&amp;P calc'!E12*'LEM Demand Calibration'!$C$163*12*20*'LEM cost side'!$D$108*'LEM cost side'!E184*'LEM cost side'!E133/1000000</f>
        <v>0</v>
      </c>
      <c r="F27" s="6">
        <f>+'LEM cost side'!M103*'c&amp;P calc'!F12*'LEM Demand Calibration'!$C$163*12*20*'LEM cost side'!$D$108*'LEM cost side'!F184*'LEM cost side'!F133/1000000</f>
        <v>0</v>
      </c>
      <c r="G27" s="6">
        <f>+'LEM cost side'!N103*'c&amp;P calc'!G12*'LEM Demand Calibration'!$C$163*12*20*'LEM cost side'!$D$108*'LEM cost side'!G184*'LEM cost side'!G133/1000000</f>
        <v>0</v>
      </c>
      <c r="H27" s="6">
        <f>+'LEM cost side'!O103*'c&amp;P calc'!H12*'LEM Demand Calibration'!$C$163*12*20*'LEM cost side'!$D$108*'LEM cost side'!H184*'LEM cost side'!H133/1000000</f>
        <v>0</v>
      </c>
      <c r="I27" s="6">
        <f>+'LEM cost side'!P103*'c&amp;P calc'!I12*'LEM Demand Calibration'!$C$163*12*20*'LEM cost side'!$D$108*'LEM cost side'!I184*'LEM cost side'!I133/1000000</f>
        <v>0</v>
      </c>
    </row>
    <row r="28" spans="1:9" x14ac:dyDescent="0.25">
      <c r="A28" s="20">
        <v>4.4999999999999998E-2</v>
      </c>
      <c r="B28" s="21">
        <v>200</v>
      </c>
      <c r="C28" s="21"/>
      <c r="D28" s="6">
        <f>+'LEM cost side'!K104*'c&amp;P calc'!D13*'LEM Demand Calibration'!$C$163*12*20*'LEM cost side'!$D$108*'LEM cost side'!D185*'LEM cost side'!D134/1000000</f>
        <v>0</v>
      </c>
      <c r="E28" s="6">
        <f>+'LEM cost side'!L104*'c&amp;P calc'!E13*'LEM Demand Calibration'!$C$163*12*20*'LEM cost side'!$D$108*'LEM cost side'!E185*'LEM cost side'!E134/1000000</f>
        <v>0</v>
      </c>
      <c r="F28" s="6">
        <f>+'LEM cost side'!M104*'c&amp;P calc'!F13*'LEM Demand Calibration'!$C$163*12*20*'LEM cost side'!$D$108*'LEM cost side'!F185*'LEM cost side'!F134/1000000</f>
        <v>0</v>
      </c>
      <c r="G28" s="6">
        <f>+'LEM cost side'!N104*'c&amp;P calc'!G13*'LEM Demand Calibration'!$C$163*12*20*'LEM cost side'!$D$108*'LEM cost side'!G185*'LEM cost side'!G134/1000000</f>
        <v>0</v>
      </c>
      <c r="H28" s="6">
        <f>+'LEM cost side'!O104*'c&amp;P calc'!H13*'LEM Demand Calibration'!$C$163*12*20*'LEM cost side'!$D$108*'LEM cost side'!H185*'LEM cost side'!H134/1000000</f>
        <v>0</v>
      </c>
      <c r="I28" s="6">
        <f>+'LEM cost side'!P104*'c&amp;P calc'!I13*'LEM Demand Calibration'!$C$163*12*20*'LEM cost side'!$D$108*'LEM cost side'!I185*'LEM cost side'!I134/1000000</f>
        <v>0</v>
      </c>
    </row>
    <row r="29" spans="1:9" x14ac:dyDescent="0.25">
      <c r="A29" s="20">
        <v>4.4999999999999998E-2</v>
      </c>
      <c r="B29" s="21">
        <v>300</v>
      </c>
      <c r="C29" s="21"/>
      <c r="D29" s="6">
        <f>+'LEM cost side'!K105*'c&amp;P calc'!D14*'LEM Demand Calibration'!$C$163*12*20*'LEM cost side'!$D$108*'LEM cost side'!D186*'LEM cost side'!D135/1000000</f>
        <v>0</v>
      </c>
      <c r="E29" s="6">
        <f>+'LEM cost side'!L105*'c&amp;P calc'!E14*'LEM Demand Calibration'!$C$163*12*20*'LEM cost side'!$D$108*'LEM cost side'!E186*'LEM cost side'!E135/1000000</f>
        <v>0</v>
      </c>
      <c r="F29" s="6">
        <f>+'LEM cost side'!M105*'c&amp;P calc'!F14*'LEM Demand Calibration'!$C$163*12*20*'LEM cost side'!$D$108*'LEM cost side'!F186*'LEM cost side'!F135/1000000</f>
        <v>0</v>
      </c>
      <c r="G29" s="6">
        <f>+'LEM cost side'!N105*'c&amp;P calc'!G14*'LEM Demand Calibration'!$C$163*12*20*'LEM cost side'!$D$108*'LEM cost side'!G186*'LEM cost side'!G135/1000000</f>
        <v>0</v>
      </c>
      <c r="H29" s="6">
        <f>+'LEM cost side'!O105*'c&amp;P calc'!H14*'LEM Demand Calibration'!$C$163*12*20*'LEM cost side'!$D$108*'LEM cost side'!H186*'LEM cost side'!H135/1000000</f>
        <v>0</v>
      </c>
      <c r="I29" s="6">
        <f>+'LEM cost side'!P105*'c&amp;P calc'!I14*'LEM Demand Calibration'!$C$163*12*20*'LEM cost side'!$D$108*'LEM cost side'!I186*'LEM cost side'!I135/1000000</f>
        <v>0</v>
      </c>
    </row>
    <row r="30" spans="1:9" x14ac:dyDescent="0.25">
      <c r="A30" s="20">
        <v>0.03</v>
      </c>
      <c r="B30" s="21">
        <v>200</v>
      </c>
      <c r="C30" s="21"/>
      <c r="D30" s="6">
        <f>+'LEM cost side'!K106*'c&amp;P calc'!D15*'LEM Demand Calibration'!$C$163*12*20*'LEM cost side'!$D$108*'LEM cost side'!D187*'LEM cost side'!D136/1000000</f>
        <v>0</v>
      </c>
      <c r="E30" s="6">
        <f>+'LEM cost side'!L106*'c&amp;P calc'!E15*'LEM Demand Calibration'!$C$163*12*20*'LEM cost side'!$D$108*'LEM cost side'!E187*'LEM cost side'!E136/1000000</f>
        <v>0</v>
      </c>
      <c r="F30" s="6">
        <f>+'LEM cost side'!M106*'c&amp;P calc'!F15*'LEM Demand Calibration'!$C$163*12*20*'LEM cost side'!$D$108*'LEM cost side'!F187*'LEM cost side'!F136/1000000</f>
        <v>0</v>
      </c>
      <c r="G30" s="6">
        <f>+'LEM cost side'!N106*'c&amp;P calc'!G15*'LEM Demand Calibration'!$C$163*12*20*'LEM cost side'!$D$108*'LEM cost side'!G187*'LEM cost side'!G136/1000000</f>
        <v>0</v>
      </c>
      <c r="H30" s="6">
        <f>+'LEM cost side'!O106*'c&amp;P calc'!H15*'LEM Demand Calibration'!$C$163*12*20*'LEM cost side'!$D$108*'LEM cost side'!H187*'LEM cost side'!H136/1000000</f>
        <v>0</v>
      </c>
      <c r="I30" s="6">
        <f>+'LEM cost side'!P106*'c&amp;P calc'!I15*'LEM Demand Calibration'!$C$163*12*20*'LEM cost side'!$D$108*'LEM cost side'!I187*'LEM cost side'!I136/1000000</f>
        <v>0</v>
      </c>
    </row>
    <row r="31" spans="1:9" x14ac:dyDescent="0.25">
      <c r="A31" s="1" t="s">
        <v>11</v>
      </c>
      <c r="D31" s="6">
        <f t="shared" ref="D31:I31" si="3">+SUM(D18:D27)</f>
        <v>67.844003201737678</v>
      </c>
      <c r="E31" s="6">
        <f t="shared" si="3"/>
        <v>102.3613545803469</v>
      </c>
      <c r="F31" s="6">
        <f t="shared" si="3"/>
        <v>128.27015840859923</v>
      </c>
      <c r="G31" s="6">
        <f t="shared" si="3"/>
        <v>138.0540887475351</v>
      </c>
      <c r="H31" s="6">
        <f t="shared" si="3"/>
        <v>138.05408865154715</v>
      </c>
      <c r="I31" s="6">
        <f t="shared" si="3"/>
        <v>138.05408865154709</v>
      </c>
    </row>
    <row r="32" spans="1:9" x14ac:dyDescent="0.25">
      <c r="A32" s="1" t="s">
        <v>162</v>
      </c>
      <c r="D32" s="6"/>
      <c r="E32" s="6"/>
      <c r="F32" s="6"/>
      <c r="G32" s="6"/>
      <c r="H32" s="6"/>
      <c r="I32" s="6"/>
    </row>
    <row r="33" spans="1:9" x14ac:dyDescent="0.25">
      <c r="A33" s="22">
        <v>0.25</v>
      </c>
      <c r="B33" s="23">
        <v>200</v>
      </c>
      <c r="C33" s="23"/>
      <c r="D33" s="6">
        <f>+D18*1000/'LEM Demand Calibration'!D50</f>
        <v>1099.1349299794474</v>
      </c>
      <c r="E33" s="6">
        <f>+E18*1000/'LEM Demand Calibration'!E50</f>
        <v>1099.1349299794474</v>
      </c>
      <c r="F33" s="6">
        <f>+F18*1000/'LEM Demand Calibration'!F50</f>
        <v>1099.1349299794474</v>
      </c>
      <c r="G33" s="6">
        <f>+G18*1000/'LEM Demand Calibration'!G50</f>
        <v>1099.1349299794474</v>
      </c>
      <c r="H33" s="6">
        <f>+H18*1000/'LEM Demand Calibration'!H50</f>
        <v>1099.1349299794474</v>
      </c>
      <c r="I33" s="6">
        <f>+I18*1000/'LEM Demand Calibration'!I50</f>
        <v>1099.1349299794474</v>
      </c>
    </row>
    <row r="34" spans="1:9" x14ac:dyDescent="0.25">
      <c r="A34" s="22">
        <v>0.25</v>
      </c>
      <c r="B34" s="23">
        <v>300</v>
      </c>
      <c r="C34" s="23"/>
      <c r="D34" s="6">
        <f>+D19*1000/'LEM Demand Calibration'!D51</f>
        <v>0</v>
      </c>
      <c r="E34" s="6">
        <f>+E19*1000/'LEM Demand Calibration'!E51</f>
        <v>0</v>
      </c>
      <c r="F34" s="6">
        <f>+F19*1000/'LEM Demand Calibration'!F51</f>
        <v>0</v>
      </c>
      <c r="G34" s="6">
        <f>+G19*1000/'LEM Demand Calibration'!G51</f>
        <v>0</v>
      </c>
      <c r="H34" s="6">
        <f>+H19*1000/'LEM Demand Calibration'!H51</f>
        <v>0</v>
      </c>
      <c r="I34" s="6">
        <f>+I19*1000/'LEM Demand Calibration'!I51</f>
        <v>0</v>
      </c>
    </row>
    <row r="35" spans="1:9" x14ac:dyDescent="0.25">
      <c r="A35" s="22">
        <v>0.18</v>
      </c>
      <c r="B35" s="23">
        <v>200</v>
      </c>
      <c r="C35" s="23"/>
      <c r="D35" s="6">
        <f>+D20*1000/'LEM Demand Calibration'!D52</f>
        <v>3658.8562522420962</v>
      </c>
      <c r="E35" s="6">
        <f>+E20*1000/'LEM Demand Calibration'!E52</f>
        <v>3745.335962985444</v>
      </c>
      <c r="F35" s="6">
        <f>+F20*1000/'LEM Demand Calibration'!F52</f>
        <v>3785.2732860373699</v>
      </c>
      <c r="G35" s="6">
        <f>+G20*1000/'LEM Demand Calibration'!G52</f>
        <v>3785.2732860373694</v>
      </c>
      <c r="H35" s="6">
        <f>+H20*1000/'LEM Demand Calibration'!H52</f>
        <v>3785.2732860373694</v>
      </c>
      <c r="I35" s="6">
        <f>+I20*1000/'LEM Demand Calibration'!I52</f>
        <v>3785.2732860373694</v>
      </c>
    </row>
    <row r="36" spans="1:9" x14ac:dyDescent="0.25">
      <c r="A36" s="22">
        <v>0.18</v>
      </c>
      <c r="B36" s="23">
        <v>300</v>
      </c>
      <c r="C36" s="23"/>
      <c r="D36" s="6">
        <f>+D21*1000/'LEM Demand Calibration'!D53</f>
        <v>0</v>
      </c>
      <c r="E36" s="6">
        <f>+E21*1000/'LEM Demand Calibration'!E53</f>
        <v>0</v>
      </c>
      <c r="F36" s="6">
        <f>+F21*1000/'LEM Demand Calibration'!F53</f>
        <v>0</v>
      </c>
      <c r="G36" s="6">
        <f>+G21*1000/'LEM Demand Calibration'!G53</f>
        <v>0</v>
      </c>
      <c r="H36" s="6">
        <f>+H21*1000/'LEM Demand Calibration'!H53</f>
        <v>0</v>
      </c>
      <c r="I36" s="6">
        <f>+I21*1000/'LEM Demand Calibration'!I53</f>
        <v>0</v>
      </c>
    </row>
    <row r="37" spans="1:9" x14ac:dyDescent="0.25">
      <c r="A37" s="22">
        <v>0.13</v>
      </c>
      <c r="B37" s="23">
        <v>200</v>
      </c>
      <c r="C37" s="23"/>
      <c r="D37" s="6">
        <f>+D22*1000/'LEM Demand Calibration'!D54</f>
        <v>593.10249551233426</v>
      </c>
      <c r="E37" s="6">
        <f>+E22*1000/'LEM Demand Calibration'!E54</f>
        <v>848.14815008090613</v>
      </c>
      <c r="F37" s="6">
        <f>+F22*1000/'LEM Demand Calibration'!F54</f>
        <v>1074.6788327255479</v>
      </c>
      <c r="G37" s="6">
        <f>+G22*1000/'LEM Demand Calibration'!G54</f>
        <v>1068.0640214423502</v>
      </c>
      <c r="H37" s="6">
        <f>+H22*1000/'LEM Demand Calibration'!H54</f>
        <v>1068.0640214423502</v>
      </c>
      <c r="I37" s="6">
        <f>+I22*1000/'LEM Demand Calibration'!I54</f>
        <v>1068.0640214423502</v>
      </c>
    </row>
    <row r="38" spans="1:9" x14ac:dyDescent="0.25">
      <c r="A38" s="22">
        <v>0.13</v>
      </c>
      <c r="B38" s="23">
        <v>300</v>
      </c>
      <c r="C38" s="23"/>
      <c r="D38" s="6">
        <f>+D23*1000/'LEM Demand Calibration'!D55</f>
        <v>0</v>
      </c>
      <c r="E38" s="6">
        <f>+E23*1000/'LEM Demand Calibration'!E55</f>
        <v>978.29823481803544</v>
      </c>
      <c r="F38" s="6">
        <f>+F23*1000/'LEM Demand Calibration'!F55</f>
        <v>1703.6555801818879</v>
      </c>
      <c r="G38" s="6">
        <f>+G23*1000/'LEM Demand Calibration'!G55</f>
        <v>2076.8372442172672</v>
      </c>
      <c r="H38" s="6">
        <f>+H23*1000/'LEM Demand Calibration'!H55</f>
        <v>2076.837240620961</v>
      </c>
      <c r="I38" s="6">
        <f>+I23*1000/'LEM Demand Calibration'!I55</f>
        <v>2076.8372406209596</v>
      </c>
    </row>
    <row r="39" spans="1:9" x14ac:dyDescent="0.25">
      <c r="A39" s="22">
        <v>0.09</v>
      </c>
      <c r="B39" s="23">
        <v>200</v>
      </c>
      <c r="C39" s="23"/>
      <c r="D39" s="6"/>
      <c r="E39" s="6">
        <f>+E24*1000/'LEM Demand Calibration'!E56</f>
        <v>0</v>
      </c>
      <c r="F39" s="6">
        <f>+F24*1000/'LEM Demand Calibration'!F56</f>
        <v>0</v>
      </c>
      <c r="G39" s="6">
        <f>+G24*1000/'LEM Demand Calibration'!G56</f>
        <v>0</v>
      </c>
      <c r="H39" s="6">
        <f>+H24*1000/'LEM Demand Calibration'!H56</f>
        <v>0</v>
      </c>
      <c r="I39" s="6">
        <f>+I24*1000/'LEM Demand Calibration'!I56</f>
        <v>0</v>
      </c>
    </row>
    <row r="40" spans="1:9" x14ac:dyDescent="0.25">
      <c r="A40" s="22">
        <v>0.09</v>
      </c>
      <c r="B40" s="23">
        <v>300</v>
      </c>
      <c r="C40" s="23"/>
      <c r="D40" s="6"/>
      <c r="E40" s="6">
        <f>+E25*1000/'LEM Demand Calibration'!E57</f>
        <v>0</v>
      </c>
      <c r="F40" s="6">
        <f>+F25*1000/'LEM Demand Calibration'!F57</f>
        <v>0</v>
      </c>
      <c r="G40" s="6">
        <f>+G25*1000/'LEM Demand Calibration'!G57</f>
        <v>0</v>
      </c>
      <c r="H40" s="6">
        <f>+H25*1000/'LEM Demand Calibration'!H57</f>
        <v>0</v>
      </c>
      <c r="I40" s="6">
        <f>+I25*1000/'LEM Demand Calibration'!I57</f>
        <v>0</v>
      </c>
    </row>
    <row r="41" spans="1:9" x14ac:dyDescent="0.25">
      <c r="A41" s="22">
        <v>6.5000000000000002E-2</v>
      </c>
      <c r="B41" s="23">
        <v>200</v>
      </c>
      <c r="C41" s="23"/>
      <c r="D41" s="6"/>
      <c r="E41" s="6"/>
      <c r="F41" s="6"/>
      <c r="G41" s="6">
        <f>+G26*1000/'LEM Demand Calibration'!G58</f>
        <v>0</v>
      </c>
      <c r="H41" s="6">
        <f>+H26*1000/'LEM Demand Calibration'!H58</f>
        <v>0</v>
      </c>
      <c r="I41" s="6">
        <f>+I26*1000/'LEM Demand Calibration'!I58</f>
        <v>0</v>
      </c>
    </row>
    <row r="42" spans="1:9" x14ac:dyDescent="0.25">
      <c r="A42" s="22">
        <v>6.5000000000000002E-2</v>
      </c>
      <c r="B42" s="23">
        <v>300</v>
      </c>
      <c r="C42" s="23"/>
      <c r="D42" s="6"/>
      <c r="E42" s="6"/>
      <c r="F42" s="6"/>
      <c r="G42" s="6">
        <f>+G27*1000/'LEM Demand Calibration'!G59</f>
        <v>0</v>
      </c>
      <c r="H42" s="6">
        <f>+H27*1000/'LEM Demand Calibration'!H59</f>
        <v>0</v>
      </c>
      <c r="I42" s="6">
        <f>+I27*1000/'LEM Demand Calibration'!I59</f>
        <v>0</v>
      </c>
    </row>
    <row r="43" spans="1:9" x14ac:dyDescent="0.25">
      <c r="A43" s="20">
        <v>4.4999999999999998E-2</v>
      </c>
      <c r="B43" s="21">
        <v>200</v>
      </c>
      <c r="C43" s="21"/>
      <c r="D43" s="6"/>
      <c r="E43" s="6"/>
      <c r="F43" s="6"/>
      <c r="G43" s="6"/>
      <c r="H43" s="6"/>
      <c r="I43" s="6">
        <f>+I28*1000/'LEM Demand Calibration'!I60</f>
        <v>0</v>
      </c>
    </row>
    <row r="44" spans="1:9" x14ac:dyDescent="0.25">
      <c r="A44" s="20">
        <v>4.4999999999999998E-2</v>
      </c>
      <c r="B44" s="21">
        <v>300</v>
      </c>
      <c r="C44" s="21"/>
      <c r="D44" s="6"/>
      <c r="E44" s="6"/>
      <c r="F44" s="6"/>
      <c r="G44" s="6"/>
      <c r="H44" s="6"/>
      <c r="I44" s="6">
        <f>+I29*1000/'LEM Demand Calibration'!I61</f>
        <v>0</v>
      </c>
    </row>
    <row r="45" spans="1:9" x14ac:dyDescent="0.25">
      <c r="A45" s="20">
        <v>0.03</v>
      </c>
      <c r="B45" s="21">
        <v>200</v>
      </c>
      <c r="C45" s="21"/>
      <c r="D45" s="6"/>
      <c r="E45" s="6"/>
      <c r="F45" s="6"/>
      <c r="G45" s="6"/>
      <c r="H45" s="6"/>
      <c r="I45" s="6"/>
    </row>
    <row r="46" spans="1:9" x14ac:dyDescent="0.25">
      <c r="A46" s="1" t="s">
        <v>11</v>
      </c>
      <c r="D46" s="6">
        <f t="shared" ref="D46:I46" si="4">+SUM(D33:D45)</f>
        <v>5351.0936777338775</v>
      </c>
      <c r="E46" s="6">
        <f t="shared" si="4"/>
        <v>6670.9172778638331</v>
      </c>
      <c r="F46" s="6">
        <f t="shared" si="4"/>
        <v>7662.742628924253</v>
      </c>
      <c r="G46" s="6">
        <f t="shared" si="4"/>
        <v>8029.3094816764333</v>
      </c>
      <c r="H46" s="6">
        <f t="shared" si="4"/>
        <v>8029.3094780801275</v>
      </c>
      <c r="I46" s="6">
        <f t="shared" si="4"/>
        <v>8029.3094780801257</v>
      </c>
    </row>
    <row r="47" spans="1:9" x14ac:dyDescent="0.25">
      <c r="D47" s="6"/>
      <c r="E47" s="6"/>
      <c r="F47" s="6"/>
      <c r="G47" s="6"/>
      <c r="H47" s="6"/>
      <c r="I47" s="6"/>
    </row>
    <row r="48" spans="1:9" x14ac:dyDescent="0.25">
      <c r="A48" s="1" t="s">
        <v>189</v>
      </c>
      <c r="D48" s="6"/>
      <c r="E48" s="6"/>
      <c r="F48" s="6"/>
      <c r="G48" s="6"/>
      <c r="H48" s="6"/>
      <c r="I48" s="6"/>
    </row>
    <row r="49" spans="1:9" x14ac:dyDescent="0.25">
      <c r="A49" s="1" t="s">
        <v>41</v>
      </c>
      <c r="D49" s="6"/>
      <c r="E49" s="6" t="s">
        <v>43</v>
      </c>
      <c r="F49" s="6" t="s">
        <v>195</v>
      </c>
      <c r="G49" s="6"/>
      <c r="H49" s="6"/>
      <c r="I49" s="6"/>
    </row>
    <row r="50" spans="1:9" x14ac:dyDescent="0.25">
      <c r="A50" s="1" t="s">
        <v>160</v>
      </c>
      <c r="D50" s="6">
        <f>-(D31-'LEM Demand Calibration'!D128)/'LEM Demand Calibration'!D129</f>
        <v>0.25824316769248573</v>
      </c>
      <c r="E50" s="6">
        <f>-(E31-'LEM Demand Calibration'!E128)/'LEM Demand Calibration'!E129</f>
        <v>0.2082763844118905</v>
      </c>
      <c r="F50" s="6">
        <f>-(F31-'LEM Demand Calibration'!F128)/'LEM Demand Calibration'!F129</f>
        <v>0.18818406900446369</v>
      </c>
      <c r="G50" s="6">
        <f>-(G31-'LEM Demand Calibration'!G128)/'LEM Demand Calibration'!G129</f>
        <v>0.17212098094210695</v>
      </c>
      <c r="H50" s="6">
        <f>-(H31-'LEM Demand Calibration'!H128)/'LEM Demand Calibration'!H129</f>
        <v>9.7578712953468788E-2</v>
      </c>
      <c r="I50" s="6">
        <f>-(I31-'LEM Demand Calibration'!I128)/'LEM Demand Calibration'!I129</f>
        <v>8.1657500735572361E-2</v>
      </c>
    </row>
    <row r="51" spans="1:9" x14ac:dyDescent="0.25">
      <c r="A51" s="1" t="s">
        <v>161</v>
      </c>
      <c r="D51" s="6"/>
      <c r="E51" s="6"/>
      <c r="F51" s="6"/>
      <c r="G51" s="6"/>
      <c r="H51" s="6"/>
      <c r="I51" s="6"/>
    </row>
    <row r="52" spans="1:9" x14ac:dyDescent="0.25">
      <c r="A52" s="22">
        <v>0.25</v>
      </c>
      <c r="B52" s="23">
        <v>200</v>
      </c>
      <c r="C52" s="23"/>
      <c r="D52" s="6">
        <f>+D$50*'LEM Demand Calibration'!D50</f>
        <v>1.5301142786923423</v>
      </c>
      <c r="E52" s="6">
        <f>+E$50*'LEM Demand Calibration'!E50</f>
        <v>1.2340565388453522</v>
      </c>
      <c r="F52" s="6">
        <f>+F$50*'LEM Demand Calibration'!F50</f>
        <v>1.1150077408786889</v>
      </c>
      <c r="G52" s="6">
        <f>+G$50*'LEM Demand Calibration'!G50</f>
        <v>1.0198324817470619</v>
      </c>
      <c r="H52" s="6">
        <f>+H$50*'LEM Demand Calibration'!H50</f>
        <v>0.57816275768549008</v>
      </c>
      <c r="I52" s="6">
        <f>+I$50*'LEM Demand Calibration'!I50</f>
        <v>0.48382812584847845</v>
      </c>
    </row>
    <row r="53" spans="1:9" x14ac:dyDescent="0.25">
      <c r="A53" s="22">
        <v>0.25</v>
      </c>
      <c r="B53" s="23">
        <v>300</v>
      </c>
      <c r="C53" s="23"/>
      <c r="D53" s="6">
        <f>+D$50*'LEM Demand Calibration'!D51</f>
        <v>1.5301142786923423</v>
      </c>
      <c r="E53" s="6">
        <f>+E$50*'LEM Demand Calibration'!E51</f>
        <v>1.2340565388453522</v>
      </c>
      <c r="F53" s="6">
        <f>+F$50*'LEM Demand Calibration'!F51</f>
        <v>1.1150077408786889</v>
      </c>
      <c r="G53" s="6">
        <f>+G$50*'LEM Demand Calibration'!G51</f>
        <v>1.0198324817470619</v>
      </c>
      <c r="H53" s="6">
        <f>+H$50*'LEM Demand Calibration'!H51</f>
        <v>0.57816275768549008</v>
      </c>
      <c r="I53" s="6">
        <f>+I$50*'LEM Demand Calibration'!I51</f>
        <v>0.48382812584847845</v>
      </c>
    </row>
    <row r="54" spans="1:9" x14ac:dyDescent="0.25">
      <c r="A54" s="22">
        <v>0.18</v>
      </c>
      <c r="B54" s="23">
        <v>200</v>
      </c>
      <c r="C54" s="23"/>
      <c r="D54" s="6">
        <f>+D$50*'LEM Demand Calibration'!D52</f>
        <v>3.2475543994733269</v>
      </c>
      <c r="E54" s="6">
        <f>+E$50*'LEM Demand Calibration'!E52</f>
        <v>2.6191937411047883</v>
      </c>
      <c r="F54" s="6">
        <f>+F$50*'LEM Demand Calibration'!F52</f>
        <v>2.3665214714759748</v>
      </c>
      <c r="G54" s="6">
        <f>+G$50*'LEM Demand Calibration'!G52</f>
        <v>2.1645190224967523</v>
      </c>
      <c r="H54" s="6">
        <f>+H$50*'LEM Demand Calibration'!H52</f>
        <v>1.2271076961243583</v>
      </c>
      <c r="I54" s="6">
        <f>+I$50*'LEM Demand Calibration'!I52</f>
        <v>1.0268894164107667</v>
      </c>
    </row>
    <row r="55" spans="1:9" x14ac:dyDescent="0.25">
      <c r="A55" s="22">
        <v>0.18</v>
      </c>
      <c r="B55" s="23">
        <v>300</v>
      </c>
      <c r="C55" s="23"/>
      <c r="D55" s="6">
        <f>+D$50*'LEM Demand Calibration'!D53</f>
        <v>3.2475543994733269</v>
      </c>
      <c r="E55" s="6">
        <f>+E$50*'LEM Demand Calibration'!E53</f>
        <v>2.6191937411047883</v>
      </c>
      <c r="F55" s="6">
        <f>+F$50*'LEM Demand Calibration'!F53</f>
        <v>2.3665214714759748</v>
      </c>
      <c r="G55" s="6">
        <f>+G$50*'LEM Demand Calibration'!G53</f>
        <v>2.1645190224967523</v>
      </c>
      <c r="H55" s="6">
        <f>+H$50*'LEM Demand Calibration'!H53</f>
        <v>1.2271076961243583</v>
      </c>
      <c r="I55" s="6">
        <f>+I$50*'LEM Demand Calibration'!I53</f>
        <v>1.0268894164107667</v>
      </c>
    </row>
    <row r="56" spans="1:9" x14ac:dyDescent="0.25">
      <c r="A56" s="22">
        <v>0.13</v>
      </c>
      <c r="B56" s="23">
        <v>200</v>
      </c>
      <c r="C56" s="23"/>
      <c r="D56" s="6">
        <f>+D$50*'LEM Demand Calibration'!D54</f>
        <v>6.6702021254490607</v>
      </c>
      <c r="E56" s="6">
        <f>+E$50*'LEM Demand Calibration'!E54</f>
        <v>5.5590450173873194</v>
      </c>
      <c r="F56" s="6">
        <f>+F$50*'LEM Demand Calibration'!F54</f>
        <v>5.022766811056723</v>
      </c>
      <c r="G56" s="6">
        <f>+G$50*'LEM Demand Calibration'!G54</f>
        <v>4.5940315518527512</v>
      </c>
      <c r="H56" s="6">
        <f>+H$50*'LEM Demand Calibration'!H54</f>
        <v>2.6044453363195603</v>
      </c>
      <c r="I56" s="6">
        <f>+I$50*'LEM Demand Calibration'!I54</f>
        <v>2.1794968444366254</v>
      </c>
    </row>
    <row r="57" spans="1:9" x14ac:dyDescent="0.25">
      <c r="A57" s="22">
        <v>0.13</v>
      </c>
      <c r="B57" s="23">
        <v>300</v>
      </c>
      <c r="C57" s="23"/>
      <c r="D57" s="6">
        <f>+D$50*'LEM Demand Calibration'!D55</f>
        <v>6.6702021254490607</v>
      </c>
      <c r="E57" s="6">
        <f>+E$50*'LEM Demand Calibration'!E55</f>
        <v>5.5590450173873194</v>
      </c>
      <c r="F57" s="6">
        <f>+F$50*'LEM Demand Calibration'!F55</f>
        <v>5.022766811056723</v>
      </c>
      <c r="G57" s="6">
        <f>+G$50*'LEM Demand Calibration'!G55</f>
        <v>4.5940315518527512</v>
      </c>
      <c r="H57" s="6">
        <f>+H$50*'LEM Demand Calibration'!H55</f>
        <v>2.6044453363195603</v>
      </c>
      <c r="I57" s="6">
        <f>+I$50*'LEM Demand Calibration'!I55</f>
        <v>2.1794968444366254</v>
      </c>
    </row>
    <row r="58" spans="1:9" x14ac:dyDescent="0.25">
      <c r="A58" s="22">
        <v>0.09</v>
      </c>
      <c r="B58" s="23">
        <v>200</v>
      </c>
      <c r="C58" s="23"/>
      <c r="D58" s="6">
        <f>+D$50*'LEM Demand Calibration'!D56</f>
        <v>0</v>
      </c>
      <c r="E58" s="6">
        <f>+E$50*'LEM Demand Calibration'!E56</f>
        <v>9.7760589016271258</v>
      </c>
      <c r="F58" s="6">
        <f>+F$50*'LEM Demand Calibration'!F56</f>
        <v>9.127600876816313</v>
      </c>
      <c r="G58" s="6">
        <f>+G$50*'LEM Demand Calibration'!G56</f>
        <v>8.6269564571794266</v>
      </c>
      <c r="H58" s="6">
        <f>+H$50*'LEM Demand Calibration'!H56</f>
        <v>4.8907884627983149</v>
      </c>
      <c r="I58" s="6">
        <f>+I$50*'LEM Demand Calibration'!I56</f>
        <v>4.0927939138623897</v>
      </c>
    </row>
    <row r="59" spans="1:9" x14ac:dyDescent="0.25">
      <c r="A59" s="22">
        <v>0.09</v>
      </c>
      <c r="B59" s="23">
        <v>300</v>
      </c>
      <c r="C59" s="23"/>
      <c r="D59" s="6">
        <f>+D$50*'LEM Demand Calibration'!D57</f>
        <v>0</v>
      </c>
      <c r="E59" s="6">
        <f>+E$50*'LEM Demand Calibration'!E57</f>
        <v>9.7760589016271258</v>
      </c>
      <c r="F59" s="6">
        <f>+F$50*'LEM Demand Calibration'!F57</f>
        <v>9.127600876816313</v>
      </c>
      <c r="G59" s="6">
        <f>+G$50*'LEM Demand Calibration'!G57</f>
        <v>8.6269564571794266</v>
      </c>
      <c r="H59" s="6">
        <f>+H$50*'LEM Demand Calibration'!H57</f>
        <v>4.8907884627983149</v>
      </c>
      <c r="I59" s="6">
        <f>+I$50*'LEM Demand Calibration'!I57</f>
        <v>4.0927939138623897</v>
      </c>
    </row>
    <row r="60" spans="1:9" x14ac:dyDescent="0.25">
      <c r="A60" s="22">
        <v>6.5000000000000002E-2</v>
      </c>
      <c r="B60" s="23">
        <v>200</v>
      </c>
      <c r="C60" s="23"/>
      <c r="D60" s="6">
        <f>+D$50*'LEM Demand Calibration'!D58</f>
        <v>0</v>
      </c>
      <c r="E60" s="6">
        <f>+E$50*'LEM Demand Calibration'!E58</f>
        <v>0</v>
      </c>
      <c r="F60" s="6">
        <f>+F$50*'LEM Demand Calibration'!F58</f>
        <v>0</v>
      </c>
      <c r="G60" s="6">
        <f>+G$50*'LEM Demand Calibration'!G58</f>
        <v>15.171245097561043</v>
      </c>
      <c r="H60" s="6">
        <f>+H$50*'LEM Demand Calibration'!H58</f>
        <v>8.887763804421791</v>
      </c>
      <c r="I60" s="6">
        <f>+I$50*'LEM Demand Calibration'!I58</f>
        <v>7.6857014333870008</v>
      </c>
    </row>
    <row r="61" spans="1:9" x14ac:dyDescent="0.25">
      <c r="A61" s="22">
        <v>6.5000000000000002E-2</v>
      </c>
      <c r="B61" s="23">
        <v>300</v>
      </c>
      <c r="C61" s="23"/>
      <c r="D61" s="6">
        <f>+D$50*'LEM Demand Calibration'!D59</f>
        <v>0</v>
      </c>
      <c r="E61" s="6">
        <f>+E$50*'LEM Demand Calibration'!E59</f>
        <v>0</v>
      </c>
      <c r="F61" s="6">
        <f>+F$50*'LEM Demand Calibration'!F59</f>
        <v>0</v>
      </c>
      <c r="G61" s="6">
        <f>+G$50*'LEM Demand Calibration'!G59</f>
        <v>15.171245097561043</v>
      </c>
      <c r="H61" s="6">
        <f>+H$50*'LEM Demand Calibration'!H59</f>
        <v>8.887763804421791</v>
      </c>
      <c r="I61" s="6">
        <f>+I$50*'LEM Demand Calibration'!I59</f>
        <v>7.6857014333870008</v>
      </c>
    </row>
    <row r="62" spans="1:9" x14ac:dyDescent="0.25">
      <c r="A62" s="20">
        <v>4.4999999999999998E-2</v>
      </c>
      <c r="B62" s="21">
        <v>200</v>
      </c>
      <c r="C62" s="21"/>
      <c r="D62" s="6">
        <f>+D$50*'LEM Demand Calibration'!D60</f>
        <v>0</v>
      </c>
      <c r="E62" s="6">
        <f>+E$50*'LEM Demand Calibration'!E60</f>
        <v>0</v>
      </c>
      <c r="F62" s="6">
        <f>+F$50*'LEM Demand Calibration'!F60</f>
        <v>0</v>
      </c>
      <c r="G62" s="6">
        <f>+G$50*'LEM Demand Calibration'!G60</f>
        <v>0</v>
      </c>
      <c r="H62" s="6">
        <f>+H$50*'LEM Demand Calibration'!H60</f>
        <v>0</v>
      </c>
      <c r="I62" s="6">
        <f>+I$50*'LEM Demand Calibration'!I60</f>
        <v>13.515967163083751</v>
      </c>
    </row>
    <row r="63" spans="1:9" x14ac:dyDescent="0.25">
      <c r="A63" s="20">
        <v>4.4999999999999998E-2</v>
      </c>
      <c r="B63" s="21">
        <v>300</v>
      </c>
      <c r="C63" s="21"/>
      <c r="D63" s="6">
        <f>+D$50*'LEM Demand Calibration'!D61</f>
        <v>0</v>
      </c>
      <c r="E63" s="6">
        <f>+E$50*'LEM Demand Calibration'!E61</f>
        <v>0</v>
      </c>
      <c r="F63" s="6">
        <f>+F$50*'LEM Demand Calibration'!F61</f>
        <v>0</v>
      </c>
      <c r="G63" s="6">
        <f>+G$50*'LEM Demand Calibration'!G61</f>
        <v>0</v>
      </c>
      <c r="H63" s="6">
        <f>+H$50*'LEM Demand Calibration'!H61</f>
        <v>0</v>
      </c>
      <c r="I63" s="6">
        <f>+I$50*'LEM Demand Calibration'!I61</f>
        <v>13.515967163083751</v>
      </c>
    </row>
    <row r="64" spans="1:9" x14ac:dyDescent="0.25">
      <c r="A64" s="20">
        <v>0.03</v>
      </c>
      <c r="B64" s="21">
        <v>200</v>
      </c>
      <c r="C64" s="21"/>
      <c r="D64" s="6">
        <f>+D$50*'LEM Demand Calibration'!D62</f>
        <v>0</v>
      </c>
      <c r="E64" s="6">
        <f>+E$50*'LEM Demand Calibration'!E62</f>
        <v>0</v>
      </c>
      <c r="F64" s="6">
        <f>+F$50*'LEM Demand Calibration'!F62</f>
        <v>0</v>
      </c>
      <c r="G64" s="6">
        <f>+G$50*'LEM Demand Calibration'!G62</f>
        <v>0</v>
      </c>
      <c r="H64" s="6">
        <f>+H$50*'LEM Demand Calibration'!H62</f>
        <v>0</v>
      </c>
      <c r="I64" s="6">
        <f>+I$50*'LEM Demand Calibration'!I62</f>
        <v>0</v>
      </c>
    </row>
    <row r="65" spans="1:9" x14ac:dyDescent="0.25">
      <c r="A65" s="1" t="s">
        <v>163</v>
      </c>
      <c r="D65" s="6">
        <f t="shared" ref="D65:I65" si="5">+SUMPRODUCT(D52:D64,D33:D45)</f>
        <v>17520.250295755883</v>
      </c>
      <c r="E65" s="6">
        <f t="shared" si="5"/>
        <v>21319.452835498159</v>
      </c>
      <c r="F65" s="6">
        <f t="shared" si="5"/>
        <v>24138.40034117733</v>
      </c>
      <c r="G65" s="6">
        <f t="shared" si="5"/>
        <v>23762.005178294432</v>
      </c>
      <c r="H65" s="6">
        <f t="shared" si="5"/>
        <v>13471.14028858205</v>
      </c>
      <c r="I65" s="6">
        <f t="shared" si="5"/>
        <v>11273.15184561248</v>
      </c>
    </row>
    <row r="66" spans="1:9" x14ac:dyDescent="0.25">
      <c r="A66" s="1" t="s">
        <v>75</v>
      </c>
      <c r="D66" s="6">
        <f t="shared" ref="D66:I66" si="6">+D65/D46</f>
        <v>3.274143820105107</v>
      </c>
      <c r="E66" s="6">
        <f t="shared" si="6"/>
        <v>3.1958802586628825</v>
      </c>
      <c r="F66" s="6">
        <f t="shared" si="6"/>
        <v>3.1500993195390721</v>
      </c>
      <c r="G66" s="6">
        <f t="shared" si="6"/>
        <v>2.9594083068439878</v>
      </c>
      <c r="H66" s="6">
        <f t="shared" si="6"/>
        <v>1.6777458043382216</v>
      </c>
      <c r="I66" s="6">
        <f t="shared" si="6"/>
        <v>1.4040001666878064</v>
      </c>
    </row>
    <row r="67" spans="1:9" x14ac:dyDescent="0.25">
      <c r="A67" s="1" t="s">
        <v>70</v>
      </c>
      <c r="D67" s="6">
        <v>0.7</v>
      </c>
      <c r="E67" s="6">
        <f>+D67</f>
        <v>0.7</v>
      </c>
      <c r="F67" s="6">
        <f>+E67</f>
        <v>0.7</v>
      </c>
      <c r="G67" s="6">
        <f>+F67</f>
        <v>0.7</v>
      </c>
      <c r="H67" s="6">
        <f>+G67</f>
        <v>0.7</v>
      </c>
      <c r="I67" s="6">
        <f>+H67</f>
        <v>0.7</v>
      </c>
    </row>
    <row r="68" spans="1:9" x14ac:dyDescent="0.25">
      <c r="A68" s="1" t="s">
        <v>174</v>
      </c>
      <c r="D68" s="6" t="s">
        <v>173</v>
      </c>
      <c r="E68" s="6"/>
      <c r="F68" s="6"/>
      <c r="G68" s="6"/>
      <c r="H68" s="6"/>
      <c r="I68" s="6"/>
    </row>
    <row r="69" spans="1:9" x14ac:dyDescent="0.25">
      <c r="A69" s="1">
        <v>0.25</v>
      </c>
      <c r="B69" s="1">
        <v>200</v>
      </c>
      <c r="D69" s="6">
        <f>+'LEM cost side'!D220+D$67</f>
        <v>1.8533706540183141</v>
      </c>
      <c r="E69" s="6">
        <f>+'LEM cost side'!E220+E$67</f>
        <v>1.8533706540183141</v>
      </c>
      <c r="F69" s="6">
        <f>+'LEM cost side'!F220+F$67</f>
        <v>1.8533706540183141</v>
      </c>
      <c r="G69" s="6">
        <f>+'LEM cost side'!G220+G$67</f>
        <v>1.8533706540183141</v>
      </c>
      <c r="H69" s="6">
        <f>+'LEM cost side'!H220+H$67</f>
        <v>1.8533706540183141</v>
      </c>
      <c r="I69" s="6">
        <f>+'LEM cost side'!I220+I$67</f>
        <v>1.8533706540183141</v>
      </c>
    </row>
    <row r="70" spans="1:9" x14ac:dyDescent="0.25">
      <c r="A70" s="1">
        <v>0.25</v>
      </c>
      <c r="B70" s="1">
        <v>300</v>
      </c>
      <c r="D70" s="6"/>
      <c r="E70" s="6"/>
      <c r="F70" s="6"/>
      <c r="G70" s="6"/>
      <c r="H70" s="6"/>
      <c r="I70" s="6"/>
    </row>
    <row r="71" spans="1:9" x14ac:dyDescent="0.25">
      <c r="A71" s="1">
        <v>0.18</v>
      </c>
      <c r="B71" s="1">
        <v>200</v>
      </c>
      <c r="D71" s="6">
        <f>+'LEM cost side'!D222+D$67</f>
        <v>1.9814146655253253</v>
      </c>
      <c r="E71" s="6">
        <f>+'LEM cost side'!E222+E$67</f>
        <v>1.9518268339630582</v>
      </c>
      <c r="F71" s="6">
        <f>+'LEM cost side'!F222+F$67</f>
        <v>1.9386191712937695</v>
      </c>
      <c r="G71" s="6">
        <f>+'LEM cost side'!G222+G$67</f>
        <v>1.9386191712937695</v>
      </c>
      <c r="H71" s="6">
        <f>+'LEM cost side'!H222+H$67</f>
        <v>1.9386191712937695</v>
      </c>
      <c r="I71" s="6">
        <f>+'LEM cost side'!I222+I$67</f>
        <v>1.9386191712937695</v>
      </c>
    </row>
    <row r="72" spans="1:9" x14ac:dyDescent="0.25">
      <c r="A72" s="1">
        <v>0.18</v>
      </c>
      <c r="B72" s="1">
        <v>300</v>
      </c>
      <c r="D72" s="6"/>
      <c r="E72" s="6"/>
      <c r="F72" s="6"/>
      <c r="G72" s="6"/>
      <c r="H72" s="6"/>
      <c r="I72" s="6"/>
    </row>
    <row r="73" spans="1:9" x14ac:dyDescent="0.25">
      <c r="A73" s="1">
        <v>0.13</v>
      </c>
      <c r="B73" s="1">
        <v>200</v>
      </c>
      <c r="D73" s="6">
        <f>+'LEM cost side'!D224+D$67</f>
        <v>2.6271798111579301</v>
      </c>
      <c r="E73" s="6">
        <f>+'LEM cost side'!E224+E$67</f>
        <v>2.0476597870191933</v>
      </c>
      <c r="F73" s="6">
        <f>+'LEM cost side'!F224+F$67</f>
        <v>1.9965278917219249</v>
      </c>
      <c r="G73" s="6">
        <f>+'LEM cost side'!G224+G$67</f>
        <v>2.004557641956898</v>
      </c>
      <c r="H73" s="6">
        <f>+'LEM cost side'!H224+H$67</f>
        <v>2.004557641956898</v>
      </c>
      <c r="I73" s="6">
        <f>+'LEM cost side'!I224+I$67</f>
        <v>2.004557641956898</v>
      </c>
    </row>
    <row r="74" spans="1:9" x14ac:dyDescent="0.25">
      <c r="A74" s="1">
        <v>0.13</v>
      </c>
      <c r="B74" s="1">
        <v>300</v>
      </c>
      <c r="D74" s="6">
        <f>+'LEM cost side'!D225+D$67</f>
        <v>2.8781633271635565</v>
      </c>
      <c r="E74" s="6">
        <f>+'LEM cost side'!E225+E$67</f>
        <v>2.1639518958366715</v>
      </c>
      <c r="F74" s="6">
        <f>+'LEM cost side'!F225+F$67</f>
        <v>1.7247663270856699</v>
      </c>
      <c r="G74" s="6">
        <f>+'LEM cost side'!G225+G$67</f>
        <v>1.5406286416439854</v>
      </c>
      <c r="H74" s="6">
        <f>+'LEM cost side'!H225+H$67</f>
        <v>1.5406286430996401</v>
      </c>
      <c r="I74" s="6">
        <f>+'LEM cost side'!I225+I$67</f>
        <v>1.5406286430996401</v>
      </c>
    </row>
    <row r="75" spans="1:9" x14ac:dyDescent="0.25">
      <c r="A75" s="1">
        <v>0.09</v>
      </c>
      <c r="B75" s="1">
        <v>200</v>
      </c>
      <c r="D75" s="6"/>
      <c r="E75" s="6"/>
      <c r="F75" s="6">
        <f>+'LEM cost side'!F226+F$67</f>
        <v>2.6353977235313386</v>
      </c>
      <c r="G75" s="6">
        <f>+'LEM cost side'!G226+G$67</f>
        <v>2.168000216228597</v>
      </c>
      <c r="H75" s="6">
        <f>+'LEM cost side'!H226+H$67</f>
        <v>2.140483454543828</v>
      </c>
      <c r="I75" s="6">
        <f>+'LEM cost side'!I226+I$67</f>
        <v>2.1481155064350186</v>
      </c>
    </row>
    <row r="76" spans="1:9" x14ac:dyDescent="0.25">
      <c r="A76" s="1">
        <v>0.09</v>
      </c>
      <c r="B76" s="1">
        <v>300</v>
      </c>
      <c r="D76" s="6"/>
      <c r="E76" s="6"/>
      <c r="F76" s="6">
        <f>+'LEM cost side'!F227+F$67</f>
        <v>2.6359646349826722</v>
      </c>
      <c r="G76" s="6">
        <f>+'LEM cost side'!G227+G$67</f>
        <v>1.781084056183055</v>
      </c>
      <c r="H76" s="6">
        <f>+'LEM cost side'!H227+H$67</f>
        <v>1.7514289847454469</v>
      </c>
      <c r="I76" s="6">
        <f>+'LEM cost side'!I227+I$67</f>
        <v>1.7514290016918586</v>
      </c>
    </row>
    <row r="77" spans="1:9" x14ac:dyDescent="0.25">
      <c r="A77" s="1">
        <v>6.5000000000000002E-2</v>
      </c>
      <c r="B77" s="1">
        <v>200</v>
      </c>
      <c r="D77" s="6"/>
      <c r="E77" s="6"/>
      <c r="F77" s="6"/>
      <c r="G77" s="6"/>
      <c r="H77" s="6"/>
      <c r="I77" s="6"/>
    </row>
    <row r="78" spans="1:9" x14ac:dyDescent="0.25">
      <c r="A78" s="1">
        <v>6.5000000000000002E-2</v>
      </c>
      <c r="B78" s="1">
        <v>300</v>
      </c>
      <c r="D78" s="6"/>
      <c r="E78" s="6"/>
      <c r="F78" s="6"/>
      <c r="G78" s="6"/>
      <c r="H78" s="6"/>
      <c r="I78" s="6">
        <f>+'LEM cost side'!I229+I$67</f>
        <v>1.9052012032669075</v>
      </c>
    </row>
    <row r="80" spans="1:9" x14ac:dyDescent="0.25">
      <c r="A80" s="1" t="s">
        <v>44</v>
      </c>
    </row>
    <row r="81" spans="1:9" x14ac:dyDescent="0.25">
      <c r="A81" s="1">
        <v>0.25</v>
      </c>
      <c r="B81" s="1">
        <v>200</v>
      </c>
      <c r="D81" s="6">
        <f t="shared" ref="D81:I89" si="7">+IF(D69&gt;D52,0,D3)</f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</row>
    <row r="82" spans="1:9" x14ac:dyDescent="0.25">
      <c r="A82" s="1">
        <v>0.25</v>
      </c>
      <c r="B82" s="1">
        <v>300</v>
      </c>
      <c r="D82" s="6">
        <f t="shared" si="7"/>
        <v>0</v>
      </c>
      <c r="E82" s="6">
        <f t="shared" si="7"/>
        <v>0</v>
      </c>
      <c r="F82" s="6">
        <f t="shared" si="7"/>
        <v>0</v>
      </c>
      <c r="G82" s="6">
        <f t="shared" si="7"/>
        <v>0</v>
      </c>
      <c r="H82" s="6">
        <f t="shared" si="7"/>
        <v>0</v>
      </c>
      <c r="I82" s="6">
        <f t="shared" si="7"/>
        <v>0</v>
      </c>
    </row>
    <row r="83" spans="1:9" x14ac:dyDescent="0.25">
      <c r="A83" s="1">
        <v>0.18</v>
      </c>
      <c r="B83" s="1">
        <v>200</v>
      </c>
      <c r="D83" s="6">
        <f t="shared" si="7"/>
        <v>37.424891082442336</v>
      </c>
      <c r="E83" s="6">
        <f t="shared" si="7"/>
        <v>37.424891082442336</v>
      </c>
      <c r="F83" s="6">
        <f t="shared" si="7"/>
        <v>37.424891082442336</v>
      </c>
      <c r="G83" s="6">
        <f t="shared" si="7"/>
        <v>37.424891082442336</v>
      </c>
      <c r="H83" s="6">
        <f t="shared" si="7"/>
        <v>0</v>
      </c>
      <c r="I83" s="6">
        <f t="shared" si="7"/>
        <v>0</v>
      </c>
    </row>
    <row r="84" spans="1:9" x14ac:dyDescent="0.25">
      <c r="A84" s="1">
        <v>0.18</v>
      </c>
      <c r="B84" s="1">
        <v>300</v>
      </c>
      <c r="D84" s="6">
        <f t="shared" si="7"/>
        <v>0</v>
      </c>
      <c r="E84" s="6">
        <f t="shared" si="7"/>
        <v>0</v>
      </c>
      <c r="F84" s="6">
        <f t="shared" si="7"/>
        <v>0</v>
      </c>
      <c r="G84" s="6">
        <f t="shared" si="7"/>
        <v>0</v>
      </c>
      <c r="H84" s="6">
        <f t="shared" si="7"/>
        <v>0</v>
      </c>
      <c r="I84" s="6">
        <f t="shared" si="7"/>
        <v>0</v>
      </c>
    </row>
    <row r="85" spans="1:9" x14ac:dyDescent="0.25">
      <c r="A85" s="1">
        <v>0.13</v>
      </c>
      <c r="B85" s="1">
        <v>200</v>
      </c>
      <c r="D85" s="6">
        <f t="shared" si="7"/>
        <v>10.313112890172359</v>
      </c>
      <c r="E85" s="6">
        <f t="shared" si="7"/>
        <v>10.313112890172359</v>
      </c>
      <c r="F85" s="6">
        <f t="shared" si="7"/>
        <v>10.313112890172359</v>
      </c>
      <c r="G85" s="6">
        <f t="shared" si="7"/>
        <v>10.313112890172359</v>
      </c>
      <c r="H85" s="6">
        <f t="shared" si="7"/>
        <v>10.313112890172359</v>
      </c>
      <c r="I85" s="6">
        <f t="shared" si="7"/>
        <v>10.313112890172359</v>
      </c>
    </row>
    <row r="86" spans="1:9" x14ac:dyDescent="0.25">
      <c r="A86" s="1">
        <v>0.13</v>
      </c>
      <c r="B86" s="1">
        <v>300</v>
      </c>
      <c r="D86" s="6">
        <f t="shared" si="7"/>
        <v>19.309741848836136</v>
      </c>
      <c r="E86" s="6">
        <f t="shared" si="7"/>
        <v>19.309741848836136</v>
      </c>
      <c r="F86" s="6">
        <f t="shared" si="7"/>
        <v>19.309741848836136</v>
      </c>
      <c r="G86" s="6">
        <f t="shared" si="7"/>
        <v>19.309741848836136</v>
      </c>
      <c r="H86" s="6">
        <f t="shared" si="7"/>
        <v>19.309741848836136</v>
      </c>
      <c r="I86" s="6">
        <f t="shared" si="7"/>
        <v>19.309741848836136</v>
      </c>
    </row>
    <row r="87" spans="1:9" x14ac:dyDescent="0.25">
      <c r="A87" s="1">
        <v>0.09</v>
      </c>
      <c r="B87" s="1">
        <v>200</v>
      </c>
      <c r="D87" s="6">
        <f t="shared" si="7"/>
        <v>0</v>
      </c>
      <c r="E87" s="6">
        <f t="shared" si="7"/>
        <v>0</v>
      </c>
      <c r="F87" s="6">
        <f t="shared" si="7"/>
        <v>0</v>
      </c>
      <c r="G87" s="6">
        <f t="shared" si="7"/>
        <v>0</v>
      </c>
      <c r="H87" s="6">
        <f t="shared" si="7"/>
        <v>0</v>
      </c>
      <c r="I87" s="6">
        <f t="shared" si="7"/>
        <v>0</v>
      </c>
    </row>
    <row r="88" spans="1:9" x14ac:dyDescent="0.25">
      <c r="A88" s="1">
        <v>0.09</v>
      </c>
      <c r="B88" s="1">
        <v>300</v>
      </c>
      <c r="D88" s="6">
        <f t="shared" si="7"/>
        <v>0</v>
      </c>
      <c r="E88" s="6">
        <f t="shared" si="7"/>
        <v>0</v>
      </c>
      <c r="F88" s="6">
        <f t="shared" si="7"/>
        <v>0</v>
      </c>
      <c r="G88" s="6">
        <f t="shared" si="7"/>
        <v>0</v>
      </c>
      <c r="H88" s="6">
        <f t="shared" si="7"/>
        <v>0</v>
      </c>
      <c r="I88" s="6">
        <f t="shared" si="7"/>
        <v>0</v>
      </c>
    </row>
    <row r="89" spans="1:9" x14ac:dyDescent="0.25">
      <c r="A89" s="1">
        <v>6.5000000000000002E-2</v>
      </c>
      <c r="B89" s="1">
        <v>200</v>
      </c>
      <c r="D89" s="6">
        <f t="shared" si="7"/>
        <v>0</v>
      </c>
      <c r="E89" s="6">
        <f t="shared" si="7"/>
        <v>0</v>
      </c>
      <c r="F89" s="6">
        <f t="shared" si="7"/>
        <v>0</v>
      </c>
      <c r="G89" s="6">
        <f t="shared" si="7"/>
        <v>0</v>
      </c>
      <c r="H89" s="6">
        <f t="shared" si="7"/>
        <v>0</v>
      </c>
      <c r="I89" s="6">
        <f t="shared" si="7"/>
        <v>0</v>
      </c>
    </row>
    <row r="90" spans="1:9" x14ac:dyDescent="0.25">
      <c r="A90" s="1">
        <v>6.5000000000000002E-2</v>
      </c>
      <c r="B90" s="1">
        <v>300</v>
      </c>
      <c r="D90" s="6">
        <f t="shared" ref="D90:I90" si="8">+IF(D78&gt;D61,0,D12)</f>
        <v>0</v>
      </c>
      <c r="E90" s="6">
        <f t="shared" si="8"/>
        <v>0</v>
      </c>
      <c r="F90" s="6">
        <f t="shared" si="8"/>
        <v>0</v>
      </c>
      <c r="G90" s="6">
        <f t="shared" si="8"/>
        <v>0</v>
      </c>
      <c r="H90" s="6">
        <f t="shared" si="8"/>
        <v>0</v>
      </c>
      <c r="I90" s="6">
        <f t="shared" si="8"/>
        <v>0</v>
      </c>
    </row>
    <row r="91" spans="1:9" x14ac:dyDescent="0.25">
      <c r="A91" s="1" t="s">
        <v>45</v>
      </c>
      <c r="D91" s="6">
        <f t="shared" ref="D91:I91" si="9">+SUM(D81:D90)</f>
        <v>67.047745821450832</v>
      </c>
      <c r="E91" s="6">
        <f t="shared" si="9"/>
        <v>67.047745821450832</v>
      </c>
      <c r="F91" s="6">
        <f t="shared" si="9"/>
        <v>67.047745821450832</v>
      </c>
      <c r="G91" s="6">
        <f t="shared" si="9"/>
        <v>67.047745821450832</v>
      </c>
      <c r="H91" s="6">
        <f t="shared" si="9"/>
        <v>29.622854739008496</v>
      </c>
      <c r="I91" s="6">
        <f t="shared" si="9"/>
        <v>29.622854739008496</v>
      </c>
    </row>
    <row r="93" spans="1:9" x14ac:dyDescent="0.25">
      <c r="A93" s="1" t="s">
        <v>71</v>
      </c>
    </row>
    <row r="94" spans="1:9" x14ac:dyDescent="0.25">
      <c r="A94" s="1">
        <v>0.25</v>
      </c>
      <c r="B94" s="1">
        <v>200</v>
      </c>
      <c r="D94" s="6">
        <f t="shared" ref="D94:I103" si="10">+D3-D81</f>
        <v>11.295464860331823</v>
      </c>
      <c r="E94" s="6">
        <f t="shared" si="10"/>
        <v>11.295464860331823</v>
      </c>
      <c r="F94" s="6">
        <f t="shared" si="10"/>
        <v>11.295464860331823</v>
      </c>
      <c r="G94" s="6">
        <f t="shared" si="10"/>
        <v>11.295464860331823</v>
      </c>
      <c r="H94" s="6">
        <f t="shared" si="10"/>
        <v>11.295464860331823</v>
      </c>
      <c r="I94" s="6">
        <f t="shared" si="10"/>
        <v>11.295464860331823</v>
      </c>
    </row>
    <row r="95" spans="1:9" x14ac:dyDescent="0.25">
      <c r="A95" s="1">
        <v>0.25</v>
      </c>
      <c r="B95" s="1">
        <v>300</v>
      </c>
      <c r="D95" s="6">
        <f t="shared" si="10"/>
        <v>0</v>
      </c>
      <c r="E95" s="6">
        <f t="shared" si="10"/>
        <v>0</v>
      </c>
      <c r="F95" s="6">
        <f t="shared" si="10"/>
        <v>0</v>
      </c>
      <c r="G95" s="6">
        <f t="shared" si="10"/>
        <v>0</v>
      </c>
      <c r="H95" s="6">
        <f t="shared" si="10"/>
        <v>0</v>
      </c>
      <c r="I95" s="6">
        <f t="shared" si="10"/>
        <v>0</v>
      </c>
    </row>
    <row r="96" spans="1:9" x14ac:dyDescent="0.25">
      <c r="A96" s="1">
        <v>0.18</v>
      </c>
      <c r="B96" s="1">
        <v>200</v>
      </c>
      <c r="D96" s="6">
        <f t="shared" si="10"/>
        <v>0</v>
      </c>
      <c r="E96" s="6">
        <f t="shared" si="10"/>
        <v>0</v>
      </c>
      <c r="F96" s="6">
        <f t="shared" si="10"/>
        <v>0</v>
      </c>
      <c r="G96" s="6">
        <f t="shared" si="10"/>
        <v>0</v>
      </c>
      <c r="H96" s="6">
        <f t="shared" si="10"/>
        <v>37.424891082442336</v>
      </c>
      <c r="I96" s="6">
        <f t="shared" si="10"/>
        <v>37.424891082442336</v>
      </c>
    </row>
    <row r="97" spans="1:9" x14ac:dyDescent="0.25">
      <c r="A97" s="1">
        <v>0.18</v>
      </c>
      <c r="B97" s="1">
        <v>300</v>
      </c>
      <c r="D97" s="6">
        <f t="shared" si="10"/>
        <v>0</v>
      </c>
      <c r="E97" s="6">
        <f t="shared" si="10"/>
        <v>0</v>
      </c>
      <c r="F97" s="6">
        <f t="shared" si="10"/>
        <v>0</v>
      </c>
      <c r="G97" s="6">
        <f t="shared" si="10"/>
        <v>0</v>
      </c>
      <c r="H97" s="6">
        <f t="shared" si="10"/>
        <v>0</v>
      </c>
      <c r="I97" s="6">
        <f t="shared" si="10"/>
        <v>0</v>
      </c>
    </row>
    <row r="98" spans="1:9" x14ac:dyDescent="0.25">
      <c r="A98" s="1">
        <v>0.13</v>
      </c>
      <c r="B98" s="1">
        <v>200</v>
      </c>
      <c r="D98" s="6">
        <f t="shared" si="10"/>
        <v>0</v>
      </c>
      <c r="E98" s="6">
        <f t="shared" si="10"/>
        <v>0</v>
      </c>
      <c r="F98" s="6">
        <f t="shared" si="10"/>
        <v>0</v>
      </c>
      <c r="G98" s="6">
        <f t="shared" si="10"/>
        <v>0</v>
      </c>
      <c r="H98" s="6">
        <f t="shared" si="10"/>
        <v>0</v>
      </c>
      <c r="I98" s="6">
        <f t="shared" si="10"/>
        <v>0</v>
      </c>
    </row>
    <row r="99" spans="1:9" x14ac:dyDescent="0.25">
      <c r="A99" s="1">
        <v>0.13</v>
      </c>
      <c r="B99" s="1">
        <v>300</v>
      </c>
      <c r="D99" s="6">
        <f t="shared" si="10"/>
        <v>0</v>
      </c>
      <c r="E99" s="6">
        <f t="shared" si="10"/>
        <v>0</v>
      </c>
      <c r="F99" s="6">
        <f t="shared" si="10"/>
        <v>0</v>
      </c>
      <c r="G99" s="6">
        <f t="shared" si="10"/>
        <v>0</v>
      </c>
      <c r="H99" s="6">
        <f t="shared" si="10"/>
        <v>0</v>
      </c>
      <c r="I99" s="6">
        <f t="shared" si="10"/>
        <v>0</v>
      </c>
    </row>
    <row r="100" spans="1:9" x14ac:dyDescent="0.25">
      <c r="A100" s="1">
        <v>0.09</v>
      </c>
      <c r="B100" s="1">
        <v>200</v>
      </c>
      <c r="D100" s="6">
        <f t="shared" si="10"/>
        <v>0</v>
      </c>
      <c r="E100" s="6">
        <f t="shared" si="10"/>
        <v>0</v>
      </c>
      <c r="F100" s="6">
        <f t="shared" si="10"/>
        <v>0</v>
      </c>
      <c r="G100" s="6">
        <f t="shared" si="10"/>
        <v>0</v>
      </c>
      <c r="H100" s="6">
        <f t="shared" si="10"/>
        <v>0</v>
      </c>
      <c r="I100" s="6">
        <f t="shared" si="10"/>
        <v>0</v>
      </c>
    </row>
    <row r="101" spans="1:9" x14ac:dyDescent="0.25">
      <c r="A101" s="1">
        <v>0.09</v>
      </c>
      <c r="B101" s="1">
        <v>300</v>
      </c>
      <c r="D101" s="6">
        <f t="shared" si="10"/>
        <v>0</v>
      </c>
      <c r="E101" s="6">
        <f t="shared" si="10"/>
        <v>0</v>
      </c>
      <c r="F101" s="6">
        <f t="shared" si="10"/>
        <v>0</v>
      </c>
      <c r="G101" s="6">
        <f t="shared" si="10"/>
        <v>0</v>
      </c>
      <c r="H101" s="6">
        <f t="shared" si="10"/>
        <v>0</v>
      </c>
      <c r="I101" s="6">
        <f t="shared" si="10"/>
        <v>0</v>
      </c>
    </row>
    <row r="102" spans="1:9" x14ac:dyDescent="0.25">
      <c r="A102" s="1">
        <v>6.5000000000000002E-2</v>
      </c>
      <c r="B102" s="1">
        <v>200</v>
      </c>
      <c r="D102" s="6">
        <f t="shared" si="10"/>
        <v>0</v>
      </c>
      <c r="E102" s="6">
        <f t="shared" si="10"/>
        <v>0</v>
      </c>
      <c r="F102" s="6">
        <f t="shared" si="10"/>
        <v>0</v>
      </c>
      <c r="G102" s="6">
        <f t="shared" si="10"/>
        <v>0</v>
      </c>
      <c r="H102" s="6">
        <f t="shared" si="10"/>
        <v>0</v>
      </c>
      <c r="I102" s="6">
        <f t="shared" si="10"/>
        <v>0</v>
      </c>
    </row>
    <row r="103" spans="1:9" x14ac:dyDescent="0.25">
      <c r="A103" s="1">
        <v>6.5000000000000002E-2</v>
      </c>
      <c r="B103" s="1">
        <v>300</v>
      </c>
      <c r="D103" s="6">
        <f t="shared" si="10"/>
        <v>0</v>
      </c>
      <c r="E103" s="6">
        <f t="shared" si="10"/>
        <v>0</v>
      </c>
      <c r="F103" s="6">
        <f t="shared" si="10"/>
        <v>0</v>
      </c>
      <c r="G103" s="6">
        <f t="shared" si="10"/>
        <v>0</v>
      </c>
      <c r="H103" s="6">
        <f t="shared" si="10"/>
        <v>0</v>
      </c>
      <c r="I103" s="6">
        <f t="shared" si="10"/>
        <v>0</v>
      </c>
    </row>
    <row r="104" spans="1:9" x14ac:dyDescent="0.25">
      <c r="A104" s="1" t="s">
        <v>11</v>
      </c>
      <c r="D104" s="6">
        <f t="shared" ref="D104:I104" si="11">+SUM(D94:D103)</f>
        <v>11.295464860331823</v>
      </c>
      <c r="E104" s="6">
        <f t="shared" si="11"/>
        <v>11.295464860331823</v>
      </c>
      <c r="F104" s="6">
        <f t="shared" si="11"/>
        <v>11.295464860331823</v>
      </c>
      <c r="G104" s="6">
        <f t="shared" si="11"/>
        <v>11.295464860331823</v>
      </c>
      <c r="H104" s="6">
        <f t="shared" si="11"/>
        <v>48.720355942774162</v>
      </c>
      <c r="I104" s="6">
        <f t="shared" si="11"/>
        <v>48.720355942774162</v>
      </c>
    </row>
    <row r="105" spans="1:9" x14ac:dyDescent="0.25">
      <c r="A105" s="1" t="s">
        <v>46</v>
      </c>
      <c r="B105" s="1" t="s">
        <v>48</v>
      </c>
    </row>
    <row r="106" spans="1:9" x14ac:dyDescent="0.25">
      <c r="A106" s="1" t="s">
        <v>47</v>
      </c>
      <c r="D106" s="1" t="s">
        <v>49</v>
      </c>
      <c r="E106" s="1" t="s">
        <v>51</v>
      </c>
      <c r="F106" s="1" t="s">
        <v>172</v>
      </c>
    </row>
    <row r="107" spans="1:9" x14ac:dyDescent="0.25">
      <c r="A107" s="1">
        <v>0.25</v>
      </c>
      <c r="B107" s="1">
        <v>200</v>
      </c>
      <c r="E107" s="1">
        <f>12*20*'LEM cost side'!E191/1000000</f>
        <v>0.10519743924211121</v>
      </c>
      <c r="F107" s="1">
        <f>12*20*'LEM cost side'!F191/1000000</f>
        <v>0.10519743924211121</v>
      </c>
      <c r="G107" s="1">
        <f>12*20*'LEM cost side'!G191/1000000</f>
        <v>0.10519743924211121</v>
      </c>
      <c r="H107" s="1">
        <f>12*20*'LEM cost side'!H191/1000000</f>
        <v>0.10519743924211121</v>
      </c>
      <c r="I107" s="1">
        <f>12*20*'LEM cost side'!I191/1000000</f>
        <v>0.10519743924211121</v>
      </c>
    </row>
    <row r="108" spans="1:9" x14ac:dyDescent="0.25">
      <c r="A108" s="1">
        <v>0.25</v>
      </c>
      <c r="B108" s="1">
        <v>300</v>
      </c>
      <c r="E108" s="1">
        <f>12*20*'LEM cost side'!E192/1000000</f>
        <v>0</v>
      </c>
      <c r="F108" s="1">
        <f>12*20*'LEM cost side'!F192/1000000</f>
        <v>0</v>
      </c>
      <c r="G108" s="1">
        <f>12*20*'LEM cost side'!G192/1000000</f>
        <v>0</v>
      </c>
      <c r="H108" s="1">
        <f>12*20*'LEM cost side'!H192/1000000</f>
        <v>0</v>
      </c>
      <c r="I108" s="1">
        <f>12*20*'LEM cost side'!I192/1000000</f>
        <v>0</v>
      </c>
    </row>
    <row r="109" spans="1:9" x14ac:dyDescent="0.25">
      <c r="A109" s="1">
        <v>0.18</v>
      </c>
      <c r="B109" s="1">
        <v>200</v>
      </c>
      <c r="E109" s="1">
        <f>12*20*'LEM cost side'!E193/1000000</f>
        <v>0.10819034430739402</v>
      </c>
      <c r="F109" s="1">
        <f>12*20*'LEM cost side'!F193/1000000</f>
        <v>0.10934400122212891</v>
      </c>
      <c r="G109" s="1">
        <f>12*20*'LEM cost side'!G193/1000000</f>
        <v>0.10934400122212891</v>
      </c>
      <c r="H109" s="1">
        <f>12*20*'LEM cost side'!H193/1000000</f>
        <v>0.10934400122212891</v>
      </c>
      <c r="I109" s="1">
        <f>12*20*'LEM cost side'!I193/1000000</f>
        <v>0.10934400122212891</v>
      </c>
    </row>
    <row r="110" spans="1:9" x14ac:dyDescent="0.25">
      <c r="A110" s="1">
        <v>0.18</v>
      </c>
      <c r="B110" s="1">
        <v>300</v>
      </c>
      <c r="E110" s="1">
        <f>12*20*'LEM cost side'!E194/1000000</f>
        <v>0</v>
      </c>
      <c r="F110" s="1">
        <f>12*20*'LEM cost side'!F194/1000000</f>
        <v>0</v>
      </c>
      <c r="G110" s="1">
        <f>12*20*'LEM cost side'!G194/1000000</f>
        <v>0</v>
      </c>
      <c r="H110" s="1">
        <f>12*20*'LEM cost side'!H194/1000000</f>
        <v>0</v>
      </c>
      <c r="I110" s="1">
        <f>12*20*'LEM cost side'!I194/1000000</f>
        <v>0</v>
      </c>
    </row>
    <row r="111" spans="1:9" x14ac:dyDescent="0.25">
      <c r="A111" s="1">
        <v>0.13</v>
      </c>
      <c r="B111" s="1">
        <v>200</v>
      </c>
      <c r="E111" s="1">
        <f>12*20*'LEM cost side'!E195/1000000</f>
        <v>0.10837990972686835</v>
      </c>
      <c r="F111" s="1">
        <f>12*20*'LEM cost side'!F195/1000000</f>
        <v>0.11265414881718343</v>
      </c>
      <c r="G111" s="1">
        <f>12*20*'LEM cost side'!G195/1000000</f>
        <v>0.11196074543749178</v>
      </c>
      <c r="H111" s="1">
        <f>12*20*'LEM cost side'!H195/1000000</f>
        <v>0.11196074543749178</v>
      </c>
      <c r="I111" s="1">
        <f>12*20*'LEM cost side'!I195/1000000</f>
        <v>0.11196074543749178</v>
      </c>
    </row>
    <row r="112" spans="1:9" x14ac:dyDescent="0.25">
      <c r="A112" s="1">
        <v>0.13</v>
      </c>
      <c r="B112" s="1">
        <v>300</v>
      </c>
      <c r="E112" s="1">
        <f>12*20*'LEM cost side'!E196/1000000</f>
        <v>0.15022567280075177</v>
      </c>
      <c r="F112" s="1">
        <f>12*20*'LEM cost side'!F196/1000000</f>
        <v>0.21460810400107394</v>
      </c>
      <c r="G112" s="1">
        <f>12*20*'LEM cost side'!G196/1000000</f>
        <v>0.26161749386733324</v>
      </c>
      <c r="H112" s="1">
        <f>12*20*'LEM cost side'!H196/1000000</f>
        <v>0.26161749341430945</v>
      </c>
      <c r="I112" s="1">
        <f>12*20*'LEM cost side'!I196/1000000</f>
        <v>0.26161749341430945</v>
      </c>
    </row>
    <row r="113" spans="1:9" x14ac:dyDescent="0.25">
      <c r="A113" s="1">
        <v>0.09</v>
      </c>
      <c r="B113" s="1">
        <v>200</v>
      </c>
      <c r="E113" s="1">
        <f>12*20*'LEM cost side'!E197/1000000</f>
        <v>6.6512517528315412E-2</v>
      </c>
      <c r="F113" s="1">
        <f>12*20*'LEM cost side'!F197/1000000</f>
        <v>8.8345413379770754E-2</v>
      </c>
      <c r="G113" s="1">
        <f>12*20*'LEM cost side'!G197/1000000</f>
        <v>0.11647376481926741</v>
      </c>
      <c r="H113" s="1">
        <f>12*20*'LEM cost side'!H197/1000000</f>
        <v>0.11869869896825049</v>
      </c>
      <c r="I113" s="1">
        <f>12*20*'LEM cost side'!I197/1000000</f>
        <v>0.11807311722016693</v>
      </c>
    </row>
    <row r="114" spans="1:9" x14ac:dyDescent="0.25">
      <c r="A114" s="1">
        <v>0.09</v>
      </c>
      <c r="B114" s="1">
        <v>300</v>
      </c>
      <c r="E114" s="1">
        <f>12*20*'LEM cost side'!E198/1000000</f>
        <v>8.6887498084447512E-2</v>
      </c>
      <c r="F114" s="1">
        <f>12*20*'LEM cost side'!F198/1000000</f>
        <v>0.1277336466439189</v>
      </c>
      <c r="G114" s="1">
        <f>12*20*'LEM cost side'!G198/1000000</f>
        <v>0.22874060641786761</v>
      </c>
      <c r="H114" s="1">
        <f>12*20*'LEM cost side'!H198/1000000</f>
        <v>0.23519213012742743</v>
      </c>
      <c r="I114" s="1">
        <f>12*20*'LEM cost side'!I198/1000000</f>
        <v>0.23519212633671718</v>
      </c>
    </row>
    <row r="115" spans="1:9" x14ac:dyDescent="0.25">
      <c r="A115" s="1">
        <v>6.5000000000000002E-2</v>
      </c>
      <c r="B115" s="1">
        <v>200</v>
      </c>
      <c r="E115" s="1">
        <f>12*20*'LEM cost side'!E199/1000000</f>
        <v>0</v>
      </c>
      <c r="F115" s="1">
        <f>12*20*'LEM cost side'!F199/1000000</f>
        <v>0</v>
      </c>
      <c r="G115" s="1">
        <f>12*20*'LEM cost side'!G199/1000000</f>
        <v>0</v>
      </c>
      <c r="H115" s="1">
        <f>12*20*'LEM cost side'!H199/1000000</f>
        <v>0</v>
      </c>
      <c r="I115" s="1">
        <f>12*20*'LEM cost side'!I199/1000000</f>
        <v>0.12537941565184721</v>
      </c>
    </row>
    <row r="116" spans="1:9" x14ac:dyDescent="0.25">
      <c r="A116" s="1">
        <v>6.5000000000000002E-2</v>
      </c>
      <c r="B116" s="1">
        <v>300</v>
      </c>
      <c r="E116" s="1">
        <f>12*20*'LEM cost side'!E200/1000000</f>
        <v>0</v>
      </c>
      <c r="F116" s="1">
        <f>12*20*'LEM cost side'!F200/1000000</f>
        <v>0</v>
      </c>
      <c r="G116" s="1">
        <f>12*20*'LEM cost side'!G200/1000000</f>
        <v>0.10486441341993666</v>
      </c>
      <c r="H116" s="1">
        <f>12*20*'LEM cost side'!H200/1000000</f>
        <v>0.15539101132140171</v>
      </c>
      <c r="I116" s="1">
        <f>12*20*'LEM cost side'!I200/1000000</f>
        <v>0.22906126541500127</v>
      </c>
    </row>
    <row r="118" spans="1:9" x14ac:dyDescent="0.25">
      <c r="A118" s="1" t="s">
        <v>50</v>
      </c>
      <c r="C118" s="1" t="s">
        <v>164</v>
      </c>
      <c r="D118" s="1" t="s">
        <v>188</v>
      </c>
    </row>
    <row r="119" spans="1:9" x14ac:dyDescent="0.25">
      <c r="A119" s="1">
        <v>0.25</v>
      </c>
      <c r="B119" s="1">
        <v>200</v>
      </c>
      <c r="D119" s="1">
        <f>+D107*'LEM Demand Calibration'!D50+D$31</f>
        <v>67.844003201737678</v>
      </c>
      <c r="E119" s="1">
        <f>+E107*'LEM Demand Calibration'!E50+E$31</f>
        <v>102.9846589848913</v>
      </c>
      <c r="F119" s="1">
        <f>+F107*'LEM Demand Calibration'!F50+F$31</f>
        <v>128.89346281314363</v>
      </c>
      <c r="G119" s="1">
        <f>+G107*'LEM Demand Calibration'!G50+G$31</f>
        <v>138.6773931520795</v>
      </c>
      <c r="H119" s="1">
        <f>+H107*'LEM Demand Calibration'!H50+H$31</f>
        <v>138.67739305609155</v>
      </c>
      <c r="I119" s="1">
        <f>+I107*'LEM Demand Calibration'!I50+I$31</f>
        <v>138.67739305609149</v>
      </c>
    </row>
    <row r="120" spans="1:9" x14ac:dyDescent="0.25">
      <c r="A120" s="1">
        <v>0.25</v>
      </c>
      <c r="B120" s="1">
        <v>300</v>
      </c>
    </row>
    <row r="121" spans="1:9" x14ac:dyDescent="0.25">
      <c r="A121" s="1">
        <v>0.18</v>
      </c>
      <c r="B121" s="1">
        <v>200</v>
      </c>
      <c r="D121" s="1">
        <f>+D109*'LEM Demand Calibration'!D52+D$31</f>
        <v>67.844003201737678</v>
      </c>
      <c r="E121" s="1">
        <f>+E109*'LEM Demand Calibration'!E52+E$31</f>
        <v>103.72190956337127</v>
      </c>
      <c r="F121" s="1">
        <f>+F109*'LEM Demand Calibration'!F52+F$31</f>
        <v>129.64522128208361</v>
      </c>
      <c r="G121" s="1">
        <f>+G109*'LEM Demand Calibration'!G52+G$31</f>
        <v>139.42915162101949</v>
      </c>
      <c r="H121" s="1">
        <f>+H109*'LEM Demand Calibration'!H52+H$31</f>
        <v>139.42915152503153</v>
      </c>
      <c r="I121" s="1">
        <f>+I109*'LEM Demand Calibration'!I52+I$31</f>
        <v>139.42915152503147</v>
      </c>
    </row>
    <row r="122" spans="1:9" x14ac:dyDescent="0.25">
      <c r="A122" s="1">
        <v>0.18</v>
      </c>
      <c r="B122" s="1">
        <v>300</v>
      </c>
    </row>
    <row r="123" spans="1:9" x14ac:dyDescent="0.25">
      <c r="A123" s="1">
        <v>0.13</v>
      </c>
      <c r="B123" s="1">
        <v>200</v>
      </c>
      <c r="D123" s="1">
        <f>+D111*'LEM Demand Calibration'!D54+D$31</f>
        <v>67.844003201737678</v>
      </c>
      <c r="E123" s="1">
        <f>+E111*'LEM Demand Calibration'!E54+E$31</f>
        <v>105.25409155027886</v>
      </c>
      <c r="F123" s="1">
        <f>+F111*'LEM Demand Calibration'!F54+F$31</f>
        <v>131.27697786361577</v>
      </c>
      <c r="G123" s="1">
        <f>+G111*'LEM Demand Calibration'!G54+G$31</f>
        <v>141.04240077256239</v>
      </c>
      <c r="H123" s="1">
        <f>+H111*'LEM Demand Calibration'!H54+H$31</f>
        <v>141.04240067657443</v>
      </c>
      <c r="I123" s="1">
        <f>+I111*'LEM Demand Calibration'!I54+I$31</f>
        <v>141.04240067657437</v>
      </c>
    </row>
    <row r="124" spans="1:9" x14ac:dyDescent="0.25">
      <c r="A124" s="1">
        <v>0.13</v>
      </c>
      <c r="B124" s="1">
        <v>300</v>
      </c>
      <c r="D124" s="1">
        <f>+D112*'LEM Demand Calibration'!D55+D$31</f>
        <v>67.844003201737678</v>
      </c>
      <c r="E124" s="1">
        <f>+E112*'LEM Demand Calibration'!E55+E$31</f>
        <v>106.37098476585631</v>
      </c>
      <c r="F124" s="1">
        <f>+F112*'LEM Demand Calibration'!F55+F$31</f>
        <v>133.99820153075552</v>
      </c>
      <c r="G124" s="1">
        <f>+G112*'LEM Demand Calibration'!G55+G$31</f>
        <v>145.03684596147073</v>
      </c>
      <c r="H124" s="1">
        <f>+H112*'LEM Demand Calibration'!H55+H$31</f>
        <v>145.03684585339124</v>
      </c>
      <c r="I124" s="1">
        <f>+I112*'LEM Demand Calibration'!I55+I$31</f>
        <v>145.03684585339118</v>
      </c>
    </row>
    <row r="125" spans="1:9" x14ac:dyDescent="0.25">
      <c r="A125" s="1">
        <v>0.09</v>
      </c>
      <c r="B125" s="1">
        <v>200</v>
      </c>
      <c r="F125" s="1">
        <f>+F113*'LEM Demand Calibration'!F56+F$31</f>
        <v>132.55522715482115</v>
      </c>
      <c r="G125" s="1">
        <f>+G113*'LEM Demand Calibration'!G56+G$31</f>
        <v>143.89192497179846</v>
      </c>
      <c r="H125" s="1">
        <f>+H113*'LEM Demand Calibration'!H56+H$31</f>
        <v>144.0034418443887</v>
      </c>
      <c r="I125" s="1">
        <f>+I113*'LEM Demand Calibration'!I56+I$31</f>
        <v>143.9720867680256</v>
      </c>
    </row>
    <row r="126" spans="1:9" x14ac:dyDescent="0.25">
      <c r="A126" s="1">
        <v>0.09</v>
      </c>
      <c r="B126" s="1">
        <v>300</v>
      </c>
      <c r="F126" s="1">
        <f>+F114*'LEM Demand Calibration'!F57+F$31</f>
        <v>134.46569744266233</v>
      </c>
      <c r="G126" s="1">
        <f>+G114*'LEM Demand Calibration'!G57+G$31</f>
        <v>149.51890402313182</v>
      </c>
      <c r="H126" s="1">
        <f>+H114*'LEM Demand Calibration'!H57+H$31</f>
        <v>149.84226377450352</v>
      </c>
      <c r="I126" s="1">
        <f>+I114*'LEM Demand Calibration'!I57+I$31</f>
        <v>149.84226358450749</v>
      </c>
    </row>
    <row r="127" spans="1:9" x14ac:dyDescent="0.25">
      <c r="A127" s="1">
        <v>6.5000000000000002E-2</v>
      </c>
      <c r="B127" s="1">
        <v>200</v>
      </c>
    </row>
    <row r="128" spans="1:9" x14ac:dyDescent="0.25">
      <c r="A128" s="1">
        <v>6.5000000000000002E-2</v>
      </c>
      <c r="B128" s="1">
        <v>300</v>
      </c>
      <c r="I128" s="1">
        <f>+I116*'LEM Demand Calibration'!I59+I$31</f>
        <v>159.61360835365565</v>
      </c>
    </row>
    <row r="129" spans="1:9" x14ac:dyDescent="0.25">
      <c r="B129" s="1" t="s">
        <v>39</v>
      </c>
    </row>
    <row r="131" spans="1:9" x14ac:dyDescent="0.25">
      <c r="A131" s="1" t="s">
        <v>52</v>
      </c>
    </row>
    <row r="132" spans="1:9" x14ac:dyDescent="0.25">
      <c r="A132" s="1">
        <v>0.25</v>
      </c>
      <c r="B132" s="1">
        <v>200</v>
      </c>
      <c r="D132" s="1">
        <f>-(D119-'LEM Demand Calibration'!D$128)/'LEM Demand Calibration'!D$129</f>
        <v>0.25824316769248573</v>
      </c>
      <c r="E132" s="1">
        <f>-(E119-'LEM Demand Calibration'!E$128)/'LEM Demand Calibration'!E$129</f>
        <v>0.207748540180519</v>
      </c>
      <c r="F132" s="1">
        <f>-(F119-'LEM Demand Calibration'!F$128)/'LEM Demand Calibration'!F$129</f>
        <v>0.18793827582623659</v>
      </c>
      <c r="G132" s="1">
        <f>-(G119-'LEM Demand Calibration'!G$128)/'LEM Demand Calibration'!G$129</f>
        <v>0.17199527141135479</v>
      </c>
      <c r="H132" s="1">
        <f>-(H119-'LEM Demand Calibration'!H$128)/'LEM Demand Calibration'!H$129</f>
        <v>9.7538391752183748E-2</v>
      </c>
      <c r="I132" s="1">
        <f>-(I119-'LEM Demand Calibration'!I$128)/'LEM Demand Calibration'!I$129</f>
        <v>8.1637523478081675E-2</v>
      </c>
    </row>
    <row r="133" spans="1:9" x14ac:dyDescent="0.25">
      <c r="A133" s="1">
        <v>0.25</v>
      </c>
      <c r="B133" s="1">
        <v>300</v>
      </c>
    </row>
    <row r="134" spans="1:9" x14ac:dyDescent="0.25">
      <c r="A134" s="1">
        <v>0.18</v>
      </c>
      <c r="B134" s="1">
        <v>200</v>
      </c>
      <c r="D134" s="1">
        <f>-(D121-'LEM Demand Calibration'!D$128)/'LEM Demand Calibration'!D$129</f>
        <v>0.25824316769248573</v>
      </c>
      <c r="E134" s="1">
        <f>-(E121-'LEM Demand Calibration'!E$128)/'LEM Demand Calibration'!E$129</f>
        <v>0.20712420083350219</v>
      </c>
      <c r="F134" s="1">
        <f>-(F121-'LEM Demand Calibration'!F$128)/'LEM Demand Calibration'!F$129</f>
        <v>0.18764182821253017</v>
      </c>
      <c r="G134" s="1">
        <f>-(G121-'LEM Demand Calibration'!G$128)/'LEM Demand Calibration'!G$129</f>
        <v>0.17184365495608761</v>
      </c>
      <c r="H134" s="1">
        <f>-(H121-'LEM Demand Calibration'!H$128)/'LEM Demand Calibration'!H$129</f>
        <v>9.7489760931796704E-2</v>
      </c>
      <c r="I134" s="1">
        <f>-(I121-'LEM Demand Calibration'!I$128)/'LEM Demand Calibration'!I$129</f>
        <v>8.1613429195424081E-2</v>
      </c>
    </row>
    <row r="135" spans="1:9" x14ac:dyDescent="0.25">
      <c r="A135" s="1">
        <v>0.18</v>
      </c>
      <c r="B135" s="1">
        <v>300</v>
      </c>
    </row>
    <row r="136" spans="1:9" x14ac:dyDescent="0.25">
      <c r="A136" s="1">
        <v>0.13</v>
      </c>
      <c r="B136" s="1">
        <v>200</v>
      </c>
      <c r="D136" s="1">
        <f>-(D123-'LEM Demand Calibration'!D$128)/'LEM Demand Calibration'!D$129</f>
        <v>0.25824316769248573</v>
      </c>
      <c r="E136" s="1">
        <f>-(E123-'LEM Demand Calibration'!E$128)/'LEM Demand Calibration'!E$129</f>
        <v>0.20582667523075654</v>
      </c>
      <c r="F136" s="1">
        <f>-(F123-'LEM Demand Calibration'!F$128)/'LEM Demand Calibration'!F$129</f>
        <v>0.1869983631040798</v>
      </c>
      <c r="G136" s="1">
        <f>-(G123-'LEM Demand Calibration'!G$128)/'LEM Demand Calibration'!G$129</f>
        <v>0.17151829098890201</v>
      </c>
      <c r="H136" s="1">
        <f>-(H123-'LEM Demand Calibration'!H$128)/'LEM Demand Calibration'!H$129</f>
        <v>9.7385400777612E-2</v>
      </c>
      <c r="I136" s="1">
        <f>-(I123-'LEM Demand Calibration'!I$128)/'LEM Demand Calibration'!I$129</f>
        <v>8.1561723650810505E-2</v>
      </c>
    </row>
    <row r="137" spans="1:9" x14ac:dyDescent="0.25">
      <c r="A137" s="1">
        <v>0.13</v>
      </c>
      <c r="B137" s="1">
        <v>300</v>
      </c>
      <c r="D137" s="1">
        <f>-(D124-'LEM Demand Calibration'!D$128)/'LEM Demand Calibration'!D$129</f>
        <v>0.25824316769248573</v>
      </c>
      <c r="E137" s="1">
        <f>-(E124-'LEM Demand Calibration'!E$128)/'LEM Demand Calibration'!E$129</f>
        <v>0.20488083618870545</v>
      </c>
      <c r="F137" s="1">
        <f>-(F124-'LEM Demand Calibration'!F$128)/'LEM Demand Calibration'!F$129</f>
        <v>0.18592527873481093</v>
      </c>
      <c r="G137" s="1">
        <f>-(G124-'LEM Demand Calibration'!G$128)/'LEM Demand Calibration'!G$129</f>
        <v>0.17071268168042927</v>
      </c>
      <c r="H137" s="1">
        <f>-(H124-'LEM Demand Calibration'!H$128)/'LEM Demand Calibration'!H$129</f>
        <v>9.7127002430316245E-2</v>
      </c>
      <c r="I137" s="1">
        <f>-(I124-'LEM Demand Calibration'!I$128)/'LEM Demand Calibration'!I$129</f>
        <v>8.1433699431427614E-2</v>
      </c>
    </row>
    <row r="138" spans="1:9" x14ac:dyDescent="0.25">
      <c r="A138" s="1">
        <v>0.09</v>
      </c>
      <c r="B138" s="1">
        <v>200</v>
      </c>
      <c r="F138" s="1">
        <f>-(F125-'LEM Demand Calibration'!F$128)/'LEM Demand Calibration'!F$129</f>
        <v>0.18649429967445982</v>
      </c>
      <c r="G138" s="1">
        <f>-(G125-'LEM Demand Calibration'!G$128)/'LEM Demand Calibration'!G$129</f>
        <v>0.17094359209805296</v>
      </c>
      <c r="H138" s="1">
        <f>-(H125-'LEM Demand Calibration'!H$128)/'LEM Demand Calibration'!H$129</f>
        <v>9.7193852737729361E-2</v>
      </c>
      <c r="I138" s="1">
        <f>-(I125-'LEM Demand Calibration'!I$128)/'LEM Demand Calibration'!I$129</f>
        <v>8.1467825560264204E-2</v>
      </c>
    </row>
    <row r="139" spans="1:9" x14ac:dyDescent="0.25">
      <c r="A139" s="1">
        <v>0.09</v>
      </c>
      <c r="B139" s="1">
        <v>300</v>
      </c>
      <c r="F139" s="1">
        <f>-(F126-'LEM Demand Calibration'!F$128)/'LEM Demand Calibration'!F$129</f>
        <v>0.18574092690742455</v>
      </c>
      <c r="G139" s="1">
        <f>-(G126-'LEM Demand Calibration'!G$128)/'LEM Demand Calibration'!G$129</f>
        <v>0.16980872943554282</v>
      </c>
      <c r="H139" s="1">
        <f>-(H126-'LEM Demand Calibration'!H$128)/'LEM Demand Calibration'!H$129</f>
        <v>9.6816142725422188E-2</v>
      </c>
      <c r="I139" s="1">
        <f>-(I126-'LEM Demand Calibration'!I$128)/'LEM Demand Calibration'!I$129</f>
        <v>8.127968308457538E-2</v>
      </c>
    </row>
    <row r="140" spans="1:9" x14ac:dyDescent="0.25">
      <c r="A140" s="1">
        <v>6.5000000000000002E-2</v>
      </c>
      <c r="B140" s="1">
        <v>200</v>
      </c>
    </row>
    <row r="141" spans="1:9" x14ac:dyDescent="0.25">
      <c r="A141" s="1">
        <v>6.5000000000000002E-2</v>
      </c>
      <c r="B141" s="1">
        <v>300</v>
      </c>
      <c r="I141" s="1">
        <f>-(I128-'LEM Demand Calibration'!I$128)/'LEM Demand Calibration'!I$129</f>
        <v>8.0966505977113315E-2</v>
      </c>
    </row>
    <row r="142" spans="1:9" x14ac:dyDescent="0.25">
      <c r="A142" s="1" t="s">
        <v>53</v>
      </c>
      <c r="D142" s="6"/>
      <c r="E142" s="6"/>
      <c r="F142" s="6"/>
      <c r="G142" s="6"/>
      <c r="H142" s="6"/>
      <c r="I142" s="6"/>
    </row>
    <row r="143" spans="1:9" x14ac:dyDescent="0.25">
      <c r="A143" s="1">
        <v>0.25</v>
      </c>
      <c r="B143" s="1">
        <v>200</v>
      </c>
      <c r="D143" s="1">
        <f>+D132*'LEM Demand Calibration'!C50</f>
        <v>1.5301142786923423</v>
      </c>
      <c r="E143" s="1">
        <f>+E132*'LEM Demand Calibration'!D50</f>
        <v>1.2309290137202396</v>
      </c>
      <c r="F143" s="1">
        <f>+F132*'LEM Demand Calibration'!E50</f>
        <v>1.1135513939210093</v>
      </c>
      <c r="G143" s="1">
        <f>+G132*'LEM Demand Calibration'!F50</f>
        <v>1.0190876413329268</v>
      </c>
      <c r="H143" s="1">
        <f>+H132*'LEM Demand Calibration'!G50</f>
        <v>0.57792385089708775</v>
      </c>
      <c r="I143" s="1">
        <f>+I132*'LEM Demand Calibration'!H50</f>
        <v>0.48370975877914318</v>
      </c>
    </row>
    <row r="144" spans="1:9" x14ac:dyDescent="0.25">
      <c r="A144" s="1">
        <v>0.25</v>
      </c>
      <c r="B144" s="1">
        <v>300</v>
      </c>
      <c r="D144" s="1">
        <f>+D133*'LEM Demand Calibration'!D65*'LEM Demand Calibration'!$D$46</f>
        <v>0</v>
      </c>
      <c r="E144" s="1">
        <f>+E133*'LEM Demand Calibration'!E65*'LEM Demand Calibration'!$D$46</f>
        <v>0</v>
      </c>
      <c r="F144" s="1">
        <f>+F133*'LEM Demand Calibration'!F65*'LEM Demand Calibration'!$D$46</f>
        <v>0</v>
      </c>
      <c r="G144" s="1">
        <f>+G133*'LEM Demand Calibration'!G65*'LEM Demand Calibration'!$D$46</f>
        <v>0</v>
      </c>
      <c r="H144" s="1">
        <f>+H133*'LEM Demand Calibration'!H65*'LEM Demand Calibration'!$D$46</f>
        <v>0</v>
      </c>
      <c r="I144" s="1">
        <f>+I133*'LEM Demand Calibration'!I65*'LEM Demand Calibration'!$D$46</f>
        <v>0</v>
      </c>
    </row>
    <row r="145" spans="1:9" x14ac:dyDescent="0.25">
      <c r="A145" s="1">
        <v>0.18</v>
      </c>
      <c r="B145" s="1">
        <v>200</v>
      </c>
      <c r="D145" s="1">
        <f>+D134*'LEM Demand Calibration'!C52</f>
        <v>3.2475543994733269</v>
      </c>
      <c r="E145" s="1">
        <f>+E134*'LEM Demand Calibration'!D52</f>
        <v>2.6047043786855215</v>
      </c>
      <c r="F145" s="1">
        <f>+F134*'LEM Demand Calibration'!E52</f>
        <v>2.359702485769005</v>
      </c>
      <c r="G145" s="1">
        <f>+G134*'LEM Demand Calibration'!F52</f>
        <v>2.1610314908263777</v>
      </c>
      <c r="H145" s="1">
        <f>+H134*'LEM Demand Calibration'!G52</f>
        <v>1.2259890739671704</v>
      </c>
      <c r="I145" s="1">
        <f>+I134*'LEM Demand Calibration'!H52</f>
        <v>1.0263351917806285</v>
      </c>
    </row>
    <row r="146" spans="1:9" x14ac:dyDescent="0.25">
      <c r="A146" s="1">
        <v>0.18</v>
      </c>
      <c r="B146" s="1">
        <v>300</v>
      </c>
      <c r="D146" s="1">
        <f>+D135*'LEM Demand Calibration'!D67*'LEM Demand Calibration'!$D$46</f>
        <v>0</v>
      </c>
      <c r="E146" s="1">
        <f>+E135*'LEM Demand Calibration'!E67*'LEM Demand Calibration'!$D$46</f>
        <v>0</v>
      </c>
      <c r="F146" s="1">
        <f>+F135*'LEM Demand Calibration'!F67*'LEM Demand Calibration'!$D$46</f>
        <v>0</v>
      </c>
      <c r="G146" s="1">
        <f>+G135*'LEM Demand Calibration'!G67*'LEM Demand Calibration'!$D$46</f>
        <v>0</v>
      </c>
      <c r="H146" s="1">
        <f>+H135*'LEM Demand Calibration'!H67*'LEM Demand Calibration'!$D$46</f>
        <v>0</v>
      </c>
      <c r="I146" s="1">
        <f>+I135*'LEM Demand Calibration'!I67*'LEM Demand Calibration'!$D$46</f>
        <v>0</v>
      </c>
    </row>
    <row r="147" spans="1:9" x14ac:dyDescent="0.25">
      <c r="A147" s="1">
        <v>0.13</v>
      </c>
      <c r="B147" s="1">
        <v>200</v>
      </c>
      <c r="D147" s="1">
        <f>+D136*'LEM Demand Calibration'!C54</f>
        <v>6.4548921076769963</v>
      </c>
      <c r="E147" s="1">
        <f>+E136*'LEM Demand Calibration'!D54</f>
        <v>5.316328555236562</v>
      </c>
      <c r="F147" s="1">
        <f>+F136*'LEM Demand Calibration'!E54</f>
        <v>4.991119476212555</v>
      </c>
      <c r="G147" s="1">
        <f>+G136*'LEM Demand Calibration'!F54</f>
        <v>4.5779453278151401</v>
      </c>
      <c r="H147" s="1">
        <f>+H136*'LEM Demand Calibration'!G54</f>
        <v>2.5992856966847961</v>
      </c>
      <c r="I147" s="1">
        <f>+I136*'LEM Demand Calibration'!H54</f>
        <v>2.1769404858397126</v>
      </c>
    </row>
    <row r="148" spans="1:9" x14ac:dyDescent="0.25">
      <c r="A148" s="1">
        <v>0.13</v>
      </c>
      <c r="B148" s="1">
        <v>300</v>
      </c>
      <c r="D148" s="1">
        <f>+D137*'LEM Demand Calibration'!C55</f>
        <v>6.4548921076769963</v>
      </c>
      <c r="E148" s="1">
        <f>+E137*'LEM Demand Calibration'!D55</f>
        <v>5.2918983345070263</v>
      </c>
      <c r="F148" s="1">
        <f>+F137*'LEM Demand Calibration'!E55</f>
        <v>4.9624780902337049</v>
      </c>
      <c r="G148" s="1">
        <f>+G137*'LEM Demand Calibration'!F55</f>
        <v>4.5564430416828356</v>
      </c>
      <c r="H148" s="1">
        <f>+H137*'LEM Demand Calibration'!G55</f>
        <v>2.592388860785269</v>
      </c>
      <c r="I148" s="1">
        <f>+I137*'LEM Demand Calibration'!H55</f>
        <v>2.1735234282559883</v>
      </c>
    </row>
    <row r="149" spans="1:9" x14ac:dyDescent="0.25">
      <c r="A149" s="1">
        <v>0.09</v>
      </c>
      <c r="B149" s="1">
        <v>200</v>
      </c>
      <c r="D149" s="1">
        <f>+D138*'LEM Demand Calibration'!D70*'LEM Demand Calibration'!$D$46</f>
        <v>0</v>
      </c>
      <c r="E149" s="1">
        <f>+E138*'LEM Demand Calibration'!E70*'LEM Demand Calibration'!$D$46</f>
        <v>0</v>
      </c>
      <c r="F149" s="1">
        <f>+F138*'LEM Demand Calibration'!E56</f>
        <v>8.7536532938351446</v>
      </c>
      <c r="G149" s="1">
        <f>+G138*'LEM Demand Calibration'!F56</f>
        <v>8.2913760414188307</v>
      </c>
      <c r="H149" s="1">
        <f>+H138*'LEM Demand Calibration'!G56</f>
        <v>4.8714987033215111</v>
      </c>
      <c r="I149" s="1">
        <f>+I138*'LEM Demand Calibration'!H56</f>
        <v>4.0832871153917152</v>
      </c>
    </row>
    <row r="150" spans="1:9" x14ac:dyDescent="0.25">
      <c r="A150" s="1">
        <v>0.09</v>
      </c>
      <c r="B150" s="1">
        <v>300</v>
      </c>
      <c r="D150" s="1">
        <f>+D139*'LEM Demand Calibration'!D71*'LEM Demand Calibration'!$D$46</f>
        <v>0</v>
      </c>
      <c r="E150" s="1">
        <f>+E139*'LEM Demand Calibration'!E71*'LEM Demand Calibration'!$D$46</f>
        <v>0</v>
      </c>
      <c r="F150" s="1">
        <f>+F139*'LEM Demand Calibration'!E57</f>
        <v>8.7182915481133936</v>
      </c>
      <c r="G150" s="1">
        <f>+G139*'LEM Demand Calibration'!F57</f>
        <v>8.2363311404971284</v>
      </c>
      <c r="H150" s="1">
        <f>+H139*'LEM Demand Calibration'!G57</f>
        <v>4.8525673225463182</v>
      </c>
      <c r="I150" s="1">
        <f>+I139*'LEM Demand Calibration'!H57</f>
        <v>4.0738571380779138</v>
      </c>
    </row>
    <row r="151" spans="1:9" x14ac:dyDescent="0.25">
      <c r="A151" s="1">
        <v>6.5000000000000002E-2</v>
      </c>
      <c r="B151" s="1">
        <v>200</v>
      </c>
      <c r="D151" s="1">
        <f>+D140*'LEM Demand Calibration'!D72*'LEM Demand Calibration'!$D$46</f>
        <v>0</v>
      </c>
      <c r="E151" s="1">
        <f>+E140*'LEM Demand Calibration'!E72*'LEM Demand Calibration'!$D$46</f>
        <v>0</v>
      </c>
      <c r="F151" s="1">
        <f>+F140*'LEM Demand Calibration'!F72*'LEM Demand Calibration'!$D$46</f>
        <v>0</v>
      </c>
      <c r="G151" s="1">
        <f>+G140*'LEM Demand Calibration'!G72*'LEM Demand Calibration'!$D$46</f>
        <v>0</v>
      </c>
      <c r="H151" s="1">
        <f>+H140*'LEM Demand Calibration'!H72*'LEM Demand Calibration'!$D$46</f>
        <v>0</v>
      </c>
      <c r="I151" s="1">
        <f>+I140*'LEM Demand Calibration'!I72*'LEM Demand Calibration'!$D$46</f>
        <v>0</v>
      </c>
    </row>
    <row r="152" spans="1:9" x14ac:dyDescent="0.25">
      <c r="A152" s="1">
        <v>6.5000000000000002E-2</v>
      </c>
      <c r="B152" s="1">
        <v>300</v>
      </c>
      <c r="D152" s="1">
        <f>+D141*'LEM Demand Calibration'!D73*'LEM Demand Calibration'!$D$46</f>
        <v>0</v>
      </c>
      <c r="E152" s="1">
        <f>+E141*'LEM Demand Calibration'!E73*'LEM Demand Calibration'!$D$46</f>
        <v>0</v>
      </c>
      <c r="F152" s="1">
        <f>+F141*'LEM Demand Calibration'!F73*'LEM Demand Calibration'!$D$46</f>
        <v>0</v>
      </c>
      <c r="G152" s="1">
        <f>+G141*'LEM Demand Calibration'!G73*'LEM Demand Calibration'!$D$46</f>
        <v>0</v>
      </c>
      <c r="H152" s="1">
        <f>+H141*'LEM Demand Calibration'!H73*'LEM Demand Calibration'!$D$46</f>
        <v>0</v>
      </c>
      <c r="I152" s="1">
        <f>+I141*'LEM Demand Calibration'!H59</f>
        <v>7.37467383421055</v>
      </c>
    </row>
    <row r="154" spans="1:9" x14ac:dyDescent="0.25">
      <c r="A154" s="1" t="s">
        <v>64</v>
      </c>
      <c r="D154" s="1" t="s">
        <v>65</v>
      </c>
    </row>
    <row r="155" spans="1:9" x14ac:dyDescent="0.25">
      <c r="A155" s="1" t="s">
        <v>76</v>
      </c>
      <c r="D155" s="1" t="s">
        <v>42</v>
      </c>
    </row>
    <row r="156" spans="1:9" x14ac:dyDescent="0.25">
      <c r="A156" s="1">
        <v>0.25</v>
      </c>
      <c r="B156" s="1">
        <v>200</v>
      </c>
    </row>
    <row r="157" spans="1:9" x14ac:dyDescent="0.25">
      <c r="A157" s="1">
        <v>0.25</v>
      </c>
      <c r="B157" s="1">
        <v>300</v>
      </c>
    </row>
    <row r="158" spans="1:9" x14ac:dyDescent="0.25">
      <c r="A158" s="1">
        <v>0.18</v>
      </c>
      <c r="B158" s="1">
        <v>200</v>
      </c>
      <c r="E158" s="1">
        <f>+E109*'LEM Demand Calibration'!E52-'c&amp;P calc'!E107*'LEM Demand Calibration'!E50</f>
        <v>0.73725057847997755</v>
      </c>
      <c r="F158" s="1">
        <f>+F109*'LEM Demand Calibration'!F52-'c&amp;P calc'!F107*'LEM Demand Calibration'!F50</f>
        <v>0.75175846893999354</v>
      </c>
      <c r="G158" s="1">
        <f>+G109*'LEM Demand Calibration'!G52-'c&amp;P calc'!G107*'LEM Demand Calibration'!G50</f>
        <v>0.75175846893999354</v>
      </c>
      <c r="H158" s="1">
        <f>+H109*'LEM Demand Calibration'!H52-'c&amp;P calc'!H107*'LEM Demand Calibration'!H50</f>
        <v>0.75175846893999354</v>
      </c>
      <c r="I158" s="1">
        <f>+I109*'LEM Demand Calibration'!I52-'c&amp;P calc'!I107*'LEM Demand Calibration'!I50</f>
        <v>0.75175846893999354</v>
      </c>
    </row>
    <row r="159" spans="1:9" x14ac:dyDescent="0.25">
      <c r="A159" s="1">
        <v>0.18</v>
      </c>
      <c r="B159" s="1">
        <v>300</v>
      </c>
    </row>
    <row r="160" spans="1:9" x14ac:dyDescent="0.25">
      <c r="A160" s="1">
        <v>0.13</v>
      </c>
      <c r="B160" s="1">
        <v>200</v>
      </c>
      <c r="E160" s="1">
        <f>+E111*'LEM Demand Calibration'!E54-'c&amp;P calc'!E109*'LEM Demand Calibration'!E52</f>
        <v>1.5321819869075763</v>
      </c>
      <c r="F160" s="1">
        <f>+F111*'LEM Demand Calibration'!F54-'c&amp;P calc'!F109*'LEM Demand Calibration'!F52</f>
        <v>1.6317565815321327</v>
      </c>
      <c r="G160" s="1">
        <f>+G111*'LEM Demand Calibration'!G54-'c&amp;P calc'!G109*'LEM Demand Calibration'!G52</f>
        <v>1.6132491515428959</v>
      </c>
      <c r="H160" s="1">
        <f>+H111*'LEM Demand Calibration'!H54-'c&amp;P calc'!H109*'LEM Demand Calibration'!H52</f>
        <v>1.6132491515428959</v>
      </c>
      <c r="I160" s="1">
        <f>+I111*'LEM Demand Calibration'!I54-'c&amp;P calc'!I109*'LEM Demand Calibration'!I52</f>
        <v>1.6132491515428959</v>
      </c>
    </row>
    <row r="161" spans="1:9" x14ac:dyDescent="0.25">
      <c r="A161" s="1">
        <v>0.13</v>
      </c>
      <c r="B161" s="1">
        <v>300</v>
      </c>
    </row>
    <row r="162" spans="1:9" x14ac:dyDescent="0.25">
      <c r="A162" s="1">
        <v>0.09</v>
      </c>
      <c r="B162" s="1">
        <v>200</v>
      </c>
    </row>
    <row r="163" spans="1:9" x14ac:dyDescent="0.25">
      <c r="A163" s="1">
        <v>0.09</v>
      </c>
      <c r="B163" s="1">
        <v>300</v>
      </c>
    </row>
    <row r="164" spans="1:9" x14ac:dyDescent="0.25">
      <c r="A164" s="1">
        <v>6.5000000000000002E-2</v>
      </c>
      <c r="B164" s="1">
        <v>200</v>
      </c>
    </row>
    <row r="165" spans="1:9" x14ac:dyDescent="0.25">
      <c r="A165" s="1">
        <v>6.5000000000000002E-2</v>
      </c>
      <c r="B165" s="1">
        <v>300</v>
      </c>
    </row>
    <row r="166" spans="1:9" x14ac:dyDescent="0.25">
      <c r="A166" s="1" t="s">
        <v>66</v>
      </c>
    </row>
    <row r="167" spans="1:9" x14ac:dyDescent="0.25">
      <c r="A167" s="1">
        <v>0.25</v>
      </c>
      <c r="B167" s="1">
        <v>200</v>
      </c>
    </row>
    <row r="168" spans="1:9" x14ac:dyDescent="0.25">
      <c r="A168" s="1">
        <v>0.25</v>
      </c>
      <c r="B168" s="1">
        <v>300</v>
      </c>
    </row>
    <row r="169" spans="1:9" x14ac:dyDescent="0.25">
      <c r="A169" s="1">
        <v>0.18</v>
      </c>
      <c r="B169" s="1">
        <v>200</v>
      </c>
      <c r="D169" s="6">
        <f>+D31</f>
        <v>67.844003201737678</v>
      </c>
      <c r="E169" s="6">
        <f>+E158+E31</f>
        <v>103.09860515882687</v>
      </c>
      <c r="F169" s="6">
        <f>+F158+F31</f>
        <v>129.02191687753921</v>
      </c>
      <c r="G169" s="6">
        <f>+G158+G31</f>
        <v>138.80584721647509</v>
      </c>
      <c r="H169" s="6">
        <f>+H158+H31</f>
        <v>138.80584712048713</v>
      </c>
      <c r="I169" s="6">
        <f>+I158+I31</f>
        <v>138.80584712048707</v>
      </c>
    </row>
    <row r="170" spans="1:9" x14ac:dyDescent="0.25">
      <c r="A170" s="1">
        <v>0.18</v>
      </c>
      <c r="B170" s="1">
        <v>300</v>
      </c>
      <c r="E170" s="6"/>
      <c r="F170" s="6"/>
      <c r="G170" s="6"/>
      <c r="H170" s="6"/>
      <c r="I170" s="6"/>
    </row>
    <row r="171" spans="1:9" x14ac:dyDescent="0.25">
      <c r="A171" s="1">
        <v>0.13</v>
      </c>
      <c r="B171" s="1">
        <v>200</v>
      </c>
      <c r="D171" s="6">
        <f>+D31</f>
        <v>67.844003201737678</v>
      </c>
      <c r="E171" s="6">
        <f>+E160+E31</f>
        <v>103.89353656725447</v>
      </c>
      <c r="F171" s="6">
        <f>+F160+F31</f>
        <v>129.90191499013136</v>
      </c>
      <c r="G171" s="6">
        <f>+G160+G31</f>
        <v>139.66733789907801</v>
      </c>
      <c r="H171" s="6">
        <f>+H160+H31</f>
        <v>139.66733780309005</v>
      </c>
      <c r="I171" s="6">
        <f>+I160+I31</f>
        <v>139.66733780308999</v>
      </c>
    </row>
    <row r="172" spans="1:9" x14ac:dyDescent="0.25">
      <c r="A172" s="1">
        <v>0.13</v>
      </c>
      <c r="B172" s="1">
        <v>300</v>
      </c>
    </row>
    <row r="173" spans="1:9" x14ac:dyDescent="0.25">
      <c r="A173" s="1">
        <v>0.09</v>
      </c>
      <c r="B173" s="1">
        <v>200</v>
      </c>
    </row>
    <row r="174" spans="1:9" x14ac:dyDescent="0.25">
      <c r="A174" s="1">
        <v>0.09</v>
      </c>
      <c r="B174" s="1">
        <v>300</v>
      </c>
    </row>
    <row r="175" spans="1:9" x14ac:dyDescent="0.25">
      <c r="A175" s="1">
        <v>6.5000000000000002E-2</v>
      </c>
      <c r="B175" s="1">
        <v>200</v>
      </c>
    </row>
    <row r="176" spans="1:9" x14ac:dyDescent="0.25">
      <c r="A176" s="1">
        <v>6.5000000000000002E-2</v>
      </c>
      <c r="B176" s="1">
        <v>300</v>
      </c>
    </row>
    <row r="177" spans="1:9" x14ac:dyDescent="0.25">
      <c r="A177" s="1" t="s">
        <v>67</v>
      </c>
    </row>
    <row r="178" spans="1:9" x14ac:dyDescent="0.25">
      <c r="A178" s="1">
        <v>0.25</v>
      </c>
      <c r="B178" s="1">
        <v>200</v>
      </c>
    </row>
    <row r="179" spans="1:9" x14ac:dyDescent="0.25">
      <c r="A179" s="1">
        <v>0.25</v>
      </c>
      <c r="B179" s="1">
        <v>300</v>
      </c>
    </row>
    <row r="180" spans="1:9" x14ac:dyDescent="0.25">
      <c r="A180" s="1">
        <v>0.18</v>
      </c>
      <c r="B180" s="1">
        <v>200</v>
      </c>
      <c r="D180" s="1">
        <f>-(D169-'LEM Demand Calibration'!D$128)/'LEM Demand Calibration'!D$129</f>
        <v>0.25824316769248573</v>
      </c>
      <c r="E180" s="1">
        <f>-(E169-'LEM Demand Calibration'!E$128)/'LEM Demand Calibration'!E$129</f>
        <v>0.2076520450648737</v>
      </c>
      <c r="F180" s="1">
        <f>-(F169-'LEM Demand Calibration'!F$128)/'LEM Demand Calibration'!F$129</f>
        <v>0.18788762139075729</v>
      </c>
      <c r="G180" s="1">
        <f>-(G169-'LEM Demand Calibration'!G$128)/'LEM Demand Calibration'!G$129</f>
        <v>0.1719693644868398</v>
      </c>
      <c r="H180" s="1">
        <f>-(H169-'LEM Demand Calibration'!H$128)/'LEM Demand Calibration'!H$129</f>
        <v>9.753008213308173E-2</v>
      </c>
      <c r="I180" s="1">
        <f>-(I169-'LEM Demand Calibration'!I$128)/'LEM Demand Calibration'!I$129</f>
        <v>8.1633406452914767E-2</v>
      </c>
    </row>
    <row r="181" spans="1:9" x14ac:dyDescent="0.25">
      <c r="A181" s="1">
        <v>0.18</v>
      </c>
      <c r="B181" s="1">
        <v>300</v>
      </c>
    </row>
    <row r="182" spans="1:9" x14ac:dyDescent="0.25">
      <c r="A182" s="1">
        <v>0.13</v>
      </c>
      <c r="B182" s="1">
        <v>200</v>
      </c>
      <c r="D182" s="1">
        <f>-(D171-'LEM Demand Calibration'!D$128)/'LEM Demand Calibration'!D$129</f>
        <v>0.25824316769248573</v>
      </c>
      <c r="E182" s="1">
        <f>-(E171-'LEM Demand Calibration'!E$128)/'LEM Demand Calibration'!E$129</f>
        <v>0.20697885880914488</v>
      </c>
      <c r="F182" s="1">
        <f>-(F171-'LEM Demand Calibration'!F$128)/'LEM Demand Calibration'!F$129</f>
        <v>0.18754060389601335</v>
      </c>
      <c r="G182" s="1">
        <f>-(G171-'LEM Demand Calibration'!G$128)/'LEM Demand Calibration'!G$129</f>
        <v>0.17179561697492135</v>
      </c>
      <c r="H182" s="1">
        <f>-(H171-'LEM Demand Calibration'!H$128)/'LEM Demand Calibration'!H$129</f>
        <v>9.747435279928407E-2</v>
      </c>
      <c r="I182" s="1">
        <f>-(I171-'LEM Demand Calibration'!I$128)/'LEM Demand Calibration'!I$129</f>
        <v>8.1605795190958799E-2</v>
      </c>
    </row>
    <row r="183" spans="1:9" x14ac:dyDescent="0.25">
      <c r="A183" s="1">
        <v>0.13</v>
      </c>
      <c r="B183" s="1">
        <v>300</v>
      </c>
    </row>
    <row r="184" spans="1:9" x14ac:dyDescent="0.25">
      <c r="A184" s="1">
        <v>0.09</v>
      </c>
      <c r="B184" s="1">
        <v>200</v>
      </c>
    </row>
    <row r="185" spans="1:9" x14ac:dyDescent="0.25">
      <c r="A185" s="1">
        <v>0.09</v>
      </c>
      <c r="B185" s="1">
        <v>300</v>
      </c>
    </row>
    <row r="186" spans="1:9" x14ac:dyDescent="0.25">
      <c r="A186" s="1">
        <v>6.5000000000000002E-2</v>
      </c>
      <c r="B186" s="1">
        <v>200</v>
      </c>
    </row>
    <row r="187" spans="1:9" x14ac:dyDescent="0.25">
      <c r="A187" s="1">
        <v>6.5000000000000002E-2</v>
      </c>
      <c r="B187" s="1">
        <v>300</v>
      </c>
    </row>
    <row r="188" spans="1:9" x14ac:dyDescent="0.25">
      <c r="A188" s="1" t="s">
        <v>68</v>
      </c>
    </row>
    <row r="189" spans="1:9" x14ac:dyDescent="0.25">
      <c r="A189" s="1">
        <v>0.25</v>
      </c>
      <c r="B189" s="1">
        <v>200</v>
      </c>
    </row>
    <row r="190" spans="1:9" x14ac:dyDescent="0.25">
      <c r="A190" s="1">
        <v>0.25</v>
      </c>
      <c r="B190" s="1">
        <v>300</v>
      </c>
    </row>
    <row r="191" spans="1:9" x14ac:dyDescent="0.25">
      <c r="A191" s="1">
        <v>0.18</v>
      </c>
      <c r="B191" s="1">
        <v>200</v>
      </c>
      <c r="D191" s="1">
        <f>+D180*'LEM Demand Calibration'!D52</f>
        <v>3.2475543994733269</v>
      </c>
      <c r="E191" s="1">
        <f>+E180*'LEM Demand Calibration'!E52</f>
        <v>2.6113423194726653</v>
      </c>
      <c r="F191" s="1">
        <f>+F180*'LEM Demand Calibration'!F52</f>
        <v>2.3627934744849681</v>
      </c>
      <c r="G191" s="1">
        <f>+G180*'LEM Demand Calibration'!G52</f>
        <v>2.1626123595219484</v>
      </c>
      <c r="H191" s="1">
        <f>+H180*'LEM Demand Calibration'!H52</f>
        <v>1.2264961359576008</v>
      </c>
      <c r="I191" s="1">
        <f>+I180*'LEM Demand Calibration'!I52</f>
        <v>1.0265864171316532</v>
      </c>
    </row>
    <row r="192" spans="1:9" x14ac:dyDescent="0.25">
      <c r="A192" s="1">
        <v>0.18</v>
      </c>
      <c r="B192" s="1">
        <v>300</v>
      </c>
    </row>
    <row r="193" spans="1:9" x14ac:dyDescent="0.25">
      <c r="A193" s="1">
        <v>0.13</v>
      </c>
      <c r="B193" s="1">
        <v>200</v>
      </c>
      <c r="D193" s="1">
        <f>+D182*'LEM Demand Calibration'!D54</f>
        <v>6.6702021254490607</v>
      </c>
      <c r="E193" s="1">
        <f>+E182*'LEM Demand Calibration'!E54</f>
        <v>5.5244131350582553</v>
      </c>
      <c r="F193" s="1">
        <f>+F182*'LEM Demand Calibration'!F54</f>
        <v>5.0055922690888757</v>
      </c>
      <c r="G193" s="1">
        <f>+G182*'LEM Demand Calibration'!G54</f>
        <v>4.5853473558709181</v>
      </c>
      <c r="H193" s="1">
        <f>+H182*'LEM Demand Calibration'!H54</f>
        <v>2.60165988948759</v>
      </c>
      <c r="I193" s="1">
        <f>+I182*'LEM Demand Calibration'!I54</f>
        <v>2.1781167866304227</v>
      </c>
    </row>
    <row r="194" spans="1:9" x14ac:dyDescent="0.25">
      <c r="A194" s="1">
        <v>0.13</v>
      </c>
      <c r="B194" s="1">
        <v>300</v>
      </c>
    </row>
    <row r="195" spans="1:9" x14ac:dyDescent="0.25">
      <c r="A195" s="1">
        <v>0.09</v>
      </c>
      <c r="B195" s="1">
        <v>200</v>
      </c>
    </row>
    <row r="196" spans="1:9" x14ac:dyDescent="0.25">
      <c r="A196" s="1">
        <v>0.09</v>
      </c>
      <c r="B196" s="1">
        <v>300</v>
      </c>
    </row>
    <row r="197" spans="1:9" x14ac:dyDescent="0.25">
      <c r="A197" s="1">
        <v>6.5000000000000002E-2</v>
      </c>
      <c r="B197" s="1">
        <v>200</v>
      </c>
    </row>
    <row r="198" spans="1:9" x14ac:dyDescent="0.25">
      <c r="A198" s="1">
        <v>6.5000000000000002E-2</v>
      </c>
      <c r="B198" s="1">
        <v>300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ColWidth="8.85546875" defaultRowHeight="12.75" x14ac:dyDescent="0.25"/>
  <cols>
    <col min="1" max="3" width="8.85546875" style="1"/>
    <col min="4" max="9" width="7.7109375" style="1" customWidth="1"/>
    <col min="10" max="10" width="0" style="1" hidden="1" customWidth="1"/>
    <col min="11" max="11" width="5.7109375" style="1" customWidth="1"/>
    <col min="12" max="12" width="6.7109375" style="1" customWidth="1"/>
    <col min="13" max="13" width="8.85546875" style="1" customWidth="1"/>
    <col min="14" max="14" width="7.140625" style="1" customWidth="1"/>
    <col min="15" max="20" width="7.7109375" style="1" customWidth="1"/>
    <col min="21" max="16384" width="8.85546875" style="1"/>
  </cols>
  <sheetData>
    <row r="1" spans="1:20" ht="13.5" x14ac:dyDescent="0.25">
      <c r="A1" s="41" t="s">
        <v>54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K1" s="41" t="s">
        <v>8</v>
      </c>
      <c r="M1"/>
      <c r="N1"/>
      <c r="O1" s="5">
        <v>2001</v>
      </c>
      <c r="P1" s="5">
        <v>2002</v>
      </c>
      <c r="Q1" s="5">
        <v>2003</v>
      </c>
      <c r="R1" s="5">
        <v>2004</v>
      </c>
      <c r="S1" s="5">
        <v>2005</v>
      </c>
      <c r="T1" s="5">
        <v>2006</v>
      </c>
    </row>
    <row r="2" spans="1:20" ht="13.5" x14ac:dyDescent="0.25">
      <c r="A2" s="41" t="s">
        <v>55</v>
      </c>
      <c r="D2" s="10"/>
      <c r="E2" s="10"/>
      <c r="F2" s="10"/>
      <c r="G2" s="10"/>
      <c r="H2" s="10"/>
      <c r="I2" s="10"/>
      <c r="K2" s="54" t="s">
        <v>7</v>
      </c>
      <c r="N2" s="55">
        <v>0.15</v>
      </c>
    </row>
    <row r="3" spans="1:20" x14ac:dyDescent="0.25">
      <c r="A3" s="1" t="s">
        <v>56</v>
      </c>
      <c r="B3" s="1" t="s">
        <v>58</v>
      </c>
      <c r="D3" s="10" t="s">
        <v>193</v>
      </c>
      <c r="E3" s="10"/>
      <c r="F3" s="10"/>
      <c r="G3" s="10"/>
      <c r="H3" s="10"/>
      <c r="I3" s="10"/>
    </row>
    <row r="4" spans="1:20" x14ac:dyDescent="0.25">
      <c r="A4" s="1">
        <v>0.25</v>
      </c>
      <c r="B4" s="1">
        <v>200</v>
      </c>
      <c r="D4" s="13">
        <f>+'LEM cost side'!$C349/'LEM cost side'!D244</f>
        <v>241.24980744390058</v>
      </c>
      <c r="E4" s="6"/>
      <c r="F4" s="6"/>
      <c r="G4" s="6"/>
      <c r="H4" s="6"/>
      <c r="I4" s="6"/>
      <c r="J4" s="6"/>
    </row>
    <row r="5" spans="1:20" x14ac:dyDescent="0.25">
      <c r="A5" s="1">
        <v>0.25</v>
      </c>
      <c r="B5" s="1">
        <v>300</v>
      </c>
      <c r="D5" s="13">
        <f>+'LEM cost side'!$C350/'LEM cost side'!D245</f>
        <v>268.7754472680503</v>
      </c>
      <c r="E5" s="6"/>
      <c r="F5" s="6"/>
      <c r="G5" s="6"/>
      <c r="H5" s="6"/>
      <c r="I5" s="6"/>
      <c r="J5" s="6"/>
    </row>
    <row r="6" spans="1:20" x14ac:dyDescent="0.25">
      <c r="A6" s="1">
        <v>0.18</v>
      </c>
      <c r="B6" s="1">
        <v>200</v>
      </c>
      <c r="D6" s="13">
        <f>+'LEM cost side'!$C351/'LEM cost side'!D246</f>
        <v>273.30561283333122</v>
      </c>
      <c r="E6" s="6"/>
      <c r="F6" s="6"/>
      <c r="G6" s="6"/>
      <c r="H6" s="6"/>
      <c r="I6" s="6"/>
      <c r="J6" s="6"/>
    </row>
    <row r="7" spans="1:20" x14ac:dyDescent="0.25">
      <c r="A7" s="1">
        <v>0.18</v>
      </c>
      <c r="B7" s="1">
        <v>300</v>
      </c>
      <c r="D7" s="13">
        <f>+'LEM cost side'!$C352/'LEM cost side'!D247</f>
        <v>299.25053893681894</v>
      </c>
      <c r="E7" s="6"/>
      <c r="F7" s="6"/>
      <c r="G7" s="6"/>
      <c r="H7" s="6"/>
      <c r="I7" s="6"/>
      <c r="J7" s="6"/>
    </row>
    <row r="8" spans="1:20" x14ac:dyDescent="0.25">
      <c r="A8" s="1">
        <v>0.13</v>
      </c>
      <c r="B8" s="1">
        <v>200</v>
      </c>
      <c r="D8" s="13">
        <f>+'LEM cost side'!$C353/'LEM cost side'!D248</f>
        <v>303.8948142568326</v>
      </c>
      <c r="E8" s="6"/>
      <c r="F8" s="6"/>
      <c r="G8" s="6"/>
      <c r="H8" s="6"/>
      <c r="I8" s="6"/>
      <c r="J8" s="6"/>
    </row>
    <row r="9" spans="1:20" x14ac:dyDescent="0.25">
      <c r="A9" s="1">
        <v>0.13</v>
      </c>
      <c r="B9" s="1">
        <v>300</v>
      </c>
      <c r="D9" s="13">
        <f>+'LEM cost side'!$C354/'LEM cost side'!D249</f>
        <v>348.20222884642226</v>
      </c>
      <c r="E9" s="6"/>
      <c r="F9" s="6"/>
      <c r="G9" s="6"/>
      <c r="H9" s="6"/>
      <c r="I9" s="6"/>
      <c r="J9" s="6"/>
    </row>
    <row r="10" spans="1:20" x14ac:dyDescent="0.25">
      <c r="A10" s="1">
        <v>0.09</v>
      </c>
      <c r="B10" s="1">
        <v>200</v>
      </c>
      <c r="D10" s="13"/>
      <c r="E10" s="6"/>
      <c r="F10" s="6"/>
      <c r="G10" s="6"/>
      <c r="H10" s="6"/>
      <c r="I10" s="6"/>
      <c r="J10" s="6"/>
    </row>
    <row r="11" spans="1:20" x14ac:dyDescent="0.25">
      <c r="A11" s="1">
        <v>0.09</v>
      </c>
      <c r="B11" s="1">
        <v>300</v>
      </c>
      <c r="D11" s="13"/>
      <c r="E11" s="6"/>
      <c r="F11" s="6"/>
      <c r="G11" s="6"/>
      <c r="H11" s="6"/>
      <c r="I11" s="6"/>
      <c r="J11" s="6"/>
    </row>
    <row r="12" spans="1:20" x14ac:dyDescent="0.25">
      <c r="A12" s="1">
        <v>6.5000000000000002E-2</v>
      </c>
      <c r="B12" s="1">
        <v>200</v>
      </c>
      <c r="D12" s="13"/>
      <c r="E12" s="6"/>
      <c r="F12" s="6"/>
      <c r="G12" s="6"/>
      <c r="H12" s="6"/>
      <c r="I12" s="6"/>
      <c r="J12" s="6"/>
    </row>
    <row r="13" spans="1:20" x14ac:dyDescent="0.25">
      <c r="A13" s="1">
        <v>6.5000000000000002E-2</v>
      </c>
      <c r="B13" s="1">
        <v>300</v>
      </c>
      <c r="D13" s="13"/>
      <c r="E13" s="6"/>
      <c r="F13" s="6"/>
      <c r="G13" s="6"/>
      <c r="H13" s="6"/>
      <c r="I13" s="6"/>
      <c r="J13" s="6"/>
    </row>
    <row r="14" spans="1:20" x14ac:dyDescent="0.25">
      <c r="A14" s="1" t="s">
        <v>57</v>
      </c>
      <c r="B14" s="1" t="s">
        <v>58</v>
      </c>
      <c r="D14" s="14" t="s">
        <v>168</v>
      </c>
      <c r="E14" s="6"/>
      <c r="F14" s="6"/>
      <c r="G14" s="6"/>
      <c r="H14" s="6"/>
      <c r="I14" s="6"/>
      <c r="J14" s="6"/>
    </row>
    <row r="15" spans="1:20" x14ac:dyDescent="0.25">
      <c r="A15" s="1">
        <v>0.25</v>
      </c>
      <c r="B15" s="1">
        <v>200</v>
      </c>
      <c r="D15" s="13">
        <f>'LEM cost side'!D256*20</f>
        <v>492.17573169615122</v>
      </c>
      <c r="E15" s="6"/>
      <c r="F15" s="6"/>
      <c r="G15" s="6"/>
      <c r="H15" s="6"/>
      <c r="I15" s="6"/>
      <c r="J15" s="6"/>
    </row>
    <row r="16" spans="1:20" x14ac:dyDescent="0.25">
      <c r="A16" s="1">
        <v>0.25</v>
      </c>
      <c r="B16" s="1">
        <v>300</v>
      </c>
      <c r="D16" s="13">
        <f>'LEM cost side'!D257*20</f>
        <v>656.56402695720158</v>
      </c>
      <c r="E16" s="6"/>
      <c r="F16" s="6"/>
      <c r="G16" s="6"/>
      <c r="H16" s="6"/>
      <c r="I16" s="6"/>
      <c r="J16" s="6"/>
    </row>
    <row r="17" spans="1:21" x14ac:dyDescent="0.25">
      <c r="A17" s="1">
        <v>0.18</v>
      </c>
      <c r="B17" s="1">
        <v>200</v>
      </c>
      <c r="D17" s="13">
        <f>'LEM cost side'!D258*20</f>
        <v>582.37067786167881</v>
      </c>
      <c r="E17" s="6"/>
      <c r="F17" s="6"/>
      <c r="G17" s="6"/>
      <c r="H17" s="6"/>
      <c r="I17" s="6"/>
      <c r="J17" s="6"/>
    </row>
    <row r="18" spans="1:21" x14ac:dyDescent="0.25">
      <c r="A18" s="1">
        <v>0.18</v>
      </c>
      <c r="B18" s="1">
        <v>300</v>
      </c>
      <c r="D18" s="13">
        <f>'LEM cost side'!D259*20</f>
        <v>793.98604092779124</v>
      </c>
      <c r="E18" s="6"/>
      <c r="F18" s="6"/>
      <c r="G18" s="6"/>
      <c r="H18" s="6"/>
      <c r="I18" s="6"/>
      <c r="J18" s="6"/>
    </row>
    <row r="19" spans="1:21" x14ac:dyDescent="0.25">
      <c r="A19" s="1">
        <v>0.13</v>
      </c>
      <c r="B19" s="1">
        <v>200</v>
      </c>
      <c r="D19" s="13">
        <f>'LEM cost side'!D260*20</f>
        <v>640.10808929359212</v>
      </c>
      <c r="E19" s="6"/>
      <c r="F19" s="6"/>
      <c r="G19" s="6"/>
      <c r="H19" s="6"/>
      <c r="I19" s="6"/>
      <c r="J19" s="6"/>
    </row>
    <row r="20" spans="1:21" x14ac:dyDescent="0.25">
      <c r="A20" s="1">
        <v>0.13</v>
      </c>
      <c r="B20" s="1">
        <v>300</v>
      </c>
      <c r="D20" s="13">
        <f>'LEM cost side'!D261*20</f>
        <v>934.52187084041407</v>
      </c>
      <c r="E20" s="6"/>
      <c r="F20" s="6"/>
      <c r="G20" s="6"/>
      <c r="H20" s="6"/>
      <c r="I20" s="6"/>
      <c r="J20" s="6"/>
    </row>
    <row r="21" spans="1:21" x14ac:dyDescent="0.25">
      <c r="A21" s="1">
        <v>0.09</v>
      </c>
      <c r="B21" s="1">
        <v>200</v>
      </c>
      <c r="D21" s="13"/>
      <c r="E21" s="6"/>
      <c r="F21" s="6"/>
      <c r="G21" s="6"/>
      <c r="H21" s="6"/>
      <c r="I21" s="6"/>
      <c r="J21" s="6"/>
    </row>
    <row r="22" spans="1:21" x14ac:dyDescent="0.25">
      <c r="A22" s="1">
        <v>0.09</v>
      </c>
      <c r="B22" s="1">
        <v>300</v>
      </c>
      <c r="D22" s="13"/>
      <c r="E22" s="6"/>
      <c r="F22" s="6"/>
      <c r="G22" s="6"/>
      <c r="H22" s="6"/>
      <c r="I22" s="6"/>
      <c r="J22" s="6"/>
    </row>
    <row r="23" spans="1:21" x14ac:dyDescent="0.25">
      <c r="A23" s="1">
        <v>6.5000000000000002E-2</v>
      </c>
      <c r="B23" s="1">
        <v>200</v>
      </c>
      <c r="D23" s="13"/>
      <c r="E23" s="6"/>
      <c r="F23" s="6"/>
      <c r="G23" s="6"/>
      <c r="H23" s="6"/>
      <c r="I23" s="6"/>
      <c r="J23" s="6"/>
    </row>
    <row r="24" spans="1:21" x14ac:dyDescent="0.25">
      <c r="A24" s="1">
        <v>6.5000000000000002E-2</v>
      </c>
      <c r="B24" s="1">
        <v>300</v>
      </c>
      <c r="D24" s="13"/>
      <c r="E24" s="6"/>
      <c r="F24" s="6"/>
      <c r="G24" s="6"/>
      <c r="H24" s="6"/>
      <c r="I24" s="6"/>
      <c r="J24" s="6"/>
    </row>
    <row r="25" spans="1:21" x14ac:dyDescent="0.25">
      <c r="A25" s="1" t="s">
        <v>185</v>
      </c>
      <c r="C25" s="1" t="s">
        <v>58</v>
      </c>
      <c r="D25" s="6"/>
      <c r="E25" s="6" t="s">
        <v>182</v>
      </c>
      <c r="F25" s="6"/>
      <c r="G25" s="6"/>
      <c r="H25" s="6"/>
      <c r="I25" s="6"/>
      <c r="J25" s="6"/>
      <c r="P25" s="1" t="s">
        <v>186</v>
      </c>
    </row>
    <row r="26" spans="1:21" x14ac:dyDescent="0.25">
      <c r="A26" s="1">
        <v>0.25</v>
      </c>
      <c r="B26" s="1">
        <v>200</v>
      </c>
      <c r="D26" s="6"/>
      <c r="E26" s="6">
        <f>+'c&amp;P calc'!E69*'c&amp;P calc'!E107*1000</f>
        <v>194.96984676920351</v>
      </c>
      <c r="F26" s="6">
        <f>+'c&amp;P calc'!F69*'c&amp;P calc'!F107*1000</f>
        <v>194.96984676920351</v>
      </c>
      <c r="G26" s="6">
        <f>+'c&amp;P calc'!G69*'c&amp;P calc'!G107*1000</f>
        <v>194.96984676920351</v>
      </c>
      <c r="H26" s="6">
        <f>+'c&amp;P calc'!H69*'c&amp;P calc'!H107*1000</f>
        <v>194.96984676920351</v>
      </c>
      <c r="I26" s="6">
        <f>+'c&amp;P calc'!I69*'c&amp;P calc'!I107*1000</f>
        <v>194.96984676920351</v>
      </c>
      <c r="J26" s="6"/>
      <c r="P26" s="6">
        <f t="shared" ref="P26:P35" si="0">+E26</f>
        <v>194.96984676920351</v>
      </c>
      <c r="Q26" s="6">
        <f t="shared" ref="Q26:Q35" si="1">+F26</f>
        <v>194.96984676920351</v>
      </c>
      <c r="R26" s="6">
        <f t="shared" ref="R26:R35" si="2">+G26</f>
        <v>194.96984676920351</v>
      </c>
      <c r="S26" s="6">
        <f t="shared" ref="S26:S35" si="3">+H26</f>
        <v>194.96984676920351</v>
      </c>
      <c r="T26" s="6">
        <f t="shared" ref="T26:T35" si="4">+I26</f>
        <v>194.96984676920351</v>
      </c>
      <c r="U26" s="6"/>
    </row>
    <row r="27" spans="1:21" x14ac:dyDescent="0.25">
      <c r="A27" s="1">
        <v>0.25</v>
      </c>
      <c r="B27" s="1">
        <v>300</v>
      </c>
      <c r="D27" s="6"/>
      <c r="E27" s="6">
        <f>+'c&amp;P calc'!E70*'c&amp;P calc'!E108*1000</f>
        <v>0</v>
      </c>
      <c r="F27" s="6">
        <f>+'c&amp;P calc'!F70*'c&amp;P calc'!F108*1000</f>
        <v>0</v>
      </c>
      <c r="G27" s="6">
        <f>+'c&amp;P calc'!G70*'c&amp;P calc'!G108*1000</f>
        <v>0</v>
      </c>
      <c r="H27" s="6">
        <f>+'c&amp;P calc'!H70*'c&amp;P calc'!H108*1000</f>
        <v>0</v>
      </c>
      <c r="I27" s="6">
        <f>+'c&amp;P calc'!I70*'c&amp;P calc'!I108*1000</f>
        <v>0</v>
      </c>
      <c r="J27" s="6"/>
      <c r="P27" s="6">
        <f t="shared" si="0"/>
        <v>0</v>
      </c>
      <c r="Q27" s="6">
        <f t="shared" si="1"/>
        <v>0</v>
      </c>
      <c r="R27" s="6">
        <f t="shared" si="2"/>
        <v>0</v>
      </c>
      <c r="S27" s="6">
        <f t="shared" si="3"/>
        <v>0</v>
      </c>
      <c r="T27" s="6">
        <f t="shared" si="4"/>
        <v>0</v>
      </c>
      <c r="U27" s="6"/>
    </row>
    <row r="28" spans="1:21" x14ac:dyDescent="0.25">
      <c r="A28" s="1">
        <v>0.18</v>
      </c>
      <c r="B28" s="1">
        <v>200</v>
      </c>
      <c r="D28" s="6"/>
      <c r="E28" s="6">
        <f>+'c&amp;P calc'!E71*'c&amp;P calc'!E109*1000</f>
        <v>211.16881719487404</v>
      </c>
      <c r="F28" s="6">
        <f>+'c&amp;P calc'!F71*'c&amp;P calc'!F109*1000</f>
        <v>211.97637703518845</v>
      </c>
      <c r="G28" s="6">
        <f>+'c&amp;P calc'!G71*'c&amp;P calc'!G109*1000</f>
        <v>211.97637703518845</v>
      </c>
      <c r="H28" s="6">
        <f>+'c&amp;P calc'!H71*'c&amp;P calc'!H109*1000</f>
        <v>211.97637703518845</v>
      </c>
      <c r="I28" s="6">
        <f>+'c&amp;P calc'!I71*'c&amp;P calc'!I109*1000</f>
        <v>211.97637703518845</v>
      </c>
      <c r="J28" s="6"/>
      <c r="P28" s="6">
        <f t="shared" si="0"/>
        <v>211.16881719487404</v>
      </c>
      <c r="Q28" s="6">
        <f t="shared" si="1"/>
        <v>211.97637703518845</v>
      </c>
      <c r="R28" s="6">
        <f t="shared" si="2"/>
        <v>211.97637703518845</v>
      </c>
      <c r="S28" s="6">
        <f t="shared" si="3"/>
        <v>211.97637703518845</v>
      </c>
      <c r="T28" s="6">
        <f t="shared" si="4"/>
        <v>211.97637703518845</v>
      </c>
      <c r="U28" s="6"/>
    </row>
    <row r="29" spans="1:21" x14ac:dyDescent="0.25">
      <c r="A29" s="1">
        <v>0.18</v>
      </c>
      <c r="B29" s="1">
        <v>300</v>
      </c>
      <c r="D29" s="6"/>
      <c r="E29" s="6">
        <f>+'c&amp;P calc'!E72*'c&amp;P calc'!E110*1000</f>
        <v>0</v>
      </c>
      <c r="F29" s="6">
        <f>+'c&amp;P calc'!F72*'c&amp;P calc'!F110*1000</f>
        <v>0</v>
      </c>
      <c r="G29" s="6">
        <f>+'c&amp;P calc'!G72*'c&amp;P calc'!G110*1000</f>
        <v>0</v>
      </c>
      <c r="H29" s="6">
        <f>+'c&amp;P calc'!H72*'c&amp;P calc'!H110*1000</f>
        <v>0</v>
      </c>
      <c r="I29" s="6">
        <f>+'c&amp;P calc'!I72*'c&amp;P calc'!I110*1000</f>
        <v>0</v>
      </c>
      <c r="J29" s="6"/>
      <c r="P29" s="6">
        <f t="shared" si="0"/>
        <v>0</v>
      </c>
      <c r="Q29" s="6">
        <f t="shared" si="1"/>
        <v>0</v>
      </c>
      <c r="R29" s="6">
        <f t="shared" si="2"/>
        <v>0</v>
      </c>
      <c r="S29" s="6">
        <f t="shared" si="3"/>
        <v>0</v>
      </c>
      <c r="T29" s="6">
        <f t="shared" si="4"/>
        <v>0</v>
      </c>
      <c r="U29" s="6"/>
    </row>
    <row r="30" spans="1:21" x14ac:dyDescent="0.25">
      <c r="A30" s="1">
        <v>0.13</v>
      </c>
      <c r="B30" s="1">
        <v>200</v>
      </c>
      <c r="D30" s="6"/>
      <c r="E30" s="6">
        <f>+'c&amp;P calc'!E73*'c&amp;P calc'!E111*1000</f>
        <v>221.92518286847866</v>
      </c>
      <c r="F30" s="6">
        <f>+'c&amp;P calc'!F73*'c&amp;P calc'!F111*1000</f>
        <v>224.9171502316992</v>
      </c>
      <c r="G30" s="6">
        <f>+'c&amp;P calc'!G73*'c&amp;P calc'!G111*1000</f>
        <v>224.43176786591505</v>
      </c>
      <c r="H30" s="6">
        <f>+'c&amp;P calc'!H73*'c&amp;P calc'!H111*1000</f>
        <v>224.43176786591505</v>
      </c>
      <c r="I30" s="6">
        <f>+'c&amp;P calc'!I73*'c&amp;P calc'!I111*1000</f>
        <v>224.43176786591505</v>
      </c>
      <c r="J30" s="6"/>
      <c r="P30" s="6">
        <f t="shared" si="0"/>
        <v>221.92518286847866</v>
      </c>
      <c r="Q30" s="6">
        <f t="shared" si="1"/>
        <v>224.9171502316992</v>
      </c>
      <c r="R30" s="6">
        <f t="shared" si="2"/>
        <v>224.43176786591505</v>
      </c>
      <c r="S30" s="6">
        <f t="shared" si="3"/>
        <v>224.43176786591505</v>
      </c>
      <c r="T30" s="6">
        <f t="shared" si="4"/>
        <v>224.43176786591505</v>
      </c>
      <c r="U30" s="6"/>
    </row>
    <row r="31" spans="1:21" x14ac:dyDescent="0.25">
      <c r="A31" s="1">
        <v>0.13</v>
      </c>
      <c r="B31" s="1">
        <v>300</v>
      </c>
      <c r="D31" s="6"/>
      <c r="E31" s="6">
        <f>+'c&amp;P calc'!E74*'c&amp;P calc'!E112*1000</f>
        <v>325.08112946052631</v>
      </c>
      <c r="F31" s="6">
        <f>+'c&amp;P calc'!F74*'c&amp;P calc'!F112*1000</f>
        <v>370.14883130075179</v>
      </c>
      <c r="G31" s="6">
        <f>+'c&amp;P calc'!G74*'c&amp;P calc'!G112*1000</f>
        <v>403.05540420713328</v>
      </c>
      <c r="H31" s="6">
        <f>+'c&amp;P calc'!H74*'c&amp;P calc'!H112*1000</f>
        <v>403.05540389001658</v>
      </c>
      <c r="I31" s="6">
        <f>+'c&amp;P calc'!I74*'c&amp;P calc'!I112*1000</f>
        <v>403.05540389001658</v>
      </c>
      <c r="J31" s="6"/>
      <c r="P31" s="6">
        <f t="shared" si="0"/>
        <v>325.08112946052631</v>
      </c>
      <c r="Q31" s="6">
        <f t="shared" si="1"/>
        <v>370.14883130075179</v>
      </c>
      <c r="R31" s="6">
        <f t="shared" si="2"/>
        <v>403.05540420713328</v>
      </c>
      <c r="S31" s="6">
        <f t="shared" si="3"/>
        <v>403.05540389001658</v>
      </c>
      <c r="T31" s="6">
        <f t="shared" si="4"/>
        <v>403.05540389001658</v>
      </c>
      <c r="U31" s="6"/>
    </row>
    <row r="32" spans="1:21" x14ac:dyDescent="0.25">
      <c r="A32" s="1">
        <v>0.09</v>
      </c>
      <c r="B32" s="1">
        <v>200</v>
      </c>
      <c r="D32" s="6"/>
      <c r="E32" s="6">
        <f>+'c&amp;P calc'!E75*'c&amp;P calc'!E113*1000</f>
        <v>0</v>
      </c>
      <c r="F32" s="6">
        <f>+'c&amp;P calc'!F75*'c&amp;P calc'!F113*1000</f>
        <v>232.8253013054829</v>
      </c>
      <c r="G32" s="6">
        <f>+'c&amp;P calc'!G75*'c&amp;P calc'!G113*1000</f>
        <v>252.51514731313051</v>
      </c>
      <c r="H32" s="6">
        <f>+'c&amp;P calc'!H75*'c&amp;P calc'!H113*1000</f>
        <v>254.07260121741871</v>
      </c>
      <c r="I32" s="6">
        <f>+'c&amp;P calc'!I75*'c&amp;P calc'!I113*1000</f>
        <v>253.63469399376021</v>
      </c>
      <c r="J32" s="6"/>
      <c r="P32" s="6">
        <f t="shared" si="0"/>
        <v>0</v>
      </c>
      <c r="Q32" s="6">
        <f t="shared" si="1"/>
        <v>232.8253013054829</v>
      </c>
      <c r="R32" s="6">
        <f t="shared" si="2"/>
        <v>252.51514731313051</v>
      </c>
      <c r="S32" s="6">
        <f t="shared" si="3"/>
        <v>254.07260121741871</v>
      </c>
      <c r="T32" s="6">
        <f t="shared" si="4"/>
        <v>253.63469399376021</v>
      </c>
      <c r="U32" s="6"/>
    </row>
    <row r="33" spans="1:21" x14ac:dyDescent="0.25">
      <c r="A33" s="1">
        <v>0.09</v>
      </c>
      <c r="B33" s="1">
        <v>300</v>
      </c>
      <c r="D33" s="6"/>
      <c r="E33" s="6">
        <f>+'c&amp;P calc'!E76*'c&amp;P calc'!E114*1000</f>
        <v>0</v>
      </c>
      <c r="F33" s="6">
        <f>+'c&amp;P calc'!F76*'c&amp;P calc'!F114*1000</f>
        <v>336.7013752507433</v>
      </c>
      <c r="G33" s="6">
        <f>+'c&amp;P calc'!G76*'c&amp;P calc'!G114*1000</f>
        <v>407.40624709250739</v>
      </c>
      <c r="H33" s="6">
        <f>+'c&amp;P calc'!H76*'c&amp;P calc'!H114*1000</f>
        <v>411.92231368919931</v>
      </c>
      <c r="I33" s="6">
        <f>+'c&amp;P calc'!I76*'c&amp;P calc'!I114*1000</f>
        <v>411.92231103570202</v>
      </c>
      <c r="J33" s="6"/>
      <c r="P33" s="6">
        <f t="shared" si="0"/>
        <v>0</v>
      </c>
      <c r="Q33" s="6">
        <f t="shared" si="1"/>
        <v>336.7013752507433</v>
      </c>
      <c r="R33" s="6">
        <f t="shared" si="2"/>
        <v>407.40624709250739</v>
      </c>
      <c r="S33" s="6">
        <f t="shared" si="3"/>
        <v>411.92231368919931</v>
      </c>
      <c r="T33" s="6">
        <f t="shared" si="4"/>
        <v>411.92231103570202</v>
      </c>
      <c r="U33" s="6"/>
    </row>
    <row r="34" spans="1:21" x14ac:dyDescent="0.25">
      <c r="A34" s="1">
        <v>6.5000000000000002E-2</v>
      </c>
      <c r="B34" s="1">
        <v>200</v>
      </c>
      <c r="D34" s="6"/>
      <c r="E34" s="6">
        <f>+'c&amp;P calc'!E77*'c&amp;P calc'!E115*1000</f>
        <v>0</v>
      </c>
      <c r="F34" s="6">
        <f>+'c&amp;P calc'!F77*'c&amp;P calc'!F115*1000</f>
        <v>0</v>
      </c>
      <c r="G34" s="6">
        <f>+'c&amp;P calc'!G77*'c&amp;P calc'!G115*1000</f>
        <v>0</v>
      </c>
      <c r="H34" s="6">
        <f>+'c&amp;P calc'!H77*'c&amp;P calc'!H115*1000</f>
        <v>0</v>
      </c>
      <c r="I34" s="6">
        <f>+'c&amp;P calc'!I77*'c&amp;P calc'!I115*1000</f>
        <v>0</v>
      </c>
      <c r="J34" s="6"/>
      <c r="P34" s="6">
        <f t="shared" si="0"/>
        <v>0</v>
      </c>
      <c r="Q34" s="6">
        <f t="shared" si="1"/>
        <v>0</v>
      </c>
      <c r="R34" s="6">
        <f t="shared" si="2"/>
        <v>0</v>
      </c>
      <c r="S34" s="6">
        <f t="shared" si="3"/>
        <v>0</v>
      </c>
      <c r="T34" s="6">
        <f t="shared" si="4"/>
        <v>0</v>
      </c>
      <c r="U34" s="6"/>
    </row>
    <row r="35" spans="1:21" x14ac:dyDescent="0.25">
      <c r="A35" s="1">
        <v>6.5000000000000002E-2</v>
      </c>
      <c r="B35" s="1">
        <v>300</v>
      </c>
      <c r="D35" s="6"/>
      <c r="E35" s="6">
        <f>+'c&amp;P calc'!E78*'c&amp;P calc'!E116*1000</f>
        <v>0</v>
      </c>
      <c r="F35" s="6">
        <f>+'c&amp;P calc'!F78*'c&amp;P calc'!F116*1000</f>
        <v>0</v>
      </c>
      <c r="G35" s="6">
        <f>+'c&amp;P calc'!G78*'c&amp;P calc'!G116*1000</f>
        <v>0</v>
      </c>
      <c r="H35" s="6">
        <f>+'c&amp;P calc'!H78*'c&amp;P calc'!H116*1000</f>
        <v>0</v>
      </c>
      <c r="I35" s="6">
        <f>+'c&amp;P calc'!I78*'c&amp;P calc'!I116*1000</f>
        <v>436.40779849050085</v>
      </c>
      <c r="J35" s="6"/>
      <c r="P35" s="6">
        <f t="shared" si="0"/>
        <v>0</v>
      </c>
      <c r="Q35" s="6">
        <f t="shared" si="1"/>
        <v>0</v>
      </c>
      <c r="R35" s="6">
        <f t="shared" si="2"/>
        <v>0</v>
      </c>
      <c r="S35" s="6">
        <f t="shared" si="3"/>
        <v>0</v>
      </c>
      <c r="T35" s="6">
        <f t="shared" si="4"/>
        <v>436.40779849050085</v>
      </c>
      <c r="U35" s="6"/>
    </row>
    <row r="36" spans="1:21" x14ac:dyDescent="0.25">
      <c r="A36" s="1" t="s">
        <v>61</v>
      </c>
      <c r="D36" s="6"/>
      <c r="E36" s="6" t="s">
        <v>183</v>
      </c>
      <c r="F36" s="6"/>
      <c r="G36" s="6"/>
      <c r="H36" s="6"/>
      <c r="I36" s="6"/>
      <c r="J36" s="6"/>
      <c r="O36" s="1" t="s">
        <v>187</v>
      </c>
    </row>
    <row r="37" spans="1:21" x14ac:dyDescent="0.25">
      <c r="A37" s="1">
        <v>0.25</v>
      </c>
      <c r="B37" s="1">
        <v>200</v>
      </c>
      <c r="D37" s="6"/>
      <c r="E37" s="6">
        <f>+'c&amp;P calc'!E143*'c&amp;P calc'!E107*1000</f>
        <v>129.49058013218678</v>
      </c>
      <c r="F37" s="6">
        <f>+'c&amp;P calc'!F143*'c&amp;P calc'!F107*1000</f>
        <v>117.14275510497363</v>
      </c>
      <c r="G37" s="6">
        <f>+'c&amp;P calc'!G143*'c&amp;P calc'!G107*1000</f>
        <v>107.20541023150699</v>
      </c>
      <c r="H37" s="6">
        <f>+'c&amp;P calc'!H143*'c&amp;P calc'!H107*1000</f>
        <v>60.796109191313327</v>
      </c>
      <c r="I37" s="6">
        <f>+'c&amp;P calc'!I143*'c&amp;P calc'!I107*1000</f>
        <v>50.885027959985187</v>
      </c>
      <c r="J37" s="6"/>
      <c r="O37" s="6">
        <f>+($N$2*'c&amp;P calc'!D$31+'c&amp;P calc'!D107*'LEM Demand Calibration'!D50)*1000*'c&amp;P calc'!D132-($N$2*'c&amp;P calc'!D$31*1000*'c&amp;P calc'!D$50)</f>
        <v>0</v>
      </c>
      <c r="P37" s="6">
        <f>+($N$2*'c&amp;P calc'!E$31+'c&amp;P calc'!E107*'LEM Demand Calibration'!E50)*1000*'c&amp;P calc'!E132-($N$2*'c&amp;P calc'!E$31*1000*'c&amp;P calc'!E$50)</f>
        <v>121.38595255259543</v>
      </c>
      <c r="Q37" s="6">
        <f>+($N$2*'c&amp;P calc'!F$31+'c&amp;P calc'!F107*'LEM Demand Calibration'!F50)*1000*'c&amp;P calc'!F132-($N$2*'c&amp;P calc'!F$31*1000*'c&amp;P calc'!F$50)</f>
        <v>112.41356561893235</v>
      </c>
      <c r="R37" s="6">
        <f>+($N$2*'c&amp;P calc'!G$31+'c&amp;P calc'!G107*'LEM Demand Calibration'!G50)*1000*'c&amp;P calc'!G132-($N$2*'c&amp;P calc'!G$31*1000*'c&amp;P calc'!G$50)</f>
        <v>104.6022030242757</v>
      </c>
      <c r="S37" s="6">
        <f>+($N$2*'c&amp;P calc'!H$31+'c&amp;P calc'!H107*'LEM Demand Calibration'!H50)*1000*'c&amp;P calc'!H132-($N$2*'c&amp;P calc'!H$31*1000*'c&amp;P calc'!H$50)</f>
        <v>59.96113318680159</v>
      </c>
      <c r="T37" s="6">
        <f>+($N$2*'c&amp;P calc'!I$31+'c&amp;P calc'!I107*'LEM Demand Calibration'!I50)*1000*'c&amp;P calc'!I132-($N$2*'c&amp;P calc'!I$31*1000*'c&amp;P calc'!I$50)</f>
        <v>50.471336648489796</v>
      </c>
    </row>
    <row r="38" spans="1:21" x14ac:dyDescent="0.25">
      <c r="A38" s="1">
        <v>0.25</v>
      </c>
      <c r="B38" s="1">
        <v>300</v>
      </c>
      <c r="D38" s="6"/>
      <c r="E38" s="6">
        <f>+'c&amp;P calc'!E144*'c&amp;P calc'!E108*1000</f>
        <v>0</v>
      </c>
      <c r="F38" s="6">
        <f>+'c&amp;P calc'!F144*'c&amp;P calc'!F108*1000</f>
        <v>0</v>
      </c>
      <c r="G38" s="6">
        <f>+'c&amp;P calc'!G144*'c&amp;P calc'!G108*1000</f>
        <v>0</v>
      </c>
      <c r="H38" s="6">
        <f>+'c&amp;P calc'!H144*'c&amp;P calc'!H108*1000</f>
        <v>0</v>
      </c>
      <c r="I38" s="6">
        <f>+'c&amp;P calc'!I144*'c&amp;P calc'!I108*1000</f>
        <v>0</v>
      </c>
      <c r="J38" s="6"/>
      <c r="O38" s="6"/>
      <c r="P38" s="6"/>
      <c r="Q38" s="6"/>
      <c r="R38" s="6"/>
      <c r="S38" s="6"/>
      <c r="T38" s="6"/>
    </row>
    <row r="39" spans="1:21" x14ac:dyDescent="0.25">
      <c r="A39" s="1">
        <v>0.18</v>
      </c>
      <c r="B39" s="1">
        <v>200</v>
      </c>
      <c r="D39" s="6"/>
      <c r="E39" s="6">
        <f>+'c&amp;P calc'!E145*'c&amp;P calc'!E109*1000</f>
        <v>281.80386354896342</v>
      </c>
      <c r="F39" s="6">
        <f>+'c&amp;P calc'!F145*'c&amp;P calc'!F109*1000</f>
        <v>258.01931148778675</v>
      </c>
      <c r="G39" s="6">
        <f>+'c&amp;P calc'!G145*'c&amp;P calc'!G109*1000</f>
        <v>236.2958299739785</v>
      </c>
      <c r="H39" s="6">
        <f>+'c&amp;P calc'!H145*'c&amp;P calc'!H109*1000</f>
        <v>134.05455080218297</v>
      </c>
      <c r="I39" s="6">
        <f>+'c&amp;P calc'!I145*'c&amp;P calc'!I109*1000</f>
        <v>112.22359646437495</v>
      </c>
      <c r="J39" s="6"/>
      <c r="O39" s="6">
        <f>+($N$2*'c&amp;P calc'!D$31+'c&amp;P calc'!D109*'LEM Demand Calibration'!D52)*1000*'c&amp;P calc'!D134-($N$2*'c&amp;P calc'!D$31*1000*'c&amp;P calc'!D$50)</f>
        <v>0</v>
      </c>
      <c r="P39" s="6">
        <f>+($N$2*'c&amp;P calc'!E$31+'c&amp;P calc'!E109*'LEM Demand Calibration'!E52)*1000*'c&amp;P calc'!E134-($N$2*'c&amp;P calc'!E$31*1000*'c&amp;P calc'!E$50)</f>
        <v>264.11300277760483</v>
      </c>
      <c r="Q39" s="6">
        <f>+($N$2*'c&amp;P calc'!F$31+'c&amp;P calc'!F109*'LEM Demand Calibration'!F52)*1000*'c&amp;P calc'!F134-($N$2*'c&amp;P calc'!F$31*1000*'c&amp;P calc'!F$50)</f>
        <v>247.58631464624932</v>
      </c>
      <c r="R39" s="6">
        <f>+($N$2*'c&amp;P calc'!G$31+'c&amp;P calc'!G109*'LEM Demand Calibration'!G52)*1000*'c&amp;P calc'!G134-($N$2*'c&amp;P calc'!G$31*1000*'c&amp;P calc'!G$50)</f>
        <v>230.55293203109113</v>
      </c>
      <c r="S39" s="6">
        <f>+($N$2*'c&amp;P calc'!H$31+'c&amp;P calc'!H109*'LEM Demand Calibration'!H52)*1000*'c&amp;P calc'!H134-($N$2*'c&amp;P calc'!H$31*1000*'c&amp;P calc'!H$50)</f>
        <v>132.21252225933472</v>
      </c>
      <c r="T39" s="6">
        <f>+($N$2*'c&amp;P calc'!I$31+'c&amp;P calc'!I109*'LEM Demand Calibration'!I52)*1000*'c&amp;P calc'!I134-($N$2*'c&amp;P calc'!I$31*1000*'c&amp;P calc'!I$50)</f>
        <v>111.3109580177786</v>
      </c>
    </row>
    <row r="40" spans="1:21" x14ac:dyDescent="0.25">
      <c r="A40" s="1">
        <v>0.18</v>
      </c>
      <c r="B40" s="1">
        <v>300</v>
      </c>
      <c r="D40" s="6"/>
      <c r="E40" s="6">
        <f>+'c&amp;P calc'!E146*'c&amp;P calc'!E110*1000</f>
        <v>0</v>
      </c>
      <c r="F40" s="6">
        <f>+'c&amp;P calc'!F146*'c&amp;P calc'!F110*1000</f>
        <v>0</v>
      </c>
      <c r="G40" s="6">
        <f>+'c&amp;P calc'!G146*'c&amp;P calc'!G110*1000</f>
        <v>0</v>
      </c>
      <c r="H40" s="6">
        <f>+'c&amp;P calc'!H146*'c&amp;P calc'!H110*1000</f>
        <v>0</v>
      </c>
      <c r="I40" s="6">
        <f>+'c&amp;P calc'!I146*'c&amp;P calc'!I110*1000</f>
        <v>0</v>
      </c>
      <c r="J40" s="6"/>
      <c r="O40" s="6"/>
      <c r="P40" s="6"/>
      <c r="Q40" s="6"/>
      <c r="R40" s="6"/>
      <c r="S40" s="6"/>
      <c r="T40" s="6"/>
    </row>
    <row r="41" spans="1:21" x14ac:dyDescent="0.25">
      <c r="A41" s="1">
        <v>0.13</v>
      </c>
      <c r="B41" s="1">
        <v>200</v>
      </c>
      <c r="D41" s="6"/>
      <c r="E41" s="6">
        <f>+'c&amp;P calc'!E147*'c&amp;P calc'!E111*1000</f>
        <v>576.18320889491099</v>
      </c>
      <c r="F41" s="6">
        <f>+'c&amp;P calc'!F147*'c&amp;P calc'!F111*1000</f>
        <v>562.27031623759183</v>
      </c>
      <c r="G41" s="6">
        <f>+'c&amp;P calc'!G147*'c&amp;P calc'!G111*1000</f>
        <v>512.55017147426577</v>
      </c>
      <c r="H41" s="6">
        <f>+'c&amp;P calc'!H147*'c&amp;P calc'!H111*1000</f>
        <v>291.01796420583992</v>
      </c>
      <c r="I41" s="6">
        <f>+'c&amp;P calc'!I147*'c&amp;P calc'!I111*1000</f>
        <v>243.73187956766972</v>
      </c>
      <c r="J41" s="6"/>
      <c r="O41" s="6">
        <f>+($N$2*'c&amp;P calc'!D$31+'c&amp;P calc'!D111*'LEM Demand Calibration'!D54)*1000*'c&amp;P calc'!D136-($N$2*'c&amp;P calc'!D$31*1000*'c&amp;P calc'!D$50)</f>
        <v>0</v>
      </c>
      <c r="P41" s="6">
        <f>+($N$2*'c&amp;P calc'!E$31+'c&amp;P calc'!E111*'LEM Demand Calibration'!E54)*1000*'c&amp;P calc'!E136-($N$2*'c&amp;P calc'!E$31*1000*'c&amp;P calc'!E$50)</f>
        <v>557.78910032186968</v>
      </c>
      <c r="Q41" s="6">
        <f>+($N$2*'c&amp;P calc'!F$31+'c&amp;P calc'!F111*'LEM Demand Calibration'!F54)*1000*'c&amp;P calc'!F136-($N$2*'c&amp;P calc'!F$31*1000*'c&amp;P calc'!F$50)</f>
        <v>539.45671368735429</v>
      </c>
      <c r="R41" s="6">
        <f>+($N$2*'c&amp;P calc'!G$31+'c&amp;P calc'!G111*'LEM Demand Calibration'!G54)*1000*'c&amp;P calc'!G136-($N$2*'c&amp;P calc'!G$31*1000*'c&amp;P calc'!G$50)</f>
        <v>500.06959963121517</v>
      </c>
      <c r="S41" s="6">
        <f>+($N$2*'c&amp;P calc'!H$31+'c&amp;P calc'!H111*'LEM Demand Calibration'!H54)*1000*'c&amp;P calc'!H136-($N$2*'c&amp;P calc'!H$31*1000*'c&amp;P calc'!H$50)</f>
        <v>287.01483376636656</v>
      </c>
      <c r="T41" s="6">
        <f>+($N$2*'c&amp;P calc'!I$31+'c&amp;P calc'!I111*'LEM Demand Calibration'!I54)*1000*'c&amp;P calc'!I136-($N$2*'c&amp;P calc'!I$31*1000*'c&amp;P calc'!I$50)</f>
        <v>241.74851684509485</v>
      </c>
    </row>
    <row r="42" spans="1:21" x14ac:dyDescent="0.25">
      <c r="A42" s="1">
        <v>0.13</v>
      </c>
      <c r="B42" s="1">
        <v>300</v>
      </c>
      <c r="D42" s="6"/>
      <c r="E42" s="6">
        <f>+'c&amp;P calc'!E148*'c&amp;P calc'!E112*1000</f>
        <v>794.9789876944958</v>
      </c>
      <c r="F42" s="6">
        <f>+'c&amp;P calc'!F148*'c&amp;P calc'!F112*1000</f>
        <v>1064.9880140919256</v>
      </c>
      <c r="G42" s="6">
        <f>+'c&amp;P calc'!G148*'c&amp;P calc'!G112*1000</f>
        <v>1192.0452095143123</v>
      </c>
      <c r="H42" s="6">
        <f>+'c&amp;P calc'!H148*'c&amp;P calc'!H112*1000</f>
        <v>678.21427571381935</v>
      </c>
      <c r="I42" s="6">
        <f>+'c&amp;P calc'!I148*'c&amp;P calc'!I112*1000</f>
        <v>568.63175117760829</v>
      </c>
      <c r="J42" s="6"/>
      <c r="O42" s="6">
        <f>+($N$2*'c&amp;P calc'!D$31+'c&amp;P calc'!D112*'LEM Demand Calibration'!D55)*1000*'c&amp;P calc'!D137-($N$2*'c&amp;P calc'!D$31*1000*'c&amp;P calc'!D$50)</f>
        <v>0</v>
      </c>
      <c r="P42" s="6">
        <f>+($N$2*'c&amp;P calc'!E$31+'c&amp;P calc'!E112*'LEM Demand Calibration'!E55)*1000*'c&amp;P calc'!E137-($N$2*'c&amp;P calc'!E$31*1000*'c&amp;P calc'!E$50)</f>
        <v>769.36044786442426</v>
      </c>
      <c r="Q42" s="6">
        <f>+($N$2*'c&amp;P calc'!F$31+'c&amp;P calc'!F112*'LEM Demand Calibration'!F55)*1000*'c&amp;P calc'!F137-($N$2*'c&amp;P calc'!F$31*1000*'c&amp;P calc'!F$50)</f>
        <v>1021.5277062369018</v>
      </c>
      <c r="R42" s="6">
        <f>+($N$2*'c&amp;P calc'!G$31+'c&amp;P calc'!G112*'LEM Demand Calibration'!G55)*1000*'c&amp;P calc'!G137-($N$2*'c&amp;P calc'!G$31*1000*'c&amp;P calc'!G$50)</f>
        <v>1162.8819888261014</v>
      </c>
      <c r="S42" s="6">
        <f>+($N$2*'c&amp;P calc'!H$31+'c&amp;P calc'!H112*'LEM Demand Calibration'!H55)*1000*'c&amp;P calc'!H137-($N$2*'c&amp;P calc'!H$31*1000*'c&amp;P calc'!H$50)</f>
        <v>668.86020302259863</v>
      </c>
      <c r="T42" s="6">
        <f>+($N$2*'c&amp;P calc'!I$31+'c&amp;P calc'!I112*'LEM Demand Calibration'!I55)*1000*'c&amp;P calc'!I137-($N$2*'c&amp;P calc'!I$31*1000*'c&amp;P calc'!I$50)</f>
        <v>563.99724841519878</v>
      </c>
    </row>
    <row r="43" spans="1:21" x14ac:dyDescent="0.25">
      <c r="A43" s="1">
        <v>0.09</v>
      </c>
      <c r="B43" s="1">
        <v>200</v>
      </c>
      <c r="D43" s="6"/>
      <c r="E43" s="6">
        <f>+'c&amp;P calc'!E149*'c&amp;P calc'!E113*1000</f>
        <v>0</v>
      </c>
      <c r="F43" s="6">
        <f>+'c&amp;P calc'!F149*'c&amp;P calc'!F113*1000</f>
        <v>773.34511882705772</v>
      </c>
      <c r="G43" s="6">
        <f>+'c&amp;P calc'!G149*'c&amp;P calc'!G113*1000</f>
        <v>965.7277830763253</v>
      </c>
      <c r="H43" s="6">
        <f>+'c&amp;P calc'!H149*'c&amp;P calc'!H113*1000</f>
        <v>578.24055810978257</v>
      </c>
      <c r="I43" s="6">
        <f>+'c&amp;P calc'!I149*'c&amp;P calc'!I113*1000</f>
        <v>482.12643821924325</v>
      </c>
      <c r="J43" s="6"/>
      <c r="O43" s="6"/>
      <c r="P43" s="6"/>
      <c r="Q43" s="6"/>
      <c r="R43" s="6"/>
      <c r="S43" s="6"/>
      <c r="T43" s="6"/>
    </row>
    <row r="44" spans="1:21" x14ac:dyDescent="0.25">
      <c r="A44" s="1">
        <v>0.09</v>
      </c>
      <c r="B44" s="1">
        <v>300</v>
      </c>
      <c r="D44" s="6"/>
      <c r="E44" s="6">
        <f>+'c&amp;P calc'!E150*'c&amp;P calc'!E114*1000</f>
        <v>0</v>
      </c>
      <c r="F44" s="6">
        <f>+'c&amp;P calc'!F150*'c&amp;P calc'!F114*1000</f>
        <v>1113.6191719453809</v>
      </c>
      <c r="G44" s="6">
        <f>+'c&amp;P calc'!G150*'c&amp;P calc'!G114*1000</f>
        <v>1883.9833797356805</v>
      </c>
      <c r="H44" s="6">
        <f>+'c&amp;P calc'!H150*'c&amp;P calc'!H114*1000</f>
        <v>1141.2856451764158</v>
      </c>
      <c r="I44" s="6">
        <f>+'c&amp;P calc'!I150*'c&amp;P calc'!I114*1000</f>
        <v>958.13912269655782</v>
      </c>
      <c r="J44" s="6"/>
      <c r="O44" s="6"/>
      <c r="P44" s="6"/>
      <c r="Q44" s="6"/>
      <c r="R44" s="6"/>
      <c r="S44" s="6"/>
      <c r="T44" s="6"/>
    </row>
    <row r="45" spans="1:21" x14ac:dyDescent="0.25">
      <c r="A45" s="1">
        <v>6.5000000000000002E-2</v>
      </c>
      <c r="B45" s="1">
        <v>200</v>
      </c>
      <c r="D45" s="6"/>
      <c r="E45" s="6">
        <f>+'c&amp;P calc'!E151*'c&amp;P calc'!E115*1000</f>
        <v>0</v>
      </c>
      <c r="F45" s="6">
        <f>+'c&amp;P calc'!F151*'c&amp;P calc'!F115*1000</f>
        <v>0</v>
      </c>
      <c r="G45" s="6">
        <f>+'c&amp;P calc'!G151*'c&amp;P calc'!G115*1000</f>
        <v>0</v>
      </c>
      <c r="H45" s="6">
        <f>+'c&amp;P calc'!H151*'c&amp;P calc'!H115*1000</f>
        <v>0</v>
      </c>
      <c r="I45" s="6">
        <f>+'c&amp;P calc'!I151*'c&amp;P calc'!I115*1000</f>
        <v>0</v>
      </c>
      <c r="J45" s="6"/>
      <c r="O45" s="6"/>
      <c r="P45" s="6"/>
      <c r="Q45" s="6"/>
      <c r="R45" s="6"/>
      <c r="S45" s="6"/>
      <c r="T45" s="6"/>
    </row>
    <row r="46" spans="1:21" x14ac:dyDescent="0.25">
      <c r="A46" s="1">
        <v>6.5000000000000002E-2</v>
      </c>
      <c r="B46" s="1">
        <v>300</v>
      </c>
      <c r="D46" s="6"/>
      <c r="E46" s="6">
        <f>+'c&amp;P calc'!E152*'c&amp;P calc'!E116*1000</f>
        <v>0</v>
      </c>
      <c r="F46" s="6">
        <f>+'c&amp;P calc'!F152*'c&amp;P calc'!F116*1000</f>
        <v>0</v>
      </c>
      <c r="G46" s="6">
        <f>+'c&amp;P calc'!G152*'c&amp;P calc'!G116*1000</f>
        <v>0</v>
      </c>
      <c r="H46" s="6">
        <f>+'c&amp;P calc'!H152*'c&amp;P calc'!H116*1000</f>
        <v>0</v>
      </c>
      <c r="I46" s="6">
        <f>+'c&amp;P calc'!I152*'c&amp;P calc'!I116*1000</f>
        <v>1689.2521204871678</v>
      </c>
      <c r="J46" s="6"/>
      <c r="O46" s="6"/>
      <c r="P46" s="6"/>
      <c r="Q46" s="6"/>
      <c r="R46" s="6"/>
      <c r="S46" s="6"/>
      <c r="T46" s="6"/>
    </row>
    <row r="47" spans="1:21" x14ac:dyDescent="0.25">
      <c r="A47" s="1" t="s">
        <v>62</v>
      </c>
      <c r="D47" s="6" t="s">
        <v>176</v>
      </c>
      <c r="E47" s="6" t="s">
        <v>184</v>
      </c>
      <c r="F47" s="6"/>
      <c r="G47" s="6"/>
      <c r="H47" s="6"/>
      <c r="I47" s="6"/>
      <c r="J47" s="6"/>
    </row>
    <row r="48" spans="1:21" x14ac:dyDescent="0.25">
      <c r="A48" s="1">
        <v>0.25</v>
      </c>
      <c r="B48" s="1">
        <v>200</v>
      </c>
      <c r="D48" s="6">
        <f>-D4-D15</f>
        <v>-733.4255391400518</v>
      </c>
      <c r="E48" s="6">
        <f>+E37-E26</f>
        <v>-65.479266637016735</v>
      </c>
      <c r="F48" s="6">
        <f>+F37-F26</f>
        <v>-77.827091664229883</v>
      </c>
      <c r="G48" s="6">
        <f>+G37-G26</f>
        <v>-87.764436537696525</v>
      </c>
      <c r="H48" s="6">
        <f>+H37-H26</f>
        <v>-134.17373757789019</v>
      </c>
      <c r="I48" s="6">
        <f>+I37-I26</f>
        <v>-144.08481880921832</v>
      </c>
      <c r="J48" s="6"/>
      <c r="O48" s="6">
        <f>+D48</f>
        <v>-733.4255391400518</v>
      </c>
      <c r="P48" s="6">
        <f>+P37-P26</f>
        <v>-73.583894216608087</v>
      </c>
      <c r="Q48" s="6">
        <f>+Q37-Q26</f>
        <v>-82.556281150271161</v>
      </c>
      <c r="R48" s="6">
        <f>+R37-R26</f>
        <v>-90.367643744927818</v>
      </c>
      <c r="S48" s="6">
        <f>+S37-S26</f>
        <v>-135.00871358240192</v>
      </c>
      <c r="T48" s="6">
        <f>+T37-T26</f>
        <v>-144.49851012071372</v>
      </c>
    </row>
    <row r="49" spans="1:20" x14ac:dyDescent="0.25">
      <c r="A49" s="1">
        <v>0.25</v>
      </c>
      <c r="B49" s="1">
        <v>300</v>
      </c>
      <c r="D49" s="6"/>
      <c r="E49" s="6"/>
      <c r="F49" s="6"/>
      <c r="G49" s="6"/>
      <c r="H49" s="6"/>
      <c r="I49" s="6"/>
      <c r="J49" s="6"/>
    </row>
    <row r="50" spans="1:20" x14ac:dyDescent="0.25">
      <c r="A50" s="1">
        <v>0.18</v>
      </c>
      <c r="B50" s="1">
        <v>200</v>
      </c>
      <c r="D50" s="6">
        <f>-D6-D17</f>
        <v>-855.67629069501004</v>
      </c>
      <c r="E50" s="6">
        <f>+E39-E28</f>
        <v>70.635046354089383</v>
      </c>
      <c r="F50" s="6">
        <f>+F39-F28</f>
        <v>46.042934452598303</v>
      </c>
      <c r="G50" s="6">
        <f>+G39-G28</f>
        <v>24.31945293879005</v>
      </c>
      <c r="H50" s="6">
        <f>+H39-H28</f>
        <v>-77.921826233005476</v>
      </c>
      <c r="I50" s="6">
        <f>+I39-I28</f>
        <v>-99.752780570813499</v>
      </c>
      <c r="J50" s="6"/>
      <c r="O50" s="6">
        <f>+D50</f>
        <v>-855.67629069501004</v>
      </c>
      <c r="P50" s="6">
        <f>+P39-P28</f>
        <v>52.944185582730796</v>
      </c>
      <c r="Q50" s="6">
        <f>+Q39-Q28</f>
        <v>35.609937611060872</v>
      </c>
      <c r="R50" s="6">
        <f>+R39-R28</f>
        <v>18.576554995902683</v>
      </c>
      <c r="S50" s="6">
        <f>+S39-S28</f>
        <v>-79.76385477585373</v>
      </c>
      <c r="T50" s="6">
        <f>+T39-T28</f>
        <v>-100.66541901740985</v>
      </c>
    </row>
    <row r="51" spans="1:20" x14ac:dyDescent="0.25">
      <c r="A51" s="1">
        <v>0.18</v>
      </c>
      <c r="B51" s="1">
        <v>300</v>
      </c>
      <c r="D51" s="6"/>
      <c r="E51" s="6"/>
      <c r="F51" s="6"/>
      <c r="G51" s="6"/>
      <c r="H51" s="6"/>
      <c r="I51" s="6"/>
      <c r="J51" s="6"/>
    </row>
    <row r="52" spans="1:20" x14ac:dyDescent="0.25">
      <c r="A52" s="1">
        <v>0.13</v>
      </c>
      <c r="B52" s="1">
        <v>200</v>
      </c>
      <c r="D52" s="6">
        <f>-D8-D19</f>
        <v>-944.00290355042466</v>
      </c>
      <c r="E52" s="6">
        <f t="shared" ref="E52:I53" si="5">+E41-E30</f>
        <v>354.25802602643233</v>
      </c>
      <c r="F52" s="6">
        <f t="shared" si="5"/>
        <v>337.3531660058926</v>
      </c>
      <c r="G52" s="6">
        <f t="shared" si="5"/>
        <v>288.11840360835072</v>
      </c>
      <c r="H52" s="6">
        <f t="shared" si="5"/>
        <v>66.586196339924868</v>
      </c>
      <c r="I52" s="6">
        <f t="shared" si="5"/>
        <v>19.300111701754673</v>
      </c>
      <c r="J52" s="6"/>
      <c r="O52" s="6">
        <f>+D52</f>
        <v>-944.00290355042466</v>
      </c>
      <c r="P52" s="6">
        <f t="shared" ref="P52:T53" si="6">+P41-P30</f>
        <v>335.86391745339102</v>
      </c>
      <c r="Q52" s="6">
        <f t="shared" si="6"/>
        <v>314.53956345565507</v>
      </c>
      <c r="R52" s="6">
        <f t="shared" si="6"/>
        <v>275.63783176530012</v>
      </c>
      <c r="S52" s="6">
        <f t="shared" si="6"/>
        <v>62.583065900451516</v>
      </c>
      <c r="T52" s="6">
        <f t="shared" si="6"/>
        <v>17.316748979179806</v>
      </c>
    </row>
    <row r="53" spans="1:20" x14ac:dyDescent="0.25">
      <c r="A53" s="1">
        <v>0.13</v>
      </c>
      <c r="B53" s="1">
        <v>300</v>
      </c>
      <c r="D53" s="6">
        <f>-D9-D20</f>
        <v>-1282.7240996868363</v>
      </c>
      <c r="E53" s="6">
        <f t="shared" si="5"/>
        <v>469.89785823396949</v>
      </c>
      <c r="F53" s="6">
        <f t="shared" si="5"/>
        <v>694.83918279117381</v>
      </c>
      <c r="G53" s="6">
        <f t="shared" si="5"/>
        <v>788.98980530717904</v>
      </c>
      <c r="H53" s="6">
        <f t="shared" si="5"/>
        <v>275.15887182380277</v>
      </c>
      <c r="I53" s="6">
        <f t="shared" si="5"/>
        <v>165.57634728759172</v>
      </c>
      <c r="J53" s="6"/>
      <c r="O53" s="6">
        <f>+D53</f>
        <v>-1282.7240996868363</v>
      </c>
      <c r="P53" s="6">
        <f t="shared" si="6"/>
        <v>444.27931840389795</v>
      </c>
      <c r="Q53" s="6">
        <f t="shared" si="6"/>
        <v>651.37887493615005</v>
      </c>
      <c r="R53" s="6">
        <f t="shared" si="6"/>
        <v>759.82658461896813</v>
      </c>
      <c r="S53" s="6">
        <f t="shared" si="6"/>
        <v>265.80479913258205</v>
      </c>
      <c r="T53" s="6">
        <f t="shared" si="6"/>
        <v>160.9418445251822</v>
      </c>
    </row>
    <row r="54" spans="1:20" x14ac:dyDescent="0.25">
      <c r="A54" s="1">
        <v>0.09</v>
      </c>
      <c r="B54" s="1">
        <v>200</v>
      </c>
      <c r="D54" s="6"/>
      <c r="E54" s="6"/>
      <c r="F54" s="6"/>
      <c r="G54" s="6"/>
      <c r="H54" s="6"/>
      <c r="I54" s="6"/>
      <c r="J54" s="6"/>
    </row>
    <row r="55" spans="1:20" x14ac:dyDescent="0.25">
      <c r="A55" s="1">
        <v>0.09</v>
      </c>
      <c r="B55" s="1">
        <v>300</v>
      </c>
      <c r="D55" s="6"/>
      <c r="E55" s="6"/>
      <c r="F55" s="6"/>
      <c r="G55" s="6"/>
      <c r="H55" s="6"/>
      <c r="I55" s="6"/>
      <c r="J55" s="6"/>
    </row>
    <row r="56" spans="1:20" x14ac:dyDescent="0.25">
      <c r="A56" s="1">
        <v>6.5000000000000002E-2</v>
      </c>
      <c r="B56" s="1">
        <v>200</v>
      </c>
      <c r="D56" s="6"/>
      <c r="E56" s="6"/>
      <c r="F56" s="6"/>
      <c r="G56" s="6"/>
      <c r="H56" s="6"/>
      <c r="I56" s="6"/>
      <c r="J56" s="6"/>
    </row>
    <row r="57" spans="1:20" x14ac:dyDescent="0.25">
      <c r="A57" s="1">
        <v>6.5000000000000002E-2</v>
      </c>
      <c r="B57" s="1">
        <v>300</v>
      </c>
      <c r="D57" s="6"/>
      <c r="E57" s="6"/>
      <c r="F57" s="6"/>
      <c r="G57" s="6"/>
      <c r="H57" s="6"/>
      <c r="I57" s="6"/>
      <c r="J57" s="6"/>
    </row>
    <row r="58" spans="1:20" x14ac:dyDescent="0.25">
      <c r="D58" s="6"/>
      <c r="E58" s="6"/>
      <c r="F58" s="6"/>
      <c r="G58" s="6"/>
      <c r="H58" s="6"/>
      <c r="I58" s="6"/>
      <c r="J58" s="6"/>
    </row>
    <row r="59" spans="1:20" x14ac:dyDescent="0.25">
      <c r="D59" s="6"/>
      <c r="E59" s="6"/>
      <c r="F59" s="6"/>
      <c r="G59" s="6"/>
      <c r="H59" s="6"/>
      <c r="I59" s="6"/>
      <c r="J59" s="6"/>
    </row>
    <row r="60" spans="1:20" x14ac:dyDescent="0.25">
      <c r="A60" s="11" t="s">
        <v>6</v>
      </c>
      <c r="B60" s="11"/>
      <c r="C60" s="11"/>
      <c r="D60" s="6"/>
      <c r="E60" s="6"/>
      <c r="F60" s="6"/>
      <c r="G60" s="6"/>
      <c r="H60" s="6"/>
      <c r="I60" s="6"/>
      <c r="J60" s="6"/>
      <c r="L60" s="11" t="s">
        <v>6</v>
      </c>
      <c r="M60" s="11"/>
      <c r="N60" s="11"/>
    </row>
    <row r="61" spans="1:20" x14ac:dyDescent="0.25">
      <c r="A61" s="11">
        <v>0.25</v>
      </c>
      <c r="B61" s="11">
        <v>200</v>
      </c>
      <c r="C61" s="12" t="e">
        <f>+IRR(D48:I48,0.01)</f>
        <v>#NUM!</v>
      </c>
      <c r="D61" s="6"/>
      <c r="E61" s="6"/>
      <c r="F61" s="6"/>
      <c r="G61" s="6"/>
      <c r="H61" s="6"/>
      <c r="I61" s="6"/>
      <c r="J61" s="6"/>
      <c r="L61" s="11">
        <v>0.25</v>
      </c>
      <c r="M61" s="11">
        <v>200</v>
      </c>
      <c r="N61" s="12" t="e">
        <f>+IRR(O48:T48,0.15)</f>
        <v>#NUM!</v>
      </c>
    </row>
    <row r="62" spans="1:20" x14ac:dyDescent="0.25">
      <c r="A62" s="11">
        <v>0.25</v>
      </c>
      <c r="B62" s="11">
        <v>300</v>
      </c>
      <c r="C62" s="11"/>
      <c r="D62" s="6"/>
      <c r="E62" s="6"/>
      <c r="F62" s="6"/>
      <c r="G62" s="6"/>
      <c r="H62" s="6"/>
      <c r="I62" s="6"/>
      <c r="J62" s="6"/>
      <c r="L62" s="11">
        <v>0.25</v>
      </c>
      <c r="M62" s="11">
        <v>300</v>
      </c>
      <c r="N62" s="11"/>
    </row>
    <row r="63" spans="1:20" x14ac:dyDescent="0.25">
      <c r="A63" s="11">
        <v>0.18</v>
      </c>
      <c r="B63" s="11">
        <v>200</v>
      </c>
      <c r="C63" s="12" t="e">
        <f>+IRR(D50:I50,0.15)</f>
        <v>#NUM!</v>
      </c>
      <c r="D63" s="6"/>
      <c r="E63" s="6"/>
      <c r="F63" s="6"/>
      <c r="G63" s="6"/>
      <c r="H63" s="6"/>
      <c r="I63" s="6"/>
      <c r="J63" s="6"/>
      <c r="L63" s="11">
        <v>0.18</v>
      </c>
      <c r="M63" s="11">
        <v>200</v>
      </c>
      <c r="N63" s="12" t="e">
        <f>+IRR(O50:T50,0.15)</f>
        <v>#NUM!</v>
      </c>
    </row>
    <row r="64" spans="1:20" x14ac:dyDescent="0.25">
      <c r="A64" s="11">
        <v>0.18</v>
      </c>
      <c r="B64" s="11">
        <v>300</v>
      </c>
      <c r="C64" s="11"/>
      <c r="D64" s="6"/>
      <c r="E64" s="6"/>
      <c r="F64" s="6"/>
      <c r="G64" s="6"/>
      <c r="H64" s="6"/>
      <c r="I64" s="6"/>
      <c r="J64" s="6"/>
      <c r="L64" s="11">
        <v>0.18</v>
      </c>
      <c r="M64" s="11">
        <v>300</v>
      </c>
      <c r="N64" s="11"/>
    </row>
    <row r="65" spans="1:15" x14ac:dyDescent="0.25">
      <c r="A65" s="11">
        <v>0.13</v>
      </c>
      <c r="B65" s="11">
        <v>200</v>
      </c>
      <c r="C65" s="12">
        <f>+IRR(D52:I52,0.15)</f>
        <v>5.9738501711287917E-2</v>
      </c>
      <c r="D65" s="6"/>
      <c r="E65" s="6"/>
      <c r="F65" s="6"/>
      <c r="G65" s="6"/>
      <c r="H65" s="6"/>
      <c r="I65" s="6"/>
      <c r="J65" s="6"/>
      <c r="L65" s="11">
        <v>0.13</v>
      </c>
      <c r="M65" s="11">
        <v>200</v>
      </c>
      <c r="N65" s="12">
        <f>+IRR(O52:T52,0.15)</f>
        <v>3.0706582021918338E-2</v>
      </c>
    </row>
    <row r="66" spans="1:15" x14ac:dyDescent="0.25">
      <c r="A66" s="11">
        <v>0.13</v>
      </c>
      <c r="B66" s="11">
        <v>300</v>
      </c>
      <c r="C66" s="12">
        <f>+IRR(D53:I53,0.15)</f>
        <v>0.29547208141643622</v>
      </c>
      <c r="D66" s="6"/>
      <c r="E66" s="6"/>
      <c r="F66" s="6"/>
      <c r="G66" s="6"/>
      <c r="H66" s="6"/>
      <c r="I66" s="6"/>
      <c r="J66" s="6"/>
      <c r="L66" s="11">
        <v>0.13</v>
      </c>
      <c r="M66" s="11">
        <v>300</v>
      </c>
      <c r="N66" s="12">
        <f>+IRR(O53:T53,0.1)</f>
        <v>0.2668802203620344</v>
      </c>
    </row>
    <row r="67" spans="1:15" x14ac:dyDescent="0.25">
      <c r="A67" s="11">
        <v>0.09</v>
      </c>
      <c r="B67" s="11">
        <v>200</v>
      </c>
      <c r="C67" s="11"/>
      <c r="D67" s="6"/>
      <c r="E67" s="6"/>
      <c r="F67" s="6"/>
      <c r="G67" s="6"/>
      <c r="H67" s="6"/>
      <c r="I67" s="6"/>
      <c r="J67" s="6"/>
      <c r="L67" s="11">
        <v>0.09</v>
      </c>
      <c r="M67" s="11">
        <v>200</v>
      </c>
      <c r="N67" s="11"/>
    </row>
    <row r="68" spans="1:15" x14ac:dyDescent="0.25">
      <c r="A68" s="11">
        <v>0.09</v>
      </c>
      <c r="B68" s="11">
        <v>300</v>
      </c>
      <c r="C68" s="11"/>
      <c r="D68" s="6"/>
      <c r="E68" s="6"/>
      <c r="F68" s="6"/>
      <c r="G68" s="6"/>
      <c r="H68" s="6"/>
      <c r="I68" s="6"/>
      <c r="J68" s="6"/>
      <c r="L68" s="11">
        <v>0.09</v>
      </c>
      <c r="M68" s="11">
        <v>300</v>
      </c>
      <c r="N68" s="11"/>
    </row>
    <row r="69" spans="1:15" x14ac:dyDescent="0.25">
      <c r="A69" s="11">
        <v>6.5000000000000002E-2</v>
      </c>
      <c r="B69" s="11">
        <v>200</v>
      </c>
      <c r="C69" s="11"/>
      <c r="D69" s="6"/>
      <c r="E69" s="6"/>
      <c r="F69" s="6"/>
      <c r="G69" s="6"/>
      <c r="H69" s="6"/>
      <c r="I69" s="6"/>
      <c r="J69" s="6"/>
      <c r="L69" s="11">
        <v>6.5000000000000002E-2</v>
      </c>
      <c r="M69" s="11">
        <v>200</v>
      </c>
      <c r="N69" s="11"/>
    </row>
    <row r="70" spans="1:15" x14ac:dyDescent="0.25">
      <c r="A70" s="11">
        <v>6.5000000000000002E-2</v>
      </c>
      <c r="B70" s="11">
        <v>300</v>
      </c>
      <c r="C70" s="11"/>
      <c r="D70" s="6"/>
      <c r="E70" s="6"/>
      <c r="F70" s="6"/>
      <c r="G70" s="6"/>
      <c r="H70" s="6"/>
      <c r="I70" s="6"/>
      <c r="J70" s="6"/>
      <c r="L70" s="11">
        <v>6.5000000000000002E-2</v>
      </c>
      <c r="M70" s="11">
        <v>300</v>
      </c>
      <c r="N70" s="11"/>
    </row>
    <row r="71" spans="1:15" x14ac:dyDescent="0.25">
      <c r="D71" s="6"/>
      <c r="E71" s="6"/>
      <c r="F71" s="6"/>
      <c r="G71" s="6"/>
      <c r="H71" s="6"/>
      <c r="I71" s="6"/>
      <c r="J71" s="6"/>
    </row>
    <row r="72" spans="1:15" x14ac:dyDescent="0.25">
      <c r="A72" s="1" t="s">
        <v>63</v>
      </c>
      <c r="D72" s="6"/>
      <c r="E72" s="6"/>
      <c r="F72" s="6"/>
      <c r="G72" s="6"/>
      <c r="H72" s="6"/>
      <c r="I72" s="6"/>
      <c r="J72" s="6"/>
    </row>
    <row r="73" spans="1:15" x14ac:dyDescent="0.25">
      <c r="A73" s="1" t="s">
        <v>56</v>
      </c>
      <c r="B73" s="1" t="s">
        <v>58</v>
      </c>
      <c r="D73" s="6" t="s">
        <v>177</v>
      </c>
      <c r="E73" s="6"/>
      <c r="F73" s="6"/>
      <c r="G73" s="6"/>
      <c r="H73" s="6"/>
      <c r="I73" s="6"/>
      <c r="J73" s="6"/>
    </row>
    <row r="74" spans="1:15" x14ac:dyDescent="0.25">
      <c r="A74" s="1">
        <v>0.25</v>
      </c>
      <c r="B74" s="1">
        <v>200</v>
      </c>
      <c r="D74" s="6">
        <f>+'LEM cost side'!D360*'LEM cost side'!E316</f>
        <v>0</v>
      </c>
      <c r="E74" s="6"/>
      <c r="F74" s="6"/>
      <c r="G74" s="6"/>
      <c r="H74" s="6"/>
      <c r="I74" s="6"/>
      <c r="J74" s="6"/>
      <c r="O74" s="6">
        <f>+D74</f>
        <v>0</v>
      </c>
    </row>
    <row r="75" spans="1:15" x14ac:dyDescent="0.25">
      <c r="A75" s="1">
        <v>0.25</v>
      </c>
      <c r="B75" s="1">
        <v>300</v>
      </c>
      <c r="D75" s="6">
        <f>+'LEM cost side'!D361*'LEM cost side'!E317</f>
        <v>0</v>
      </c>
      <c r="E75" s="6"/>
      <c r="F75" s="6"/>
      <c r="G75" s="6"/>
      <c r="H75" s="6"/>
      <c r="I75" s="6"/>
      <c r="J75" s="6"/>
      <c r="O75" s="6">
        <f t="shared" ref="O75:O83" si="7">+D75</f>
        <v>0</v>
      </c>
    </row>
    <row r="76" spans="1:15" x14ac:dyDescent="0.25">
      <c r="A76" s="1">
        <v>0.18</v>
      </c>
      <c r="B76" s="1">
        <v>200</v>
      </c>
      <c r="D76" s="6">
        <f>+'LEM cost side'!D362*'LEM cost side'!E318</f>
        <v>44.81538014310496</v>
      </c>
      <c r="E76" s="6"/>
      <c r="F76" s="6"/>
      <c r="G76" s="6"/>
      <c r="H76" s="6"/>
      <c r="I76" s="6"/>
      <c r="J76" s="6"/>
      <c r="O76" s="6">
        <f t="shared" si="7"/>
        <v>44.81538014310496</v>
      </c>
    </row>
    <row r="77" spans="1:15" x14ac:dyDescent="0.25">
      <c r="A77" s="1">
        <v>0.18</v>
      </c>
      <c r="B77" s="1">
        <v>300</v>
      </c>
      <c r="D77" s="6">
        <f>+'LEM cost side'!D363*'LEM cost side'!E319</f>
        <v>0</v>
      </c>
      <c r="E77" s="6"/>
      <c r="F77" s="6"/>
      <c r="G77" s="6"/>
      <c r="H77" s="6"/>
      <c r="I77" s="6"/>
      <c r="J77" s="6"/>
      <c r="O77" s="6">
        <f t="shared" si="7"/>
        <v>0</v>
      </c>
    </row>
    <row r="78" spans="1:15" x14ac:dyDescent="0.25">
      <c r="A78" s="1">
        <v>0.13</v>
      </c>
      <c r="B78" s="1">
        <v>200</v>
      </c>
      <c r="D78" s="6">
        <f>+'LEM cost side'!D364*'LEM cost side'!E320</f>
        <v>42.337413810171135</v>
      </c>
      <c r="E78" s="6"/>
      <c r="F78" s="6"/>
      <c r="G78" s="6"/>
      <c r="H78" s="6"/>
      <c r="I78" s="6"/>
      <c r="J78" s="6"/>
      <c r="O78" s="6">
        <f t="shared" si="7"/>
        <v>42.337413810171135</v>
      </c>
    </row>
    <row r="79" spans="1:15" x14ac:dyDescent="0.25">
      <c r="A79" s="1">
        <v>0.13</v>
      </c>
      <c r="B79" s="1">
        <v>300</v>
      </c>
      <c r="D79" s="6">
        <f>+'LEM cost side'!D365*'LEM cost side'!E321</f>
        <v>0</v>
      </c>
      <c r="E79" s="6"/>
      <c r="F79" s="6"/>
      <c r="G79" s="6"/>
      <c r="H79" s="6"/>
      <c r="I79" s="6"/>
      <c r="J79" s="6"/>
      <c r="O79" s="6">
        <f t="shared" si="7"/>
        <v>0</v>
      </c>
    </row>
    <row r="80" spans="1:15" x14ac:dyDescent="0.25">
      <c r="A80" s="1">
        <v>0.09</v>
      </c>
      <c r="B80" s="1">
        <v>200</v>
      </c>
      <c r="D80" s="6">
        <f>+'LEM cost side'!D366*'LEM cost side'!E322</f>
        <v>0</v>
      </c>
      <c r="E80" s="6"/>
      <c r="F80" s="6"/>
      <c r="G80" s="6"/>
      <c r="H80" s="6"/>
      <c r="I80" s="6"/>
      <c r="J80" s="6"/>
      <c r="O80" s="6">
        <f t="shared" si="7"/>
        <v>0</v>
      </c>
    </row>
    <row r="81" spans="1:15" x14ac:dyDescent="0.25">
      <c r="A81" s="1">
        <v>0.09</v>
      </c>
      <c r="B81" s="1">
        <v>300</v>
      </c>
      <c r="D81" s="6">
        <f>+'LEM cost side'!D367*'LEM cost side'!E323</f>
        <v>0</v>
      </c>
      <c r="E81" s="6"/>
      <c r="F81" s="6"/>
      <c r="G81" s="6"/>
      <c r="H81" s="6"/>
      <c r="I81" s="6"/>
      <c r="J81" s="6"/>
      <c r="O81" s="6">
        <f t="shared" si="7"/>
        <v>0</v>
      </c>
    </row>
    <row r="82" spans="1:15" x14ac:dyDescent="0.25">
      <c r="A82" s="1">
        <v>6.5000000000000002E-2</v>
      </c>
      <c r="B82" s="1">
        <v>200</v>
      </c>
      <c r="D82" s="6">
        <f>+'LEM cost side'!D368*'LEM cost side'!E324</f>
        <v>0</v>
      </c>
      <c r="E82" s="6"/>
      <c r="F82" s="6"/>
      <c r="G82" s="6"/>
      <c r="H82" s="6"/>
      <c r="I82" s="6"/>
      <c r="J82" s="6"/>
      <c r="O82" s="6">
        <f t="shared" si="7"/>
        <v>0</v>
      </c>
    </row>
    <row r="83" spans="1:15" x14ac:dyDescent="0.25">
      <c r="A83" s="1">
        <v>6.5000000000000002E-2</v>
      </c>
      <c r="B83" s="1">
        <v>300</v>
      </c>
      <c r="D83" s="6">
        <f>+'LEM cost side'!D369*'LEM cost side'!E325</f>
        <v>0</v>
      </c>
      <c r="E83" s="6"/>
      <c r="F83" s="6"/>
      <c r="G83" s="6"/>
      <c r="H83" s="6"/>
      <c r="I83" s="6"/>
      <c r="J83" s="6"/>
      <c r="O83" s="6">
        <f t="shared" si="7"/>
        <v>0</v>
      </c>
    </row>
    <row r="84" spans="1:15" x14ac:dyDescent="0.25">
      <c r="A84" s="1" t="s">
        <v>57</v>
      </c>
      <c r="B84" s="1" t="s">
        <v>58</v>
      </c>
      <c r="D84" s="6" t="s">
        <v>179</v>
      </c>
      <c r="E84" s="6"/>
      <c r="F84" s="6"/>
      <c r="G84" s="6"/>
      <c r="H84" s="6"/>
      <c r="I84" s="6"/>
      <c r="J84" s="6"/>
    </row>
    <row r="85" spans="1:15" x14ac:dyDescent="0.25">
      <c r="A85" s="1">
        <v>0.25</v>
      </c>
      <c r="B85" s="1">
        <v>200</v>
      </c>
      <c r="D85" s="6">
        <f>+'LEM cost side'!D280*20*'LEM cost side'!E316</f>
        <v>0</v>
      </c>
      <c r="E85" s="6"/>
      <c r="F85" s="6"/>
      <c r="G85" s="6"/>
      <c r="H85" s="6"/>
      <c r="I85" s="6"/>
      <c r="J85" s="6"/>
      <c r="O85" s="6">
        <f t="shared" ref="O85:O94" si="8">+D85</f>
        <v>0</v>
      </c>
    </row>
    <row r="86" spans="1:15" x14ac:dyDescent="0.25">
      <c r="A86" s="1">
        <v>0.25</v>
      </c>
      <c r="B86" s="1">
        <v>300</v>
      </c>
      <c r="D86" s="6">
        <f>+'LEM cost side'!D281*20*'LEM cost side'!E317</f>
        <v>0</v>
      </c>
      <c r="E86" s="6"/>
      <c r="F86" s="6"/>
      <c r="G86" s="6"/>
      <c r="H86" s="6"/>
      <c r="I86" s="6"/>
      <c r="J86" s="6"/>
      <c r="O86" s="6">
        <f t="shared" si="8"/>
        <v>0</v>
      </c>
    </row>
    <row r="87" spans="1:15" x14ac:dyDescent="0.25">
      <c r="A87" s="1">
        <v>0.18</v>
      </c>
      <c r="B87" s="1">
        <v>200</v>
      </c>
      <c r="D87" s="6">
        <f>+'LEM cost side'!D282*20*'LEM cost side'!E318</f>
        <v>157.40692989769687</v>
      </c>
      <c r="E87" s="6"/>
      <c r="F87" s="6"/>
      <c r="G87" s="6"/>
      <c r="H87" s="6"/>
      <c r="I87" s="6"/>
      <c r="J87" s="6"/>
      <c r="O87" s="6">
        <f t="shared" si="8"/>
        <v>157.40692989769687</v>
      </c>
    </row>
    <row r="88" spans="1:15" x14ac:dyDescent="0.25">
      <c r="A88" s="1">
        <v>0.18</v>
      </c>
      <c r="B88" s="1">
        <v>300</v>
      </c>
      <c r="D88" s="6">
        <f>+'LEM cost side'!D283*20*'LEM cost side'!E319</f>
        <v>0</v>
      </c>
      <c r="E88" s="6"/>
      <c r="F88" s="6"/>
      <c r="G88" s="6"/>
      <c r="H88" s="6"/>
      <c r="I88" s="6"/>
      <c r="J88" s="6"/>
      <c r="O88" s="6">
        <f t="shared" si="8"/>
        <v>0</v>
      </c>
    </row>
    <row r="89" spans="1:15" x14ac:dyDescent="0.25">
      <c r="A89" s="1">
        <v>0.13</v>
      </c>
      <c r="B89" s="1">
        <v>200</v>
      </c>
      <c r="D89" s="6">
        <f>+'LEM cost side'!D284*20*'LEM cost side'!E320</f>
        <v>228.36383984433425</v>
      </c>
      <c r="E89" s="6"/>
      <c r="F89" s="6"/>
      <c r="G89" s="6"/>
      <c r="H89" s="6"/>
      <c r="I89" s="6"/>
      <c r="J89" s="6"/>
      <c r="O89" s="6">
        <f t="shared" si="8"/>
        <v>228.36383984433425</v>
      </c>
    </row>
    <row r="90" spans="1:15" x14ac:dyDescent="0.25">
      <c r="A90" s="1">
        <v>0.13</v>
      </c>
      <c r="B90" s="1">
        <v>300</v>
      </c>
      <c r="D90" s="6">
        <f>+'LEM cost side'!D285*20*'LEM cost side'!E321</f>
        <v>0</v>
      </c>
      <c r="E90" s="6"/>
      <c r="F90" s="6"/>
      <c r="G90" s="6"/>
      <c r="H90" s="6"/>
      <c r="I90" s="6"/>
      <c r="J90" s="6"/>
      <c r="O90" s="6">
        <f t="shared" si="8"/>
        <v>0</v>
      </c>
    </row>
    <row r="91" spans="1:15" x14ac:dyDescent="0.25">
      <c r="A91" s="1">
        <v>0.09</v>
      </c>
      <c r="B91" s="1">
        <v>200</v>
      </c>
      <c r="D91" s="6">
        <f>+'LEM cost side'!D286*20*'LEM cost side'!E322</f>
        <v>0</v>
      </c>
      <c r="E91" s="6"/>
      <c r="F91" s="6"/>
      <c r="G91" s="6"/>
      <c r="H91" s="6"/>
      <c r="I91" s="6"/>
      <c r="J91" s="6"/>
      <c r="O91" s="6">
        <f t="shared" si="8"/>
        <v>0</v>
      </c>
    </row>
    <row r="92" spans="1:15" x14ac:dyDescent="0.25">
      <c r="A92" s="1">
        <v>0.09</v>
      </c>
      <c r="B92" s="1">
        <v>300</v>
      </c>
      <c r="D92" s="6">
        <f>+'LEM cost side'!D287*20*'LEM cost side'!E323</f>
        <v>0</v>
      </c>
      <c r="E92" s="6"/>
      <c r="F92" s="6"/>
      <c r="G92" s="6"/>
      <c r="H92" s="6"/>
      <c r="I92" s="6"/>
      <c r="J92" s="6"/>
      <c r="O92" s="6">
        <f t="shared" si="8"/>
        <v>0</v>
      </c>
    </row>
    <row r="93" spans="1:15" x14ac:dyDescent="0.25">
      <c r="A93" s="1">
        <v>6.5000000000000002E-2</v>
      </c>
      <c r="B93" s="1">
        <v>200</v>
      </c>
      <c r="D93" s="6">
        <f>+'LEM cost side'!D288*20*'LEM cost side'!E324</f>
        <v>0</v>
      </c>
      <c r="E93" s="6"/>
      <c r="F93" s="6"/>
      <c r="G93" s="6"/>
      <c r="H93" s="6"/>
      <c r="I93" s="6"/>
      <c r="J93" s="6"/>
      <c r="O93" s="6">
        <f t="shared" si="8"/>
        <v>0</v>
      </c>
    </row>
    <row r="94" spans="1:15" x14ac:dyDescent="0.25">
      <c r="A94" s="1">
        <v>6.5000000000000002E-2</v>
      </c>
      <c r="B94" s="1">
        <v>300</v>
      </c>
      <c r="D94" s="6">
        <f>+'LEM cost side'!D289*20*'LEM cost side'!E325</f>
        <v>0</v>
      </c>
      <c r="E94" s="6"/>
      <c r="F94" s="6"/>
      <c r="G94" s="6"/>
      <c r="H94" s="6"/>
      <c r="I94" s="6"/>
      <c r="J94" s="6"/>
      <c r="O94" s="6">
        <f t="shared" si="8"/>
        <v>0</v>
      </c>
    </row>
    <row r="95" spans="1:15" x14ac:dyDescent="0.25">
      <c r="A95" s="1" t="s">
        <v>61</v>
      </c>
      <c r="B95" s="1" t="s">
        <v>58</v>
      </c>
      <c r="D95" s="6"/>
      <c r="E95" s="6" t="s">
        <v>190</v>
      </c>
      <c r="F95" s="6"/>
      <c r="G95" s="6"/>
      <c r="H95" s="6"/>
      <c r="I95" s="6"/>
      <c r="J95" s="6"/>
      <c r="O95" s="1" t="s">
        <v>187</v>
      </c>
    </row>
    <row r="96" spans="1:15" x14ac:dyDescent="0.25">
      <c r="A96" s="1">
        <v>0.25</v>
      </c>
      <c r="B96" s="1">
        <v>200</v>
      </c>
      <c r="D96" s="6"/>
      <c r="E96" s="6" t="s">
        <v>191</v>
      </c>
      <c r="F96" s="6"/>
      <c r="G96" s="6"/>
      <c r="H96" s="6"/>
      <c r="I96" s="6"/>
      <c r="J96" s="6"/>
      <c r="O96" s="6"/>
    </row>
    <row r="97" spans="1:20" x14ac:dyDescent="0.25">
      <c r="A97" s="1">
        <v>0.25</v>
      </c>
      <c r="B97" s="1">
        <v>300</v>
      </c>
      <c r="D97" s="6"/>
      <c r="E97" s="6"/>
      <c r="F97" s="6"/>
      <c r="G97" s="6"/>
      <c r="H97" s="6"/>
      <c r="I97" s="6"/>
      <c r="J97" s="6"/>
      <c r="O97" s="6"/>
      <c r="P97" s="6"/>
      <c r="Q97" s="6"/>
      <c r="R97" s="6"/>
      <c r="S97" s="6"/>
      <c r="T97" s="6"/>
    </row>
    <row r="98" spans="1:20" x14ac:dyDescent="0.25">
      <c r="A98" s="1">
        <v>0.18</v>
      </c>
      <c r="B98" s="1">
        <v>200</v>
      </c>
      <c r="D98" s="6"/>
      <c r="E98" s="6">
        <f>+('LEM cost side'!E193*'c&amp;P calc'!E191-'LEM cost side'!E191*'c&amp;P calc'!E52)*20*12/1000</f>
        <v>152.70243688170257</v>
      </c>
      <c r="F98" s="6">
        <f>+('LEM cost side'!F193*'c&amp;P calc'!F191-'LEM cost side'!F191*'c&amp;P calc'!F52)*20*12/1000</f>
        <v>141.06133348615305</v>
      </c>
      <c r="G98" s="6">
        <f>+('LEM cost side'!G193*'c&amp;P calc'!G191-'LEM cost side'!G191*'c&amp;P calc'!G52)*20*12/1000</f>
        <v>129.184922946841</v>
      </c>
      <c r="H98" s="6">
        <f>+('LEM cost side'!H193*'c&amp;P calc'!H191-'LEM cost side'!H191*'c&amp;P calc'!H52)*20*12/1000</f>
        <v>73.288753415413467</v>
      </c>
      <c r="I98" s="6">
        <f>+('LEM cost side'!I193*'c&amp;P calc'!I191-'LEM cost side'!I191*'c&amp;P calc'!I52)*20*12/1000</f>
        <v>61.353586576894578</v>
      </c>
      <c r="J98" s="6"/>
      <c r="O98" s="6">
        <f>+($N$2*'c&amp;P calc'!D$31+('c&amp;P calc'!D109*'LEM Demand Calibration'!D52-'c&amp;P calc'!D107*'LEM Demand Calibration'!D50))*1000*'c&amp;P calc'!D134-(($N$2*'c&amp;P calc'!D$31*1000*'c&amp;P calc'!D$50))</f>
        <v>0</v>
      </c>
      <c r="P98" s="6">
        <f>+($N$2*'c&amp;P calc'!E$31+('c&amp;P calc'!E109*'LEM Demand Calibration'!E52-'c&amp;P calc'!E107*'LEM Demand Calibration'!E50))*1000*'c&amp;P calc'!E134-(($N$2*'c&amp;P calc'!E$31*1000*'c&amp;P calc'!E$50))</f>
        <v>135.01157611034387</v>
      </c>
      <c r="Q98" s="6">
        <f>+($N$2*'c&amp;P calc'!F$31+('c&amp;P calc'!F109*'LEM Demand Calibration'!F52-'c&amp;P calc'!F107*'LEM Demand Calibration'!F50))*1000*'c&amp;P calc'!F134-(($N$2*'c&amp;P calc'!F$31*1000*'c&amp;P calc'!F$50))</f>
        <v>130.6283366446155</v>
      </c>
      <c r="R98" s="6">
        <f>+($N$2*'c&amp;P calc'!G$31+('c&amp;P calc'!G109*'LEM Demand Calibration'!G52-'c&amp;P calc'!G107*'LEM Demand Calibration'!G50))*1000*'c&amp;P calc'!G134-(($N$2*'c&amp;P calc'!G$31*1000*'c&amp;P calc'!G$50))</f>
        <v>123.44202500395386</v>
      </c>
      <c r="S98" s="6">
        <f>+($N$2*'c&amp;P calc'!H$31+('c&amp;P calc'!H109*'LEM Demand Calibration'!H52-'c&amp;P calc'!H107*'LEM Demand Calibration'!H50))*1000*'c&amp;P calc'!H134-(($N$2*'c&amp;P calc'!H$31*1000*'c&amp;P calc'!H$50))</f>
        <v>71.446724872565255</v>
      </c>
      <c r="T98" s="6">
        <f>+($N$2*'c&amp;P calc'!I$31+('c&amp;P calc'!I109*'LEM Demand Calibration'!I52-'c&amp;P calc'!I107*'LEM Demand Calibration'!I50))*1000*'c&amp;P calc'!I134-(($N$2*'c&amp;P calc'!I$31*1000*'c&amp;P calc'!I$50))</f>
        <v>60.440948130298239</v>
      </c>
    </row>
    <row r="99" spans="1:20" x14ac:dyDescent="0.25">
      <c r="A99" s="1">
        <v>0.18</v>
      </c>
      <c r="B99" s="1">
        <v>300</v>
      </c>
      <c r="D99" s="6"/>
      <c r="E99" s="6"/>
      <c r="F99" s="6"/>
      <c r="G99" s="6"/>
      <c r="H99" s="6"/>
      <c r="I99" s="6"/>
      <c r="J99" s="6"/>
      <c r="O99" s="6"/>
      <c r="P99" s="6"/>
      <c r="Q99" s="6"/>
      <c r="R99" s="6"/>
      <c r="S99" s="6"/>
      <c r="T99" s="6"/>
    </row>
    <row r="100" spans="1:20" x14ac:dyDescent="0.25">
      <c r="A100" s="1">
        <v>0.13</v>
      </c>
      <c r="B100" s="1">
        <v>200</v>
      </c>
      <c r="D100" s="6"/>
      <c r="E100" s="6">
        <f>+('LEM cost side'!E195*'c&amp;P calc'!E193-'LEM cost side'!E193*'c&amp;P calc'!E54)*20*12/1000</f>
        <v>315.3639242136411</v>
      </c>
      <c r="F100" s="6">
        <f>+('LEM cost side'!F195*'c&amp;P calc'!F193-'LEM cost side'!F193*'c&amp;P calc'!F54)*20*12/1000</f>
        <v>305.13580973081775</v>
      </c>
      <c r="G100" s="6">
        <f>+('LEM cost side'!G195*'c&amp;P calc'!G193-'LEM cost side'!G193*'c&amp;P calc'!G54)*20*12/1000</f>
        <v>276.70173741193372</v>
      </c>
      <c r="H100" s="6">
        <f>+('LEM cost side'!H195*'c&amp;P calc'!H193-'LEM cost side'!H193*'c&amp;P calc'!H54)*20*12/1000</f>
        <v>157.10691517714741</v>
      </c>
      <c r="I100" s="6">
        <f>+('LEM cost side'!I195*'c&amp;P calc'!I193-'LEM cost side'!I193*'c&amp;P calc'!I54)*20*12/1000</f>
        <v>131.57938147804623</v>
      </c>
      <c r="J100" s="6"/>
      <c r="O100" s="6">
        <f>+($N$2*'c&amp;P calc'!D$31+('c&amp;P calc'!D111*'LEM Demand Calibration'!D54-'c&amp;P calc'!D109*'LEM Demand Calibration'!D52))*1000*'c&amp;P calc'!D136-(($N$2*'c&amp;P calc'!D$31*1000*'c&amp;P calc'!D$50))</f>
        <v>0</v>
      </c>
      <c r="P100" s="6">
        <f>+($N$2*'c&amp;P calc'!E$31+('c&amp;P calc'!E111*'LEM Demand Calibration'!E54-'c&amp;P calc'!E109*'LEM Demand Calibration'!E52))*1000*'c&amp;P calc'!E136-(($N$2*'c&amp;P calc'!E$31*1000*'c&amp;P calc'!E$50))</f>
        <v>277.75059169732322</v>
      </c>
      <c r="Q100" s="6">
        <f>+($N$2*'c&amp;P calc'!F$31+('c&amp;P calc'!F111*'LEM Demand Calibration'!F54-'c&amp;P calc'!F109*'LEM Demand Calibration'!F52))*1000*'c&amp;P calc'!F136-(($N$2*'c&amp;P calc'!F$31*1000*'c&amp;P calc'!F$50))</f>
        <v>282.32220718058079</v>
      </c>
      <c r="R100" s="6">
        <f>+($N$2*'c&amp;P calc'!G$31+('c&amp;P calc'!G111*'LEM Demand Calibration'!G54-'c&amp;P calc'!G109*'LEM Demand Calibration'!G52))*1000*'c&amp;P calc'!G136-(($N$2*'c&amp;P calc'!G$31*1000*'c&amp;P calc'!G$50))</f>
        <v>264.22116556888295</v>
      </c>
      <c r="S100" s="6">
        <f>+($N$2*'c&amp;P calc'!H$31+('c&amp;P calc'!H111*'LEM Demand Calibration'!H54-'c&amp;P calc'!H109*'LEM Demand Calibration'!H52))*1000*'c&amp;P calc'!H136-(($N$2*'c&amp;P calc'!H$31*1000*'c&amp;P calc'!H$50))</f>
        <v>153.103784737674</v>
      </c>
      <c r="T100" s="6">
        <f>+($N$2*'c&amp;P calc'!I$31+('c&amp;P calc'!I111*'LEM Demand Calibration'!I54-'c&amp;P calc'!I109*'LEM Demand Calibration'!I52))*1000*'c&amp;P calc'!I136-(($N$2*'c&amp;P calc'!I$31*1000*'c&amp;P calc'!I$50))</f>
        <v>129.59601875547105</v>
      </c>
    </row>
    <row r="101" spans="1:20" x14ac:dyDescent="0.25">
      <c r="A101" s="1">
        <v>0.13</v>
      </c>
      <c r="B101" s="1">
        <v>300</v>
      </c>
      <c r="D101" s="6"/>
      <c r="E101" s="6"/>
      <c r="F101" s="6"/>
      <c r="G101" s="6"/>
      <c r="H101" s="6"/>
      <c r="I101" s="6"/>
      <c r="J101" s="6"/>
      <c r="O101" s="6"/>
      <c r="P101" s="6"/>
      <c r="Q101" s="6"/>
      <c r="R101" s="6"/>
      <c r="S101" s="6"/>
      <c r="T101" s="6"/>
    </row>
    <row r="102" spans="1:20" x14ac:dyDescent="0.25">
      <c r="A102" s="1">
        <v>0.09</v>
      </c>
      <c r="B102" s="1">
        <v>200</v>
      </c>
      <c r="D102" s="6"/>
      <c r="E102" s="6"/>
      <c r="F102" s="6"/>
      <c r="G102" s="6"/>
      <c r="H102" s="6"/>
      <c r="I102" s="6"/>
      <c r="J102" s="6"/>
      <c r="O102" s="6"/>
      <c r="P102" s="6"/>
      <c r="Q102" s="6"/>
      <c r="R102" s="6"/>
      <c r="S102" s="6"/>
      <c r="T102" s="6"/>
    </row>
    <row r="103" spans="1:20" x14ac:dyDescent="0.25">
      <c r="A103" s="1">
        <v>0.09</v>
      </c>
      <c r="B103" s="1">
        <v>300</v>
      </c>
      <c r="D103" s="6"/>
      <c r="E103" s="6"/>
      <c r="F103" s="6"/>
      <c r="G103" s="6"/>
      <c r="H103" s="6"/>
      <c r="I103" s="6"/>
      <c r="J103" s="6"/>
      <c r="O103" s="6"/>
      <c r="P103" s="6"/>
      <c r="Q103" s="6"/>
      <c r="R103" s="6"/>
      <c r="S103" s="6"/>
      <c r="T103" s="6"/>
    </row>
    <row r="104" spans="1:20" x14ac:dyDescent="0.25">
      <c r="A104" s="1">
        <v>6.5000000000000002E-2</v>
      </c>
      <c r="B104" s="1">
        <v>200</v>
      </c>
      <c r="D104" s="6"/>
      <c r="E104" s="6"/>
      <c r="F104" s="6"/>
      <c r="G104" s="6"/>
      <c r="H104" s="6"/>
      <c r="I104" s="6"/>
      <c r="J104" s="6"/>
      <c r="O104" s="6"/>
      <c r="P104" s="6"/>
      <c r="Q104" s="6"/>
      <c r="R104" s="6"/>
      <c r="S104" s="6"/>
      <c r="T104" s="6"/>
    </row>
    <row r="105" spans="1:20" x14ac:dyDescent="0.25">
      <c r="A105" s="1">
        <v>6.5000000000000002E-2</v>
      </c>
      <c r="B105" s="1">
        <v>300</v>
      </c>
      <c r="D105" s="6"/>
      <c r="E105" s="6"/>
      <c r="F105" s="6"/>
      <c r="G105" s="6"/>
      <c r="H105" s="6"/>
      <c r="I105" s="6"/>
      <c r="J105" s="6"/>
      <c r="O105" s="6"/>
      <c r="P105" s="6"/>
      <c r="Q105" s="6"/>
      <c r="R105" s="6"/>
      <c r="S105" s="6"/>
      <c r="T105" s="6"/>
    </row>
    <row r="106" spans="1:20" x14ac:dyDescent="0.25">
      <c r="A106" s="1" t="s">
        <v>69</v>
      </c>
      <c r="B106" s="1" t="s">
        <v>58</v>
      </c>
      <c r="D106" s="6"/>
      <c r="E106" s="6" t="s">
        <v>181</v>
      </c>
      <c r="F106" s="6"/>
      <c r="G106" s="6"/>
      <c r="H106" s="6"/>
      <c r="I106" s="6"/>
      <c r="J106" s="6"/>
    </row>
    <row r="107" spans="1:20" x14ac:dyDescent="0.25">
      <c r="A107" s="1">
        <v>0.25</v>
      </c>
      <c r="B107" s="1">
        <v>200</v>
      </c>
      <c r="D107" s="6"/>
      <c r="E107" s="6"/>
      <c r="F107" s="6"/>
      <c r="G107" s="6"/>
      <c r="H107" s="6"/>
      <c r="I107" s="6"/>
      <c r="J107" s="6"/>
    </row>
    <row r="108" spans="1:20" x14ac:dyDescent="0.25">
      <c r="A108" s="1">
        <v>0.25</v>
      </c>
      <c r="B108" s="1">
        <v>300</v>
      </c>
      <c r="D108" s="6"/>
      <c r="E108" s="6"/>
      <c r="F108" s="6"/>
      <c r="G108" s="6"/>
      <c r="H108" s="6"/>
      <c r="I108" s="6"/>
      <c r="J108" s="6"/>
    </row>
    <row r="109" spans="1:20" x14ac:dyDescent="0.25">
      <c r="A109" s="1">
        <v>0.18</v>
      </c>
      <c r="B109" s="1">
        <v>200</v>
      </c>
      <c r="D109" s="6"/>
      <c r="E109" s="6">
        <f>+E28-E26</f>
        <v>16.198970425670524</v>
      </c>
      <c r="F109" s="6">
        <f t="shared" ref="F109:I111" si="9">+F28-F26</f>
        <v>17.006530265984935</v>
      </c>
      <c r="G109" s="6">
        <f t="shared" si="9"/>
        <v>17.006530265984935</v>
      </c>
      <c r="H109" s="6">
        <f t="shared" si="9"/>
        <v>17.006530265984935</v>
      </c>
      <c r="I109" s="6">
        <f t="shared" si="9"/>
        <v>17.006530265984935</v>
      </c>
      <c r="J109" s="6"/>
      <c r="O109" s="6">
        <f t="shared" ref="O109:T109" si="10">+D109</f>
        <v>0</v>
      </c>
      <c r="P109" s="6">
        <f t="shared" si="10"/>
        <v>16.198970425670524</v>
      </c>
      <c r="Q109" s="6">
        <f t="shared" si="10"/>
        <v>17.006530265984935</v>
      </c>
      <c r="R109" s="6">
        <f t="shared" si="10"/>
        <v>17.006530265984935</v>
      </c>
      <c r="S109" s="6">
        <f t="shared" si="10"/>
        <v>17.006530265984935</v>
      </c>
      <c r="T109" s="6">
        <f t="shared" si="10"/>
        <v>17.006530265984935</v>
      </c>
    </row>
    <row r="110" spans="1:20" x14ac:dyDescent="0.25">
      <c r="A110" s="1">
        <v>0.18</v>
      </c>
      <c r="B110" s="1">
        <v>300</v>
      </c>
      <c r="D110" s="6"/>
      <c r="E110" s="6"/>
      <c r="F110" s="6"/>
      <c r="G110" s="6"/>
      <c r="H110" s="6"/>
      <c r="I110" s="6"/>
      <c r="J110" s="6"/>
    </row>
    <row r="111" spans="1:20" x14ac:dyDescent="0.25">
      <c r="A111" s="1">
        <v>0.13</v>
      </c>
      <c r="B111" s="1">
        <v>200</v>
      </c>
      <c r="D111" s="6"/>
      <c r="E111" s="6">
        <f>+E30-E28</f>
        <v>10.75636567360462</v>
      </c>
      <c r="F111" s="6">
        <f t="shared" si="9"/>
        <v>12.940773196510747</v>
      </c>
      <c r="G111" s="6">
        <f t="shared" si="9"/>
        <v>12.4553908307266</v>
      </c>
      <c r="H111" s="6">
        <f t="shared" si="9"/>
        <v>12.4553908307266</v>
      </c>
      <c r="I111" s="6">
        <f t="shared" si="9"/>
        <v>12.4553908307266</v>
      </c>
      <c r="J111" s="6"/>
      <c r="O111" s="6">
        <f t="shared" ref="O111:T111" si="11">+D111</f>
        <v>0</v>
      </c>
      <c r="P111" s="6">
        <f t="shared" si="11"/>
        <v>10.75636567360462</v>
      </c>
      <c r="Q111" s="6">
        <f t="shared" si="11"/>
        <v>12.940773196510747</v>
      </c>
      <c r="R111" s="6">
        <f t="shared" si="11"/>
        <v>12.4553908307266</v>
      </c>
      <c r="S111" s="6">
        <f t="shared" si="11"/>
        <v>12.4553908307266</v>
      </c>
      <c r="T111" s="6">
        <f t="shared" si="11"/>
        <v>12.4553908307266</v>
      </c>
    </row>
    <row r="112" spans="1:20" x14ac:dyDescent="0.25">
      <c r="A112" s="1">
        <v>0.13</v>
      </c>
      <c r="B112" s="1">
        <v>300</v>
      </c>
      <c r="D112" s="6"/>
      <c r="E112" s="6"/>
      <c r="F112" s="6"/>
      <c r="G112" s="6"/>
      <c r="H112" s="6"/>
      <c r="I112" s="6"/>
      <c r="J112" s="6"/>
    </row>
    <row r="113" spans="1:20" x14ac:dyDescent="0.25">
      <c r="A113" s="1">
        <v>0.09</v>
      </c>
      <c r="B113" s="1">
        <v>200</v>
      </c>
      <c r="D113" s="6"/>
      <c r="E113" s="6"/>
      <c r="F113" s="6"/>
      <c r="G113" s="6"/>
      <c r="H113" s="6"/>
      <c r="I113" s="6"/>
      <c r="J113" s="6"/>
    </row>
    <row r="114" spans="1:20" x14ac:dyDescent="0.25">
      <c r="A114" s="1">
        <v>0.09</v>
      </c>
      <c r="B114" s="1">
        <v>300</v>
      </c>
      <c r="D114" s="6"/>
      <c r="E114" s="6"/>
      <c r="F114" s="6"/>
      <c r="G114" s="6"/>
      <c r="H114" s="6"/>
      <c r="I114" s="6"/>
      <c r="J114" s="6"/>
    </row>
    <row r="115" spans="1:20" x14ac:dyDescent="0.25">
      <c r="A115" s="1">
        <v>6.5000000000000002E-2</v>
      </c>
      <c r="B115" s="1">
        <v>200</v>
      </c>
      <c r="D115" s="6"/>
      <c r="E115" s="6"/>
      <c r="F115" s="6"/>
      <c r="G115" s="6"/>
      <c r="H115" s="6"/>
      <c r="I115" s="6"/>
      <c r="J115" s="6"/>
    </row>
    <row r="116" spans="1:20" x14ac:dyDescent="0.25">
      <c r="A116" s="1">
        <v>6.5000000000000002E-2</v>
      </c>
      <c r="B116" s="1">
        <v>300</v>
      </c>
      <c r="D116" s="6"/>
      <c r="E116" s="6"/>
      <c r="F116" s="6"/>
      <c r="G116" s="6"/>
      <c r="H116" s="6"/>
      <c r="I116" s="6"/>
      <c r="J116" s="6"/>
    </row>
    <row r="117" spans="1:20" x14ac:dyDescent="0.25">
      <c r="A117" s="1" t="s">
        <v>62</v>
      </c>
      <c r="D117" s="6"/>
      <c r="E117" s="6"/>
      <c r="F117" s="6"/>
      <c r="G117" s="6"/>
      <c r="H117" s="6"/>
      <c r="I117" s="6"/>
      <c r="J117" s="6"/>
    </row>
    <row r="118" spans="1:20" x14ac:dyDescent="0.25">
      <c r="A118" s="1">
        <v>0.25</v>
      </c>
      <c r="B118" s="1">
        <v>200</v>
      </c>
      <c r="D118" s="6">
        <f t="shared" ref="D118:D127" si="12">-D85-D74</f>
        <v>0</v>
      </c>
      <c r="E118" s="6"/>
      <c r="F118" s="6"/>
      <c r="G118" s="6"/>
      <c r="H118" s="6"/>
      <c r="I118" s="6"/>
      <c r="J118" s="6"/>
    </row>
    <row r="119" spans="1:20" x14ac:dyDescent="0.25">
      <c r="A119" s="1">
        <v>0.25</v>
      </c>
      <c r="B119" s="1">
        <v>300</v>
      </c>
      <c r="D119" s="6">
        <f t="shared" si="12"/>
        <v>0</v>
      </c>
      <c r="E119" s="6"/>
      <c r="F119" s="6"/>
      <c r="G119" s="6"/>
      <c r="H119" s="6"/>
      <c r="I119" s="6"/>
      <c r="J119" s="6"/>
    </row>
    <row r="120" spans="1:20" x14ac:dyDescent="0.25">
      <c r="A120" s="1">
        <v>0.18</v>
      </c>
      <c r="B120" s="1">
        <v>200</v>
      </c>
      <c r="D120" s="6">
        <f t="shared" si="12"/>
        <v>-202.22231004080183</v>
      </c>
      <c r="E120" s="6">
        <f>+E98-E109</f>
        <v>136.50346645603204</v>
      </c>
      <c r="F120" s="6">
        <f>+F98-F109</f>
        <v>124.05480322016811</v>
      </c>
      <c r="G120" s="6">
        <f>+G98-G109</f>
        <v>112.17839268085606</v>
      </c>
      <c r="H120" s="6">
        <f>+H98-H109</f>
        <v>56.282223149428532</v>
      </c>
      <c r="I120" s="6">
        <f>+I98-I109</f>
        <v>44.347056310909643</v>
      </c>
      <c r="J120" s="6"/>
      <c r="O120" s="6">
        <f>+D120</f>
        <v>-202.22231004080183</v>
      </c>
      <c r="P120" s="6">
        <f>+P98-P109</f>
        <v>118.81260568467334</v>
      </c>
      <c r="Q120" s="6">
        <f>+Q98-Q109</f>
        <v>113.62180637863057</v>
      </c>
      <c r="R120" s="6">
        <f>+R98-R109</f>
        <v>106.43549473796892</v>
      </c>
      <c r="S120" s="6">
        <f>+S98-S109</f>
        <v>54.44019460658032</v>
      </c>
      <c r="T120" s="6">
        <f>+T98-T109</f>
        <v>43.434417864313303</v>
      </c>
    </row>
    <row r="121" spans="1:20" x14ac:dyDescent="0.25">
      <c r="A121" s="1">
        <v>0.18</v>
      </c>
      <c r="B121" s="1">
        <v>300</v>
      </c>
      <c r="D121" s="6">
        <f t="shared" si="12"/>
        <v>0</v>
      </c>
      <c r="E121" s="6"/>
      <c r="F121" s="6"/>
      <c r="G121" s="6"/>
      <c r="H121" s="6"/>
      <c r="I121" s="6"/>
      <c r="J121" s="6"/>
      <c r="O121" s="6"/>
      <c r="P121" s="6"/>
      <c r="Q121" s="6"/>
      <c r="R121" s="6"/>
      <c r="S121" s="6"/>
      <c r="T121" s="6"/>
    </row>
    <row r="122" spans="1:20" x14ac:dyDescent="0.25">
      <c r="A122" s="1">
        <v>0.13</v>
      </c>
      <c r="B122" s="1">
        <v>200</v>
      </c>
      <c r="D122" s="6">
        <f t="shared" si="12"/>
        <v>-270.70125365450536</v>
      </c>
      <c r="E122" s="6">
        <f>+E100-E111</f>
        <v>304.60755854003651</v>
      </c>
      <c r="F122" s="6">
        <f>+F100-F111</f>
        <v>292.19503653430701</v>
      </c>
      <c r="G122" s="6">
        <f>+G100-G111</f>
        <v>264.24634658120715</v>
      </c>
      <c r="H122" s="6">
        <f>+H100-H111</f>
        <v>144.65152434642081</v>
      </c>
      <c r="I122" s="6">
        <f>+I100-I111</f>
        <v>119.12399064731963</v>
      </c>
      <c r="J122" s="6"/>
      <c r="O122" s="6">
        <f>+D122</f>
        <v>-270.70125365450536</v>
      </c>
      <c r="P122" s="6">
        <f>+P100-P111</f>
        <v>266.99422602371862</v>
      </c>
      <c r="Q122" s="6">
        <f>+Q100-Q111</f>
        <v>269.38143398407004</v>
      </c>
      <c r="R122" s="6">
        <f>+R100-R111</f>
        <v>251.76577473815635</v>
      </c>
      <c r="S122" s="6">
        <f>+S100-S111</f>
        <v>140.6483939069474</v>
      </c>
      <c r="T122" s="6">
        <f>+T100-T111</f>
        <v>117.14062792474445</v>
      </c>
    </row>
    <row r="123" spans="1:20" x14ac:dyDescent="0.25">
      <c r="A123" s="1">
        <v>0.13</v>
      </c>
      <c r="B123" s="1">
        <v>300</v>
      </c>
      <c r="D123" s="1">
        <f t="shared" si="12"/>
        <v>0</v>
      </c>
    </row>
    <row r="124" spans="1:20" x14ac:dyDescent="0.25">
      <c r="A124" s="1">
        <v>0.09</v>
      </c>
      <c r="B124" s="1">
        <v>200</v>
      </c>
      <c r="D124" s="1">
        <f t="shared" si="12"/>
        <v>0</v>
      </c>
    </row>
    <row r="125" spans="1:20" x14ac:dyDescent="0.25">
      <c r="A125" s="1">
        <v>0.09</v>
      </c>
      <c r="B125" s="1">
        <v>300</v>
      </c>
      <c r="D125" s="1">
        <f t="shared" si="12"/>
        <v>0</v>
      </c>
    </row>
    <row r="126" spans="1:20" x14ac:dyDescent="0.25">
      <c r="A126" s="1">
        <v>6.5000000000000002E-2</v>
      </c>
      <c r="B126" s="1">
        <v>200</v>
      </c>
      <c r="D126" s="1">
        <f t="shared" si="12"/>
        <v>0</v>
      </c>
    </row>
    <row r="127" spans="1:20" x14ac:dyDescent="0.25">
      <c r="A127" s="1">
        <v>6.5000000000000002E-2</v>
      </c>
      <c r="B127" s="1">
        <v>300</v>
      </c>
      <c r="D127" s="1">
        <f t="shared" si="12"/>
        <v>0</v>
      </c>
    </row>
    <row r="130" spans="1:13" x14ac:dyDescent="0.25">
      <c r="A130" s="11" t="s">
        <v>6</v>
      </c>
      <c r="B130" s="11"/>
      <c r="C130" s="11"/>
      <c r="K130" s="11" t="s">
        <v>6</v>
      </c>
      <c r="L130" s="11"/>
      <c r="M130" s="11"/>
    </row>
    <row r="131" spans="1:13" x14ac:dyDescent="0.25">
      <c r="A131" s="11">
        <v>0.25</v>
      </c>
      <c r="B131" s="11">
        <v>200</v>
      </c>
      <c r="C131" s="12"/>
      <c r="K131" s="11">
        <v>0.25</v>
      </c>
      <c r="L131" s="11">
        <v>200</v>
      </c>
      <c r="M131" s="12"/>
    </row>
    <row r="132" spans="1:13" x14ac:dyDescent="0.25">
      <c r="A132" s="11">
        <v>0.25</v>
      </c>
      <c r="B132" s="11">
        <v>300</v>
      </c>
      <c r="C132" s="11"/>
      <c r="K132" s="11">
        <v>0.25</v>
      </c>
      <c r="L132" s="11">
        <v>300</v>
      </c>
      <c r="M132" s="11"/>
    </row>
    <row r="133" spans="1:13" x14ac:dyDescent="0.25">
      <c r="A133" s="11">
        <v>0.18</v>
      </c>
      <c r="B133" s="11">
        <v>200</v>
      </c>
      <c r="C133" s="12">
        <f>+IRR(D120:I120,0.15)</f>
        <v>0.47705131526286504</v>
      </c>
      <c r="K133" s="11">
        <v>0.18</v>
      </c>
      <c r="L133" s="11">
        <v>200</v>
      </c>
      <c r="M133" s="12">
        <f>+IRR(N120:S120,0.15)</f>
        <v>0.37661487085483802</v>
      </c>
    </row>
    <row r="134" spans="1:13" x14ac:dyDescent="0.25">
      <c r="A134" s="11">
        <v>0.18</v>
      </c>
      <c r="B134" s="11">
        <v>300</v>
      </c>
      <c r="C134" s="11"/>
      <c r="K134" s="11">
        <v>0.18</v>
      </c>
      <c r="L134" s="11">
        <v>300</v>
      </c>
      <c r="M134" s="11"/>
    </row>
    <row r="135" spans="1:13" x14ac:dyDescent="0.25">
      <c r="A135" s="11">
        <v>0.13</v>
      </c>
      <c r="B135" s="11">
        <v>200</v>
      </c>
      <c r="C135" s="12">
        <f>+IRR(D122:I122,0.15)</f>
        <v>1.0019727988368334</v>
      </c>
      <c r="K135" s="11">
        <v>0.13</v>
      </c>
      <c r="L135" s="11">
        <v>200</v>
      </c>
      <c r="M135" s="12">
        <f>+IRR(N122:S122,0.15)</f>
        <v>0.86639469015362192</v>
      </c>
    </row>
    <row r="136" spans="1:13" x14ac:dyDescent="0.25">
      <c r="A136" s="11">
        <v>0.13</v>
      </c>
      <c r="B136" s="11">
        <v>300</v>
      </c>
      <c r="C136" s="12"/>
      <c r="K136" s="11">
        <v>0.13</v>
      </c>
      <c r="L136" s="11">
        <v>300</v>
      </c>
      <c r="M136" s="12"/>
    </row>
    <row r="137" spans="1:13" x14ac:dyDescent="0.25">
      <c r="A137" s="11">
        <v>0.09</v>
      </c>
      <c r="B137" s="11">
        <v>200</v>
      </c>
      <c r="C137" s="11"/>
      <c r="K137" s="11">
        <v>0.09</v>
      </c>
      <c r="L137" s="11">
        <v>200</v>
      </c>
      <c r="M137" s="11"/>
    </row>
    <row r="138" spans="1:13" x14ac:dyDescent="0.25">
      <c r="A138" s="11">
        <v>0.09</v>
      </c>
      <c r="B138" s="11">
        <v>300</v>
      </c>
      <c r="C138" s="11"/>
      <c r="K138" s="11">
        <v>0.09</v>
      </c>
      <c r="L138" s="11">
        <v>300</v>
      </c>
      <c r="M138" s="11"/>
    </row>
    <row r="139" spans="1:13" x14ac:dyDescent="0.25">
      <c r="A139" s="11">
        <v>6.5000000000000002E-2</v>
      </c>
      <c r="B139" s="11">
        <v>200</v>
      </c>
      <c r="C139" s="11"/>
      <c r="K139" s="11">
        <v>6.5000000000000002E-2</v>
      </c>
      <c r="L139" s="11">
        <v>200</v>
      </c>
      <c r="M139" s="11"/>
    </row>
    <row r="140" spans="1:13" x14ac:dyDescent="0.25">
      <c r="A140" s="11">
        <v>6.5000000000000002E-2</v>
      </c>
      <c r="B140" s="11">
        <v>300</v>
      </c>
      <c r="C140" s="11"/>
      <c r="K140" s="11">
        <v>6.5000000000000002E-2</v>
      </c>
      <c r="L140" s="11">
        <v>300</v>
      </c>
      <c r="M140" s="11"/>
    </row>
    <row r="143" spans="1:13" ht="13.5" x14ac:dyDescent="0.25">
      <c r="A143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19" sqref="D19"/>
    </sheetView>
  </sheetViews>
  <sheetFormatPr defaultColWidth="8.85546875" defaultRowHeight="11.25" x14ac:dyDescent="0.2"/>
  <cols>
    <col min="1" max="1" width="8.85546875" style="18"/>
    <col min="2" max="2" width="8.85546875" style="19"/>
    <col min="3" max="16384" width="8.85546875" style="18"/>
  </cols>
  <sheetData>
    <row r="1" spans="1:10" x14ac:dyDescent="0.2">
      <c r="A1" s="18" t="s">
        <v>114</v>
      </c>
      <c r="F1" s="18" t="s">
        <v>92</v>
      </c>
    </row>
    <row r="2" spans="1:10" x14ac:dyDescent="0.2">
      <c r="A2" s="18" t="s">
        <v>111</v>
      </c>
      <c r="B2" s="19" t="s">
        <v>112</v>
      </c>
      <c r="C2" s="18" t="s">
        <v>113</v>
      </c>
      <c r="D2" s="18">
        <v>2000</v>
      </c>
      <c r="E2" s="18">
        <f>+[1]LEM!Y2</f>
        <v>2001</v>
      </c>
      <c r="F2" s="18">
        <f>+[1]LEM!Z2</f>
        <v>2002</v>
      </c>
      <c r="G2" s="18">
        <f>+[1]LEM!AA2</f>
        <v>2003</v>
      </c>
      <c r="H2" s="18">
        <f>+[1]LEM!AB2</f>
        <v>2004</v>
      </c>
      <c r="I2" s="18">
        <f>+[1]LEM!AC2</f>
        <v>2005</v>
      </c>
      <c r="J2" s="18">
        <f>+[1]LEM!AD2</f>
        <v>2006</v>
      </c>
    </row>
    <row r="3" spans="1:10" x14ac:dyDescent="0.2">
      <c r="B3" s="19">
        <f>+[1]LEM!B1615</f>
        <v>2</v>
      </c>
      <c r="C3" s="18">
        <f>+[1]LEM!C1615</f>
        <v>90</v>
      </c>
      <c r="D3" s="18">
        <f>+[1]LEM!X253*[1]LEM!X219</f>
        <v>0</v>
      </c>
      <c r="E3" s="18">
        <f>+[1]LEM!Y253*[1]LEM!Y219</f>
        <v>0</v>
      </c>
      <c r="F3" s="18">
        <f>+[1]LEM!Z253*[1]LEM!Z219</f>
        <v>0</v>
      </c>
      <c r="G3" s="18">
        <f>+[1]LEM!AA253*[1]LEM!AA219</f>
        <v>0</v>
      </c>
      <c r="H3" s="18">
        <f>+[1]LEM!AB253*[1]LEM!AB219</f>
        <v>0</v>
      </c>
      <c r="I3" s="18">
        <f>+[1]LEM!AC253*[1]LEM!AC219</f>
        <v>0</v>
      </c>
      <c r="J3" s="18">
        <f>+[1]LEM!AD253*[1]LEM!AD219</f>
        <v>0</v>
      </c>
    </row>
    <row r="4" spans="1:10" x14ac:dyDescent="0.2">
      <c r="B4" s="19">
        <f>+[1]LEM!B1616</f>
        <v>2</v>
      </c>
      <c r="C4" s="18">
        <f>+[1]LEM!C1616</f>
        <v>135</v>
      </c>
      <c r="D4" s="18">
        <f>+[1]LEM!X254*[1]LEM!X220</f>
        <v>0</v>
      </c>
      <c r="E4" s="18">
        <f>+[1]LEM!Y254*[1]LEM!Y220</f>
        <v>0</v>
      </c>
      <c r="F4" s="18">
        <f>+[1]LEM!Z254*[1]LEM!Z220</f>
        <v>0</v>
      </c>
      <c r="G4" s="18">
        <f>+[1]LEM!AA254*[1]LEM!AA220</f>
        <v>0</v>
      </c>
      <c r="H4" s="18">
        <f>+[1]LEM!AB254*[1]LEM!AB220</f>
        <v>0</v>
      </c>
      <c r="I4" s="18">
        <f>+[1]LEM!AC254*[1]LEM!AC220</f>
        <v>0</v>
      </c>
      <c r="J4" s="18">
        <f>+[1]LEM!AD254*[1]LEM!AD220</f>
        <v>0</v>
      </c>
    </row>
    <row r="5" spans="1:10" x14ac:dyDescent="0.2">
      <c r="B5" s="19">
        <f>+[1]LEM!B1617</f>
        <v>1.4</v>
      </c>
      <c r="C5" s="18">
        <f>+[1]LEM!C1617</f>
        <v>90</v>
      </c>
      <c r="D5" s="18">
        <f>+[1]LEM!X255*[1]LEM!X221</f>
        <v>0</v>
      </c>
      <c r="E5" s="18">
        <f>+[1]LEM!Y255*[1]LEM!Y221</f>
        <v>0</v>
      </c>
      <c r="F5" s="18">
        <f>+[1]LEM!Z255*[1]LEM!Z221</f>
        <v>0</v>
      </c>
      <c r="G5" s="18">
        <f>+[1]LEM!AA255*[1]LEM!AA221</f>
        <v>0</v>
      </c>
      <c r="H5" s="18">
        <f>+[1]LEM!AB255*[1]LEM!AB221</f>
        <v>0</v>
      </c>
      <c r="I5" s="18">
        <f>+[1]LEM!AC255*[1]LEM!AC221</f>
        <v>0</v>
      </c>
      <c r="J5" s="18">
        <f>+[1]LEM!AD255*[1]LEM!AD221</f>
        <v>0</v>
      </c>
    </row>
    <row r="6" spans="1:10" x14ac:dyDescent="0.2">
      <c r="B6" s="19">
        <f>+[1]LEM!B1618</f>
        <v>1.4</v>
      </c>
      <c r="C6" s="18">
        <f>+[1]LEM!C1618</f>
        <v>135</v>
      </c>
      <c r="D6" s="18">
        <f>+[1]LEM!X256*[1]LEM!X222</f>
        <v>0</v>
      </c>
      <c r="E6" s="18">
        <f>+[1]LEM!Y256*[1]LEM!Y222</f>
        <v>0</v>
      </c>
      <c r="F6" s="18">
        <f>+[1]LEM!Z256*[1]LEM!Z222</f>
        <v>0</v>
      </c>
      <c r="G6" s="18">
        <f>+[1]LEM!AA256*[1]LEM!AA222</f>
        <v>0</v>
      </c>
      <c r="H6" s="18">
        <f>+[1]LEM!AB256*[1]LEM!AB222</f>
        <v>0</v>
      </c>
      <c r="I6" s="18">
        <f>+[1]LEM!AC256*[1]LEM!AC222</f>
        <v>0</v>
      </c>
      <c r="J6" s="18">
        <f>+[1]LEM!AD256*[1]LEM!AD222</f>
        <v>0</v>
      </c>
    </row>
    <row r="7" spans="1:10" x14ac:dyDescent="0.2">
      <c r="B7" s="19">
        <f>+[1]LEM!B1619</f>
        <v>1</v>
      </c>
      <c r="C7" s="18">
        <f>+[1]LEM!C1619</f>
        <v>90</v>
      </c>
      <c r="D7" s="18">
        <f>+[1]LEM!X257*[1]LEM!X223</f>
        <v>0</v>
      </c>
      <c r="E7" s="18">
        <f>+[1]LEM!Y257*[1]LEM!Y223</f>
        <v>0</v>
      </c>
      <c r="F7" s="18">
        <f>+[1]LEM!Z257*[1]LEM!Z223</f>
        <v>0</v>
      </c>
      <c r="G7" s="18">
        <f>+[1]LEM!AA257*[1]LEM!AA223</f>
        <v>0</v>
      </c>
      <c r="H7" s="18">
        <f>+[1]LEM!AB257*[1]LEM!AB223</f>
        <v>0</v>
      </c>
      <c r="I7" s="18">
        <f>+[1]LEM!AC257*[1]LEM!AC223</f>
        <v>0</v>
      </c>
      <c r="J7" s="18">
        <f>+[1]LEM!AD257*[1]LEM!AD223</f>
        <v>0</v>
      </c>
    </row>
    <row r="8" spans="1:10" x14ac:dyDescent="0.2">
      <c r="B8" s="19">
        <f>+[1]LEM!B1620</f>
        <v>1</v>
      </c>
      <c r="C8" s="18">
        <f>+[1]LEM!C1620</f>
        <v>135</v>
      </c>
      <c r="D8" s="18">
        <f>+[1]LEM!X258*[1]LEM!X224</f>
        <v>0</v>
      </c>
      <c r="E8" s="18">
        <f>+[1]LEM!Y258*[1]LEM!Y224</f>
        <v>0</v>
      </c>
      <c r="F8" s="18">
        <f>+[1]LEM!Z258*[1]LEM!Z224</f>
        <v>0</v>
      </c>
      <c r="G8" s="18">
        <f>+[1]LEM!AA258*[1]LEM!AA224</f>
        <v>0</v>
      </c>
      <c r="H8" s="18">
        <f>+[1]LEM!AB258*[1]LEM!AB224</f>
        <v>0</v>
      </c>
      <c r="I8" s="18">
        <f>+[1]LEM!AC258*[1]LEM!AC224</f>
        <v>0</v>
      </c>
      <c r="J8" s="18">
        <f>+[1]LEM!AD258*[1]LEM!AD224</f>
        <v>0</v>
      </c>
    </row>
    <row r="9" spans="1:10" x14ac:dyDescent="0.2">
      <c r="B9" s="19">
        <f>+[1]LEM!B1621</f>
        <v>0.7</v>
      </c>
      <c r="C9" s="18">
        <f>+[1]LEM!C1621</f>
        <v>135</v>
      </c>
      <c r="D9" s="18">
        <f>+[1]LEM!X259*[1]LEM!X225</f>
        <v>0</v>
      </c>
      <c r="E9" s="18">
        <f>+[1]LEM!Y259*[1]LEM!Y225</f>
        <v>0</v>
      </c>
      <c r="F9" s="18">
        <f>+[1]LEM!Z259*[1]LEM!Z225</f>
        <v>0</v>
      </c>
      <c r="G9" s="18">
        <f>+[1]LEM!AA259*[1]LEM!AA225</f>
        <v>0</v>
      </c>
      <c r="H9" s="18">
        <f>+[1]LEM!AB259*[1]LEM!AB225</f>
        <v>0</v>
      </c>
      <c r="I9" s="18">
        <f>+[1]LEM!AC259*[1]LEM!AC225</f>
        <v>0</v>
      </c>
      <c r="J9" s="18">
        <f>+[1]LEM!AD259*[1]LEM!AD225</f>
        <v>0</v>
      </c>
    </row>
    <row r="10" spans="1:10" x14ac:dyDescent="0.2">
      <c r="B10" s="19">
        <f>+[1]LEM!B1622</f>
        <v>0.7</v>
      </c>
      <c r="C10" s="18">
        <f>+[1]LEM!C1622</f>
        <v>200</v>
      </c>
      <c r="D10" s="18">
        <f>+[1]LEM!X260*[1]LEM!X226</f>
        <v>0</v>
      </c>
      <c r="E10" s="18">
        <f>+[1]LEM!Y260*[1]LEM!Y226</f>
        <v>0</v>
      </c>
      <c r="F10" s="18">
        <f>+[1]LEM!Z260*[1]LEM!Z226</f>
        <v>0</v>
      </c>
      <c r="G10" s="18">
        <f>+[1]LEM!AA260*[1]LEM!AA226</f>
        <v>0</v>
      </c>
      <c r="H10" s="18">
        <f>+[1]LEM!AB260*[1]LEM!AB226</f>
        <v>0</v>
      </c>
      <c r="I10" s="18">
        <f>+[1]LEM!AC260*[1]LEM!AC226</f>
        <v>0</v>
      </c>
      <c r="J10" s="18">
        <f>+[1]LEM!AD260*[1]LEM!AD226</f>
        <v>0</v>
      </c>
    </row>
    <row r="11" spans="1:10" x14ac:dyDescent="0.2">
      <c r="B11" s="19">
        <f>+[1]LEM!B1623</f>
        <v>0.5</v>
      </c>
      <c r="C11" s="18">
        <f>+[1]LEM!C1623</f>
        <v>135</v>
      </c>
      <c r="D11" s="18">
        <f>+[1]LEM!X261*[1]LEM!X227</f>
        <v>0</v>
      </c>
      <c r="E11" s="18">
        <f>+[1]LEM!Y261*[1]LEM!Y227</f>
        <v>0</v>
      </c>
      <c r="F11" s="18">
        <f>+[1]LEM!Z261*[1]LEM!Z227</f>
        <v>0</v>
      </c>
      <c r="G11" s="18">
        <f>+[1]LEM!AA261*[1]LEM!AA227</f>
        <v>0</v>
      </c>
      <c r="H11" s="18">
        <f>+[1]LEM!AB261*[1]LEM!AB227</f>
        <v>0</v>
      </c>
      <c r="I11" s="18">
        <f>+[1]LEM!AC261*[1]LEM!AC227</f>
        <v>0</v>
      </c>
      <c r="J11" s="18">
        <f>+[1]LEM!AD261*[1]LEM!AD227</f>
        <v>0</v>
      </c>
    </row>
    <row r="12" spans="1:10" x14ac:dyDescent="0.2">
      <c r="B12" s="19">
        <f>+[1]LEM!B1624</f>
        <v>0.5</v>
      </c>
      <c r="C12" s="18">
        <f>+[1]LEM!C1624</f>
        <v>200</v>
      </c>
      <c r="D12" s="18">
        <f>+[1]LEM!X262*[1]LEM!X228</f>
        <v>0</v>
      </c>
      <c r="E12" s="18">
        <f>+[1]LEM!Y262*[1]LEM!Y228</f>
        <v>0</v>
      </c>
      <c r="F12" s="18">
        <f>+[1]LEM!Z262*[1]LEM!Z228</f>
        <v>0</v>
      </c>
      <c r="G12" s="18">
        <f>+[1]LEM!AA262*[1]LEM!AA228</f>
        <v>0</v>
      </c>
      <c r="H12" s="18">
        <f>+[1]LEM!AB262*[1]LEM!AB228</f>
        <v>0</v>
      </c>
      <c r="I12" s="18">
        <f>+[1]LEM!AC262*[1]LEM!AC228</f>
        <v>0</v>
      </c>
      <c r="J12" s="18">
        <f>+[1]LEM!AD262*[1]LEM!AD228</f>
        <v>0</v>
      </c>
    </row>
    <row r="13" spans="1:10" x14ac:dyDescent="0.2">
      <c r="B13" s="19">
        <f>+[1]LEM!B1625</f>
        <v>0.35</v>
      </c>
      <c r="C13" s="18">
        <f>+[1]LEM!C1625</f>
        <v>135</v>
      </c>
      <c r="D13" s="18">
        <f>+[1]LEM!X263*[1]LEM!X229</f>
        <v>0</v>
      </c>
      <c r="E13" s="18">
        <f>+[1]LEM!Y263*[1]LEM!Y229</f>
        <v>0</v>
      </c>
      <c r="F13" s="18">
        <f>+[1]LEM!Z263*[1]LEM!Z229</f>
        <v>0</v>
      </c>
      <c r="G13" s="18">
        <f>+[1]LEM!AA263*[1]LEM!AA229</f>
        <v>0</v>
      </c>
      <c r="H13" s="18">
        <f>+[1]LEM!AB263*[1]LEM!AB229</f>
        <v>0</v>
      </c>
      <c r="I13" s="18">
        <f>+[1]LEM!AC263*[1]LEM!AC229</f>
        <v>0</v>
      </c>
      <c r="J13" s="18">
        <f>+[1]LEM!AD263*[1]LEM!AD229</f>
        <v>0</v>
      </c>
    </row>
    <row r="14" spans="1:10" x14ac:dyDescent="0.2">
      <c r="B14" s="19">
        <f>+[1]LEM!B1626</f>
        <v>0.35</v>
      </c>
      <c r="C14" s="18">
        <f>+[1]LEM!C1626</f>
        <v>200</v>
      </c>
      <c r="D14" s="18">
        <f>+[1]LEM!X264*[1]LEM!X230</f>
        <v>0</v>
      </c>
      <c r="E14" s="18">
        <f>+[1]LEM!Y264*[1]LEM!Y230</f>
        <v>0</v>
      </c>
      <c r="F14" s="18">
        <f>+[1]LEM!Z264*[1]LEM!Z230</f>
        <v>0</v>
      </c>
      <c r="G14" s="18">
        <f>+[1]LEM!AA264*[1]LEM!AA230</f>
        <v>0</v>
      </c>
      <c r="H14" s="18">
        <f>+[1]LEM!AB264*[1]LEM!AB230</f>
        <v>0</v>
      </c>
      <c r="I14" s="18">
        <f>+[1]LEM!AC264*[1]LEM!AC230</f>
        <v>0</v>
      </c>
      <c r="J14" s="18">
        <f>+[1]LEM!AD264*[1]LEM!AD230</f>
        <v>0</v>
      </c>
    </row>
    <row r="15" spans="1:10" x14ac:dyDescent="0.2">
      <c r="B15" s="19">
        <f>+[1]LEM!B1627</f>
        <v>0.25</v>
      </c>
      <c r="C15" s="18">
        <f>+[1]LEM!C1627</f>
        <v>200</v>
      </c>
      <c r="D15" s="18">
        <f>+[1]LEM!X265*[1]LEM!X231</f>
        <v>852.20000354852937</v>
      </c>
      <c r="E15" s="18">
        <f>+[1]LEM!Y265*[1]LEM!Y231</f>
        <v>296.29686162440481</v>
      </c>
      <c r="F15" s="18">
        <f>+[1]LEM!Z265*[1]LEM!Z231</f>
        <v>0</v>
      </c>
      <c r="G15" s="18">
        <f>+[1]LEM!AA265*[1]LEM!AA231</f>
        <v>0</v>
      </c>
      <c r="H15" s="18">
        <f>+[1]LEM!AB265*[1]LEM!AB231</f>
        <v>0</v>
      </c>
      <c r="I15" s="18">
        <f>+[1]LEM!AC265*[1]LEM!AC231</f>
        <v>0</v>
      </c>
      <c r="J15" s="18">
        <f>+[1]LEM!AD265*[1]LEM!AD231</f>
        <v>0</v>
      </c>
    </row>
    <row r="16" spans="1:10" x14ac:dyDescent="0.2">
      <c r="B16" s="19">
        <f>+[1]LEM!B1628</f>
        <v>0.25</v>
      </c>
      <c r="C16" s="18">
        <f>+[1]LEM!C1628</f>
        <v>300</v>
      </c>
      <c r="D16" s="18">
        <f>+[1]LEM!X266*[1]LEM!X232</f>
        <v>0</v>
      </c>
      <c r="E16" s="18">
        <f>+[1]LEM!Y266*[1]LEM!Y232</f>
        <v>0</v>
      </c>
      <c r="F16" s="18">
        <f>+[1]LEM!Z266*[1]LEM!Z232</f>
        <v>0</v>
      </c>
      <c r="G16" s="18">
        <f>+[1]LEM!AA266*[1]LEM!AA232</f>
        <v>0</v>
      </c>
      <c r="H16" s="18">
        <f>+[1]LEM!AB266*[1]LEM!AB232</f>
        <v>0</v>
      </c>
      <c r="I16" s="18">
        <f>+[1]LEM!AC266*[1]LEM!AC232</f>
        <v>0</v>
      </c>
      <c r="J16" s="18">
        <f>+[1]LEM!AD266*[1]LEM!AD232</f>
        <v>0</v>
      </c>
    </row>
    <row r="17" spans="2:10" x14ac:dyDescent="0.2">
      <c r="B17" s="19">
        <f>+[1]LEM!B1629</f>
        <v>0.18</v>
      </c>
      <c r="C17" s="18">
        <f>+[1]LEM!C1629</f>
        <v>200</v>
      </c>
      <c r="D17" s="18">
        <f>+[1]LEM!X267*[1]LEM!X233</f>
        <v>1075.075908251391</v>
      </c>
      <c r="E17" s="18">
        <f>+[1]LEM!Y267*[1]LEM!Y233</f>
        <v>1139.1615786019313</v>
      </c>
      <c r="F17" s="18">
        <f>+[1]LEM!Z267*[1]LEM!Z233</f>
        <v>840.88237389212748</v>
      </c>
      <c r="G17" s="18">
        <f>+[1]LEM!AA267*[1]LEM!AA233</f>
        <v>395.20988185162241</v>
      </c>
      <c r="H17" s="18">
        <f>+[1]LEM!AB267*[1]LEM!AB233</f>
        <v>0</v>
      </c>
      <c r="I17" s="18">
        <f>+[1]LEM!AC267*[1]LEM!AC233</f>
        <v>0</v>
      </c>
      <c r="J17" s="18">
        <f>+[1]LEM!AD267*[1]LEM!AD233</f>
        <v>0</v>
      </c>
    </row>
    <row r="18" spans="2:10" x14ac:dyDescent="0.2">
      <c r="B18" s="19">
        <f>+[1]LEM!B1630</f>
        <v>0.18</v>
      </c>
      <c r="C18" s="18">
        <f>+[1]LEM!C1630</f>
        <v>300</v>
      </c>
      <c r="D18" s="18">
        <f>+[1]LEM!X268*[1]LEM!X234</f>
        <v>0</v>
      </c>
      <c r="E18" s="18">
        <f>+[1]LEM!Y268*[1]LEM!Y234</f>
        <v>0</v>
      </c>
      <c r="F18" s="18">
        <f>+[1]LEM!Z268*[1]LEM!Z234</f>
        <v>0</v>
      </c>
      <c r="G18" s="18">
        <f>+[1]LEM!AA268*[1]LEM!AA234</f>
        <v>0</v>
      </c>
      <c r="H18" s="18">
        <f>+[1]LEM!AB268*[1]LEM!AB234</f>
        <v>0</v>
      </c>
      <c r="I18" s="18">
        <f>+[1]LEM!AC268*[1]LEM!AC234</f>
        <v>0</v>
      </c>
      <c r="J18" s="18">
        <f>+[1]LEM!AD268*[1]LEM!AD234</f>
        <v>0</v>
      </c>
    </row>
    <row r="19" spans="2:10" x14ac:dyDescent="0.2">
      <c r="B19" s="19">
        <f>+[1]LEM!B1631</f>
        <v>0.13</v>
      </c>
      <c r="C19" s="18">
        <f>+[1]LEM!C1631</f>
        <v>200</v>
      </c>
      <c r="D19" s="18">
        <f>+[1]LEM!X269*[1]LEM!X235</f>
        <v>205.42651673287793</v>
      </c>
      <c r="E19" s="18">
        <f>+[1]LEM!Y269*[1]LEM!Y235</f>
        <v>255.23201673577591</v>
      </c>
      <c r="F19" s="18">
        <f>+[1]LEM!Z269*[1]LEM!Z235</f>
        <v>667.00347797787288</v>
      </c>
      <c r="G19" s="18">
        <f>+[1]LEM!AA269*[1]LEM!AA235</f>
        <v>868.98401602827516</v>
      </c>
      <c r="H19" s="18">
        <f>+[1]LEM!AB269*[1]LEM!AB235</f>
        <v>358.96235659087233</v>
      </c>
      <c r="I19" s="18">
        <f>+[1]LEM!AC269*[1]LEM!AC235</f>
        <v>0</v>
      </c>
      <c r="J19" s="18">
        <f>+[1]LEM!AD269*[1]LEM!AD235</f>
        <v>0</v>
      </c>
    </row>
    <row r="20" spans="2:10" x14ac:dyDescent="0.2">
      <c r="B20" s="19">
        <f>+[1]LEM!B1632</f>
        <v>0.13</v>
      </c>
      <c r="C20" s="18">
        <f>+[1]LEM!C1632</f>
        <v>300</v>
      </c>
      <c r="D20" s="18">
        <f>+[1]LEM!X270*[1]LEM!X236</f>
        <v>0</v>
      </c>
      <c r="E20" s="18">
        <f>+[1]LEM!Y270*[1]LEM!Y236</f>
        <v>282.95217416989112</v>
      </c>
      <c r="F20" s="18">
        <f>+[1]LEM!Z270*[1]LEM!Z236</f>
        <v>393.79490043140925</v>
      </c>
      <c r="G20" s="18">
        <f>+[1]LEM!AA270*[1]LEM!AA236</f>
        <v>650.46479089116701</v>
      </c>
      <c r="H20" s="18">
        <f>+[1]LEM!AB270*[1]LEM!AB236</f>
        <v>814.3785560789438</v>
      </c>
      <c r="I20" s="18">
        <f>+[1]LEM!AC270*[1]LEM!AC236</f>
        <v>715.77404585300815</v>
      </c>
      <c r="J20" s="18">
        <f>+[1]LEM!AD270*[1]LEM!AD236</f>
        <v>0</v>
      </c>
    </row>
    <row r="21" spans="2:10" x14ac:dyDescent="0.2">
      <c r="B21" s="19">
        <f>+[1]LEM!B1633</f>
        <v>0.09</v>
      </c>
      <c r="C21" s="18">
        <f>+[1]LEM!C1633</f>
        <v>200</v>
      </c>
      <c r="D21" s="18">
        <f>+[1]LEM!X271*[1]LEM!X237</f>
        <v>0</v>
      </c>
      <c r="E21" s="18">
        <f>+[1]LEM!Y271*[1]LEM!Y237</f>
        <v>0</v>
      </c>
      <c r="F21" s="18">
        <f>+[1]LEM!Z271*[1]LEM!Z237</f>
        <v>83.132535525591834</v>
      </c>
      <c r="G21" s="18">
        <f>+[1]LEM!AA271*[1]LEM!AA237</f>
        <v>535.71184131933751</v>
      </c>
      <c r="H21" s="18">
        <f>+[1]LEM!AB271*[1]LEM!AB237</f>
        <v>1187.894659991669</v>
      </c>
      <c r="I21" s="18">
        <f>+[1]LEM!AC271*[1]LEM!AC237</f>
        <v>1607.4269146315598</v>
      </c>
      <c r="J21" s="18">
        <f>+[1]LEM!AD271*[1]LEM!AD237</f>
        <v>631.20508998701848</v>
      </c>
    </row>
    <row r="22" spans="2:10" x14ac:dyDescent="0.2">
      <c r="B22" s="19">
        <f>+[1]LEM!B1634</f>
        <v>0.09</v>
      </c>
      <c r="C22" s="18">
        <f>+[1]LEM!C1634</f>
        <v>300</v>
      </c>
      <c r="D22" s="18">
        <f>+[1]LEM!X272*[1]LEM!X238</f>
        <v>0</v>
      </c>
      <c r="E22" s="18">
        <f>+[1]LEM!Y272*[1]LEM!Y238</f>
        <v>0</v>
      </c>
      <c r="F22" s="18">
        <f>+[1]LEM!Z272*[1]LEM!Z238</f>
        <v>114.87675626576105</v>
      </c>
      <c r="G22" s="18">
        <f>+[1]LEM!AA272*[1]LEM!AA238</f>
        <v>165.52872334507848</v>
      </c>
      <c r="H22" s="18">
        <f>+[1]LEM!AB272*[1]LEM!AB238</f>
        <v>258.06828279857228</v>
      </c>
      <c r="I22" s="18">
        <f>+[1]LEM!AC272*[1]LEM!AC238</f>
        <v>1080.822592171555</v>
      </c>
      <c r="J22" s="18">
        <f>+[1]LEM!AD272*[1]LEM!AD238</f>
        <v>969.96897734099286</v>
      </c>
    </row>
    <row r="23" spans="2:10" x14ac:dyDescent="0.2">
      <c r="B23" s="19">
        <f>+[1]LEM!B1635</f>
        <v>6.5000000000000002E-2</v>
      </c>
      <c r="C23" s="18">
        <f>+[1]LEM!C1635</f>
        <v>200</v>
      </c>
      <c r="D23" s="18">
        <f>+[1]LEM!X273*[1]LEM!X239</f>
        <v>0</v>
      </c>
      <c r="E23" s="18">
        <f>+[1]LEM!Y273*[1]LEM!Y239</f>
        <v>0</v>
      </c>
      <c r="F23" s="18">
        <f>+[1]LEM!Z273*[1]LEM!Z239</f>
        <v>0</v>
      </c>
      <c r="G23" s="18">
        <f>+[1]LEM!AA273*[1]LEM!AA239</f>
        <v>0</v>
      </c>
      <c r="H23" s="18">
        <f>+[1]LEM!AB273*[1]LEM!AB239</f>
        <v>0</v>
      </c>
      <c r="I23" s="18">
        <f>+[1]LEM!AC273*[1]LEM!AC239</f>
        <v>0</v>
      </c>
      <c r="J23" s="18">
        <f>+[1]LEM!AD273*[1]LEM!AD239</f>
        <v>581.90053895648998</v>
      </c>
    </row>
    <row r="24" spans="2:10" x14ac:dyDescent="0.2">
      <c r="B24" s="19">
        <f>+[1]LEM!B1636</f>
        <v>6.5000000000000002E-2</v>
      </c>
      <c r="C24" s="18">
        <f>+[1]LEM!C1636</f>
        <v>300</v>
      </c>
      <c r="D24" s="18">
        <f>+[1]LEM!X274*[1]LEM!X240</f>
        <v>0</v>
      </c>
      <c r="E24" s="18">
        <f>+[1]LEM!Y274*[1]LEM!Y240</f>
        <v>0</v>
      </c>
      <c r="F24" s="18">
        <f>+[1]LEM!Z274*[1]LEM!Z240</f>
        <v>0</v>
      </c>
      <c r="G24" s="18">
        <f>+[1]LEM!AA274*[1]LEM!AA240</f>
        <v>0</v>
      </c>
      <c r="H24" s="18">
        <f>+[1]LEM!AB274*[1]LEM!AB240</f>
        <v>269.9043513695579</v>
      </c>
      <c r="I24" s="18">
        <f>+[1]LEM!AC274*[1]LEM!AC240</f>
        <v>1240.6535801172263</v>
      </c>
      <c r="J24" s="18">
        <f>+[1]LEM!AD274*[1]LEM!AD240</f>
        <v>1391.3012315715193</v>
      </c>
    </row>
    <row r="25" spans="2:10" x14ac:dyDescent="0.2">
      <c r="B25" s="19">
        <f>+[1]LEM!B1637</f>
        <v>4.4999999999999998E-2</v>
      </c>
      <c r="C25" s="18">
        <f>+[1]LEM!C1637</f>
        <v>200</v>
      </c>
      <c r="D25" s="18">
        <f>+[1]LEM!X275*[1]LEM!X241</f>
        <v>0</v>
      </c>
      <c r="E25" s="18">
        <f>+[1]LEM!Y275*[1]LEM!Y241</f>
        <v>0</v>
      </c>
      <c r="F25" s="18">
        <f>+[1]LEM!Z275*[1]LEM!Z241</f>
        <v>0</v>
      </c>
      <c r="G25" s="18">
        <f>+[1]LEM!AA275*[1]LEM!AA241</f>
        <v>0</v>
      </c>
      <c r="H25" s="18">
        <f>+[1]LEM!AB275*[1]LEM!AB241</f>
        <v>0</v>
      </c>
      <c r="I25" s="18">
        <f>+[1]LEM!AC275*[1]LEM!AC241</f>
        <v>0</v>
      </c>
      <c r="J25" s="18">
        <f>+[1]LEM!AD275*[1]LEM!AD241</f>
        <v>172.55687302450482</v>
      </c>
    </row>
    <row r="26" spans="2:10" x14ac:dyDescent="0.2">
      <c r="B26" s="19">
        <f>+[1]LEM!B1638</f>
        <v>4.4999999999999998E-2</v>
      </c>
      <c r="C26" s="18">
        <f>+[1]LEM!C1638</f>
        <v>300</v>
      </c>
      <c r="D26" s="18">
        <f>+[1]LEM!X276*[1]LEM!X242</f>
        <v>0</v>
      </c>
      <c r="E26" s="18">
        <f>+[1]LEM!Y276*[1]LEM!Y242</f>
        <v>0</v>
      </c>
      <c r="F26" s="18">
        <f>+[1]LEM!Z276*[1]LEM!Z242</f>
        <v>0</v>
      </c>
      <c r="G26" s="18">
        <f>+[1]LEM!AA276*[1]LEM!AA242</f>
        <v>0</v>
      </c>
      <c r="H26" s="18">
        <f>+[1]LEM!AB276*[1]LEM!AB242</f>
        <v>0</v>
      </c>
      <c r="I26" s="18">
        <f>+[1]LEM!AC276*[1]LEM!AC242</f>
        <v>0</v>
      </c>
      <c r="J26" s="18">
        <f>+[1]LEM!AD276*[1]LEM!AD242</f>
        <v>195.76220918373389</v>
      </c>
    </row>
    <row r="27" spans="2:10" x14ac:dyDescent="0.2">
      <c r="B27" s="19">
        <f>+[1]LEM!B1639</f>
        <v>0.03</v>
      </c>
      <c r="C27" s="18">
        <f>+[1]LEM!C1639</f>
        <v>200</v>
      </c>
      <c r="D27" s="18">
        <f>+[1]LEM!X277*[1]LEM!X243</f>
        <v>0</v>
      </c>
      <c r="E27" s="18">
        <f>+[1]LEM!Y277*[1]LEM!Y243</f>
        <v>0</v>
      </c>
      <c r="F27" s="18">
        <f>+[1]LEM!Z277*[1]LEM!Z243</f>
        <v>0</v>
      </c>
      <c r="G27" s="18">
        <f>+[1]LEM!AA277*[1]LEM!AA243</f>
        <v>0</v>
      </c>
      <c r="H27" s="18">
        <f>+[1]LEM!AB277*[1]LEM!AB243</f>
        <v>0</v>
      </c>
      <c r="I27" s="18">
        <f>+[1]LEM!AC277*[1]LEM!AC243</f>
        <v>0</v>
      </c>
      <c r="J27" s="18">
        <f>+[1]LEM!AD277*[1]LEM!AD243</f>
        <v>0</v>
      </c>
    </row>
    <row r="28" spans="2:10" x14ac:dyDescent="0.2">
      <c r="B28" s="19">
        <f>+[1]LEM!B1640</f>
        <v>0.03</v>
      </c>
      <c r="C28" s="18">
        <f>+[1]LEM!C1640</f>
        <v>300</v>
      </c>
      <c r="D28" s="18">
        <f>+[1]LEM!X278*[1]LEM!X244</f>
        <v>0</v>
      </c>
      <c r="E28" s="18">
        <f>+[1]LEM!Y278*[1]LEM!Y244</f>
        <v>0</v>
      </c>
      <c r="F28" s="18">
        <f>+[1]LEM!Z278*[1]LEM!Z244</f>
        <v>0</v>
      </c>
      <c r="G28" s="18">
        <f>+[1]LEM!AA278*[1]LEM!AA244</f>
        <v>0</v>
      </c>
      <c r="H28" s="18">
        <f>+[1]LEM!AB278*[1]LEM!AB244</f>
        <v>0</v>
      </c>
      <c r="I28" s="18">
        <f>+[1]LEM!AC278*[1]LEM!AC244</f>
        <v>0</v>
      </c>
      <c r="J28" s="18">
        <f>+[1]LEM!AD278*[1]LEM!AD244</f>
        <v>0</v>
      </c>
    </row>
    <row r="29" spans="2:10" x14ac:dyDescent="0.2">
      <c r="B29" s="19">
        <f>+[1]LEM!B1641</f>
        <v>0.02</v>
      </c>
      <c r="C29" s="18">
        <f>+[1]LEM!C1641</f>
        <v>200</v>
      </c>
      <c r="D29" s="18">
        <f>+[1]LEM!X279*[1]LEM!X245</f>
        <v>0</v>
      </c>
      <c r="E29" s="18">
        <f>+[1]LEM!Y279*[1]LEM!Y245</f>
        <v>0</v>
      </c>
      <c r="F29" s="18">
        <f>+[1]LEM!Z279*[1]LEM!Z245</f>
        <v>0</v>
      </c>
      <c r="G29" s="18">
        <f>+[1]LEM!AA279*[1]LEM!AA245</f>
        <v>0</v>
      </c>
      <c r="H29" s="18">
        <f>+[1]LEM!AB279*[1]LEM!AB245</f>
        <v>0</v>
      </c>
      <c r="I29" s="18">
        <f>+[1]LEM!AC279*[1]LEM!AC245</f>
        <v>0</v>
      </c>
      <c r="J29" s="18">
        <f>+[1]LEM!AD279*[1]LEM!AD245</f>
        <v>0</v>
      </c>
    </row>
    <row r="30" spans="2:10" x14ac:dyDescent="0.2">
      <c r="B30" s="19">
        <f>+[1]LEM!B1642</f>
        <v>0.02</v>
      </c>
      <c r="C30" s="18">
        <f>+[1]LEM!C1642</f>
        <v>300</v>
      </c>
      <c r="D30" s="18">
        <f>+[1]LEM!X280*[1]LEM!X246</f>
        <v>0</v>
      </c>
      <c r="E30" s="18">
        <f>+[1]LEM!Y280*[1]LEM!Y246</f>
        <v>0</v>
      </c>
      <c r="F30" s="18">
        <f>+[1]LEM!Z280*[1]LEM!Z246</f>
        <v>0</v>
      </c>
      <c r="G30" s="18">
        <f>+[1]LEM!AA280*[1]LEM!AA246</f>
        <v>0</v>
      </c>
      <c r="H30" s="18">
        <f>+[1]LEM!AB280*[1]LEM!AB246</f>
        <v>0</v>
      </c>
      <c r="I30" s="18">
        <f>+[1]LEM!AC280*[1]LEM!AC246</f>
        <v>0</v>
      </c>
      <c r="J30" s="18">
        <f>+[1]LEM!AD280*[1]LEM!AD246</f>
        <v>0</v>
      </c>
    </row>
    <row r="31" spans="2:10" x14ac:dyDescent="0.2">
      <c r="B31" s="19">
        <f>+[1]LEM!B1643</f>
        <v>1.4999999999999999E-2</v>
      </c>
      <c r="C31" s="18">
        <f>+[1]LEM!C1643</f>
        <v>200</v>
      </c>
      <c r="D31" s="18">
        <f>+[1]LEM!X281*[1]LEM!X247</f>
        <v>0</v>
      </c>
      <c r="E31" s="18">
        <f>+[1]LEM!Y281*[1]LEM!Y247</f>
        <v>0</v>
      </c>
      <c r="F31" s="18">
        <f>+[1]LEM!Z281*[1]LEM!Z247</f>
        <v>0</v>
      </c>
      <c r="G31" s="18">
        <f>+[1]LEM!AA281*[1]LEM!AA247</f>
        <v>0</v>
      </c>
      <c r="H31" s="18">
        <f>+[1]LEM!AB281*[1]LEM!AB247</f>
        <v>0</v>
      </c>
      <c r="I31" s="18">
        <f>+[1]LEM!AC281*[1]LEM!AC247</f>
        <v>0</v>
      </c>
      <c r="J31" s="18">
        <f>+[1]LEM!AD281*[1]LEM!AD247</f>
        <v>0</v>
      </c>
    </row>
    <row r="32" spans="2:10" x14ac:dyDescent="0.2">
      <c r="B32" s="19">
        <f>+[1]LEM!B1644</f>
        <v>1.4999999999999999E-2</v>
      </c>
      <c r="C32" s="18">
        <f>+[1]LEM!C1644</f>
        <v>300</v>
      </c>
      <c r="D32" s="18">
        <f>+[1]LEM!X282*[1]LEM!X248</f>
        <v>0</v>
      </c>
      <c r="E32" s="18">
        <f>+[1]LEM!Y282*[1]LEM!Y248</f>
        <v>0</v>
      </c>
      <c r="F32" s="18">
        <f>+[1]LEM!Z282*[1]LEM!Z248</f>
        <v>0</v>
      </c>
      <c r="G32" s="18">
        <f>+[1]LEM!AA282*[1]LEM!AA248</f>
        <v>0</v>
      </c>
      <c r="H32" s="18">
        <f>+[1]LEM!AB282*[1]LEM!AB248</f>
        <v>0</v>
      </c>
      <c r="I32" s="18">
        <f>+[1]LEM!AC282*[1]LEM!AC248</f>
        <v>0</v>
      </c>
      <c r="J32" s="18">
        <f>+[1]LEM!AD282*[1]LEM!AD248</f>
        <v>0</v>
      </c>
    </row>
    <row r="33" spans="1:10" x14ac:dyDescent="0.2">
      <c r="B33" s="19">
        <f>+[1]LEM!B1645</f>
        <v>0.01</v>
      </c>
      <c r="C33" s="18">
        <f>+[1]LEM!C1645</f>
        <v>200</v>
      </c>
      <c r="D33" s="18">
        <f>+[1]LEM!X283*[1]LEM!X249</f>
        <v>0</v>
      </c>
      <c r="E33" s="18">
        <f>+[1]LEM!Y283*[1]LEM!Y249</f>
        <v>0</v>
      </c>
      <c r="F33" s="18">
        <f>+[1]LEM!Z283*[1]LEM!Z249</f>
        <v>0</v>
      </c>
      <c r="G33" s="18">
        <f>+[1]LEM!AA283*[1]LEM!AA249</f>
        <v>0</v>
      </c>
      <c r="H33" s="18">
        <f>+[1]LEM!AB283*[1]LEM!AB249</f>
        <v>0</v>
      </c>
      <c r="I33" s="18">
        <f>+[1]LEM!AC283*[1]LEM!AC249</f>
        <v>0</v>
      </c>
      <c r="J33" s="18">
        <f>+[1]LEM!AD283*[1]LEM!AD249</f>
        <v>0</v>
      </c>
    </row>
    <row r="34" spans="1:10" x14ac:dyDescent="0.2">
      <c r="B34" s="19">
        <f>+[1]LEM!B1646</f>
        <v>0.01</v>
      </c>
      <c r="C34" s="18">
        <f>+[1]LEM!C1646</f>
        <v>300</v>
      </c>
      <c r="D34" s="18">
        <f>+[1]LEM!X284*[1]LEM!X250</f>
        <v>0</v>
      </c>
      <c r="E34" s="18">
        <f>+[1]LEM!Y284*[1]LEM!Y250</f>
        <v>0</v>
      </c>
      <c r="F34" s="18">
        <f>+[1]LEM!Z284*[1]LEM!Z250</f>
        <v>0</v>
      </c>
      <c r="G34" s="18">
        <f>+[1]LEM!AA284*[1]LEM!AA250</f>
        <v>0</v>
      </c>
      <c r="H34" s="18">
        <f>+[1]LEM!AB284*[1]LEM!AB250</f>
        <v>0</v>
      </c>
      <c r="I34" s="18">
        <f>+[1]LEM!AC284*[1]LEM!AC250</f>
        <v>0</v>
      </c>
      <c r="J34" s="18">
        <f>+[1]LEM!AD284*[1]LEM!AD250</f>
        <v>0</v>
      </c>
    </row>
    <row r="35" spans="1:10" x14ac:dyDescent="0.2">
      <c r="A35" s="18" t="s">
        <v>115</v>
      </c>
      <c r="D35" s="18">
        <f t="shared" ref="D35:J35" si="0">+SUM(D3:D34)</f>
        <v>2132.7024285327984</v>
      </c>
      <c r="E35" s="18">
        <f t="shared" si="0"/>
        <v>1973.6426311320031</v>
      </c>
      <c r="F35" s="18">
        <f t="shared" si="0"/>
        <v>2099.690044092762</v>
      </c>
      <c r="G35" s="18">
        <f t="shared" si="0"/>
        <v>2615.8992534354807</v>
      </c>
      <c r="H35" s="18">
        <f t="shared" si="0"/>
        <v>2889.2082068296154</v>
      </c>
      <c r="I35" s="18">
        <f t="shared" si="0"/>
        <v>4644.6771327733495</v>
      </c>
      <c r="J35" s="18">
        <f t="shared" si="0"/>
        <v>3942.6949200642593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 FIRST</vt:lpstr>
      <vt:lpstr>LEM cost side</vt:lpstr>
      <vt:lpstr>LEM Demand Calibration</vt:lpstr>
      <vt:lpstr>c&amp;P calc</vt:lpstr>
      <vt:lpstr>Static RoI calc '02</vt:lpstr>
      <vt:lpstr>ylded area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Ben Zorn</cp:lastModifiedBy>
  <dcterms:created xsi:type="dcterms:W3CDTF">2002-08-02T13:11:44Z</dcterms:created>
  <dcterms:modified xsi:type="dcterms:W3CDTF">2018-06-14T00:27:56Z</dcterms:modified>
</cp:coreProperties>
</file>