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ebe\Documents\Spreadsheet Doctor\AICPA\"/>
    </mc:Choice>
  </mc:AlternateContent>
  <xr:revisionPtr revIDLastSave="0" documentId="13_ncr:1_{365EEB18-6256-4BE1-9307-63BEC4E170F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er" sheetId="1" r:id="rId1"/>
    <sheet name="Navigator" sheetId="3" r:id="rId2"/>
    <sheet name="Style Guide" sheetId="4" r:id="rId3"/>
    <sheet name="Model Parameters" sheetId="2" r:id="rId4"/>
    <sheet name="Replacing the LOOKUP Family" sheetId="12" r:id="rId5"/>
    <sheet name="New Features for XLOOKUP" sheetId="14" r:id="rId6"/>
    <sheet name="XMATCH" sheetId="15" r:id="rId7"/>
    <sheet name="Error Checks" sheetId="5" r:id="rId8"/>
  </sheets>
  <definedNames>
    <definedName name="Client_Name">'Model Parameters'!$G$12</definedName>
    <definedName name="Days_in_Year">'Model Parameters'!$G$19</definedName>
    <definedName name="Days_in_Yr">'Model Parameters'!$G$19</definedName>
    <definedName name="HL_1">Cover!$A$3</definedName>
    <definedName name="HL_3">'Style Guide'!$A$3</definedName>
    <definedName name="HL_4">'Model Parameters'!$A$3</definedName>
    <definedName name="HL_5">'Replacing the LOOKUP Family'!$A$3</definedName>
    <definedName name="HL_6">'New Features for XLOOKUP'!$A$3</definedName>
    <definedName name="HL_7" localSheetId="5">'New Features for XLOOKUP'!$A$3</definedName>
    <definedName name="HL_7" localSheetId="4">'Replacing the LOOKUP Family'!$A$3</definedName>
    <definedName name="HL_7">XMATCH!$A$3</definedName>
    <definedName name="HL_8">'Error Checks'!$A$3</definedName>
    <definedName name="HL_Model_Parameters">'Model Parameters'!$A$5</definedName>
    <definedName name="HL_Navigator">Navigator!$A$1</definedName>
    <definedName name="LU_Dyn_Dates">_xlfn.XLOOKUP('New Features for XLOOKUP'!XFA1048575,'New Features for XLOOKUP'!XFB1048569:I1048569,'New Features for XLOOKUP'!XFB1048569:I1048569):'New Features for XLOOKUP'!I1048569</definedName>
    <definedName name="Model_Name">'Model Parameters'!$G$11</definedName>
    <definedName name="Months_in_Half_Yr">'Model Parameters'!$G$22</definedName>
    <definedName name="Months_in_Month">'Model Parameters'!$G$20</definedName>
    <definedName name="Months_in_Qtr">'Model Parameters'!$G$21</definedName>
    <definedName name="Months_in_Quarter">'Model Parameters'!$G$21</definedName>
    <definedName name="Months_in_Year">'Model Parameters'!$G$23</definedName>
    <definedName name="Overall_Error_Check">'Error Checks'!$I$17</definedName>
    <definedName name="Quarters_in_Year">'Model Parameters'!$G$24</definedName>
    <definedName name="Rounding_Accuracy">'Model Parameters'!$G$26</definedName>
    <definedName name="Thousand">'Model Parameters'!$G$31</definedName>
    <definedName name="Very_Large_Number">'Model Parameters'!$G$28</definedName>
    <definedName name="Very_Small_Number">'Model Parameters'!$G$29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5" l="1"/>
  <c r="F13" i="15"/>
  <c r="G35" i="15" s="1"/>
  <c r="A1" i="15"/>
  <c r="C6" i="15" s="1"/>
  <c r="B6" i="15"/>
  <c r="I4" i="15"/>
  <c r="L25" i="14"/>
  <c r="I35" i="15"/>
  <c r="H25" i="14" l="1" a="1"/>
  <c r="H25" i="14" s="1"/>
  <c r="I25" i="14" a="1"/>
  <c r="I25" i="14" s="1"/>
  <c r="J25" i="14" a="1"/>
  <c r="J25" i="14" s="1"/>
  <c r="H26" i="14" a="1"/>
  <c r="H26" i="14" s="1"/>
  <c r="I26" i="14" a="1"/>
  <c r="I26" i="14" s="1"/>
  <c r="J26" i="14" a="1"/>
  <c r="J26" i="14" s="1"/>
  <c r="H27" i="14" a="1"/>
  <c r="H27" i="14" s="1"/>
  <c r="I27" i="14" a="1"/>
  <c r="I27" i="14"/>
  <c r="J27" i="14" a="1"/>
  <c r="J27" i="14" s="1"/>
  <c r="H28" i="14" a="1"/>
  <c r="H28" i="14" s="1"/>
  <c r="I28" i="14" a="1"/>
  <c r="I28" i="14" s="1"/>
  <c r="J28" i="14" a="1"/>
  <c r="J28" i="14" s="1"/>
  <c r="G26" i="14" a="1"/>
  <c r="G26" i="14" s="1"/>
  <c r="G27" i="14" a="1"/>
  <c r="G27" i="14" s="1"/>
  <c r="G28" i="14" a="1"/>
  <c r="G28" i="14" s="1"/>
  <c r="G25" i="14" a="1"/>
  <c r="G25" i="14" s="1"/>
  <c r="G188" i="14" a="1"/>
  <c r="G188" i="14" s="1"/>
  <c r="G186" i="14" a="1"/>
  <c r="G186" i="14" s="1"/>
  <c r="G163" i="14" a="1"/>
  <c r="G163" i="14" s="1"/>
  <c r="G161" i="14" a="1"/>
  <c r="G161" i="14" s="1"/>
  <c r="K145" i="14" a="1"/>
  <c r="K145" i="14" s="1"/>
  <c r="I133" i="14" a="1"/>
  <c r="I133" i="14" s="1"/>
  <c r="H133" i="14" a="1"/>
  <c r="H133" i="14" s="1"/>
  <c r="I132" i="14"/>
  <c r="H132" i="14"/>
  <c r="K113" i="14" a="1"/>
  <c r="K113" i="14" s="1"/>
  <c r="G79" i="14" a="1"/>
  <c r="G79" i="14" s="1"/>
  <c r="H94" i="14"/>
  <c r="I94" i="14" s="1"/>
  <c r="J94" i="14" s="1"/>
  <c r="K94" i="14" s="1"/>
  <c r="L94" i="14" s="1"/>
  <c r="I39" i="14"/>
  <c r="J39" i="14"/>
  <c r="K39" i="14"/>
  <c r="L39" i="14"/>
  <c r="M39" i="14"/>
  <c r="N39" i="14"/>
  <c r="H39" i="14"/>
  <c r="B6" i="14"/>
  <c r="I4" i="14"/>
  <c r="A1" i="14"/>
  <c r="H29" i="12" a="1"/>
  <c r="H29" i="12" s="1"/>
  <c r="H120" i="12" a="1"/>
  <c r="H120" i="12" s="1"/>
  <c r="H118" i="12" a="1"/>
  <c r="H118" i="12" s="1"/>
  <c r="H116" i="12"/>
  <c r="F75" i="12"/>
  <c r="F83" i="12" s="1"/>
  <c r="F91" i="12" s="1"/>
  <c r="F74" i="12"/>
  <c r="F82" i="12" s="1"/>
  <c r="F90" i="12" s="1"/>
  <c r="G67" i="12"/>
  <c r="G74" i="12" s="1"/>
  <c r="I163" i="14"/>
  <c r="I161" i="14"/>
  <c r="I79" i="14"/>
  <c r="I103" i="14"/>
  <c r="I57" i="14"/>
  <c r="G85" i="12"/>
  <c r="I55" i="14"/>
  <c r="J29" i="12"/>
  <c r="J118" i="12"/>
  <c r="H135" i="14"/>
  <c r="J120" i="12"/>
  <c r="I188" i="14"/>
  <c r="J116" i="12"/>
  <c r="I186" i="14"/>
  <c r="G93" i="12"/>
  <c r="G77" i="12"/>
  <c r="G55" i="14" l="1" a="1"/>
  <c r="G55" i="14" s="1"/>
  <c r="B31" i="14"/>
  <c r="G57" i="14"/>
  <c r="H66" i="14" a="1"/>
  <c r="H66" i="14" s="1"/>
  <c r="F79" i="14" s="1" a="1"/>
  <c r="F79" i="14" s="1"/>
  <c r="M94" i="14"/>
  <c r="H74" i="12"/>
  <c r="I74" i="12" s="1"/>
  <c r="G82" i="12"/>
  <c r="H67" i="12"/>
  <c r="I67" i="12" s="1"/>
  <c r="J67" i="12" s="1"/>
  <c r="K67" i="12" s="1"/>
  <c r="B60" i="14" l="1"/>
  <c r="B88" i="14" s="1"/>
  <c r="B106" i="14" s="1"/>
  <c r="N94" i="14"/>
  <c r="G90" i="12"/>
  <c r="G91" i="12" s="1"/>
  <c r="G83" i="12" a="1"/>
  <c r="G83" i="12" s="1"/>
  <c r="H82" i="12"/>
  <c r="H75" i="12"/>
  <c r="G75" i="12"/>
  <c r="J74" i="12"/>
  <c r="I75" i="12"/>
  <c r="I82" i="12"/>
  <c r="B138" i="14" l="1"/>
  <c r="B167" i="14" s="1"/>
  <c r="O94" i="14"/>
  <c r="H83" i="12" a="1"/>
  <c r="H83" i="12" s="1"/>
  <c r="H90" i="12"/>
  <c r="H91" i="12" s="1"/>
  <c r="I83" i="12" a="1"/>
  <c r="I83" i="12" s="1"/>
  <c r="I90" i="12"/>
  <c r="I91" i="12" s="1"/>
  <c r="K74" i="12"/>
  <c r="J75" i="12"/>
  <c r="J82" i="12"/>
  <c r="H58" i="12" a="1"/>
  <c r="H58" i="12" s="1"/>
  <c r="H56" i="12" a="1"/>
  <c r="H56" i="12" s="1"/>
  <c r="H54" i="12" a="1"/>
  <c r="H54" i="12" s="1"/>
  <c r="F52" i="12"/>
  <c r="H24" i="12" a="1"/>
  <c r="H24" i="12" s="1"/>
  <c r="H22" i="12" a="1"/>
  <c r="H22" i="12" s="1"/>
  <c r="H20" i="12" a="1"/>
  <c r="H20" i="12" s="1"/>
  <c r="F18" i="12"/>
  <c r="B6" i="12"/>
  <c r="B34" i="12" s="1"/>
  <c r="B61" i="12" s="1"/>
  <c r="I4" i="12"/>
  <c r="A1" i="12"/>
  <c r="J54" i="12"/>
  <c r="J56" i="12"/>
  <c r="J22" i="12"/>
  <c r="J58" i="12"/>
  <c r="J24" i="12"/>
  <c r="J20" i="12"/>
  <c r="P94" i="14" l="1"/>
  <c r="Q94" i="14" s="1"/>
  <c r="R94" i="14" s="1"/>
  <c r="S94" i="14" s="1"/>
  <c r="G103" i="14" s="1"/>
  <c r="B96" i="12"/>
  <c r="J83" i="12" a="1"/>
  <c r="J83" i="12" s="1"/>
  <c r="J90" i="12"/>
  <c r="J91" i="12" s="1"/>
  <c r="L74" i="12"/>
  <c r="K75" i="12"/>
  <c r="K82" i="12"/>
  <c r="H101" i="14" l="1" a="1"/>
  <c r="H101" i="14" s="1"/>
  <c r="K83" i="12" a="1"/>
  <c r="K83" i="12" s="1"/>
  <c r="K90" i="12"/>
  <c r="K91" i="12" s="1"/>
  <c r="M74" i="12"/>
  <c r="L75" i="12"/>
  <c r="L82" i="12"/>
  <c r="L83" i="12" l="1" a="1"/>
  <c r="L83" i="12" s="1"/>
  <c r="L90" i="12"/>
  <c r="L91" i="12" s="1"/>
  <c r="N74" i="12"/>
  <c r="M75" i="12"/>
  <c r="M82" i="12"/>
  <c r="M83" i="12" l="1" a="1"/>
  <c r="M83" i="12" s="1"/>
  <c r="M90" i="12"/>
  <c r="M91" i="12" s="1"/>
  <c r="O74" i="12"/>
  <c r="N75" i="12"/>
  <c r="N82" i="12"/>
  <c r="N83" i="12" l="1" a="1"/>
  <c r="N83" i="12" s="1"/>
  <c r="N90" i="12"/>
  <c r="N91" i="12" s="1"/>
  <c r="P74" i="12"/>
  <c r="O75" i="12"/>
  <c r="O82" i="12"/>
  <c r="O83" i="12" l="1" a="1"/>
  <c r="O83" i="12" s="1"/>
  <c r="O90" i="12"/>
  <c r="O91" i="12" s="1"/>
  <c r="P82" i="12"/>
  <c r="P75" i="12"/>
  <c r="P83" i="12" l="1" a="1"/>
  <c r="P83" i="12" s="1"/>
  <c r="P90" i="12"/>
  <c r="P91" i="12" s="1"/>
  <c r="A1" i="5" l="1"/>
  <c r="I37" i="4" l="1"/>
  <c r="A1" i="2" l="1"/>
  <c r="E17" i="5"/>
  <c r="I17" i="5"/>
  <c r="B6" i="5"/>
  <c r="A1" i="4"/>
  <c r="K74" i="4"/>
  <c r="K72" i="4"/>
  <c r="K70" i="4"/>
  <c r="I70" i="4"/>
  <c r="K68" i="4"/>
  <c r="I68" i="4"/>
  <c r="K66" i="4"/>
  <c r="K64" i="4"/>
  <c r="K62" i="4"/>
  <c r="K60" i="4"/>
  <c r="K53" i="4"/>
  <c r="K51" i="4"/>
  <c r="K49" i="4"/>
  <c r="I47" i="4"/>
  <c r="K45" i="4"/>
  <c r="K43" i="4"/>
  <c r="K41" i="4"/>
  <c r="I41" i="4"/>
  <c r="I49" i="4" s="1"/>
  <c r="K37" i="4"/>
  <c r="K35" i="4"/>
  <c r="K33" i="4"/>
  <c r="K31" i="4"/>
  <c r="K29" i="4"/>
  <c r="I29" i="4"/>
  <c r="K27" i="4"/>
  <c r="I20" i="4"/>
  <c r="I18" i="4"/>
  <c r="I16" i="4"/>
  <c r="I15" i="4"/>
  <c r="I14" i="4"/>
  <c r="I13" i="4"/>
  <c r="I11" i="4"/>
  <c r="I10" i="4"/>
  <c r="B6" i="4"/>
  <c r="B23" i="4" s="1"/>
  <c r="C5" i="1"/>
  <c r="G11" i="2"/>
  <c r="A2" i="15" s="1"/>
  <c r="B6" i="2"/>
  <c r="B15" i="2" s="1"/>
  <c r="A2" i="12" l="1"/>
  <c r="A2" i="14"/>
  <c r="F4" i="5"/>
  <c r="I4" i="2"/>
  <c r="G4" i="3"/>
  <c r="I4" i="4"/>
  <c r="A2" i="2"/>
  <c r="A2" i="5"/>
  <c r="B56" i="4"/>
  <c r="A2" i="4"/>
  <c r="A2" i="3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<sst xmlns="http://schemas.openxmlformats.org/spreadsheetml/2006/main" count="291" uniqueCount="187">
  <si>
    <t>Model Parameters</t>
  </si>
  <si>
    <t>Navigator</t>
  </si>
  <si>
    <t>Error Checks:</t>
  </si>
  <si>
    <t>General</t>
  </si>
  <si>
    <t>Key Inputs</t>
  </si>
  <si>
    <t>Model Name</t>
  </si>
  <si>
    <t>Client Name</t>
  </si>
  <si>
    <t>General Range Names</t>
  </si>
  <si>
    <t>Technical Assumptions</t>
  </si>
  <si>
    <t>Days in Year</t>
  </si>
  <si>
    <t>Months in Month</t>
  </si>
  <si>
    <t>Months in Quarter</t>
  </si>
  <si>
    <t>Months in Half Yr</t>
  </si>
  <si>
    <t>Months in Year</t>
  </si>
  <si>
    <t>Quarters in Year</t>
  </si>
  <si>
    <t>Rounding Accuracy</t>
  </si>
  <si>
    <t>Very Large Number</t>
  </si>
  <si>
    <t>Very Small Number</t>
  </si>
  <si>
    <t>Thousand</t>
  </si>
  <si>
    <t>Primary Developer:  Liam Bastick</t>
  </si>
  <si>
    <t>General Cover Notes:</t>
  </si>
  <si>
    <t>Any queries, please e-mail:</t>
  </si>
  <si>
    <t>liam.bastick@sumproduct.com</t>
  </si>
  <si>
    <t>Website:</t>
  </si>
  <si>
    <t>www.sumproduct.com</t>
  </si>
  <si>
    <t>Table of Contents</t>
  </si>
  <si>
    <t>Cover</t>
  </si>
  <si>
    <t>Style Guide</t>
  </si>
  <si>
    <t>Formatting of Headers / Dividers</t>
  </si>
  <si>
    <t>Description</t>
  </si>
  <si>
    <t>Display</t>
  </si>
  <si>
    <t>Style Name</t>
  </si>
  <si>
    <t>Sheet Title</t>
  </si>
  <si>
    <t>Header 1</t>
  </si>
  <si>
    <t>Header 2</t>
  </si>
  <si>
    <t>Header 3</t>
  </si>
  <si>
    <t>Header 4</t>
  </si>
  <si>
    <t>Notes</t>
  </si>
  <si>
    <t>Table Heading</t>
  </si>
  <si>
    <t>Individual Cell Styles</t>
  </si>
  <si>
    <t>Assumption</t>
  </si>
  <si>
    <t>Constraint</t>
  </si>
  <si>
    <t>Empty</t>
  </si>
  <si>
    <t>Error Check</t>
  </si>
  <si>
    <t>Hyperlink</t>
  </si>
  <si>
    <t>Internal Reference</t>
  </si>
  <si>
    <t>Line Calculation</t>
  </si>
  <si>
    <t>Line Calc</t>
  </si>
  <si>
    <t>Line Total</t>
  </si>
  <si>
    <t>Parameter</t>
  </si>
  <si>
    <t>Range Name Description</t>
  </si>
  <si>
    <t>Not_Named</t>
  </si>
  <si>
    <t>Row Reference</t>
  </si>
  <si>
    <t>Row Ref</t>
  </si>
  <si>
    <t>Row Summary</t>
  </si>
  <si>
    <t>Units</t>
  </si>
  <si>
    <t>WIP</t>
  </si>
  <si>
    <t>Numerical Styles</t>
  </si>
  <si>
    <t>Comma</t>
  </si>
  <si>
    <t>Comma [0]</t>
  </si>
  <si>
    <t>Currency</t>
  </si>
  <si>
    <t>Currency [0]</t>
  </si>
  <si>
    <t>Date</t>
  </si>
  <si>
    <t>Date Heading</t>
  </si>
  <si>
    <t>Numbers 0</t>
  </si>
  <si>
    <t>Percent</t>
  </si>
  <si>
    <t>Error Checks</t>
  </si>
  <si>
    <t>Summary of Errors</t>
  </si>
  <si>
    <t>Assumptions</t>
  </si>
  <si>
    <t>Example</t>
  </si>
  <si>
    <t>A$</t>
  </si>
  <si>
    <t>SumProduct Pty Limited</t>
  </si>
  <si>
    <t>HLOOKUP Replacement</t>
  </si>
  <si>
    <t>Data</t>
  </si>
  <si>
    <t>Student</t>
  </si>
  <si>
    <t>ID No.</t>
  </si>
  <si>
    <t>Graham</t>
  </si>
  <si>
    <t>Alice</t>
  </si>
  <si>
    <t>Mitch</t>
  </si>
  <si>
    <t>Wendy</t>
  </si>
  <si>
    <t>Xiu</t>
  </si>
  <si>
    <t>Brian</t>
  </si>
  <si>
    <t>Toby</t>
  </si>
  <si>
    <t>Solution</t>
  </si>
  <si>
    <t>XLOOKUP</t>
  </si>
  <si>
    <t>HLOOKUP</t>
  </si>
  <si>
    <r>
      <rPr>
        <b/>
        <sz val="9"/>
        <color theme="1"/>
        <rFont val="Arial"/>
        <family val="2"/>
      </rPr>
      <t>HLOOKUP</t>
    </r>
    <r>
      <rPr>
        <sz val="9"/>
        <color theme="1"/>
        <rFont val="Arial"/>
        <family val="2"/>
      </rPr>
      <t xml:space="preserve"> (3 args)</t>
    </r>
  </si>
  <si>
    <r>
      <rPr>
        <b/>
        <sz val="9"/>
        <color theme="1"/>
        <rFont val="Arial"/>
        <family val="2"/>
      </rPr>
      <t>HLOOKUP</t>
    </r>
    <r>
      <rPr>
        <sz val="9"/>
        <color theme="1"/>
        <rFont val="Arial"/>
        <family val="2"/>
      </rPr>
      <t xml:space="preserve"> (4 args)</t>
    </r>
  </si>
  <si>
    <t>VLOOKUP Replacement</t>
  </si>
  <si>
    <t>ID</t>
  </si>
  <si>
    <t>LOOKUP Replacement</t>
  </si>
  <si>
    <t>Year</t>
  </si>
  <si>
    <t>CPI</t>
  </si>
  <si>
    <t>LOOKUP Solution</t>
  </si>
  <si>
    <t>XLOOKUP Solution</t>
  </si>
  <si>
    <t>LOOKUP with IF Solution</t>
  </si>
  <si>
    <t>Where LOOKUP Wins</t>
  </si>
  <si>
    <t>Numbers</t>
  </si>
  <si>
    <t>Letters</t>
  </si>
  <si>
    <t>A</t>
  </si>
  <si>
    <t>B</t>
  </si>
  <si>
    <t>C</t>
  </si>
  <si>
    <t>D</t>
  </si>
  <si>
    <t>E</t>
  </si>
  <si>
    <t>Letter Chosen</t>
  </si>
  <si>
    <t>Corresponding Number</t>
  </si>
  <si>
    <t>LOOKUP</t>
  </si>
  <si>
    <t>XLOOKUP Correct</t>
  </si>
  <si>
    <t>No thank you</t>
  </si>
  <si>
    <t>Ha ha</t>
  </si>
  <si>
    <t>Selecting a Vector</t>
  </si>
  <si>
    <t>Maths</t>
  </si>
  <si>
    <t>English</t>
  </si>
  <si>
    <t>Physics</t>
  </si>
  <si>
    <t>Chemistry</t>
  </si>
  <si>
    <t>Biology</t>
  </si>
  <si>
    <t>Astrology</t>
  </si>
  <si>
    <t>Russian Literature</t>
  </si>
  <si>
    <t>Exam Marks</t>
  </si>
  <si>
    <t>Subject</t>
  </si>
  <si>
    <t>Result</t>
  </si>
  <si>
    <t>Alternative</t>
  </si>
  <si>
    <t>Creating Mini-Ranges</t>
  </si>
  <si>
    <t>Month</t>
  </si>
  <si>
    <t>Sales</t>
  </si>
  <si>
    <t>Start Month</t>
  </si>
  <si>
    <t>End Month</t>
  </si>
  <si>
    <t>Total Sales</t>
  </si>
  <si>
    <t>Vector Lookups</t>
  </si>
  <si>
    <t>Q1</t>
  </si>
  <si>
    <t>Q2</t>
  </si>
  <si>
    <t>Q3</t>
  </si>
  <si>
    <t>Q4</t>
  </si>
  <si>
    <t>Quarter</t>
  </si>
  <si>
    <t>Searching from the End</t>
  </si>
  <si>
    <t>Customer</t>
  </si>
  <si>
    <t>Payment</t>
  </si>
  <si>
    <t>Charlie</t>
  </si>
  <si>
    <t>Fred</t>
  </si>
  <si>
    <t>Bo</t>
  </si>
  <si>
    <t>Eric</t>
  </si>
  <si>
    <t>Duane</t>
  </si>
  <si>
    <t>Last Payment</t>
  </si>
  <si>
    <t>Exact Matches</t>
  </si>
  <si>
    <t>Label</t>
  </si>
  <si>
    <t>Amount</t>
  </si>
  <si>
    <t>SumProduct</t>
  </si>
  <si>
    <t>Sum Product</t>
  </si>
  <si>
    <t xml:space="preserve">SumProduct </t>
  </si>
  <si>
    <t>Some Product</t>
  </si>
  <si>
    <t xml:space="preserve">sumproduct </t>
  </si>
  <si>
    <t xml:space="preserve">sumProduct </t>
  </si>
  <si>
    <t xml:space="preserve">SumproducT </t>
  </si>
  <si>
    <t>Different</t>
  </si>
  <si>
    <t>Selection</t>
  </si>
  <si>
    <t>First Match</t>
  </si>
  <si>
    <t>Last Match</t>
  </si>
  <si>
    <t>Wildcards</t>
  </si>
  <si>
    <t>Item</t>
  </si>
  <si>
    <t>John</t>
  </si>
  <si>
    <t>Jon</t>
  </si>
  <si>
    <t>Jonathan</t>
  </si>
  <si>
    <t>Jonathon</t>
  </si>
  <si>
    <t>Johnny</t>
  </si>
  <si>
    <t>Jonny</t>
  </si>
  <si>
    <t>First Result</t>
  </si>
  <si>
    <t>Last Result</t>
  </si>
  <si>
    <t>Unused</t>
  </si>
  <si>
    <t>Replacing the LOOKUP Family</t>
  </si>
  <si>
    <t>New Features for XLOOKUP</t>
  </si>
  <si>
    <t>J?n*n*</t>
  </si>
  <si>
    <t>Be advised: these formulae may not work in your version of Excel.</t>
  </si>
  <si>
    <t>Approximate Matches</t>
  </si>
  <si>
    <t>Letter</t>
  </si>
  <si>
    <t>Value</t>
  </si>
  <si>
    <t>Search Value</t>
  </si>
  <si>
    <t>Match Mode</t>
  </si>
  <si>
    <t>Search Mode</t>
  </si>
  <si>
    <r>
      <rPr>
        <b/>
        <sz val="9"/>
        <color theme="1"/>
        <rFont val="Arial"/>
        <family val="2"/>
      </rPr>
      <t>VLOOKUP</t>
    </r>
    <r>
      <rPr>
        <sz val="9"/>
        <color theme="1"/>
        <rFont val="Arial"/>
        <family val="2"/>
      </rPr>
      <t xml:space="preserve"> (3 args)</t>
    </r>
  </si>
  <si>
    <r>
      <rPr>
        <b/>
        <sz val="9"/>
        <color theme="1"/>
        <rFont val="Arial"/>
        <family val="2"/>
      </rPr>
      <t>VLOOKUP</t>
    </r>
    <r>
      <rPr>
        <sz val="9"/>
        <color theme="1"/>
        <rFont val="Arial"/>
        <family val="2"/>
      </rPr>
      <t xml:space="preserve"> (4 args)</t>
    </r>
  </si>
  <si>
    <t>XMATCH</t>
  </si>
  <si>
    <t>Values</t>
  </si>
  <si>
    <t>Results</t>
  </si>
  <si>
    <t>lookup_value</t>
  </si>
  <si>
    <t>match_mode</t>
  </si>
  <si>
    <t>search_mode</t>
  </si>
  <si>
    <r>
      <t xml:space="preserve">Simple examples of the new </t>
    </r>
    <r>
      <rPr>
        <b/>
        <sz val="10"/>
        <color theme="8" tint="-0.499984740745262"/>
        <rFont val="Calibri"/>
        <family val="2"/>
      </rPr>
      <t>XLOOKUP</t>
    </r>
    <r>
      <rPr>
        <sz val="10"/>
        <color theme="8" tint="-0.499984740745262"/>
        <rFont val="Calibri"/>
        <family val="2"/>
        <scheme val="minor"/>
      </rPr>
      <t xml:space="preserve"> and </t>
    </r>
    <r>
      <rPr>
        <b/>
        <sz val="10"/>
        <color theme="8" tint="-0.499984740745262"/>
        <rFont val="Calibri"/>
        <family val="2"/>
        <scheme val="minor"/>
      </rPr>
      <t>XMATCH</t>
    </r>
    <r>
      <rPr>
        <sz val="10"/>
        <color theme="8" tint="-0.499984740745262"/>
        <rFont val="Calibri"/>
        <family val="2"/>
        <scheme val="minor"/>
      </rPr>
      <t xml:space="preserve"> functions.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</si>
</sst>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41" formatCode="_-* #,##0_-;\-* #,##0_-;_-* &quot;-&quot;_-;_-@_-"/>
    <numFmt numFmtId="43" formatCode="_-* #,##0.00_-;\-* #,##0.00_-;_-* &quot;-&quot;??_-;_-@_-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&quot;ý&quot;;&quot;ý&quot;;&quot;þ&quot;"/>
    <numFmt numFmtId="167" formatCode="#,##0&quot;.&quot;"/>
    <numFmt numFmtId="168" formatCode="0.E+00"/>
    <numFmt numFmtId="169" formatCode=";;;"/>
    <numFmt numFmtId="170" formatCode="_(#,##0_);[Red]\(#,##0\);_(\-_);"/>
    <numFmt numFmtId="171" formatCode="_(&quot;$&quot;#,##0.0_);\(&quot;$&quot;#,##0.0\);_(&quot;-&quot;_)"/>
    <numFmt numFmtId="172" formatCode="_(#,##0.0_);\(#,##0.0\);_(&quot;-&quot;_)"/>
    <numFmt numFmtId="173" formatCode="&quot;Row &quot;###0"/>
    <numFmt numFmtId="174" formatCode="#,##0."/>
    <numFmt numFmtId="175" formatCode="_(#,##0_);\(#,##0\);_(\-_)"/>
    <numFmt numFmtId="176" formatCode="_(#,##0.00_);\(#,##0.00\);_(\-_._0_0_)"/>
    <numFmt numFmtId="177" formatCode="&quot;$&quot;* _(#,##0.00_);&quot;$&quot;* \(#,##0.00\);&quot;$&quot;* _(\-_._0_0_)"/>
    <numFmt numFmtId="178" formatCode="&quot;$&quot;* _(#,##0_);&quot;$&quot;* \(#,##0\);&quot;$&quot;* _(\-_)"/>
    <numFmt numFmtId="179" formatCode="[$-C09]dd\ mmm\ yy;@"/>
    <numFmt numFmtId="180" formatCode="mmm\ yy"/>
    <numFmt numFmtId="181" formatCode="[$-C09]d\ mmm\ yy;@"/>
    <numFmt numFmtId="182" formatCode="0\+"/>
    <numFmt numFmtId="183" formatCode="d\ mmm\ yy"/>
  </numFmts>
  <fonts count="3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Wingdings"/>
      <charset val="2"/>
    </font>
    <font>
      <i/>
      <sz val="11"/>
      <color theme="0" tint="-0.34998626667073579"/>
      <name val="Calibri"/>
      <family val="2"/>
      <scheme val="minor"/>
    </font>
    <font>
      <b/>
      <u/>
      <sz val="8"/>
      <color indexed="56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i/>
      <sz val="11"/>
      <color theme="0" tint="-0.499984740745262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16"/>
      <color theme="8" tint="-0.499984740745262"/>
      <name val="Arial"/>
      <family val="2"/>
    </font>
    <font>
      <sz val="14"/>
      <color theme="8" tint="-0.499984740745262"/>
      <name val="Arial"/>
      <family val="2"/>
    </font>
    <font>
      <b/>
      <sz val="12"/>
      <color theme="0"/>
      <name val="Arial"/>
      <family val="2"/>
    </font>
    <font>
      <b/>
      <sz val="13"/>
      <color theme="8" tint="-0.499984740745262"/>
      <name val="Arial"/>
      <family val="2"/>
    </font>
    <font>
      <b/>
      <sz val="11"/>
      <color theme="1"/>
      <name val="Arial"/>
      <family val="2"/>
    </font>
    <font>
      <b/>
      <sz val="11"/>
      <color theme="3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sz val="18"/>
      <color theme="3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8" tint="-0.499984740745262"/>
      <name val="Arial"/>
      <family val="2"/>
    </font>
    <font>
      <sz val="9"/>
      <color theme="0" tint="-0.499984740745262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i/>
      <sz val="9"/>
      <color theme="8" tint="-0.499984740745262"/>
      <name val="Arial"/>
      <family val="2"/>
    </font>
    <font>
      <sz val="9"/>
      <color theme="8" tint="0.39988402966399123"/>
      <name val="Arial"/>
      <family val="2"/>
    </font>
    <font>
      <sz val="9"/>
      <color rgb="FFFF0000"/>
      <name val="Arial"/>
      <family val="2"/>
    </font>
    <font>
      <i/>
      <sz val="8"/>
      <color rgb="FFFF0000"/>
      <name val="Arial"/>
      <family val="2"/>
    </font>
    <font>
      <sz val="9"/>
      <color theme="0"/>
      <name val="Arial"/>
      <family val="2"/>
    </font>
    <font>
      <b/>
      <sz val="9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8" tint="-0.499984740745262"/>
      <name val="Calibri"/>
      <family val="2"/>
    </font>
    <font>
      <b/>
      <sz val="6.3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gray125">
        <fgColor theme="8" tint="-0.499984740745262"/>
        <bgColor theme="8" tint="0.5999633777886288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4" fillId="0" borderId="0" applyNumberFormat="0" applyFill="0" applyBorder="0" applyProtection="0"/>
    <xf numFmtId="0" fontId="27" fillId="0" borderId="0" applyNumberFormat="0" applyFill="0" applyBorder="0">
      <alignment horizontal="left"/>
      <protection locked="0"/>
    </xf>
    <xf numFmtId="0" fontId="15" fillId="0" borderId="0" applyNumberFormat="0" applyFill="0" applyBorder="0" applyProtection="0"/>
    <xf numFmtId="0" fontId="16" fillId="3" borderId="1" applyNumberFormat="0" applyProtection="0"/>
    <xf numFmtId="0" fontId="17" fillId="0" borderId="0" applyNumberFormat="0" applyFill="0" applyAlignment="0" applyProtection="0"/>
    <xf numFmtId="0" fontId="18" fillId="0" borderId="0" applyNumberFormat="0" applyFill="0" applyAlignment="0" applyProtection="0"/>
    <xf numFmtId="0" fontId="26" fillId="0" borderId="3" applyNumberFormat="0" applyAlignment="0">
      <alignment horizontal="center"/>
    </xf>
    <xf numFmtId="0" fontId="25" fillId="4" borderId="4" applyNumberFormat="0" applyAlignment="0">
      <protection locked="0"/>
    </xf>
    <xf numFmtId="0" fontId="3" fillId="0" borderId="0" applyNumberFormat="0" applyFill="0" applyBorder="0"/>
    <xf numFmtId="181" fontId="23" fillId="0" borderId="0" applyFill="0" applyBorder="0" applyProtection="0">
      <alignment horizontal="center"/>
    </xf>
    <xf numFmtId="180" fontId="24" fillId="0" borderId="0" applyFill="0" applyBorder="0" applyProtection="0">
      <alignment horizontal="center"/>
    </xf>
    <xf numFmtId="169" fontId="9" fillId="5" borderId="4" applyAlignment="0"/>
    <xf numFmtId="166" fontId="2" fillId="2" borderId="2">
      <alignment horizontal="center"/>
      <protection locked="0"/>
    </xf>
    <xf numFmtId="0" fontId="4" fillId="0" borderId="0" applyFill="0" applyBorder="0">
      <alignment horizontal="left" vertical="center"/>
      <protection locked="0"/>
    </xf>
    <xf numFmtId="41" fontId="28" fillId="6" borderId="5" applyNumberFormat="0" applyAlignment="0"/>
    <xf numFmtId="41" fontId="1" fillId="0" borderId="6" applyNumberFormat="0" applyFont="0" applyFill="0" applyAlignment="0"/>
    <xf numFmtId="170" fontId="1" fillId="0" borderId="7" applyNumberFormat="0" applyFont="0" applyFill="0" applyAlignment="0" applyProtection="0"/>
    <xf numFmtId="0" fontId="6" fillId="0" borderId="0"/>
    <xf numFmtId="0" fontId="32" fillId="0" borderId="8" applyNumberFormat="0" applyFill="0" applyBorder="0"/>
    <xf numFmtId="170" fontId="1" fillId="0" borderId="0" applyFont="0" applyFill="0" applyBorder="0" applyAlignment="0" applyProtection="0"/>
    <xf numFmtId="0" fontId="28" fillId="7" borderId="2" applyNumberFormat="0" applyAlignment="0" applyProtection="0"/>
    <xf numFmtId="0" fontId="7" fillId="0" borderId="0" applyNumberFormat="0" applyFill="0" applyBorder="0" applyAlignment="0" applyProtection="0"/>
    <xf numFmtId="171" fontId="8" fillId="0" borderId="0" applyFill="0" applyBorder="0">
      <alignment horizontal="right" vertical="center"/>
    </xf>
    <xf numFmtId="172" fontId="8" fillId="0" borderId="0" applyFill="0" applyBorder="0">
      <alignment horizontal="right" vertical="center"/>
    </xf>
    <xf numFmtId="173" fontId="29" fillId="7" borderId="4">
      <alignment horizontal="center"/>
    </xf>
    <xf numFmtId="41" fontId="5" fillId="8" borderId="5" applyFont="0" applyAlignment="0"/>
    <xf numFmtId="0" fontId="13" fillId="11" borderId="0" applyNumberFormat="0">
      <alignment horizontal="center"/>
    </xf>
    <xf numFmtId="0" fontId="30" fillId="0" borderId="0" applyNumberFormat="0" applyFill="0" applyBorder="0" applyProtection="0"/>
    <xf numFmtId="0" fontId="31" fillId="9" borderId="9" applyNumberFormat="0" applyAlignment="0">
      <protection locked="0"/>
    </xf>
    <xf numFmtId="0" fontId="22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10" applyNumberFormat="0" applyFill="0" applyAlignment="0" applyProtection="0"/>
    <xf numFmtId="0" fontId="19" fillId="0" borderId="11" applyNumberFormat="0" applyFill="0" applyAlignment="0" applyProtection="0"/>
    <xf numFmtId="0" fontId="18" fillId="0" borderId="12" applyNumberFormat="0" applyFill="0" applyAlignment="0" applyProtection="0"/>
    <xf numFmtId="174" fontId="16" fillId="3" borderId="1"/>
  </cellStyleXfs>
  <cellXfs count="80">
    <xf numFmtId="0" fontId="0" fillId="0" borderId="0" xfId="0"/>
    <xf numFmtId="166" fontId="2" fillId="2" borderId="2" xfId="0" applyNumberFormat="1" applyFont="1" applyFill="1" applyBorder="1" applyAlignment="1" applyProtection="1">
      <alignment horizontal="center"/>
      <protection locked="0"/>
    </xf>
    <xf numFmtId="0" fontId="16" fillId="3" borderId="1" xfId="10"/>
    <xf numFmtId="0" fontId="17" fillId="0" borderId="0" xfId="11"/>
    <xf numFmtId="0" fontId="18" fillId="0" borderId="0" xfId="12"/>
    <xf numFmtId="0" fontId="26" fillId="0" borderId="3" xfId="13">
      <alignment horizontal="center"/>
    </xf>
    <xf numFmtId="168" fontId="26" fillId="0" borderId="3" xfId="13" applyNumberFormat="1">
      <alignment horizontal="center"/>
    </xf>
    <xf numFmtId="0" fontId="9" fillId="0" borderId="0" xfId="0" applyFont="1"/>
    <xf numFmtId="0" fontId="10" fillId="0" borderId="0" xfId="12" applyFont="1" applyAlignment="1">
      <alignment horizontal="left" vertical="center"/>
    </xf>
    <xf numFmtId="0" fontId="11" fillId="0" borderId="0" xfId="0" applyFont="1"/>
    <xf numFmtId="0" fontId="11" fillId="0" borderId="0" xfId="6" applyFont="1" applyAlignment="1">
      <alignment horizontal="left" vertical="center"/>
    </xf>
    <xf numFmtId="0" fontId="27" fillId="0" borderId="0" xfId="8">
      <alignment horizontal="left"/>
      <protection locked="0"/>
    </xf>
    <xf numFmtId="0" fontId="27" fillId="0" borderId="0" xfId="8" applyAlignment="1">
      <alignment horizontal="right"/>
      <protection locked="0"/>
    </xf>
    <xf numFmtId="0" fontId="13" fillId="11" borderId="0" xfId="33">
      <alignment horizontal="center"/>
    </xf>
    <xf numFmtId="0" fontId="14" fillId="0" borderId="0" xfId="7"/>
    <xf numFmtId="0" fontId="12" fillId="0" borderId="0" xfId="0" applyFont="1" applyAlignment="1">
      <alignment horizontal="left"/>
    </xf>
    <xf numFmtId="0" fontId="15" fillId="0" borderId="0" xfId="9"/>
    <xf numFmtId="0" fontId="0" fillId="0" borderId="0" xfId="0" applyAlignment="1">
      <alignment horizontal="left"/>
    </xf>
    <xf numFmtId="0" fontId="19" fillId="0" borderId="0" xfId="6"/>
    <xf numFmtId="0" fontId="32" fillId="0" borderId="0" xfId="25" applyBorder="1"/>
    <xf numFmtId="0" fontId="25" fillId="4" borderId="4" xfId="14">
      <protection locked="0"/>
    </xf>
    <xf numFmtId="0" fontId="12" fillId="0" borderId="0" xfId="0" applyFont="1"/>
    <xf numFmtId="0" fontId="26" fillId="0" borderId="3" xfId="13" applyAlignment="1"/>
    <xf numFmtId="169" fontId="9" fillId="5" borderId="4" xfId="18"/>
    <xf numFmtId="166" fontId="2" fillId="2" borderId="2" xfId="19">
      <alignment horizontal="center"/>
      <protection locked="0"/>
    </xf>
    <xf numFmtId="0" fontId="28" fillId="6" borderId="5" xfId="21" applyNumberFormat="1"/>
    <xf numFmtId="0" fontId="0" fillId="0" borderId="6" xfId="22" applyNumberFormat="1" applyFont="1"/>
    <xf numFmtId="0" fontId="0" fillId="0" borderId="7" xfId="23" applyNumberFormat="1" applyFont="1"/>
    <xf numFmtId="0" fontId="28" fillId="7" borderId="2" xfId="27"/>
    <xf numFmtId="0" fontId="7" fillId="0" borderId="0" xfId="28"/>
    <xf numFmtId="173" fontId="29" fillId="7" borderId="4" xfId="31">
      <alignment horizontal="center"/>
    </xf>
    <xf numFmtId="41" fontId="0" fillId="8" borderId="5" xfId="32" applyFont="1"/>
    <xf numFmtId="0" fontId="30" fillId="0" borderId="0" xfId="34"/>
    <xf numFmtId="0" fontId="31" fillId="9" borderId="9" xfId="35">
      <protection locked="0"/>
    </xf>
    <xf numFmtId="170" fontId="0" fillId="0" borderId="0" xfId="26" applyFont="1"/>
    <xf numFmtId="9" fontId="0" fillId="0" borderId="0" xfId="5" applyFont="1"/>
    <xf numFmtId="166" fontId="2" fillId="10" borderId="2" xfId="0" applyNumberFormat="1" applyFont="1" applyFill="1" applyBorder="1" applyAlignment="1" applyProtection="1">
      <alignment horizontal="center"/>
      <protection locked="0"/>
    </xf>
    <xf numFmtId="180" fontId="24" fillId="0" borderId="0" xfId="17">
      <alignment horizontal="center"/>
    </xf>
    <xf numFmtId="0" fontId="3" fillId="0" borderId="0" xfId="15"/>
    <xf numFmtId="167" fontId="16" fillId="3" borderId="1" xfId="10" applyNumberFormat="1"/>
    <xf numFmtId="174" fontId="16" fillId="3" borderId="1" xfId="41"/>
    <xf numFmtId="175" fontId="0" fillId="0" borderId="0" xfId="2" applyNumberFormat="1" applyFont="1"/>
    <xf numFmtId="176" fontId="0" fillId="0" borderId="0" xfId="1" applyNumberFormat="1" applyFont="1"/>
    <xf numFmtId="177" fontId="0" fillId="0" borderId="0" xfId="3" applyNumberFormat="1" applyFont="1"/>
    <xf numFmtId="178" fontId="0" fillId="0" borderId="0" xfId="4" applyNumberFormat="1" applyFont="1"/>
    <xf numFmtId="179" fontId="23" fillId="0" borderId="0" xfId="16" applyNumberFormat="1">
      <alignment horizontal="center"/>
    </xf>
    <xf numFmtId="0" fontId="27" fillId="0" borderId="0" xfId="8">
      <alignment horizontal="left"/>
      <protection locked="0"/>
    </xf>
    <xf numFmtId="0" fontId="0" fillId="0" borderId="0" xfId="0"/>
    <xf numFmtId="0" fontId="13" fillId="11" borderId="0" xfId="33">
      <alignment horizontal="center"/>
    </xf>
    <xf numFmtId="0" fontId="27" fillId="0" borderId="0" xfId="8">
      <alignment horizontal="left"/>
      <protection locked="0"/>
    </xf>
    <xf numFmtId="0" fontId="0" fillId="0" borderId="0" xfId="0"/>
    <xf numFmtId="0" fontId="13" fillId="11" borderId="0" xfId="33">
      <alignment horizontal="center"/>
    </xf>
    <xf numFmtId="0" fontId="25" fillId="4" borderId="4" xfId="14" applyAlignment="1">
      <alignment horizontal="center"/>
      <protection locked="0"/>
    </xf>
    <xf numFmtId="0" fontId="24" fillId="0" borderId="0" xfId="0" applyFont="1"/>
    <xf numFmtId="0" fontId="28" fillId="6" borderId="5" xfId="21" applyNumberFormat="1" applyAlignment="1">
      <alignment horizontal="center"/>
    </xf>
    <xf numFmtId="182" fontId="13" fillId="11" borderId="0" xfId="33" applyNumberFormat="1">
      <alignment horizontal="center"/>
    </xf>
    <xf numFmtId="9" fontId="25" fillId="4" borderId="4" xfId="14" applyNumberFormat="1" applyAlignment="1">
      <alignment horizontal="center"/>
      <protection locked="0"/>
    </xf>
    <xf numFmtId="9" fontId="28" fillId="7" borderId="2" xfId="27" applyNumberFormat="1" applyAlignment="1">
      <alignment horizontal="center"/>
    </xf>
    <xf numFmtId="0" fontId="28" fillId="7" borderId="2" xfId="27" applyAlignment="1">
      <alignment horizontal="center"/>
    </xf>
    <xf numFmtId="9" fontId="25" fillId="4" borderId="4" xfId="5" applyFont="1" applyFill="1" applyBorder="1" applyAlignment="1" applyProtection="1">
      <alignment horizontal="center"/>
      <protection locked="0"/>
    </xf>
    <xf numFmtId="9" fontId="28" fillId="7" borderId="2" xfId="5" applyFont="1" applyFill="1" applyBorder="1" applyAlignment="1">
      <alignment horizontal="center"/>
    </xf>
    <xf numFmtId="170" fontId="25" fillId="4" borderId="4" xfId="26" applyFont="1" applyFill="1" applyBorder="1" applyProtection="1">
      <protection locked="0"/>
    </xf>
    <xf numFmtId="180" fontId="13" fillId="11" borderId="0" xfId="33" applyNumberFormat="1">
      <alignment horizontal="center"/>
    </xf>
    <xf numFmtId="180" fontId="25" fillId="4" borderId="4" xfId="14" applyNumberFormat="1" applyAlignment="1">
      <alignment horizontal="center"/>
      <protection locked="0"/>
    </xf>
    <xf numFmtId="180" fontId="33" fillId="0" borderId="0" xfId="0" applyNumberFormat="1" applyFont="1"/>
    <xf numFmtId="0" fontId="33" fillId="0" borderId="0" xfId="0" applyFont="1"/>
    <xf numFmtId="170" fontId="34" fillId="7" borderId="2" xfId="27" applyNumberFormat="1" applyFont="1" applyAlignment="1" applyProtection="1">
      <alignment horizontal="center"/>
      <protection locked="0"/>
    </xf>
    <xf numFmtId="170" fontId="28" fillId="7" borderId="2" xfId="27" applyNumberFormat="1"/>
    <xf numFmtId="183" fontId="25" fillId="4" borderId="4" xfId="14" applyNumberFormat="1" applyAlignment="1">
      <alignment horizontal="center"/>
      <protection locked="0"/>
    </xf>
    <xf numFmtId="165" fontId="25" fillId="4" borderId="4" xfId="3" applyFont="1" applyFill="1" applyBorder="1" applyProtection="1">
      <protection locked="0"/>
    </xf>
    <xf numFmtId="0" fontId="11" fillId="0" borderId="0" xfId="6" applyFont="1" applyAlignment="1">
      <alignment horizontal="left" vertical="center"/>
    </xf>
    <xf numFmtId="0" fontId="35" fillId="0" borderId="0" xfId="6" applyFont="1" applyAlignment="1">
      <alignment horizontal="left" vertical="center"/>
    </xf>
    <xf numFmtId="0" fontId="27" fillId="0" borderId="0" xfId="8">
      <alignment horizontal="left"/>
      <protection locked="0"/>
    </xf>
    <xf numFmtId="0" fontId="0" fillId="0" borderId="0" xfId="0"/>
    <xf numFmtId="0" fontId="13" fillId="11" borderId="0" xfId="33">
      <alignment horizontal="center"/>
    </xf>
    <xf numFmtId="0" fontId="26" fillId="0" borderId="3" xfId="13" applyAlignment="1">
      <alignment horizontal="left"/>
    </xf>
    <xf numFmtId="0" fontId="25" fillId="4" borderId="4" xfId="14" applyAlignment="1">
      <alignment horizontal="left"/>
      <protection locked="0"/>
    </xf>
    <xf numFmtId="169" fontId="9" fillId="5" borderId="4" xfId="18"/>
    <xf numFmtId="0" fontId="37" fillId="11" borderId="0" xfId="33" applyFont="1" applyAlignment="1">
      <alignment horizontal="center" textRotation="90"/>
    </xf>
    <xf numFmtId="0" fontId="34" fillId="7" borderId="2" xfId="27" applyFont="1" applyAlignment="1">
      <alignment horizontal="center"/>
    </xf>
  </cellXfs>
  <cellStyles count="42">
    <cellStyle name="Accounts Ref" xfId="15" xr:uid="{00000000-0005-0000-0000-000000000000}"/>
    <cellStyle name="Assumption" xfId="14" xr:uid="{00000000-0005-0000-0000-000001000000}"/>
    <cellStyle name="Comma" xfId="1" builtinId="3"/>
    <cellStyle name="Comma [0]" xfId="2" builtinId="6"/>
    <cellStyle name="Constraint" xfId="13" xr:uid="{00000000-0005-0000-0000-000004000000}"/>
    <cellStyle name="Currency" xfId="3" builtinId="4"/>
    <cellStyle name="Currency [0]" xfId="4" builtinId="7"/>
    <cellStyle name="Date" xfId="16" xr:uid="{00000000-0005-0000-0000-000007000000}"/>
    <cellStyle name="Date Heading" xfId="17" xr:uid="{00000000-0005-0000-0000-000008000000}"/>
    <cellStyle name="Empty" xfId="18" xr:uid="{00000000-0005-0000-0000-000009000000}"/>
    <cellStyle name="Error_Checks" xfId="19" xr:uid="{00000000-0005-0000-0000-00000A000000}"/>
    <cellStyle name="Heading 1" xfId="37" builtinId="16" customBuiltin="1"/>
    <cellStyle name="Heading 1 Number" xfId="41" xr:uid="{00000000-0005-0000-0000-00000C000000}"/>
    <cellStyle name="Heading 1 Text" xfId="10" xr:uid="{00000000-0005-0000-0000-00000D000000}"/>
    <cellStyle name="Heading 2" xfId="38" builtinId="17" customBuiltin="1"/>
    <cellStyle name="Heading 2 Text" xfId="11" xr:uid="{00000000-0005-0000-0000-00000F000000}"/>
    <cellStyle name="Heading 3" xfId="39" builtinId="18" customBuiltin="1"/>
    <cellStyle name="Heading 3 Text" xfId="12" xr:uid="{00000000-0005-0000-0000-000011000000}"/>
    <cellStyle name="Heading 4" xfId="6" builtinId="19" customBuiltin="1"/>
    <cellStyle name="Hyperlink" xfId="8" builtinId="8" customBuiltin="1"/>
    <cellStyle name="Hyperlink Text" xfId="20" xr:uid="{00000000-0005-0000-0000-000014000000}"/>
    <cellStyle name="Internal Ref" xfId="21" xr:uid="{00000000-0005-0000-0000-000015000000}"/>
    <cellStyle name="Line Calc" xfId="22" xr:uid="{00000000-0005-0000-0000-000016000000}"/>
    <cellStyle name="Line Total" xfId="23" xr:uid="{00000000-0005-0000-0000-000017000000}"/>
    <cellStyle name="Model Name" xfId="9" xr:uid="{00000000-0005-0000-0000-000018000000}"/>
    <cellStyle name="Normal" xfId="0" builtinId="0" customBuiltin="1"/>
    <cellStyle name="Normal 2" xfId="24" xr:uid="{00000000-0005-0000-0000-00001A000000}"/>
    <cellStyle name="Notes" xfId="25" xr:uid="{00000000-0005-0000-0000-00001B000000}"/>
    <cellStyle name="Numbers 0" xfId="26" xr:uid="{00000000-0005-0000-0000-00001C000000}"/>
    <cellStyle name="Parameter" xfId="27" xr:uid="{00000000-0005-0000-0000-00001D000000}"/>
    <cellStyle name="Percent" xfId="5" builtinId="5"/>
    <cellStyle name="Range Name Description" xfId="28" xr:uid="{00000000-0005-0000-0000-00001F000000}"/>
    <cellStyle name="Right Currency" xfId="29" xr:uid="{00000000-0005-0000-0000-000020000000}"/>
    <cellStyle name="Right Number" xfId="30" xr:uid="{00000000-0005-0000-0000-000021000000}"/>
    <cellStyle name="Row Ref" xfId="31" xr:uid="{00000000-0005-0000-0000-000022000000}"/>
    <cellStyle name="Row_Summary" xfId="32" xr:uid="{00000000-0005-0000-0000-000023000000}"/>
    <cellStyle name="Sheet Title" xfId="7" xr:uid="{00000000-0005-0000-0000-000024000000}"/>
    <cellStyle name="Table_Heading" xfId="33" xr:uid="{00000000-0005-0000-0000-000025000000}"/>
    <cellStyle name="Title" xfId="36" builtinId="15" customBuiltin="1"/>
    <cellStyle name="Total" xfId="40" builtinId="25" customBuiltin="1"/>
    <cellStyle name="Units" xfId="34" xr:uid="{00000000-0005-0000-0000-000028000000}"/>
    <cellStyle name="WIP" xfId="35" xr:uid="{00000000-0005-0000-0000-000029000000}"/>
  </cellStyles>
  <dxfs count="20">
    <dxf>
      <font>
        <color rgb="FFFFFF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FF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FF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FF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FF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 tint="0.39994506668294322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rgb="FFFFFF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FF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FF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FF00"/>
      </font>
      <fill>
        <patternFill>
          <bgColor rgb="FFC000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rgb="FFFFFF0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1" tint="0.49998474074526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 Style 1" pivot="0" count="3" xr9:uid="{00000000-0011-0000-FFFF-FFFF00000000}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168378</xdr:rowOff>
    </xdr:from>
    <xdr:to>
      <xdr:col>6</xdr:col>
      <xdr:colOff>334433</xdr:colOff>
      <xdr:row>11</xdr:row>
      <xdr:rowOff>117475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667" y="1533628"/>
          <a:ext cx="2048933" cy="7841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liam.bastick@sumproduc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2"/>
  <sheetViews>
    <sheetView showGridLines="0" tabSelected="1" zoomScaleNormal="100" workbookViewId="0"/>
  </sheetViews>
  <sheetFormatPr defaultRowHeight="12" x14ac:dyDescent="0.2"/>
  <cols>
    <col min="3" max="4" width="3.7109375" customWidth="1"/>
  </cols>
  <sheetData>
    <row r="1" spans="1:19" x14ac:dyDescent="0.2">
      <c r="A1" s="11"/>
    </row>
    <row r="3" spans="1:19" x14ac:dyDescent="0.2">
      <c r="A3" s="49" t="s">
        <v>1</v>
      </c>
    </row>
    <row r="5" spans="1:19" ht="20.25" x14ac:dyDescent="0.3">
      <c r="C5" s="14" t="str">
        <f>Client_Name</f>
        <v>SumProduct Pty Limited</v>
      </c>
      <c r="D5" s="7"/>
      <c r="E5" s="7"/>
      <c r="F5" s="7"/>
      <c r="G5" s="7"/>
      <c r="H5" s="7"/>
      <c r="I5" s="7"/>
      <c r="J5" s="7"/>
    </row>
    <row r="6" spans="1:19" ht="18" x14ac:dyDescent="0.25">
      <c r="C6" s="16" t="str">
        <f ca="1">Model_Name</f>
        <v>SP XLOOKUP and XMATCH Functions.xlsx</v>
      </c>
      <c r="D6" s="7"/>
      <c r="E6" s="7"/>
      <c r="F6" s="7"/>
      <c r="G6" s="7"/>
      <c r="H6" s="7"/>
      <c r="I6" s="7"/>
      <c r="J6" s="7"/>
    </row>
    <row r="7" spans="1:19" ht="12.75" x14ac:dyDescent="0.2">
      <c r="C7" s="7"/>
      <c r="D7" s="7"/>
      <c r="E7" s="7"/>
      <c r="F7" s="7"/>
      <c r="G7" s="7"/>
      <c r="H7" s="7"/>
      <c r="I7" s="7"/>
      <c r="J7" s="7"/>
    </row>
    <row r="8" spans="1:19" ht="12.75" x14ac:dyDescent="0.2">
      <c r="C8" s="7"/>
      <c r="D8" s="7"/>
      <c r="E8" s="7"/>
      <c r="F8" s="7"/>
      <c r="G8" s="7"/>
      <c r="H8" s="7"/>
      <c r="I8" s="7"/>
      <c r="J8" s="7"/>
    </row>
    <row r="9" spans="1:19" ht="12.75" x14ac:dyDescent="0.2">
      <c r="C9" s="7"/>
      <c r="D9" s="7"/>
      <c r="E9" s="7"/>
      <c r="F9" s="7"/>
      <c r="G9" s="7"/>
      <c r="H9" s="7"/>
      <c r="I9" s="7"/>
      <c r="J9" s="7"/>
    </row>
    <row r="10" spans="1:19" ht="12.75" x14ac:dyDescent="0.2">
      <c r="C10" s="7"/>
      <c r="D10" s="7"/>
      <c r="E10" s="7"/>
      <c r="F10" s="7"/>
      <c r="G10" s="7"/>
      <c r="H10" s="7"/>
      <c r="I10" s="7"/>
      <c r="J10" s="7"/>
    </row>
    <row r="11" spans="1:19" ht="15" x14ac:dyDescent="0.25">
      <c r="C11" s="7"/>
      <c r="D11" s="7"/>
      <c r="E11" s="7"/>
      <c r="F11" s="7"/>
      <c r="G11" s="7"/>
      <c r="H11" s="7"/>
      <c r="I11" s="7"/>
      <c r="J11" s="7"/>
      <c r="S11" s="38"/>
    </row>
    <row r="12" spans="1:19" ht="12.75" x14ac:dyDescent="0.2">
      <c r="C12" s="7"/>
      <c r="D12" s="7"/>
      <c r="E12" s="7"/>
      <c r="F12" s="7"/>
      <c r="G12" s="7"/>
      <c r="H12" s="7"/>
      <c r="I12" s="7"/>
      <c r="J12" s="7"/>
    </row>
    <row r="13" spans="1:19" ht="12.75" x14ac:dyDescent="0.2">
      <c r="C13" s="7"/>
      <c r="D13" s="7"/>
      <c r="E13" s="7"/>
      <c r="F13" s="7"/>
      <c r="G13" s="7"/>
      <c r="H13" s="7"/>
      <c r="I13" s="7"/>
      <c r="J13" s="7"/>
    </row>
    <row r="14" spans="1:19" ht="12.75" x14ac:dyDescent="0.2">
      <c r="C14" s="8" t="s">
        <v>19</v>
      </c>
      <c r="D14" s="9"/>
      <c r="E14" s="7"/>
      <c r="F14" s="7"/>
      <c r="G14" s="7"/>
      <c r="H14" s="7"/>
      <c r="I14" s="7"/>
      <c r="J14" s="7"/>
    </row>
    <row r="15" spans="1:19" ht="12.75" x14ac:dyDescent="0.2">
      <c r="C15" s="9"/>
      <c r="D15" s="9"/>
      <c r="E15" s="7"/>
      <c r="F15" s="7"/>
      <c r="G15" s="7"/>
      <c r="H15" s="7"/>
      <c r="I15" s="7"/>
      <c r="J15" s="7"/>
    </row>
    <row r="16" spans="1:19" ht="12.75" x14ac:dyDescent="0.2">
      <c r="C16" s="8" t="s">
        <v>20</v>
      </c>
      <c r="D16" s="9"/>
      <c r="E16" s="7"/>
      <c r="F16" s="7"/>
      <c r="G16" s="7"/>
      <c r="H16" s="7"/>
      <c r="I16" s="7"/>
      <c r="J16" s="7"/>
    </row>
    <row r="17" spans="3:10" ht="12.75" x14ac:dyDescent="0.2">
      <c r="C17" s="70" t="s">
        <v>186</v>
      </c>
      <c r="D17" s="70"/>
      <c r="E17" s="70"/>
      <c r="F17" s="70"/>
      <c r="G17" s="70"/>
      <c r="H17" s="70"/>
      <c r="I17" s="70"/>
      <c r="J17" s="70"/>
    </row>
    <row r="18" spans="3:10" ht="12.75" x14ac:dyDescent="0.2">
      <c r="C18" s="71" t="s">
        <v>171</v>
      </c>
      <c r="D18" s="71"/>
      <c r="E18" s="71"/>
      <c r="F18" s="71"/>
      <c r="G18" s="71"/>
      <c r="H18" s="71"/>
      <c r="I18" s="71"/>
      <c r="J18" s="71"/>
    </row>
    <row r="19" spans="3:10" ht="12.75" x14ac:dyDescent="0.2">
      <c r="C19" s="10"/>
      <c r="D19" s="9"/>
      <c r="E19" s="7"/>
      <c r="F19" s="7"/>
      <c r="G19" s="7"/>
      <c r="H19" s="7"/>
      <c r="I19" s="7"/>
      <c r="J19" s="7"/>
    </row>
    <row r="20" spans="3:10" ht="12.75" x14ac:dyDescent="0.2">
      <c r="C20" s="10"/>
      <c r="D20" s="9"/>
      <c r="E20" s="7"/>
      <c r="F20" s="7"/>
      <c r="G20" s="7"/>
      <c r="H20" s="7"/>
      <c r="I20" s="7"/>
      <c r="J20" s="7"/>
    </row>
    <row r="21" spans="3:10" ht="12.75" x14ac:dyDescent="0.2">
      <c r="C21" s="10" t="s">
        <v>21</v>
      </c>
      <c r="D21" s="9"/>
      <c r="E21" s="7"/>
      <c r="F21" s="7"/>
      <c r="G21" s="72" t="s">
        <v>22</v>
      </c>
      <c r="H21" s="72"/>
      <c r="I21" s="72"/>
      <c r="J21" s="7"/>
    </row>
    <row r="22" spans="3:10" ht="12.75" x14ac:dyDescent="0.2">
      <c r="C22" s="10" t="s">
        <v>23</v>
      </c>
      <c r="D22" s="9"/>
      <c r="E22" s="7"/>
      <c r="F22" s="7"/>
      <c r="G22" s="72" t="s">
        <v>24</v>
      </c>
      <c r="H22" s="72"/>
      <c r="I22" s="72"/>
      <c r="J22" s="7"/>
    </row>
  </sheetData>
  <mergeCells count="4">
    <mergeCell ref="C17:J17"/>
    <mergeCell ref="C18:J18"/>
    <mergeCell ref="G21:I21"/>
    <mergeCell ref="G22:I22"/>
  </mergeCells>
  <hyperlinks>
    <hyperlink ref="G21" r:id="rId1" xr:uid="{00000000-0004-0000-0000-000000000000}"/>
    <hyperlink ref="G22" r:id="rId2" xr:uid="{00000000-0004-0000-0000-000001000000}"/>
    <hyperlink ref="A3" location="HL_Navigator" display="Navigator" xr:uid="{00000000-0004-0000-0000-000002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6"/>
  <sheetViews>
    <sheetView showGridLines="0" zoomScaleNormal="100"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5" width="3.7109375" customWidth="1"/>
    <col min="6" max="6" width="17.7109375" customWidth="1"/>
  </cols>
  <sheetData>
    <row r="1" spans="1:12" ht="20.25" x14ac:dyDescent="0.3">
      <c r="A1" s="14" t="s">
        <v>1</v>
      </c>
      <c r="F1" s="12"/>
      <c r="G1" s="12"/>
    </row>
    <row r="2" spans="1:12" ht="18" x14ac:dyDescent="0.25">
      <c r="A2" s="16" t="str">
        <f ca="1">Model_Name</f>
        <v>SP XLOOKUP and XMATCH Functions.xlsx</v>
      </c>
    </row>
    <row r="3" spans="1:12" x14ac:dyDescent="0.2">
      <c r="A3" s="11" t="s">
        <v>1</v>
      </c>
      <c r="B3" s="11"/>
      <c r="C3" s="11"/>
      <c r="D3" s="11"/>
      <c r="E3" s="11"/>
    </row>
    <row r="4" spans="1:12" ht="14.25" x14ac:dyDescent="0.2">
      <c r="E4" t="s">
        <v>2</v>
      </c>
      <c r="G4" s="24">
        <f>Overall_Error_Check</f>
        <v>0</v>
      </c>
    </row>
    <row r="7" spans="1:12" ht="16.5" thickBot="1" x14ac:dyDescent="0.3">
      <c r="B7" s="40">
        <v>1</v>
      </c>
      <c r="C7" s="40" t="s">
        <v>25</v>
      </c>
      <c r="D7" s="40"/>
      <c r="E7" s="40"/>
      <c r="F7" s="40"/>
      <c r="G7" s="40"/>
      <c r="H7" s="40"/>
      <c r="I7" s="40"/>
      <c r="J7" s="40"/>
      <c r="K7" s="40"/>
      <c r="L7" s="40"/>
    </row>
    <row r="8" spans="1:12" ht="12.75" thickTop="1" x14ac:dyDescent="0.2"/>
    <row r="9" spans="1:12" x14ac:dyDescent="0.2">
      <c r="F9" s="49" t="s">
        <v>26</v>
      </c>
    </row>
    <row r="10" spans="1:12" x14ac:dyDescent="0.2">
      <c r="F10" s="49" t="s">
        <v>27</v>
      </c>
    </row>
    <row r="11" spans="1:12" x14ac:dyDescent="0.2">
      <c r="F11" s="49" t="s">
        <v>0</v>
      </c>
    </row>
    <row r="12" spans="1:12" x14ac:dyDescent="0.2">
      <c r="F12" s="49" t="s">
        <v>168</v>
      </c>
    </row>
    <row r="13" spans="1:12" x14ac:dyDescent="0.2">
      <c r="F13" s="49" t="s">
        <v>169</v>
      </c>
    </row>
    <row r="14" spans="1:12" x14ac:dyDescent="0.2">
      <c r="F14" s="49" t="s">
        <v>180</v>
      </c>
    </row>
    <row r="15" spans="1:12" x14ac:dyDescent="0.2">
      <c r="F15" s="49" t="s">
        <v>66</v>
      </c>
    </row>
    <row r="16" spans="1:12" x14ac:dyDescent="0.2">
      <c r="F16" s="11"/>
    </row>
  </sheetData>
  <conditionalFormatting sqref="G4">
    <cfRule type="cellIs" dxfId="16" priority="1" operator="equal">
      <formula>1</formula>
    </cfRule>
  </conditionalFormatting>
  <hyperlinks>
    <hyperlink ref="A3:E3" location="HL_Navigator" tooltip="Go to Navigator (Table of Contents)" display="Navigator" xr:uid="{00000000-0004-0000-0100-000000000000}"/>
    <hyperlink ref="F9" location="HL_1" display="Cover" xr:uid="{AAFB0279-9018-451F-8623-4BDC9A583423}"/>
    <hyperlink ref="F10" location="HL_3" display="Style Guide" xr:uid="{0F9CDCEF-C8BC-4711-8B37-BFD11A5143A0}"/>
    <hyperlink ref="F11" location="HL_4" display="Model Parameters" xr:uid="{5F9B4A1D-5551-4DCD-9F2A-1404B3BFFB10}"/>
    <hyperlink ref="F12" location="HL_5" display="Replacing the LOOKUP Family" xr:uid="{98019BDB-DC28-4CE1-A8A0-2B6BBA3CB949}"/>
    <hyperlink ref="F13" location="HL_6" display="New Features for XLOOKUP" xr:uid="{7228BC4E-652C-43B6-854D-45DFB889739C}"/>
    <hyperlink ref="F14" location="HL_7" display="XMATCH" xr:uid="{5B362788-33D3-4981-AF9C-826102582B70}"/>
    <hyperlink ref="F15" location="HL_8" display="Error Checks" xr:uid="{3F6CC2B2-0611-4B54-B2E0-28DE35D7568A}"/>
  </hyperlink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O81"/>
  <sheetViews>
    <sheetView showGridLines="0" zoomScaleNormal="100" workbookViewId="0">
      <pane ySplit="4" topLeftCell="A5" activePane="bottomLeft" state="frozen"/>
      <selection pane="bottomLeft" activeCell="A3" sqref="A3:E3"/>
    </sheetView>
  </sheetViews>
  <sheetFormatPr defaultColWidth="0" defaultRowHeight="12" outlineLevelRow="1" x14ac:dyDescent="0.2"/>
  <cols>
    <col min="1" max="5" width="3.7109375" customWidth="1"/>
    <col min="6" max="7" width="9.140625" customWidth="1"/>
    <col min="8" max="8" width="1.7109375" customWidth="1"/>
    <col min="9" max="9" width="17.28515625" bestFit="1" customWidth="1"/>
    <col min="10" max="10" width="1.7109375" customWidth="1"/>
    <col min="11" max="11" width="23.42578125" customWidth="1"/>
    <col min="12" max="13" width="9.140625" customWidth="1"/>
    <col min="14" max="14" width="1.7109375" customWidth="1"/>
    <col min="15" max="15" width="0" hidden="1" customWidth="1"/>
    <col min="16" max="16384" width="9.140625" hidden="1"/>
  </cols>
  <sheetData>
    <row r="1" spans="1:13" ht="20.25" x14ac:dyDescent="0.3">
      <c r="A1" s="14" t="str">
        <f ca="1">IF(ISERROR(RIGHT(CELL("filename",A1),LEN(CELL("filename",A1))-FIND("]",CELL("filename",A1)))),
"",
RIGHT(CELL("filename",A1),LEN(CELL("filename",A1))-FIND("]",CELL("filename",A1))))</f>
        <v>Style Guide</v>
      </c>
      <c r="K1" s="11"/>
    </row>
    <row r="2" spans="1:13" ht="18" x14ac:dyDescent="0.25">
      <c r="A2" s="16" t="str">
        <f ca="1">Model_Name</f>
        <v>SP XLOOKUP and XMATCH Functions.xlsx</v>
      </c>
    </row>
    <row r="3" spans="1:13" x14ac:dyDescent="0.2">
      <c r="A3" s="72" t="s">
        <v>1</v>
      </c>
      <c r="B3" s="72"/>
      <c r="C3" s="72"/>
      <c r="D3" s="72"/>
      <c r="E3" s="72"/>
    </row>
    <row r="4" spans="1:13" ht="14.25" x14ac:dyDescent="0.2">
      <c r="E4" t="s">
        <v>2</v>
      </c>
      <c r="I4" s="1">
        <f>Overall_Error_Check</f>
        <v>0</v>
      </c>
    </row>
    <row r="5" spans="1:13" x14ac:dyDescent="0.2">
      <c r="A5" s="11"/>
    </row>
    <row r="6" spans="1:13" ht="16.5" thickBot="1" x14ac:dyDescent="0.3">
      <c r="B6" s="40">
        <f>MAX($B$5:$B5)+1</f>
        <v>1</v>
      </c>
      <c r="C6" s="2" t="s">
        <v>28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2.75" outlineLevel="1" thickTop="1" x14ac:dyDescent="0.2"/>
    <row r="8" spans="1:13" outlineLevel="1" x14ac:dyDescent="0.2">
      <c r="C8" s="74" t="s">
        <v>29</v>
      </c>
      <c r="D8" s="74"/>
      <c r="E8" s="74"/>
      <c r="F8" s="74"/>
      <c r="G8" s="74"/>
      <c r="H8" s="13"/>
      <c r="I8" s="13" t="s">
        <v>30</v>
      </c>
      <c r="J8" s="13"/>
      <c r="K8" s="13" t="s">
        <v>31</v>
      </c>
    </row>
    <row r="9" spans="1:13" outlineLevel="1" x14ac:dyDescent="0.2">
      <c r="C9" s="73"/>
      <c r="D9" s="73"/>
      <c r="E9" s="73"/>
      <c r="F9" s="73"/>
      <c r="G9" s="73"/>
      <c r="K9" s="17"/>
    </row>
    <row r="10" spans="1:13" ht="20.25" outlineLevel="1" x14ac:dyDescent="0.3">
      <c r="C10" s="73" t="s">
        <v>32</v>
      </c>
      <c r="D10" s="73"/>
      <c r="E10" s="73"/>
      <c r="F10" s="73"/>
      <c r="G10" s="73"/>
      <c r="I10" s="14" t="str">
        <f>C10</f>
        <v>Sheet Title</v>
      </c>
      <c r="K10" s="15" t="s">
        <v>32</v>
      </c>
    </row>
    <row r="11" spans="1:13" ht="18" outlineLevel="1" x14ac:dyDescent="0.25">
      <c r="C11" s="73" t="s">
        <v>5</v>
      </c>
      <c r="D11" s="73"/>
      <c r="E11" s="73"/>
      <c r="F11" s="73"/>
      <c r="G11" s="73"/>
      <c r="I11" s="16" t="str">
        <f>C11</f>
        <v>Model Name</v>
      </c>
      <c r="K11" s="15" t="s">
        <v>5</v>
      </c>
    </row>
    <row r="12" spans="1:13" outlineLevel="1" x14ac:dyDescent="0.2">
      <c r="C12" s="73"/>
      <c r="D12" s="73"/>
      <c r="E12" s="73"/>
      <c r="F12" s="73"/>
      <c r="G12" s="73"/>
      <c r="K12" s="17"/>
    </row>
    <row r="13" spans="1:13" ht="16.5" outlineLevel="1" thickBot="1" x14ac:dyDescent="0.3">
      <c r="C13" s="73" t="s">
        <v>33</v>
      </c>
      <c r="D13" s="73"/>
      <c r="E13" s="73"/>
      <c r="F13" s="73"/>
      <c r="G13" s="73"/>
      <c r="I13" s="39" t="str">
        <f>C13</f>
        <v>Header 1</v>
      </c>
      <c r="K13" s="15" t="s">
        <v>33</v>
      </c>
    </row>
    <row r="14" spans="1:13" ht="17.25" outlineLevel="1" thickTop="1" x14ac:dyDescent="0.25">
      <c r="C14" s="73" t="s">
        <v>34</v>
      </c>
      <c r="D14" s="73"/>
      <c r="E14" s="73"/>
      <c r="F14" s="73"/>
      <c r="G14" s="73"/>
      <c r="I14" s="3" t="str">
        <f>C14</f>
        <v>Header 2</v>
      </c>
      <c r="K14" s="15" t="s">
        <v>34</v>
      </c>
    </row>
    <row r="15" spans="1:13" ht="15" outlineLevel="1" x14ac:dyDescent="0.25">
      <c r="C15" s="73" t="s">
        <v>35</v>
      </c>
      <c r="D15" s="73"/>
      <c r="E15" s="73"/>
      <c r="F15" s="73"/>
      <c r="G15" s="73"/>
      <c r="I15" s="4" t="str">
        <f>C15</f>
        <v>Header 3</v>
      </c>
      <c r="K15" s="15" t="s">
        <v>35</v>
      </c>
    </row>
    <row r="16" spans="1:13" ht="15" outlineLevel="1" x14ac:dyDescent="0.25">
      <c r="C16" s="73" t="s">
        <v>36</v>
      </c>
      <c r="D16" s="73"/>
      <c r="E16" s="73"/>
      <c r="F16" s="73"/>
      <c r="G16" s="73"/>
      <c r="I16" s="18" t="str">
        <f>C16</f>
        <v>Header 4</v>
      </c>
      <c r="K16" s="15" t="s">
        <v>36</v>
      </c>
    </row>
    <row r="17" spans="2:14" outlineLevel="1" x14ac:dyDescent="0.2">
      <c r="C17" s="73"/>
      <c r="D17" s="73"/>
      <c r="E17" s="73"/>
      <c r="F17" s="73"/>
      <c r="G17" s="73"/>
      <c r="K17" s="17"/>
    </row>
    <row r="18" spans="2:14" ht="15" outlineLevel="1" x14ac:dyDescent="0.25">
      <c r="C18" s="73" t="s">
        <v>37</v>
      </c>
      <c r="D18" s="73"/>
      <c r="E18" s="73"/>
      <c r="F18" s="73"/>
      <c r="G18" s="73"/>
      <c r="I18" s="19" t="str">
        <f>C18</f>
        <v>Notes</v>
      </c>
      <c r="K18" s="15" t="s">
        <v>37</v>
      </c>
    </row>
    <row r="19" spans="2:14" outlineLevel="1" x14ac:dyDescent="0.2">
      <c r="C19" s="73"/>
      <c r="D19" s="73"/>
      <c r="E19" s="73"/>
      <c r="F19" s="73"/>
      <c r="G19" s="73"/>
      <c r="K19" s="17"/>
      <c r="N19" s="19"/>
    </row>
    <row r="20" spans="2:14" ht="15" outlineLevel="1" x14ac:dyDescent="0.25">
      <c r="C20" s="73" t="s">
        <v>38</v>
      </c>
      <c r="D20" s="73"/>
      <c r="E20" s="73"/>
      <c r="F20" s="73"/>
      <c r="G20" s="73"/>
      <c r="I20" s="13" t="str">
        <f>C20</f>
        <v>Table Heading</v>
      </c>
      <c r="K20" s="15" t="s">
        <v>38</v>
      </c>
    </row>
    <row r="21" spans="2:14" outlineLevel="1" x14ac:dyDescent="0.2"/>
    <row r="22" spans="2:14" outlineLevel="1" x14ac:dyDescent="0.2"/>
    <row r="23" spans="2:14" ht="16.5" thickBot="1" x14ac:dyDescent="0.3">
      <c r="B23" s="40">
        <f>MAX($B$5:$B22)+1</f>
        <v>2</v>
      </c>
      <c r="C23" s="2" t="s">
        <v>39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4" ht="12.75" outlineLevel="1" thickTop="1" x14ac:dyDescent="0.2"/>
    <row r="25" spans="2:14" outlineLevel="1" x14ac:dyDescent="0.2">
      <c r="C25" s="74" t="s">
        <v>29</v>
      </c>
      <c r="D25" s="74"/>
      <c r="E25" s="74"/>
      <c r="F25" s="74"/>
      <c r="G25" s="74"/>
      <c r="H25" s="13"/>
      <c r="I25" s="13" t="s">
        <v>30</v>
      </c>
      <c r="J25" s="13"/>
      <c r="K25" s="13" t="s">
        <v>31</v>
      </c>
    </row>
    <row r="26" spans="2:14" ht="15" outlineLevel="1" x14ac:dyDescent="0.25">
      <c r="C26" s="73"/>
      <c r="D26" s="73"/>
      <c r="E26" s="73"/>
      <c r="F26" s="73"/>
      <c r="G26" s="73"/>
      <c r="K26" s="15"/>
    </row>
    <row r="27" spans="2:14" ht="15" outlineLevel="1" x14ac:dyDescent="0.25">
      <c r="C27" s="73" t="s">
        <v>40</v>
      </c>
      <c r="D27" s="73"/>
      <c r="E27" s="73"/>
      <c r="F27" s="73"/>
      <c r="G27" s="73"/>
      <c r="I27" s="20" t="s">
        <v>40</v>
      </c>
      <c r="K27" s="21" t="str">
        <f>C27</f>
        <v>Assumption</v>
      </c>
    </row>
    <row r="28" spans="2:14" ht="15" outlineLevel="1" x14ac:dyDescent="0.25">
      <c r="C28" s="73"/>
      <c r="D28" s="73"/>
      <c r="E28" s="73"/>
      <c r="F28" s="73"/>
      <c r="G28" s="73"/>
      <c r="K28" s="21"/>
    </row>
    <row r="29" spans="2:14" ht="15" outlineLevel="1" x14ac:dyDescent="0.25">
      <c r="C29" s="73" t="s">
        <v>41</v>
      </c>
      <c r="D29" s="73"/>
      <c r="E29" s="73"/>
      <c r="F29" s="73"/>
      <c r="G29" s="73"/>
      <c r="I29" s="22" t="str">
        <f>C29</f>
        <v>Constraint</v>
      </c>
      <c r="K29" s="21" t="str">
        <f>C29</f>
        <v>Constraint</v>
      </c>
    </row>
    <row r="30" spans="2:14" ht="15" outlineLevel="1" x14ac:dyDescent="0.25">
      <c r="C30" s="73"/>
      <c r="D30" s="73"/>
      <c r="E30" s="73"/>
      <c r="F30" s="73"/>
      <c r="G30" s="73"/>
      <c r="K30" s="21"/>
    </row>
    <row r="31" spans="2:14" ht="15" outlineLevel="1" x14ac:dyDescent="0.25">
      <c r="C31" s="73" t="s">
        <v>42</v>
      </c>
      <c r="D31" s="73"/>
      <c r="E31" s="73"/>
      <c r="F31" s="73"/>
      <c r="G31" s="73"/>
      <c r="I31" s="23"/>
      <c r="K31" s="21" t="str">
        <f>C31</f>
        <v>Empty</v>
      </c>
    </row>
    <row r="32" spans="2:14" ht="15" outlineLevel="1" x14ac:dyDescent="0.25">
      <c r="C32" s="73"/>
      <c r="D32" s="73"/>
      <c r="E32" s="73"/>
      <c r="F32" s="73"/>
      <c r="G32" s="73"/>
      <c r="K32" s="21"/>
    </row>
    <row r="33" spans="3:11" ht="15" outlineLevel="1" x14ac:dyDescent="0.25">
      <c r="C33" t="s">
        <v>43</v>
      </c>
      <c r="I33" s="24">
        <v>0</v>
      </c>
      <c r="K33" s="21" t="str">
        <f>C33</f>
        <v>Error Check</v>
      </c>
    </row>
    <row r="34" spans="3:11" ht="15" outlineLevel="1" x14ac:dyDescent="0.25">
      <c r="K34" s="21"/>
    </row>
    <row r="35" spans="3:11" ht="15" outlineLevel="1" x14ac:dyDescent="0.25">
      <c r="C35" s="73" t="s">
        <v>44</v>
      </c>
      <c r="D35" s="73"/>
      <c r="E35" s="73"/>
      <c r="F35" s="73"/>
      <c r="G35" s="73"/>
      <c r="I35" s="11" t="s">
        <v>44</v>
      </c>
      <c r="K35" s="21" t="str">
        <f>C35</f>
        <v>Hyperlink</v>
      </c>
    </row>
    <row r="36" spans="3:11" ht="15" outlineLevel="1" x14ac:dyDescent="0.25">
      <c r="C36" s="73"/>
      <c r="D36" s="73"/>
      <c r="E36" s="73"/>
      <c r="F36" s="73"/>
      <c r="G36" s="73"/>
      <c r="K36" s="21"/>
    </row>
    <row r="37" spans="3:11" ht="15" outlineLevel="1" x14ac:dyDescent="0.25">
      <c r="C37" s="73" t="s">
        <v>45</v>
      </c>
      <c r="D37" s="73"/>
      <c r="E37" s="73"/>
      <c r="F37" s="73"/>
      <c r="G37" s="73"/>
      <c r="I37" s="25" t="str">
        <f>'Error Checks'!E12</f>
        <v>Unused</v>
      </c>
      <c r="K37" s="21" t="str">
        <f>C37</f>
        <v>Internal Reference</v>
      </c>
    </row>
    <row r="38" spans="3:11" ht="15" outlineLevel="1" x14ac:dyDescent="0.25">
      <c r="C38" s="73"/>
      <c r="D38" s="73"/>
      <c r="E38" s="73"/>
      <c r="F38" s="73"/>
      <c r="G38" s="73"/>
      <c r="K38" s="21"/>
    </row>
    <row r="39" spans="3:11" ht="15" outlineLevel="1" x14ac:dyDescent="0.25">
      <c r="C39" s="73" t="s">
        <v>46</v>
      </c>
      <c r="D39" s="73"/>
      <c r="E39" s="73"/>
      <c r="F39" s="73"/>
      <c r="G39" s="73"/>
      <c r="I39" s="26">
        <v>77</v>
      </c>
      <c r="K39" s="21" t="s">
        <v>47</v>
      </c>
    </row>
    <row r="40" spans="3:11" ht="15" outlineLevel="1" x14ac:dyDescent="0.25">
      <c r="C40" s="73"/>
      <c r="D40" s="73"/>
      <c r="E40" s="73"/>
      <c r="F40" s="73"/>
      <c r="G40" s="73"/>
      <c r="K40" s="21"/>
    </row>
    <row r="41" spans="3:11" ht="15" outlineLevel="1" x14ac:dyDescent="0.25">
      <c r="C41" s="73" t="s">
        <v>48</v>
      </c>
      <c r="D41" s="73"/>
      <c r="E41" s="73"/>
      <c r="F41" s="73"/>
      <c r="G41" s="73"/>
      <c r="I41" s="27">
        <f>I39</f>
        <v>77</v>
      </c>
      <c r="K41" s="21" t="str">
        <f>C41</f>
        <v>Line Total</v>
      </c>
    </row>
    <row r="42" spans="3:11" ht="15" outlineLevel="1" x14ac:dyDescent="0.25">
      <c r="C42" s="73"/>
      <c r="D42" s="73"/>
      <c r="E42" s="73"/>
      <c r="F42" s="73"/>
      <c r="G42" s="73"/>
      <c r="K42" s="21"/>
    </row>
    <row r="43" spans="3:11" ht="15" outlineLevel="1" x14ac:dyDescent="0.25">
      <c r="C43" s="73" t="s">
        <v>49</v>
      </c>
      <c r="D43" s="73"/>
      <c r="E43" s="73"/>
      <c r="F43" s="73"/>
      <c r="G43" s="73"/>
      <c r="I43" s="28">
        <v>365</v>
      </c>
      <c r="K43" s="21" t="str">
        <f>C43</f>
        <v>Parameter</v>
      </c>
    </row>
    <row r="44" spans="3:11" ht="15" outlineLevel="1" x14ac:dyDescent="0.25">
      <c r="C44" s="73"/>
      <c r="D44" s="73"/>
      <c r="E44" s="73"/>
      <c r="F44" s="73"/>
      <c r="G44" s="73"/>
      <c r="K44" s="21"/>
    </row>
    <row r="45" spans="3:11" ht="15" outlineLevel="1" x14ac:dyDescent="0.25">
      <c r="C45" s="73" t="s">
        <v>50</v>
      </c>
      <c r="D45" s="73"/>
      <c r="E45" s="73"/>
      <c r="F45" s="73"/>
      <c r="G45" s="73"/>
      <c r="I45" s="29" t="s">
        <v>51</v>
      </c>
      <c r="K45" s="21" t="str">
        <f>C45</f>
        <v>Range Name Description</v>
      </c>
    </row>
    <row r="46" spans="3:11" ht="15" outlineLevel="1" x14ac:dyDescent="0.25">
      <c r="C46" s="73"/>
      <c r="D46" s="73"/>
      <c r="E46" s="73"/>
      <c r="F46" s="73"/>
      <c r="G46" s="73"/>
      <c r="K46" s="21"/>
    </row>
    <row r="47" spans="3:11" ht="15" outlineLevel="1" x14ac:dyDescent="0.25">
      <c r="C47" s="73" t="s">
        <v>52</v>
      </c>
      <c r="D47" s="73"/>
      <c r="E47" s="73"/>
      <c r="F47" s="73"/>
      <c r="G47" s="73"/>
      <c r="I47" s="30">
        <f>ROW(C47)</f>
        <v>47</v>
      </c>
      <c r="K47" s="21" t="s">
        <v>53</v>
      </c>
    </row>
    <row r="48" spans="3:11" ht="15" outlineLevel="1" x14ac:dyDescent="0.25">
      <c r="C48" s="73"/>
      <c r="D48" s="73"/>
      <c r="E48" s="73"/>
      <c r="F48" s="73"/>
      <c r="G48" s="73"/>
      <c r="K48" s="21"/>
    </row>
    <row r="49" spans="2:13" ht="15" outlineLevel="1" x14ac:dyDescent="0.25">
      <c r="C49" s="73" t="s">
        <v>54</v>
      </c>
      <c r="D49" s="73"/>
      <c r="E49" s="73"/>
      <c r="F49" s="73"/>
      <c r="G49" s="73"/>
      <c r="I49" s="31">
        <f>I41</f>
        <v>77</v>
      </c>
      <c r="K49" s="21" t="str">
        <f>C49</f>
        <v>Row Summary</v>
      </c>
    </row>
    <row r="50" spans="2:13" ht="15" outlineLevel="1" x14ac:dyDescent="0.25">
      <c r="C50" s="73"/>
      <c r="D50" s="73"/>
      <c r="E50" s="73"/>
      <c r="F50" s="73"/>
      <c r="G50" s="73"/>
      <c r="K50" s="21"/>
    </row>
    <row r="51" spans="2:13" ht="15" outlineLevel="1" x14ac:dyDescent="0.25">
      <c r="C51" s="73" t="s">
        <v>55</v>
      </c>
      <c r="D51" s="73"/>
      <c r="E51" s="73"/>
      <c r="F51" s="73"/>
      <c r="G51" s="73"/>
      <c r="I51" s="32" t="s">
        <v>70</v>
      </c>
      <c r="K51" s="21" t="str">
        <f>C51</f>
        <v>Units</v>
      </c>
    </row>
    <row r="52" spans="2:13" ht="15" outlineLevel="1" x14ac:dyDescent="0.25">
      <c r="C52" s="73"/>
      <c r="D52" s="73"/>
      <c r="E52" s="73"/>
      <c r="F52" s="73"/>
      <c r="G52" s="73"/>
      <c r="K52" s="21"/>
    </row>
    <row r="53" spans="2:13" ht="15" outlineLevel="1" x14ac:dyDescent="0.25">
      <c r="C53" s="73" t="s">
        <v>56</v>
      </c>
      <c r="D53" s="73"/>
      <c r="E53" s="73"/>
      <c r="F53" s="73"/>
      <c r="G53" s="73"/>
      <c r="I53" s="33"/>
      <c r="K53" s="21" t="str">
        <f>C53</f>
        <v>WIP</v>
      </c>
    </row>
    <row r="54" spans="2:13" ht="15" outlineLevel="1" x14ac:dyDescent="0.25">
      <c r="C54" s="73"/>
      <c r="D54" s="73"/>
      <c r="E54" s="73"/>
      <c r="F54" s="73"/>
      <c r="G54" s="73"/>
      <c r="K54" s="21"/>
    </row>
    <row r="55" spans="2:13" outlineLevel="1" x14ac:dyDescent="0.2">
      <c r="C55" s="73"/>
      <c r="D55" s="73"/>
      <c r="E55" s="73"/>
      <c r="F55" s="73"/>
      <c r="G55" s="73"/>
    </row>
    <row r="56" spans="2:13" ht="16.5" thickBot="1" x14ac:dyDescent="0.3">
      <c r="B56" s="40">
        <f>MAX($B$5:$B55)+1</f>
        <v>3</v>
      </c>
      <c r="C56" s="2" t="s">
        <v>57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ht="12.75" outlineLevel="1" thickTop="1" x14ac:dyDescent="0.2"/>
    <row r="58" spans="2:13" outlineLevel="1" x14ac:dyDescent="0.2">
      <c r="C58" s="74" t="s">
        <v>29</v>
      </c>
      <c r="D58" s="74"/>
      <c r="E58" s="74"/>
      <c r="F58" s="74"/>
      <c r="G58" s="74"/>
      <c r="H58" s="13"/>
      <c r="I58" s="13" t="s">
        <v>30</v>
      </c>
      <c r="J58" s="13"/>
      <c r="K58" s="13" t="s">
        <v>31</v>
      </c>
    </row>
    <row r="59" spans="2:13" outlineLevel="1" x14ac:dyDescent="0.2"/>
    <row r="60" spans="2:13" ht="15" outlineLevel="1" x14ac:dyDescent="0.25">
      <c r="C60" s="73" t="s">
        <v>58</v>
      </c>
      <c r="D60" s="73"/>
      <c r="E60" s="73"/>
      <c r="F60" s="73"/>
      <c r="G60" s="73"/>
      <c r="I60" s="42">
        <v>123456.789</v>
      </c>
      <c r="K60" s="21" t="str">
        <f t="shared" ref="K60:K66" si="0">C60</f>
        <v>Comma</v>
      </c>
    </row>
    <row r="61" spans="2:13" ht="15" outlineLevel="1" x14ac:dyDescent="0.25">
      <c r="C61" s="73"/>
      <c r="D61" s="73"/>
      <c r="E61" s="73"/>
      <c r="F61" s="73"/>
      <c r="G61" s="73"/>
      <c r="K61" s="21"/>
    </row>
    <row r="62" spans="2:13" ht="15" outlineLevel="1" x14ac:dyDescent="0.25">
      <c r="C62" s="73" t="s">
        <v>59</v>
      </c>
      <c r="D62" s="73"/>
      <c r="E62" s="73"/>
      <c r="F62" s="73"/>
      <c r="G62" s="73"/>
      <c r="I62" s="41">
        <v>-123456.789</v>
      </c>
      <c r="K62" s="21" t="str">
        <f t="shared" si="0"/>
        <v>Comma [0]</v>
      </c>
    </row>
    <row r="63" spans="2:13" ht="15" outlineLevel="1" x14ac:dyDescent="0.25">
      <c r="C63" s="73"/>
      <c r="D63" s="73"/>
      <c r="E63" s="73"/>
      <c r="F63" s="73"/>
      <c r="G63" s="73"/>
      <c r="K63" s="21"/>
    </row>
    <row r="64" spans="2:13" ht="15" outlineLevel="1" x14ac:dyDescent="0.25">
      <c r="C64" s="73" t="s">
        <v>60</v>
      </c>
      <c r="D64" s="73"/>
      <c r="E64" s="73"/>
      <c r="F64" s="73"/>
      <c r="G64" s="73"/>
      <c r="I64" s="43">
        <v>123456.789</v>
      </c>
      <c r="K64" s="21" t="str">
        <f t="shared" si="0"/>
        <v>Currency</v>
      </c>
    </row>
    <row r="65" spans="3:11" ht="15" outlineLevel="1" x14ac:dyDescent="0.25">
      <c r="C65" s="73"/>
      <c r="D65" s="73"/>
      <c r="E65" s="73"/>
      <c r="F65" s="73"/>
      <c r="G65" s="73"/>
      <c r="K65" s="21"/>
    </row>
    <row r="66" spans="3:11" ht="15" outlineLevel="1" x14ac:dyDescent="0.25">
      <c r="C66" s="73" t="s">
        <v>61</v>
      </c>
      <c r="D66" s="73"/>
      <c r="E66" s="73"/>
      <c r="F66" s="73"/>
      <c r="G66" s="73"/>
      <c r="I66" s="44">
        <v>123456.789</v>
      </c>
      <c r="K66" s="21" t="str">
        <f t="shared" si="0"/>
        <v>Currency [0]</v>
      </c>
    </row>
    <row r="67" spans="3:11" ht="15" outlineLevel="1" x14ac:dyDescent="0.25">
      <c r="C67" s="73"/>
      <c r="D67" s="73"/>
      <c r="E67" s="73"/>
      <c r="F67" s="73"/>
      <c r="G67" s="73"/>
      <c r="K67" s="21"/>
    </row>
    <row r="68" spans="3:11" ht="15" outlineLevel="1" x14ac:dyDescent="0.25">
      <c r="C68" s="73" t="s">
        <v>62</v>
      </c>
      <c r="D68" s="73"/>
      <c r="E68" s="73"/>
      <c r="F68" s="73"/>
      <c r="G68" s="73"/>
      <c r="I68" s="45">
        <f ca="1">TODAY()</f>
        <v>43706</v>
      </c>
      <c r="K68" s="21" t="str">
        <f>C68</f>
        <v>Date</v>
      </c>
    </row>
    <row r="69" spans="3:11" ht="15" outlineLevel="1" x14ac:dyDescent="0.25">
      <c r="C69" s="73"/>
      <c r="D69" s="73"/>
      <c r="E69" s="73"/>
      <c r="F69" s="73"/>
      <c r="G69" s="73"/>
      <c r="K69" s="21"/>
    </row>
    <row r="70" spans="3:11" ht="15" outlineLevel="1" x14ac:dyDescent="0.25">
      <c r="C70" s="73" t="s">
        <v>63</v>
      </c>
      <c r="D70" s="73"/>
      <c r="E70" s="73"/>
      <c r="F70" s="73"/>
      <c r="G70" s="73"/>
      <c r="I70" s="37">
        <f ca="1">TODAY()</f>
        <v>43706</v>
      </c>
      <c r="K70" s="21" t="str">
        <f>C70</f>
        <v>Date Heading</v>
      </c>
    </row>
    <row r="71" spans="3:11" ht="15" outlineLevel="1" x14ac:dyDescent="0.25">
      <c r="C71" s="73"/>
      <c r="D71" s="73"/>
      <c r="E71" s="73"/>
      <c r="F71" s="73"/>
      <c r="G71" s="73"/>
      <c r="K71" s="21"/>
    </row>
    <row r="72" spans="3:11" ht="15" outlineLevel="1" x14ac:dyDescent="0.25">
      <c r="C72" s="73" t="s">
        <v>64</v>
      </c>
      <c r="D72" s="73"/>
      <c r="E72" s="73"/>
      <c r="F72" s="73"/>
      <c r="G72" s="73"/>
      <c r="I72" s="34">
        <v>-123456.789</v>
      </c>
      <c r="K72" s="21" t="str">
        <f>C72</f>
        <v>Numbers 0</v>
      </c>
    </row>
    <row r="73" spans="3:11" ht="15" outlineLevel="1" x14ac:dyDescent="0.25">
      <c r="C73" s="73"/>
      <c r="D73" s="73"/>
      <c r="E73" s="73"/>
      <c r="F73" s="73"/>
      <c r="G73" s="73"/>
      <c r="K73" s="21"/>
    </row>
    <row r="74" spans="3:11" ht="15" outlineLevel="1" x14ac:dyDescent="0.25">
      <c r="C74" s="73" t="s">
        <v>65</v>
      </c>
      <c r="D74" s="73"/>
      <c r="E74" s="73"/>
      <c r="F74" s="73"/>
      <c r="G74" s="73"/>
      <c r="I74" s="35">
        <v>0.5</v>
      </c>
      <c r="K74" s="21" t="str">
        <f>C74</f>
        <v>Percent</v>
      </c>
    </row>
    <row r="75" spans="3:11" outlineLevel="1" x14ac:dyDescent="0.2">
      <c r="C75" s="73"/>
      <c r="D75" s="73"/>
      <c r="E75" s="73"/>
      <c r="F75" s="73"/>
      <c r="G75" s="73"/>
    </row>
    <row r="76" spans="3:11" outlineLevel="1" x14ac:dyDescent="0.2">
      <c r="C76" s="73"/>
      <c r="D76" s="73"/>
      <c r="E76" s="73"/>
      <c r="F76" s="73"/>
      <c r="G76" s="73"/>
    </row>
    <row r="77" spans="3:11" x14ac:dyDescent="0.2">
      <c r="C77" s="73"/>
      <c r="D77" s="73"/>
      <c r="E77" s="73"/>
      <c r="F77" s="73"/>
      <c r="G77" s="73"/>
    </row>
    <row r="78" spans="3:11" x14ac:dyDescent="0.2">
      <c r="C78" s="73"/>
      <c r="D78" s="73"/>
      <c r="E78" s="73"/>
      <c r="F78" s="73"/>
      <c r="G78" s="73"/>
    </row>
    <row r="79" spans="3:11" x14ac:dyDescent="0.2">
      <c r="C79" s="73"/>
      <c r="D79" s="73"/>
      <c r="E79" s="73"/>
      <c r="F79" s="73"/>
      <c r="G79" s="73"/>
    </row>
    <row r="80" spans="3:11" x14ac:dyDescent="0.2">
      <c r="C80" s="73"/>
      <c r="D80" s="73"/>
      <c r="E80" s="73"/>
      <c r="F80" s="73"/>
      <c r="G80" s="73"/>
    </row>
    <row r="81" spans="3:7" x14ac:dyDescent="0.2">
      <c r="C81" s="73"/>
      <c r="D81" s="73"/>
      <c r="E81" s="73"/>
      <c r="F81" s="73"/>
      <c r="G81" s="73"/>
    </row>
  </sheetData>
  <mergeCells count="66">
    <mergeCell ref="C81:G81"/>
    <mergeCell ref="C75:G75"/>
    <mergeCell ref="C76:G76"/>
    <mergeCell ref="C77:G77"/>
    <mergeCell ref="C78:G78"/>
    <mergeCell ref="C79:G79"/>
    <mergeCell ref="C80:G80"/>
    <mergeCell ref="C74:G74"/>
    <mergeCell ref="C63:G63"/>
    <mergeCell ref="C64:G64"/>
    <mergeCell ref="C65:G65"/>
    <mergeCell ref="C66:G66"/>
    <mergeCell ref="C67:G67"/>
    <mergeCell ref="C68:G68"/>
    <mergeCell ref="C69:G69"/>
    <mergeCell ref="C70:G70"/>
    <mergeCell ref="C71:G71"/>
    <mergeCell ref="C72:G72"/>
    <mergeCell ref="C73:G73"/>
    <mergeCell ref="C62:G62"/>
    <mergeCell ref="C48:G48"/>
    <mergeCell ref="C49:G49"/>
    <mergeCell ref="C50:G50"/>
    <mergeCell ref="C51:G51"/>
    <mergeCell ref="C52:G52"/>
    <mergeCell ref="C53:G53"/>
    <mergeCell ref="C54:G54"/>
    <mergeCell ref="C55:G55"/>
    <mergeCell ref="C58:G58"/>
    <mergeCell ref="C60:G60"/>
    <mergeCell ref="C61:G61"/>
    <mergeCell ref="C47:G47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35:G35"/>
    <mergeCell ref="C18:G18"/>
    <mergeCell ref="C19:G19"/>
    <mergeCell ref="C20:G20"/>
    <mergeCell ref="C25:G25"/>
    <mergeCell ref="C26:G26"/>
    <mergeCell ref="C27:G27"/>
    <mergeCell ref="C28:G28"/>
    <mergeCell ref="C29:G29"/>
    <mergeCell ref="C30:G30"/>
    <mergeCell ref="C31:G31"/>
    <mergeCell ref="C32:G32"/>
    <mergeCell ref="C17:G17"/>
    <mergeCell ref="A3:E3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</mergeCells>
  <conditionalFormatting sqref="I4">
    <cfRule type="cellIs" dxfId="15" priority="1" operator="notEqual">
      <formula>0</formula>
    </cfRule>
  </conditionalFormatting>
  <hyperlinks>
    <hyperlink ref="A3:E3" location="HL_Navigator" tooltip="Go to Navigator (Table of Contents)" display="Navigator" xr:uid="{00000000-0004-0000-0200-000000000000}"/>
    <hyperlink ref="A3" location="HL_Navigator" display="Navigator" xr:uid="{00000000-0004-0000-0200-000001000000}"/>
    <hyperlink ref="I4" location="Overall_Error_Check" tooltip="Go to Overall Error Check" display="Overall_Error_Check" xr:uid="{00000000-0004-0000-0200-000002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2">
    <outlinePr summaryBelow="0"/>
  </sheetPr>
  <dimension ref="A1:S33"/>
  <sheetViews>
    <sheetView showGridLines="0" zoomScaleNormal="100" workbookViewId="0">
      <pane ySplit="4" topLeftCell="A5" activePane="bottomLeft" state="frozen"/>
      <selection activeCell="A3" sqref="A3:E3"/>
      <selection pane="bottomLeft" activeCell="A3" sqref="A3:E3"/>
    </sheetView>
  </sheetViews>
  <sheetFormatPr defaultColWidth="0" defaultRowHeight="12" outlineLevelRow="1" x14ac:dyDescent="0.2"/>
  <cols>
    <col min="1" max="5" width="3.7109375" customWidth="1"/>
    <col min="6" max="6" width="16.28515625" customWidth="1"/>
    <col min="7" max="7" width="14.42578125" customWidth="1"/>
    <col min="8" max="8" width="3" customWidth="1"/>
    <col min="9" max="18" width="9.140625" customWidth="1"/>
    <col min="19" max="19" width="1.7109375" customWidth="1"/>
    <col min="20" max="16384" width="9.140625" hidden="1"/>
  </cols>
  <sheetData>
    <row r="1" spans="1:18" ht="20.25" x14ac:dyDescent="0.3">
      <c r="A1" s="14" t="str">
        <f ca="1">IF(ISERROR(RIGHT(CELL("filename",A1),LEN(CELL("filename",A1))-FIND("]",CELL("filename",A1)))),
"",
RIGHT(CELL("filename",A1),LEN(CELL("filename",A1))-FIND("]",CELL("filename",A1))))</f>
        <v>Model Parameters</v>
      </c>
      <c r="J1" s="72"/>
      <c r="K1" s="72"/>
    </row>
    <row r="2" spans="1:18" ht="18" x14ac:dyDescent="0.25">
      <c r="A2" s="16" t="str">
        <f ca="1">Model_Name</f>
        <v>SP XLOOKUP and XMATCH Functions.xlsx</v>
      </c>
    </row>
    <row r="3" spans="1:18" x14ac:dyDescent="0.2">
      <c r="A3" s="72" t="s">
        <v>1</v>
      </c>
      <c r="B3" s="72"/>
      <c r="C3" s="72"/>
      <c r="D3" s="72"/>
      <c r="E3" s="72"/>
    </row>
    <row r="4" spans="1:18" ht="14.25" x14ac:dyDescent="0.2">
      <c r="E4" t="s">
        <v>2</v>
      </c>
      <c r="I4" s="1">
        <f>Overall_Error_Check</f>
        <v>0</v>
      </c>
    </row>
    <row r="6" spans="1:18" ht="16.5" thickBot="1" x14ac:dyDescent="0.3">
      <c r="B6" s="40">
        <f>MAX($B$5:$B5)+1</f>
        <v>1</v>
      </c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outlineLevel="1" thickTop="1" x14ac:dyDescent="0.2"/>
    <row r="8" spans="1:18" ht="16.5" outlineLevel="1" x14ac:dyDescent="0.25">
      <c r="C8" s="3" t="s">
        <v>4</v>
      </c>
    </row>
    <row r="9" spans="1:18" ht="16.5" outlineLevel="1" x14ac:dyDescent="0.25">
      <c r="C9" s="3"/>
    </row>
    <row r="10" spans="1:18" ht="16.5" outlineLevel="1" x14ac:dyDescent="0.25">
      <c r="C10" s="3"/>
      <c r="E10" s="4" t="s">
        <v>3</v>
      </c>
    </row>
    <row r="11" spans="1:18" outlineLevel="1" x14ac:dyDescent="0.2">
      <c r="E11" t="s">
        <v>5</v>
      </c>
      <c r="G11" s="75" t="str">
        <f ca="1">IF(ISERROR(OR(FIND("[",CELL("filename",A1)),FIND("]",CELL("filename",A1)))),"",MID(CELL("filename",A1),FIND("[",CELL("filename",A1))+1,FIND("]",CELL("filename",A1))-FIND("[",CELL("filename",A1))-1))</f>
        <v>SP XLOOKUP and XMATCH Functions.xlsx</v>
      </c>
      <c r="H11" s="75"/>
      <c r="I11" s="75"/>
      <c r="J11" s="75"/>
      <c r="K11" s="75"/>
      <c r="L11" s="75"/>
      <c r="M11" s="75"/>
      <c r="N11" s="75"/>
    </row>
    <row r="12" spans="1:18" outlineLevel="1" x14ac:dyDescent="0.2">
      <c r="E12" t="s">
        <v>6</v>
      </c>
      <c r="G12" s="76" t="s">
        <v>71</v>
      </c>
      <c r="H12" s="76"/>
      <c r="I12" s="76"/>
      <c r="J12" s="76"/>
      <c r="K12" s="76"/>
      <c r="L12" s="76"/>
      <c r="M12" s="76"/>
      <c r="N12" s="76"/>
    </row>
    <row r="13" spans="1:18" outlineLevel="1" x14ac:dyDescent="0.2"/>
    <row r="14" spans="1:18" outlineLevel="1" x14ac:dyDescent="0.2"/>
    <row r="15" spans="1:18" ht="16.5" thickBot="1" x14ac:dyDescent="0.3">
      <c r="B15" s="40">
        <f>MAX($B$5:$B14)+1</f>
        <v>2</v>
      </c>
      <c r="C15" s="2" t="s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 outlineLevel="1" thickTop="1" x14ac:dyDescent="0.2"/>
    <row r="17" spans="3:7" ht="16.5" outlineLevel="1" x14ac:dyDescent="0.25">
      <c r="C17" s="3" t="s">
        <v>8</v>
      </c>
    </row>
    <row r="18" spans="3:7" outlineLevel="1" x14ac:dyDescent="0.2"/>
    <row r="19" spans="3:7" outlineLevel="1" x14ac:dyDescent="0.2">
      <c r="E19" t="s">
        <v>9</v>
      </c>
      <c r="G19" s="5">
        <v>365</v>
      </c>
    </row>
    <row r="20" spans="3:7" outlineLevel="1" x14ac:dyDescent="0.2">
      <c r="E20" t="s">
        <v>10</v>
      </c>
      <c r="G20" s="5">
        <v>1</v>
      </c>
    </row>
    <row r="21" spans="3:7" outlineLevel="1" x14ac:dyDescent="0.2">
      <c r="E21" t="s">
        <v>11</v>
      </c>
      <c r="G21" s="5">
        <v>3</v>
      </c>
    </row>
    <row r="22" spans="3:7" outlineLevel="1" x14ac:dyDescent="0.2">
      <c r="E22" t="s">
        <v>12</v>
      </c>
      <c r="G22" s="5">
        <v>6</v>
      </c>
    </row>
    <row r="23" spans="3:7" outlineLevel="1" x14ac:dyDescent="0.2">
      <c r="E23" t="s">
        <v>13</v>
      </c>
      <c r="G23" s="5">
        <v>12</v>
      </c>
    </row>
    <row r="24" spans="3:7" outlineLevel="1" x14ac:dyDescent="0.2">
      <c r="E24" t="s">
        <v>14</v>
      </c>
      <c r="G24" s="5">
        <v>4</v>
      </c>
    </row>
    <row r="25" spans="3:7" outlineLevel="1" x14ac:dyDescent="0.2"/>
    <row r="26" spans="3:7" outlineLevel="1" x14ac:dyDescent="0.2">
      <c r="E26" t="s">
        <v>15</v>
      </c>
      <c r="G26" s="5">
        <v>5</v>
      </c>
    </row>
    <row r="27" spans="3:7" outlineLevel="1" x14ac:dyDescent="0.2"/>
    <row r="28" spans="3:7" outlineLevel="1" x14ac:dyDescent="0.2">
      <c r="E28" t="s">
        <v>16</v>
      </c>
      <c r="G28" s="6">
        <v>9.9999999999999997E+98</v>
      </c>
    </row>
    <row r="29" spans="3:7" outlineLevel="1" x14ac:dyDescent="0.2">
      <c r="E29" t="s">
        <v>17</v>
      </c>
      <c r="G29" s="6">
        <v>1E-8</v>
      </c>
    </row>
    <row r="30" spans="3:7" outlineLevel="1" x14ac:dyDescent="0.2"/>
    <row r="31" spans="3:7" outlineLevel="1" x14ac:dyDescent="0.2">
      <c r="E31" t="s">
        <v>18</v>
      </c>
      <c r="G31" s="5">
        <v>1000</v>
      </c>
    </row>
    <row r="32" spans="3:7" outlineLevel="1" x14ac:dyDescent="0.2"/>
    <row r="33" outlineLevel="1" x14ac:dyDescent="0.2"/>
  </sheetData>
  <sheetProtection formatColumns="0" formatRows="0"/>
  <mergeCells count="4">
    <mergeCell ref="J1:K1"/>
    <mergeCell ref="A3:E3"/>
    <mergeCell ref="G11:N11"/>
    <mergeCell ref="G12:N12"/>
  </mergeCells>
  <conditionalFormatting sqref="I4">
    <cfRule type="cellIs" dxfId="14" priority="1" operator="notEqual">
      <formula>0</formula>
    </cfRule>
  </conditionalFormatting>
  <hyperlinks>
    <hyperlink ref="A3:E3" location="HL_Navigator" tooltip="Go to Navigator (Table of Contents)" display="Navigator" xr:uid="{00000000-0004-0000-0300-000000000000}"/>
    <hyperlink ref="A3" location="HL_Navigator" display="Navigator" xr:uid="{00000000-0004-0000-0300-000001000000}"/>
    <hyperlink ref="I4" location="Overall_Error_Check" tooltip="Go to Overall Error Check" display="Overall_Error_Check" xr:uid="{00000000-0004-0000-0300-000002000000}"/>
  </hyperlinks>
  <pageMargins left="0.70866141732283472" right="0.70866141732283472" top="0.74803149606299213" bottom="0.74803149606299213" header="0.31496062992125984" footer="0.31496062992125984"/>
  <pageSetup paperSize="8" scale="7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5D96-18B6-46CA-A07B-1DB6F164D42A}">
  <sheetPr>
    <outlinePr summaryBelow="0" summaryRight="0"/>
  </sheetPr>
  <dimension ref="A1:Q122"/>
  <sheetViews>
    <sheetView showGridLines="0" workbookViewId="0">
      <pane ySplit="4" topLeftCell="A5" activePane="bottomLeft" state="frozen"/>
      <selection pane="bottomLeft" activeCell="A3" sqref="A3:E3"/>
    </sheetView>
  </sheetViews>
  <sheetFormatPr defaultRowHeight="12" outlineLevelRow="1" x14ac:dyDescent="0.2"/>
  <cols>
    <col min="1" max="5" width="3.7109375" style="47" customWidth="1"/>
    <col min="6" max="16384" width="9.140625" style="47"/>
  </cols>
  <sheetData>
    <row r="1" spans="1:17" ht="20.25" x14ac:dyDescent="0.3">
      <c r="A1" s="14" t="str">
        <f ca="1">IF(ISERROR(RIGHT(CELL("filename",A1),LEN(CELL("filename",A1))-FIND("]",CELL("filename",A1)))),
"",
RIGHT(CELL("filename",A1),LEN(CELL("filename",A1))-FIND("]",CELL("filename",A1))))</f>
        <v>Replacing the LOOKUP Family</v>
      </c>
    </row>
    <row r="2" spans="1:17" ht="18" x14ac:dyDescent="0.25">
      <c r="A2" s="16" t="str">
        <f ca="1">Model_Name</f>
        <v>SP XLOOKUP and XMATCH Functions.xlsx</v>
      </c>
    </row>
    <row r="3" spans="1:17" x14ac:dyDescent="0.2">
      <c r="A3" s="72" t="s">
        <v>1</v>
      </c>
      <c r="B3" s="72"/>
      <c r="C3" s="72"/>
      <c r="D3" s="72"/>
      <c r="E3" s="72"/>
    </row>
    <row r="4" spans="1:17" ht="14.25" x14ac:dyDescent="0.2">
      <c r="E4" s="47" t="s">
        <v>2</v>
      </c>
      <c r="I4" s="1">
        <f>Overall_Error_Check</f>
        <v>0</v>
      </c>
    </row>
    <row r="5" spans="1:17" x14ac:dyDescent="0.2">
      <c r="A5" s="46"/>
    </row>
    <row r="6" spans="1:17" ht="16.5" thickBot="1" x14ac:dyDescent="0.3">
      <c r="B6" s="40">
        <f>MAX($B$5:$B5)+1</f>
        <v>1</v>
      </c>
      <c r="C6" s="2" t="s">
        <v>72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outlineLevel="1" thickTop="1" x14ac:dyDescent="0.2"/>
    <row r="8" spans="1:17" ht="16.5" outlineLevel="1" x14ac:dyDescent="0.25">
      <c r="C8" s="3" t="s">
        <v>69</v>
      </c>
    </row>
    <row r="9" spans="1:17" outlineLevel="1" x14ac:dyDescent="0.2"/>
    <row r="10" spans="1:17" ht="15" outlineLevel="1" x14ac:dyDescent="0.25">
      <c r="D10" s="4" t="s">
        <v>73</v>
      </c>
    </row>
    <row r="11" spans="1:17" outlineLevel="1" x14ac:dyDescent="0.2"/>
    <row r="12" spans="1:17" outlineLevel="1" x14ac:dyDescent="0.2">
      <c r="F12" s="47" t="s">
        <v>74</v>
      </c>
      <c r="J12" s="52" t="s">
        <v>76</v>
      </c>
      <c r="K12" s="52" t="s">
        <v>77</v>
      </c>
      <c r="L12" s="52" t="s">
        <v>78</v>
      </c>
      <c r="M12" s="52" t="s">
        <v>79</v>
      </c>
      <c r="N12" s="52" t="s">
        <v>80</v>
      </c>
      <c r="O12" s="52" t="s">
        <v>81</v>
      </c>
      <c r="P12" s="52" t="s">
        <v>82</v>
      </c>
    </row>
    <row r="13" spans="1:17" outlineLevel="1" x14ac:dyDescent="0.2">
      <c r="F13" s="47" t="s">
        <v>75</v>
      </c>
      <c r="J13" s="52">
        <v>1333</v>
      </c>
      <c r="K13" s="52">
        <v>1331</v>
      </c>
      <c r="L13" s="52">
        <v>1392</v>
      </c>
      <c r="M13" s="52">
        <v>1867</v>
      </c>
      <c r="N13" s="52">
        <v>3589</v>
      </c>
      <c r="O13" s="52">
        <v>2364</v>
      </c>
      <c r="P13" s="52">
        <v>3717</v>
      </c>
    </row>
    <row r="14" spans="1:17" outlineLevel="1" x14ac:dyDescent="0.2"/>
    <row r="15" spans="1:17" outlineLevel="1" x14ac:dyDescent="0.2"/>
    <row r="16" spans="1:17" ht="15" outlineLevel="1" x14ac:dyDescent="0.25">
      <c r="D16" s="4" t="s">
        <v>83</v>
      </c>
    </row>
    <row r="17" spans="6:10" outlineLevel="1" x14ac:dyDescent="0.2"/>
    <row r="18" spans="6:10" outlineLevel="1" x14ac:dyDescent="0.2">
      <c r="F18" s="47" t="str">
        <f>F12</f>
        <v>Student</v>
      </c>
      <c r="H18" s="52" t="s">
        <v>80</v>
      </c>
    </row>
    <row r="19" spans="6:10" outlineLevel="1" x14ac:dyDescent="0.2"/>
    <row r="20" spans="6:10" outlineLevel="1" x14ac:dyDescent="0.2">
      <c r="F20" s="53" t="s">
        <v>84</v>
      </c>
      <c r="H20" s="54" cm="1">
        <f t="array" ref="H20">_xlfn.XLOOKUP(H18,J12:P12,J13:P13)</f>
        <v>3589</v>
      </c>
      <c r="J20" s="19" t="str">
        <f ca="1">IFERROR(_xlfn.FORMULATEXT(H20),"")</f>
        <v>=XLOOKUP(H18,J12:P12,J13:P13)</v>
      </c>
    </row>
    <row r="21" spans="6:10" outlineLevel="1" x14ac:dyDescent="0.2"/>
    <row r="22" spans="6:10" outlineLevel="1" x14ac:dyDescent="0.2">
      <c r="F22" s="47" t="s">
        <v>86</v>
      </c>
      <c r="H22" s="54" cm="1">
        <f t="array" ref="H22">HLOOKUP(H18,J12:P13,ROWS(I12:I13))</f>
        <v>3717</v>
      </c>
      <c r="J22" s="19" t="str">
        <f t="shared" ref="J22:J24" ca="1" si="0">IFERROR(_xlfn.FORMULATEXT(H22),"")</f>
        <v>=HLOOKUP(H18,J12:P13,ROWS(I12:I13))</v>
      </c>
    </row>
    <row r="23" spans="6:10" outlineLevel="1" x14ac:dyDescent="0.2"/>
    <row r="24" spans="6:10" outlineLevel="1" x14ac:dyDescent="0.2">
      <c r="F24" s="47" t="s">
        <v>87</v>
      </c>
      <c r="H24" s="54" cm="1">
        <f t="array" ref="H24">HLOOKUP(H18,J12:P13,ROWS(I12:I13),FALSE)</f>
        <v>3589</v>
      </c>
      <c r="J24" s="19" t="str">
        <f t="shared" ca="1" si="0"/>
        <v>=HLOOKUP(H18,J12:P13,ROWS(I12:I13),FALSE)</v>
      </c>
    </row>
    <row r="25" spans="6:10" outlineLevel="1" x14ac:dyDescent="0.2"/>
    <row r="26" spans="6:10" outlineLevel="1" x14ac:dyDescent="0.2"/>
    <row r="27" spans="6:10" outlineLevel="1" x14ac:dyDescent="0.2">
      <c r="F27" s="47" t="s">
        <v>75</v>
      </c>
      <c r="H27" s="52">
        <v>1331</v>
      </c>
    </row>
    <row r="28" spans="6:10" outlineLevel="1" x14ac:dyDescent="0.2"/>
    <row r="29" spans="6:10" outlineLevel="1" x14ac:dyDescent="0.2">
      <c r="F29" s="53" t="s">
        <v>84</v>
      </c>
      <c r="H29" s="54" t="str" cm="1">
        <f t="array" ref="H29">_xlfn.XLOOKUP(H27,J13:P13,J12:P12)</f>
        <v>Alice</v>
      </c>
      <c r="J29" s="19" t="str">
        <f t="shared" ref="J29" ca="1" si="1">IFERROR(_xlfn.FORMULATEXT(H29),"")</f>
        <v>=XLOOKUP(H27,J13:P13,J12:P12)</v>
      </c>
    </row>
    <row r="30" spans="6:10" outlineLevel="1" x14ac:dyDescent="0.2"/>
    <row r="31" spans="6:10" outlineLevel="1" x14ac:dyDescent="0.2">
      <c r="F31" s="53" t="s">
        <v>85</v>
      </c>
      <c r="H31" s="47" t="s">
        <v>108</v>
      </c>
      <c r="J31" s="19" t="s">
        <v>109</v>
      </c>
    </row>
    <row r="32" spans="6:10" outlineLevel="1" x14ac:dyDescent="0.2"/>
    <row r="33" spans="2:17" outlineLevel="1" x14ac:dyDescent="0.2"/>
    <row r="34" spans="2:17" ht="16.5" thickBot="1" x14ac:dyDescent="0.3">
      <c r="B34" s="40">
        <f>MAX($B$5:$B33)+1</f>
        <v>2</v>
      </c>
      <c r="C34" s="2" t="s">
        <v>88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ht="12.75" outlineLevel="1" thickTop="1" x14ac:dyDescent="0.2"/>
    <row r="36" spans="2:17" ht="16.5" outlineLevel="1" x14ac:dyDescent="0.25">
      <c r="C36" s="3" t="s">
        <v>69</v>
      </c>
    </row>
    <row r="37" spans="2:17" outlineLevel="1" x14ac:dyDescent="0.2"/>
    <row r="38" spans="2:17" ht="15" outlineLevel="1" x14ac:dyDescent="0.25">
      <c r="D38" s="4" t="s">
        <v>73</v>
      </c>
    </row>
    <row r="39" spans="2:17" outlineLevel="1" x14ac:dyDescent="0.2"/>
    <row r="40" spans="2:17" outlineLevel="1" x14ac:dyDescent="0.2">
      <c r="F40" s="48" t="s">
        <v>74</v>
      </c>
      <c r="G40" s="48" t="s">
        <v>89</v>
      </c>
    </row>
    <row r="41" spans="2:17" outlineLevel="1" x14ac:dyDescent="0.2">
      <c r="F41" s="20" t="s">
        <v>76</v>
      </c>
      <c r="G41" s="52">
        <v>1333</v>
      </c>
    </row>
    <row r="42" spans="2:17" outlineLevel="1" x14ac:dyDescent="0.2">
      <c r="F42" s="20" t="s">
        <v>77</v>
      </c>
      <c r="G42" s="52">
        <v>1331</v>
      </c>
    </row>
    <row r="43" spans="2:17" outlineLevel="1" x14ac:dyDescent="0.2">
      <c r="F43" s="20" t="s">
        <v>78</v>
      </c>
      <c r="G43" s="52">
        <v>1392</v>
      </c>
    </row>
    <row r="44" spans="2:17" outlineLevel="1" x14ac:dyDescent="0.2">
      <c r="F44" s="20" t="s">
        <v>79</v>
      </c>
      <c r="G44" s="52">
        <v>1867</v>
      </c>
    </row>
    <row r="45" spans="2:17" outlineLevel="1" x14ac:dyDescent="0.2">
      <c r="F45" s="20" t="s">
        <v>80</v>
      </c>
      <c r="G45" s="52">
        <v>3589</v>
      </c>
    </row>
    <row r="46" spans="2:17" outlineLevel="1" x14ac:dyDescent="0.2">
      <c r="F46" s="20" t="s">
        <v>81</v>
      </c>
      <c r="G46" s="52">
        <v>2364</v>
      </c>
    </row>
    <row r="47" spans="2:17" outlineLevel="1" x14ac:dyDescent="0.2">
      <c r="F47" s="20" t="s">
        <v>82</v>
      </c>
      <c r="G47" s="52">
        <v>3717</v>
      </c>
    </row>
    <row r="48" spans="2:17" outlineLevel="1" x14ac:dyDescent="0.2"/>
    <row r="49" spans="2:17" outlineLevel="1" x14ac:dyDescent="0.2"/>
    <row r="50" spans="2:17" ht="15" outlineLevel="1" x14ac:dyDescent="0.25">
      <c r="D50" s="4" t="s">
        <v>83</v>
      </c>
    </row>
    <row r="51" spans="2:17" outlineLevel="1" x14ac:dyDescent="0.2"/>
    <row r="52" spans="2:17" outlineLevel="1" x14ac:dyDescent="0.2">
      <c r="F52" s="47" t="str">
        <f>F40</f>
        <v>Student</v>
      </c>
      <c r="H52" s="52" t="s">
        <v>80</v>
      </c>
    </row>
    <row r="53" spans="2:17" outlineLevel="1" x14ac:dyDescent="0.2"/>
    <row r="54" spans="2:17" outlineLevel="1" x14ac:dyDescent="0.2">
      <c r="F54" s="53" t="s">
        <v>84</v>
      </c>
      <c r="H54" s="54" cm="1">
        <f t="array" ref="H54">_xlfn.XLOOKUP(H52,F41:F47,G41:G47)</f>
        <v>3589</v>
      </c>
      <c r="J54" s="19" t="str">
        <f ca="1">IFERROR(_xlfn.FORMULATEXT(H54),"")</f>
        <v>=XLOOKUP(H52,F41:F47,G41:G47)</v>
      </c>
    </row>
    <row r="55" spans="2:17" outlineLevel="1" x14ac:dyDescent="0.2"/>
    <row r="56" spans="2:17" outlineLevel="1" x14ac:dyDescent="0.2">
      <c r="F56" s="47" t="s">
        <v>178</v>
      </c>
      <c r="H56" s="54" cm="1">
        <f t="array" ref="H56">VLOOKUP(H52,F41:G47,COLUMNS(F39:G39))</f>
        <v>3717</v>
      </c>
      <c r="J56" s="19" t="str">
        <f t="shared" ref="J56" ca="1" si="2">IFERROR(_xlfn.FORMULATEXT(H56),"")</f>
        <v>=VLOOKUP(H52,F41:G47,COLUMNS(F39:G39))</v>
      </c>
    </row>
    <row r="57" spans="2:17" outlineLevel="1" x14ac:dyDescent="0.2"/>
    <row r="58" spans="2:17" outlineLevel="1" x14ac:dyDescent="0.2">
      <c r="F58" s="47" t="s">
        <v>179</v>
      </c>
      <c r="H58" s="54" cm="1">
        <f t="array" ref="H58">VLOOKUP(H52,F41:G47,COLUMNS(F39:G39),FALSE)</f>
        <v>3589</v>
      </c>
      <c r="J58" s="19" t="str">
        <f t="shared" ref="J58" ca="1" si="3">IFERROR(_xlfn.FORMULATEXT(H58),"")</f>
        <v>=VLOOKUP(H52,F41:G47,COLUMNS(F39:G39),FALSE)</v>
      </c>
    </row>
    <row r="59" spans="2:17" outlineLevel="1" x14ac:dyDescent="0.2"/>
    <row r="60" spans="2:17" outlineLevel="1" x14ac:dyDescent="0.2"/>
    <row r="61" spans="2:17" ht="16.5" thickBot="1" x14ac:dyDescent="0.3">
      <c r="B61" s="40">
        <f>MAX($B$5:$B60)+1</f>
        <v>3</v>
      </c>
      <c r="C61" s="2" t="s">
        <v>90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ht="12.75" outlineLevel="1" thickTop="1" x14ac:dyDescent="0.2"/>
    <row r="63" spans="2:17" ht="16.5" outlineLevel="1" x14ac:dyDescent="0.25">
      <c r="C63" s="3" t="s">
        <v>69</v>
      </c>
    </row>
    <row r="64" spans="2:17" outlineLevel="1" x14ac:dyDescent="0.2"/>
    <row r="65" spans="4:16" ht="15" outlineLevel="1" x14ac:dyDescent="0.25">
      <c r="D65" s="4" t="s">
        <v>68</v>
      </c>
    </row>
    <row r="66" spans="4:16" outlineLevel="1" x14ac:dyDescent="0.2"/>
    <row r="67" spans="4:16" outlineLevel="1" x14ac:dyDescent="0.2">
      <c r="F67" s="48" t="s">
        <v>91</v>
      </c>
      <c r="G67" s="48">
        <f ca="1">YEAR(TODAY())+1</f>
        <v>2020</v>
      </c>
      <c r="H67" s="48">
        <f ca="1">G67+1</f>
        <v>2021</v>
      </c>
      <c r="I67" s="48">
        <f t="shared" ref="I67:K67" ca="1" si="4">H67+1</f>
        <v>2022</v>
      </c>
      <c r="J67" s="48">
        <f t="shared" ca="1" si="4"/>
        <v>2023</v>
      </c>
      <c r="K67" s="55">
        <f t="shared" ca="1" si="4"/>
        <v>2024</v>
      </c>
    </row>
    <row r="68" spans="4:16" outlineLevel="1" x14ac:dyDescent="0.2">
      <c r="F68" s="48" t="s">
        <v>92</v>
      </c>
      <c r="G68" s="56">
        <v>0.03</v>
      </c>
      <c r="H68" s="56">
        <v>0.04</v>
      </c>
      <c r="I68" s="56">
        <v>0.05</v>
      </c>
      <c r="J68" s="56">
        <v>0.06</v>
      </c>
      <c r="K68" s="56">
        <v>7.0000000000000007E-2</v>
      </c>
    </row>
    <row r="69" spans="4:16" outlineLevel="1" x14ac:dyDescent="0.2"/>
    <row r="70" spans="4:16" outlineLevel="1" x14ac:dyDescent="0.2"/>
    <row r="71" spans="4:16" outlineLevel="1" x14ac:dyDescent="0.2"/>
    <row r="72" spans="4:16" ht="15" outlineLevel="1" x14ac:dyDescent="0.25">
      <c r="D72" s="4" t="s">
        <v>93</v>
      </c>
    </row>
    <row r="73" spans="4:16" outlineLevel="1" x14ac:dyDescent="0.2"/>
    <row r="74" spans="4:16" outlineLevel="1" x14ac:dyDescent="0.2">
      <c r="F74" s="48" t="str">
        <f>F67</f>
        <v>Year</v>
      </c>
      <c r="G74" s="48">
        <f ca="1">G67-3</f>
        <v>2017</v>
      </c>
      <c r="H74" s="48">
        <f ca="1">G74+1</f>
        <v>2018</v>
      </c>
      <c r="I74" s="48">
        <f t="shared" ref="I74:P74" ca="1" si="5">H74+1</f>
        <v>2019</v>
      </c>
      <c r="J74" s="48">
        <f t="shared" ca="1" si="5"/>
        <v>2020</v>
      </c>
      <c r="K74" s="48">
        <f t="shared" ca="1" si="5"/>
        <v>2021</v>
      </c>
      <c r="L74" s="48">
        <f t="shared" ca="1" si="5"/>
        <v>2022</v>
      </c>
      <c r="M74" s="48">
        <f t="shared" ca="1" si="5"/>
        <v>2023</v>
      </c>
      <c r="N74" s="48">
        <f t="shared" ca="1" si="5"/>
        <v>2024</v>
      </c>
      <c r="O74" s="48">
        <f t="shared" ca="1" si="5"/>
        <v>2025</v>
      </c>
      <c r="P74" s="48">
        <f t="shared" ca="1" si="5"/>
        <v>2026</v>
      </c>
    </row>
    <row r="75" spans="4:16" outlineLevel="1" x14ac:dyDescent="0.2">
      <c r="F75" s="48" t="str">
        <f>F68</f>
        <v>CPI</v>
      </c>
      <c r="G75" s="57" t="e">
        <f ca="1">LOOKUP(G$74,$G$67:$K$68)</f>
        <v>#N/A</v>
      </c>
      <c r="H75" s="57" t="e">
        <f t="shared" ref="H75:P75" ca="1" si="6">LOOKUP(H$74,$G$67:$K$68)</f>
        <v>#N/A</v>
      </c>
      <c r="I75" s="57" t="e">
        <f t="shared" ca="1" si="6"/>
        <v>#N/A</v>
      </c>
      <c r="J75" s="57">
        <f t="shared" ca="1" si="6"/>
        <v>0.03</v>
      </c>
      <c r="K75" s="57">
        <f t="shared" ca="1" si="6"/>
        <v>0.04</v>
      </c>
      <c r="L75" s="57">
        <f t="shared" ca="1" si="6"/>
        <v>0.05</v>
      </c>
      <c r="M75" s="57">
        <f t="shared" ca="1" si="6"/>
        <v>0.06</v>
      </c>
      <c r="N75" s="57">
        <f t="shared" ca="1" si="6"/>
        <v>7.0000000000000007E-2</v>
      </c>
      <c r="O75" s="57">
        <f t="shared" ca="1" si="6"/>
        <v>7.0000000000000007E-2</v>
      </c>
      <c r="P75" s="57">
        <f t="shared" ca="1" si="6"/>
        <v>7.0000000000000007E-2</v>
      </c>
    </row>
    <row r="76" spans="4:16" outlineLevel="1" x14ac:dyDescent="0.2"/>
    <row r="77" spans="4:16" outlineLevel="1" x14ac:dyDescent="0.2">
      <c r="G77" s="19" t="str">
        <f ca="1">IFERROR(_xlfn.FORMULATEXT(G75),"")</f>
        <v>=LOOKUP(G$74,$G$67:$K$68)</v>
      </c>
    </row>
    <row r="78" spans="4:16" outlineLevel="1" x14ac:dyDescent="0.2"/>
    <row r="79" spans="4:16" outlineLevel="1" x14ac:dyDescent="0.2"/>
    <row r="80" spans="4:16" ht="15" outlineLevel="1" x14ac:dyDescent="0.25">
      <c r="D80" s="4" t="s">
        <v>94</v>
      </c>
    </row>
    <row r="81" spans="2:17" outlineLevel="1" x14ac:dyDescent="0.2"/>
    <row r="82" spans="2:17" outlineLevel="1" x14ac:dyDescent="0.2">
      <c r="F82" s="48" t="str">
        <f>F74</f>
        <v>Year</v>
      </c>
      <c r="G82" s="48">
        <f t="shared" ref="G82:P82" ca="1" si="7">G74</f>
        <v>2017</v>
      </c>
      <c r="H82" s="48">
        <f t="shared" ca="1" si="7"/>
        <v>2018</v>
      </c>
      <c r="I82" s="48">
        <f t="shared" ca="1" si="7"/>
        <v>2019</v>
      </c>
      <c r="J82" s="48">
        <f t="shared" ca="1" si="7"/>
        <v>2020</v>
      </c>
      <c r="K82" s="48">
        <f t="shared" ca="1" si="7"/>
        <v>2021</v>
      </c>
      <c r="L82" s="48">
        <f t="shared" ca="1" si="7"/>
        <v>2022</v>
      </c>
      <c r="M82" s="48">
        <f t="shared" ca="1" si="7"/>
        <v>2023</v>
      </c>
      <c r="N82" s="48">
        <f t="shared" ca="1" si="7"/>
        <v>2024</v>
      </c>
      <c r="O82" s="48">
        <f t="shared" ca="1" si="7"/>
        <v>2025</v>
      </c>
      <c r="P82" s="48">
        <f t="shared" ca="1" si="7"/>
        <v>2026</v>
      </c>
    </row>
    <row r="83" spans="2:17" outlineLevel="1" x14ac:dyDescent="0.2">
      <c r="F83" s="48" t="str">
        <f>F75</f>
        <v>CPI</v>
      </c>
      <c r="G83" s="57" t="e" cm="1">
        <f t="array" aca="1" ref="G83" ca="1">_xlfn.XLOOKUP(G$82,$G$67:$K$67,$G$68:$K$68,-1)</f>
        <v>#N/A</v>
      </c>
      <c r="H83" s="57" t="e" cm="1">
        <f t="array" aca="1" ref="H83" ca="1">_xlfn.XLOOKUP(H$82,$G$67:$K$67,$G$68:$K$68,-1)</f>
        <v>#N/A</v>
      </c>
      <c r="I83" s="57" t="e" cm="1">
        <f t="array" aca="1" ref="I83" ca="1">_xlfn.XLOOKUP(I$82,$G$67:$K$67,$G$68:$K$68,-1)</f>
        <v>#N/A</v>
      </c>
      <c r="J83" s="57" cm="1">
        <f t="array" aca="1" ref="J83" ca="1">_xlfn.XLOOKUP(J$82,$G$67:$K$67,$G$68:$K$68,-1)</f>
        <v>0.03</v>
      </c>
      <c r="K83" s="57" cm="1">
        <f t="array" aca="1" ref="K83" ca="1">_xlfn.XLOOKUP(K$82,$G$67:$K$67,$G$68:$K$68,-1)</f>
        <v>0.04</v>
      </c>
      <c r="L83" s="57" cm="1">
        <f t="array" aca="1" ref="L83" ca="1">_xlfn.XLOOKUP(L$82,$G$67:$K$67,$G$68:$K$68,-1)</f>
        <v>0.05</v>
      </c>
      <c r="M83" s="57" cm="1">
        <f t="array" aca="1" ref="M83" ca="1">_xlfn.XLOOKUP(M$82,$G$67:$K$67,$G$68:$K$68,-1)</f>
        <v>0.06</v>
      </c>
      <c r="N83" s="57" cm="1">
        <f t="array" aca="1" ref="N83" ca="1">_xlfn.XLOOKUP(N$82,$G$67:$K$67,$G$68:$K$68,-1)</f>
        <v>7.0000000000000007E-2</v>
      </c>
      <c r="O83" s="57" cm="1">
        <f t="array" aca="1" ref="O83" ca="1">_xlfn.XLOOKUP(O$82,$G$67:$K$67,$G$68:$K$68,-1)</f>
        <v>7.0000000000000007E-2</v>
      </c>
      <c r="P83" s="57" cm="1">
        <f t="array" aca="1" ref="P83" ca="1">_xlfn.XLOOKUP(P$82,$G$67:$K$67,$G$68:$K$68,-1)</f>
        <v>7.0000000000000007E-2</v>
      </c>
    </row>
    <row r="84" spans="2:17" outlineLevel="1" x14ac:dyDescent="0.2"/>
    <row r="85" spans="2:17" outlineLevel="1" x14ac:dyDescent="0.2">
      <c r="G85" s="19" t="str">
        <f ca="1">IFERROR(_xlfn.FORMULATEXT(G83),"")</f>
        <v>=XLOOKUP(G$82,$G$67:$K$67,$G$68:$K$68,-1)</v>
      </c>
    </row>
    <row r="86" spans="2:17" outlineLevel="1" x14ac:dyDescent="0.2"/>
    <row r="87" spans="2:17" outlineLevel="1" x14ac:dyDescent="0.2"/>
    <row r="88" spans="2:17" ht="15" outlineLevel="1" x14ac:dyDescent="0.25">
      <c r="D88" s="4" t="s">
        <v>95</v>
      </c>
    </row>
    <row r="89" spans="2:17" outlineLevel="1" x14ac:dyDescent="0.2"/>
    <row r="90" spans="2:17" outlineLevel="1" x14ac:dyDescent="0.2">
      <c r="F90" s="48" t="str">
        <f>F82</f>
        <v>Year</v>
      </c>
      <c r="G90" s="48">
        <f t="shared" ref="G90:P90" ca="1" si="8">G82</f>
        <v>2017</v>
      </c>
      <c r="H90" s="48">
        <f t="shared" ca="1" si="8"/>
        <v>2018</v>
      </c>
      <c r="I90" s="48">
        <f t="shared" ca="1" si="8"/>
        <v>2019</v>
      </c>
      <c r="J90" s="48">
        <f t="shared" ca="1" si="8"/>
        <v>2020</v>
      </c>
      <c r="K90" s="48">
        <f t="shared" ca="1" si="8"/>
        <v>2021</v>
      </c>
      <c r="L90" s="48">
        <f t="shared" ca="1" si="8"/>
        <v>2022</v>
      </c>
      <c r="M90" s="48">
        <f t="shared" ca="1" si="8"/>
        <v>2023</v>
      </c>
      <c r="N90" s="48">
        <f t="shared" ca="1" si="8"/>
        <v>2024</v>
      </c>
      <c r="O90" s="48">
        <f t="shared" ca="1" si="8"/>
        <v>2025</v>
      </c>
      <c r="P90" s="48">
        <f t="shared" ca="1" si="8"/>
        <v>2026</v>
      </c>
    </row>
    <row r="91" spans="2:17" outlineLevel="1" x14ac:dyDescent="0.2">
      <c r="F91" s="48" t="str">
        <f>F83</f>
        <v>CPI</v>
      </c>
      <c r="G91" s="57">
        <f ca="1">IF(G$90&lt;$G$67,$G$68,LOOKUP(G$90,$G$67:$K$68))</f>
        <v>0.03</v>
      </c>
      <c r="H91" s="57">
        <f t="shared" ref="H91:P91" ca="1" si="9">IF(H$90&lt;$G$67,$G$68,LOOKUP(H$90,$G$67:$K$68))</f>
        <v>0.03</v>
      </c>
      <c r="I91" s="57">
        <f t="shared" ca="1" si="9"/>
        <v>0.03</v>
      </c>
      <c r="J91" s="57">
        <f t="shared" ca="1" si="9"/>
        <v>0.03</v>
      </c>
      <c r="K91" s="57">
        <f t="shared" ca="1" si="9"/>
        <v>0.04</v>
      </c>
      <c r="L91" s="57">
        <f t="shared" ca="1" si="9"/>
        <v>0.05</v>
      </c>
      <c r="M91" s="57">
        <f t="shared" ca="1" si="9"/>
        <v>0.06</v>
      </c>
      <c r="N91" s="57">
        <f t="shared" ca="1" si="9"/>
        <v>7.0000000000000007E-2</v>
      </c>
      <c r="O91" s="57">
        <f t="shared" ca="1" si="9"/>
        <v>7.0000000000000007E-2</v>
      </c>
      <c r="P91" s="57">
        <f t="shared" ca="1" si="9"/>
        <v>7.0000000000000007E-2</v>
      </c>
    </row>
    <row r="92" spans="2:17" outlineLevel="1" x14ac:dyDescent="0.2"/>
    <row r="93" spans="2:17" outlineLevel="1" x14ac:dyDescent="0.2">
      <c r="G93" s="19" t="str">
        <f ca="1">IFERROR(_xlfn.FORMULATEXT(G91),"")</f>
        <v>=IF(G$90&lt;$G$67,$G$68,LOOKUP(G$90,$G$67:$K$68))</v>
      </c>
    </row>
    <row r="94" spans="2:17" outlineLevel="1" x14ac:dyDescent="0.2"/>
    <row r="95" spans="2:17" outlineLevel="1" x14ac:dyDescent="0.2"/>
    <row r="96" spans="2:17" ht="16.5" thickBot="1" x14ac:dyDescent="0.3">
      <c r="B96" s="40">
        <f>MAX($B$5:$B95)+1</f>
        <v>4</v>
      </c>
      <c r="C96" s="2" t="s">
        <v>96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3:11" ht="12.75" outlineLevel="1" thickTop="1" x14ac:dyDescent="0.2"/>
    <row r="98" spans="3:11" ht="16.5" outlineLevel="1" x14ac:dyDescent="0.25">
      <c r="C98" s="3" t="s">
        <v>69</v>
      </c>
    </row>
    <row r="99" spans="3:11" outlineLevel="1" x14ac:dyDescent="0.2"/>
    <row r="100" spans="3:11" ht="15" outlineLevel="1" x14ac:dyDescent="0.25">
      <c r="D100" s="4" t="s">
        <v>68</v>
      </c>
    </row>
    <row r="101" spans="3:11" outlineLevel="1" x14ac:dyDescent="0.2"/>
    <row r="102" spans="3:11" outlineLevel="1" x14ac:dyDescent="0.2">
      <c r="F102" s="48" t="s">
        <v>97</v>
      </c>
      <c r="G102" s="52">
        <v>1</v>
      </c>
      <c r="H102" s="52">
        <v>2</v>
      </c>
      <c r="I102" s="52">
        <v>3</v>
      </c>
      <c r="J102" s="52">
        <v>4</v>
      </c>
      <c r="K102" s="52">
        <v>5</v>
      </c>
    </row>
    <row r="103" spans="3:11" outlineLevel="1" x14ac:dyDescent="0.2"/>
    <row r="104" spans="3:11" outlineLevel="1" x14ac:dyDescent="0.2">
      <c r="F104" s="48" t="s">
        <v>98</v>
      </c>
    </row>
    <row r="105" spans="3:11" outlineLevel="1" x14ac:dyDescent="0.2">
      <c r="F105" s="52" t="s">
        <v>99</v>
      </c>
    </row>
    <row r="106" spans="3:11" outlineLevel="1" x14ac:dyDescent="0.2">
      <c r="F106" s="52" t="s">
        <v>100</v>
      </c>
    </row>
    <row r="107" spans="3:11" outlineLevel="1" x14ac:dyDescent="0.2">
      <c r="F107" s="52" t="s">
        <v>101</v>
      </c>
    </row>
    <row r="108" spans="3:11" outlineLevel="1" x14ac:dyDescent="0.2">
      <c r="F108" s="52" t="s">
        <v>102</v>
      </c>
    </row>
    <row r="109" spans="3:11" outlineLevel="1" x14ac:dyDescent="0.2">
      <c r="F109" s="52" t="s">
        <v>103</v>
      </c>
    </row>
    <row r="110" spans="3:11" outlineLevel="1" x14ac:dyDescent="0.2"/>
    <row r="111" spans="3:11" outlineLevel="1" x14ac:dyDescent="0.2"/>
    <row r="112" spans="3:11" outlineLevel="1" x14ac:dyDescent="0.2">
      <c r="E112" s="53" t="s">
        <v>104</v>
      </c>
      <c r="H112" s="52" t="s">
        <v>100</v>
      </c>
    </row>
    <row r="113" spans="5:10" outlineLevel="1" x14ac:dyDescent="0.2"/>
    <row r="114" spans="5:10" outlineLevel="1" x14ac:dyDescent="0.2">
      <c r="E114" s="53" t="s">
        <v>105</v>
      </c>
    </row>
    <row r="115" spans="5:10" outlineLevel="1" x14ac:dyDescent="0.2"/>
    <row r="116" spans="5:10" outlineLevel="1" x14ac:dyDescent="0.2">
      <c r="F116" s="53" t="s">
        <v>106</v>
      </c>
      <c r="H116" s="58">
        <f>LOOKUP(H112,F105:F109,G102:K102)</f>
        <v>2</v>
      </c>
      <c r="J116" s="19" t="str">
        <f ca="1">IFERROR(_xlfn.FORMULATEXT(H116),"")</f>
        <v>=LOOKUP(H112,F105:F109,G102:K102)</v>
      </c>
    </row>
    <row r="117" spans="5:10" outlineLevel="1" x14ac:dyDescent="0.2"/>
    <row r="118" spans="5:10" outlineLevel="1" x14ac:dyDescent="0.2">
      <c r="F118" s="53" t="s">
        <v>84</v>
      </c>
      <c r="H118" s="58" t="e" cm="1">
        <f t="array" ref="H118">_xlfn.XLOOKUP(H112,F105:F109,G102:K102)</f>
        <v>#VALUE!</v>
      </c>
      <c r="J118" s="19" t="str">
        <f ca="1">IFERROR(_xlfn.FORMULATEXT(H118),"")</f>
        <v>=XLOOKUP(H112,F105:F109,G102:K102)</v>
      </c>
    </row>
    <row r="119" spans="5:10" outlineLevel="1" x14ac:dyDescent="0.2"/>
    <row r="120" spans="5:10" outlineLevel="1" x14ac:dyDescent="0.2">
      <c r="F120" s="53" t="s">
        <v>107</v>
      </c>
      <c r="H120" s="58" cm="1">
        <f t="array" ref="H120">_xlfn.XLOOKUP(H112,F105:F109,TRANSPOSE(G102:K102))</f>
        <v>2</v>
      </c>
      <c r="J120" s="19" t="str">
        <f ca="1">IFERROR(_xlfn.FORMULATEXT(H120),"")</f>
        <v>=XLOOKUP(H112,F105:F109,TRANSPOSE(G102:K102))</v>
      </c>
    </row>
    <row r="121" spans="5:10" outlineLevel="1" x14ac:dyDescent="0.2"/>
    <row r="122" spans="5:10" outlineLevel="1" x14ac:dyDescent="0.2"/>
  </sheetData>
  <mergeCells count="1">
    <mergeCell ref="A3:E3"/>
  </mergeCells>
  <conditionalFormatting sqref="I4">
    <cfRule type="cellIs" dxfId="13" priority="1" operator="notEqual">
      <formula>0</formula>
    </cfRule>
  </conditionalFormatting>
  <dataValidations count="3">
    <dataValidation type="list" allowBlank="1" showInputMessage="1" showErrorMessage="1" sqref="H18 H52" xr:uid="{578EC905-3CF5-4549-9F55-9F5E53D4357E}">
      <formula1>$J$12:$P$12</formula1>
    </dataValidation>
    <dataValidation type="list" allowBlank="1" showInputMessage="1" showErrorMessage="1" sqref="H112" xr:uid="{5250EEC5-C081-42D5-93F4-5FBD9B839D1F}">
      <formula1>$F$105:$F$109</formula1>
    </dataValidation>
    <dataValidation type="list" allowBlank="1" showInputMessage="1" showErrorMessage="1" sqref="H27" xr:uid="{C62130B6-E6C1-4FCA-B2E1-D73E1EFCB9E1}">
      <formula1>$J$13:$P$13</formula1>
    </dataValidation>
  </dataValidations>
  <hyperlinks>
    <hyperlink ref="A3:E3" location="HL_Navigator" tooltip="Go to Navigator (Table of Contents)" display="Navigator" xr:uid="{8B78D91A-54E7-4FCC-987B-89A480F004CF}"/>
    <hyperlink ref="A3" location="HL_Navigator" display="Navigator" xr:uid="{EE6FA6C0-5080-4F46-A39F-F4FB94B6D907}"/>
    <hyperlink ref="I4" location="Overall_Error_Check" tooltip="Go to Overall Error Check" display="Overall_Error_Check" xr:uid="{0C70BE2E-33CF-4F80-9BA9-16A5E0B2411F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33FD-6BCD-415D-992A-4171F986D6C5}">
  <sheetPr>
    <outlinePr summaryBelow="0" summaryRight="0"/>
  </sheetPr>
  <dimension ref="A1:T190"/>
  <sheetViews>
    <sheetView showGridLines="0" workbookViewId="0">
      <pane ySplit="4" topLeftCell="A5" activePane="bottomLeft" state="frozen"/>
      <selection pane="bottomLeft" activeCell="A3" sqref="A3:E3"/>
    </sheetView>
  </sheetViews>
  <sheetFormatPr defaultRowHeight="12" outlineLevelRow="1" x14ac:dyDescent="0.2"/>
  <cols>
    <col min="1" max="5" width="3.7109375" style="47" customWidth="1"/>
    <col min="6" max="6" width="11.140625" style="47" customWidth="1"/>
    <col min="7" max="7" width="15.7109375" style="47" bestFit="1" customWidth="1"/>
    <col min="8" max="8" width="12.140625" style="47" customWidth="1"/>
    <col min="9" max="9" width="10" style="47" bestFit="1" customWidth="1"/>
    <col min="10" max="16384" width="9.140625" style="47"/>
  </cols>
  <sheetData>
    <row r="1" spans="1:20" ht="20.25" x14ac:dyDescent="0.3">
      <c r="A1" s="14" t="str">
        <f ca="1">IF(ISERROR(RIGHT(CELL("filename",A1),LEN(CELL("filename",A1))-FIND("]",CELL("filename",A1)))),
"",
RIGHT(CELL("filename",A1),LEN(CELL("filename",A1))-FIND("]",CELL("filename",A1))))</f>
        <v>New Features for XLOOKUP</v>
      </c>
    </row>
    <row r="2" spans="1:20" ht="18" x14ac:dyDescent="0.25">
      <c r="A2" s="16" t="str">
        <f ca="1">Model_Name</f>
        <v>SP XLOOKUP and XMATCH Functions.xlsx</v>
      </c>
    </row>
    <row r="3" spans="1:20" x14ac:dyDescent="0.2">
      <c r="A3" s="72" t="s">
        <v>1</v>
      </c>
      <c r="B3" s="72"/>
      <c r="C3" s="72"/>
      <c r="D3" s="72"/>
      <c r="E3" s="72"/>
    </row>
    <row r="4" spans="1:20" ht="14.25" x14ac:dyDescent="0.2">
      <c r="E4" s="47" t="s">
        <v>2</v>
      </c>
      <c r="I4" s="1">
        <f>Overall_Error_Check</f>
        <v>0</v>
      </c>
    </row>
    <row r="5" spans="1:20" x14ac:dyDescent="0.2">
      <c r="A5" s="46"/>
    </row>
    <row r="6" spans="1:20" ht="16.5" thickBot="1" x14ac:dyDescent="0.3">
      <c r="B6" s="40">
        <f>MAX($B$5:$B5)+1</f>
        <v>1</v>
      </c>
      <c r="C6" s="2" t="s">
        <v>172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outlineLevel="1" thickTop="1" x14ac:dyDescent="0.2"/>
    <row r="8" spans="1:20" ht="16.5" outlineLevel="1" x14ac:dyDescent="0.25">
      <c r="C8" s="3" t="s">
        <v>69</v>
      </c>
    </row>
    <row r="9" spans="1:20" outlineLevel="1" x14ac:dyDescent="0.2"/>
    <row r="10" spans="1:20" ht="15" outlineLevel="1" x14ac:dyDescent="0.25">
      <c r="D10" s="4" t="s">
        <v>73</v>
      </c>
    </row>
    <row r="11" spans="1:20" outlineLevel="1" x14ac:dyDescent="0.2">
      <c r="H11" s="48" t="s">
        <v>173</v>
      </c>
      <c r="I11" s="48" t="s">
        <v>174</v>
      </c>
    </row>
    <row r="12" spans="1:20" outlineLevel="1" x14ac:dyDescent="0.2">
      <c r="H12" s="52" t="s">
        <v>99</v>
      </c>
      <c r="I12" s="52">
        <v>7</v>
      </c>
    </row>
    <row r="13" spans="1:20" outlineLevel="1" x14ac:dyDescent="0.2">
      <c r="H13" s="52" t="s">
        <v>100</v>
      </c>
      <c r="I13" s="52">
        <v>4</v>
      </c>
    </row>
    <row r="14" spans="1:20" outlineLevel="1" x14ac:dyDescent="0.2">
      <c r="H14" s="52" t="s">
        <v>101</v>
      </c>
      <c r="I14" s="52">
        <v>2</v>
      </c>
    </row>
    <row r="15" spans="1:20" outlineLevel="1" x14ac:dyDescent="0.2">
      <c r="H15" s="52" t="s">
        <v>102</v>
      </c>
      <c r="I15" s="52">
        <v>4</v>
      </c>
    </row>
    <row r="16" spans="1:20" outlineLevel="1" x14ac:dyDescent="0.2">
      <c r="H16" s="52" t="s">
        <v>103</v>
      </c>
      <c r="I16" s="52">
        <v>-3</v>
      </c>
    </row>
    <row r="17" spans="2:20" outlineLevel="1" x14ac:dyDescent="0.2"/>
    <row r="18" spans="2:20" outlineLevel="1" x14ac:dyDescent="0.2"/>
    <row r="19" spans="2:20" ht="15" outlineLevel="1" x14ac:dyDescent="0.25">
      <c r="D19" s="4" t="s">
        <v>83</v>
      </c>
    </row>
    <row r="20" spans="2:20" outlineLevel="1" x14ac:dyDescent="0.2"/>
    <row r="21" spans="2:20" outlineLevel="1" x14ac:dyDescent="0.2">
      <c r="F21" s="47" t="s">
        <v>175</v>
      </c>
      <c r="G21" s="52">
        <v>7</v>
      </c>
    </row>
    <row r="22" spans="2:20" outlineLevel="1" x14ac:dyDescent="0.2"/>
    <row r="23" spans="2:20" outlineLevel="1" x14ac:dyDescent="0.2">
      <c r="F23" s="77"/>
      <c r="G23" s="74" t="s">
        <v>176</v>
      </c>
      <c r="H23" s="74"/>
      <c r="I23" s="74"/>
      <c r="J23" s="74"/>
    </row>
    <row r="24" spans="2:20" outlineLevel="1" x14ac:dyDescent="0.2">
      <c r="F24" s="77"/>
      <c r="G24" s="48">
        <v>0</v>
      </c>
      <c r="H24" s="48">
        <v>-1</v>
      </c>
      <c r="I24" s="48">
        <v>1</v>
      </c>
      <c r="J24" s="48">
        <v>2</v>
      </c>
    </row>
    <row r="25" spans="2:20" outlineLevel="1" x14ac:dyDescent="0.2">
      <c r="E25" s="78" t="s">
        <v>177</v>
      </c>
      <c r="F25" s="48">
        <v>1</v>
      </c>
      <c r="G25" s="58" t="str" cm="1">
        <f t="array" ref="G25">_xlfn.XLOOKUP($G$21,$I$12:$I$16,$H$12:$H$16,G$24,$F25)</f>
        <v>A</v>
      </c>
      <c r="H25" s="58" t="str" cm="1">
        <f t="array" ref="H25">_xlfn.XLOOKUP($G$21,$I$12:$I$16,$H$12:$H$16,H$24,$F25)</f>
        <v>A</v>
      </c>
      <c r="I25" s="58" t="str" cm="1">
        <f t="array" ref="I25">_xlfn.XLOOKUP($G$21,$I$12:$I$16,$H$12:$H$16,I$24,$F25)</f>
        <v>A</v>
      </c>
      <c r="J25" s="58" t="str" cm="1">
        <f t="array" ref="J25">_xlfn.XLOOKUP($G$21,$I$12:$I$16,$H$12:$H$16,J$24,$F25)</f>
        <v>A</v>
      </c>
      <c r="L25" s="19" t="str">
        <f ca="1">IFERROR(_xlfn.FORMULATEXT(G25),"")</f>
        <v>=XLOOKUP($G$21,$I$12:$I$16,$H$12:$H$16,G$24,$F25)</v>
      </c>
    </row>
    <row r="26" spans="2:20" outlineLevel="1" x14ac:dyDescent="0.2">
      <c r="E26" s="78"/>
      <c r="F26" s="48">
        <v>-1</v>
      </c>
      <c r="G26" s="58" t="str" cm="1">
        <f t="array" ref="G26">_xlfn.XLOOKUP($G$21,$I$12:$I$16,$H$12:$H$16,G$24,$F26)</f>
        <v>A</v>
      </c>
      <c r="H26" s="58" t="str" cm="1">
        <f t="array" ref="H26">_xlfn.XLOOKUP($G$21,$I$12:$I$16,$H$12:$H$16,H$24,$F26)</f>
        <v>A</v>
      </c>
      <c r="I26" s="58" t="str" cm="1">
        <f t="array" ref="I26">_xlfn.XLOOKUP($G$21,$I$12:$I$16,$H$12:$H$16,I$24,$F26)</f>
        <v>A</v>
      </c>
      <c r="J26" s="58" t="str" cm="1">
        <f t="array" ref="J26">_xlfn.XLOOKUP($G$21,$I$12:$I$16,$H$12:$H$16,J$24,$F26)</f>
        <v>A</v>
      </c>
    </row>
    <row r="27" spans="2:20" outlineLevel="1" x14ac:dyDescent="0.2">
      <c r="E27" s="78"/>
      <c r="F27" s="48">
        <v>2</v>
      </c>
      <c r="G27" s="58" t="e" cm="1">
        <f t="array" ref="G27">_xlfn.XLOOKUP($G$21,$I$12:$I$16,$H$12:$H$16,G$24,$F27)</f>
        <v>#N/A</v>
      </c>
      <c r="H27" s="58" t="str" cm="1">
        <f t="array" ref="H27">_xlfn.XLOOKUP($G$21,$I$12:$I$16,$H$12:$H$16,H$24,$F27)</f>
        <v>E</v>
      </c>
      <c r="I27" s="58" t="e" cm="1">
        <f t="array" ref="I27">_xlfn.XLOOKUP($G$21,$I$12:$I$16,$H$12:$H$16,I$24,$F27)</f>
        <v>#N/A</v>
      </c>
      <c r="J27" s="58" t="e" cm="1">
        <f t="array" ref="J27">_xlfn.XLOOKUP($G$21,$I$12:$I$16,$H$12:$H$16,J$24,$F27)</f>
        <v>#VALUE!</v>
      </c>
    </row>
    <row r="28" spans="2:20" outlineLevel="1" x14ac:dyDescent="0.2">
      <c r="E28" s="78"/>
      <c r="F28" s="48">
        <v>-2</v>
      </c>
      <c r="G28" s="58" t="str" cm="1">
        <f t="array" ref="G28">_xlfn.XLOOKUP($G$21,$I$12:$I$16,$H$12:$H$16,G$24,$F28)</f>
        <v>A</v>
      </c>
      <c r="H28" s="58" t="str" cm="1">
        <f t="array" ref="H28">_xlfn.XLOOKUP($G$21,$I$12:$I$16,$H$12:$H$16,H$24,$F28)</f>
        <v>A</v>
      </c>
      <c r="I28" s="58" t="str" cm="1">
        <f t="array" ref="I28">_xlfn.XLOOKUP($G$21,$I$12:$I$16,$H$12:$H$16,I$24,$F28)</f>
        <v>A</v>
      </c>
      <c r="J28" s="58" t="e" cm="1">
        <f t="array" ref="J28">_xlfn.XLOOKUP($G$21,$I$12:$I$16,$H$12:$H$16,J$24,$F28)</f>
        <v>#VALUE!</v>
      </c>
    </row>
    <row r="29" spans="2:20" outlineLevel="1" x14ac:dyDescent="0.2"/>
    <row r="30" spans="2:20" outlineLevel="1" x14ac:dyDescent="0.2"/>
    <row r="31" spans="2:20" ht="16.5" thickBot="1" x14ac:dyDescent="0.3">
      <c r="B31" s="40">
        <f>MAX($B$5:$B30)+1</f>
        <v>2</v>
      </c>
      <c r="C31" s="2" t="s">
        <v>110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ht="12.75" outlineLevel="1" thickTop="1" x14ac:dyDescent="0.2"/>
    <row r="33" spans="3:14" ht="16.5" outlineLevel="1" x14ac:dyDescent="0.25">
      <c r="C33" s="3" t="s">
        <v>69</v>
      </c>
    </row>
    <row r="34" spans="3:14" outlineLevel="1" x14ac:dyDescent="0.2"/>
    <row r="35" spans="3:14" ht="15" outlineLevel="1" x14ac:dyDescent="0.25">
      <c r="D35" s="4" t="s">
        <v>73</v>
      </c>
    </row>
    <row r="36" spans="3:14" outlineLevel="1" x14ac:dyDescent="0.2"/>
    <row r="37" spans="3:14" outlineLevel="1" x14ac:dyDescent="0.2">
      <c r="E37" s="53" t="s">
        <v>118</v>
      </c>
    </row>
    <row r="38" spans="3:14" outlineLevel="1" x14ac:dyDescent="0.2"/>
    <row r="39" spans="3:14" ht="12.75" outlineLevel="1" x14ac:dyDescent="0.2">
      <c r="G39" s="23"/>
      <c r="H39" s="48" t="str">
        <f>'Replacing the LOOKUP Family'!J12</f>
        <v>Graham</v>
      </c>
      <c r="I39" s="48" t="str">
        <f>'Replacing the LOOKUP Family'!K12</f>
        <v>Alice</v>
      </c>
      <c r="J39" s="48" t="str">
        <f>'Replacing the LOOKUP Family'!L12</f>
        <v>Mitch</v>
      </c>
      <c r="K39" s="48" t="str">
        <f>'Replacing the LOOKUP Family'!M12</f>
        <v>Wendy</v>
      </c>
      <c r="L39" s="48" t="str">
        <f>'Replacing the LOOKUP Family'!N12</f>
        <v>Xiu</v>
      </c>
      <c r="M39" s="48" t="str">
        <f>'Replacing the LOOKUP Family'!O12</f>
        <v>Brian</v>
      </c>
      <c r="N39" s="48" t="str">
        <f>'Replacing the LOOKUP Family'!P12</f>
        <v>Toby</v>
      </c>
    </row>
    <row r="40" spans="3:14" outlineLevel="1" x14ac:dyDescent="0.2">
      <c r="G40" s="48" t="s">
        <v>111</v>
      </c>
      <c r="H40" s="59">
        <v>0.77</v>
      </c>
      <c r="I40" s="59">
        <v>0.66</v>
      </c>
      <c r="J40" s="59">
        <v>0.46</v>
      </c>
      <c r="K40" s="59">
        <v>0.44</v>
      </c>
      <c r="L40" s="59">
        <v>0.69</v>
      </c>
      <c r="M40" s="59">
        <v>0.56000000000000005</v>
      </c>
      <c r="N40" s="59">
        <v>0.5</v>
      </c>
    </row>
    <row r="41" spans="3:14" outlineLevel="1" x14ac:dyDescent="0.2">
      <c r="G41" s="48" t="s">
        <v>112</v>
      </c>
      <c r="H41" s="59">
        <v>0.53</v>
      </c>
      <c r="I41" s="59">
        <v>0.56999999999999995</v>
      </c>
      <c r="J41" s="59">
        <v>0.59</v>
      </c>
      <c r="K41" s="59">
        <v>0.56999999999999995</v>
      </c>
      <c r="L41" s="59">
        <v>0.47</v>
      </c>
      <c r="M41" s="59">
        <v>0.53</v>
      </c>
      <c r="N41" s="59">
        <v>0.49</v>
      </c>
    </row>
    <row r="42" spans="3:14" outlineLevel="1" x14ac:dyDescent="0.2">
      <c r="G42" s="48" t="s">
        <v>113</v>
      </c>
      <c r="H42" s="59">
        <v>0.51</v>
      </c>
      <c r="I42" s="59">
        <v>0.65</v>
      </c>
      <c r="J42" s="59">
        <v>0.44</v>
      </c>
      <c r="K42" s="59">
        <v>0.55000000000000004</v>
      </c>
      <c r="L42" s="59">
        <v>0.71</v>
      </c>
      <c r="M42" s="59">
        <v>0.42</v>
      </c>
      <c r="N42" s="59">
        <v>0.53</v>
      </c>
    </row>
    <row r="43" spans="3:14" outlineLevel="1" x14ac:dyDescent="0.2">
      <c r="G43" s="48" t="s">
        <v>114</v>
      </c>
      <c r="H43" s="59">
        <v>0.68</v>
      </c>
      <c r="I43" s="59">
        <v>0.5</v>
      </c>
      <c r="J43" s="59">
        <v>0.74</v>
      </c>
      <c r="K43" s="59">
        <v>0.67</v>
      </c>
      <c r="L43" s="59">
        <v>0.61</v>
      </c>
      <c r="M43" s="59">
        <v>0.45</v>
      </c>
      <c r="N43" s="59">
        <v>0.73</v>
      </c>
    </row>
    <row r="44" spans="3:14" outlineLevel="1" x14ac:dyDescent="0.2">
      <c r="G44" s="48" t="s">
        <v>115</v>
      </c>
      <c r="H44" s="59">
        <v>0.6</v>
      </c>
      <c r="I44" s="59">
        <v>0.68</v>
      </c>
      <c r="J44" s="59">
        <v>0.44</v>
      </c>
      <c r="K44" s="59">
        <v>0.66</v>
      </c>
      <c r="L44" s="59">
        <v>0.68</v>
      </c>
      <c r="M44" s="59">
        <v>0.74</v>
      </c>
      <c r="N44" s="59">
        <v>0.7</v>
      </c>
    </row>
    <row r="45" spans="3:14" outlineLevel="1" x14ac:dyDescent="0.2">
      <c r="G45" s="48" t="s">
        <v>116</v>
      </c>
      <c r="H45" s="59">
        <v>0.46</v>
      </c>
      <c r="I45" s="59">
        <v>0.44</v>
      </c>
      <c r="J45" s="59">
        <v>0.5</v>
      </c>
      <c r="K45" s="59">
        <v>0.63</v>
      </c>
      <c r="L45" s="59">
        <v>0.57999999999999996</v>
      </c>
      <c r="M45" s="59">
        <v>0.54</v>
      </c>
      <c r="N45" s="59">
        <v>0.5</v>
      </c>
    </row>
    <row r="46" spans="3:14" outlineLevel="1" x14ac:dyDescent="0.2">
      <c r="G46" s="48" t="s">
        <v>117</v>
      </c>
      <c r="H46" s="59">
        <v>0.51</v>
      </c>
      <c r="I46" s="59">
        <v>0.45</v>
      </c>
      <c r="J46" s="59">
        <v>0.72</v>
      </c>
      <c r="K46" s="59">
        <v>0.63</v>
      </c>
      <c r="L46" s="59">
        <v>0.56000000000000005</v>
      </c>
      <c r="M46" s="59">
        <v>0.55000000000000004</v>
      </c>
      <c r="N46" s="59">
        <v>0.67</v>
      </c>
    </row>
    <row r="47" spans="3:14" outlineLevel="1" x14ac:dyDescent="0.2"/>
    <row r="48" spans="3:14" outlineLevel="1" x14ac:dyDescent="0.2"/>
    <row r="49" spans="2:20" ht="15" outlineLevel="1" x14ac:dyDescent="0.25">
      <c r="D49" s="4" t="s">
        <v>83</v>
      </c>
    </row>
    <row r="50" spans="2:20" outlineLevel="1" x14ac:dyDescent="0.2"/>
    <row r="51" spans="2:20" outlineLevel="1" x14ac:dyDescent="0.2">
      <c r="F51" s="47" t="s">
        <v>74</v>
      </c>
      <c r="G51" s="52" t="s">
        <v>78</v>
      </c>
    </row>
    <row r="52" spans="2:20" outlineLevel="1" x14ac:dyDescent="0.2"/>
    <row r="53" spans="2:20" outlineLevel="1" x14ac:dyDescent="0.2">
      <c r="F53" s="47" t="s">
        <v>119</v>
      </c>
      <c r="G53" s="52" t="s">
        <v>113</v>
      </c>
    </row>
    <row r="54" spans="2:20" outlineLevel="1" x14ac:dyDescent="0.2"/>
    <row r="55" spans="2:20" outlineLevel="1" x14ac:dyDescent="0.2">
      <c r="F55" s="47" t="s">
        <v>120</v>
      </c>
      <c r="G55" s="60" cm="1">
        <f t="array" ref="G55">_xlfn.XLOOKUP(G53,G40:G46,_xlfn.XLOOKUP(G51,H39:N39,H40:N46))</f>
        <v>0.44</v>
      </c>
      <c r="I55" s="19" t="str">
        <f ca="1">IFERROR(_xlfn.FORMULATEXT(G55),"")</f>
        <v>=XLOOKUP(G53,G40:G46,XLOOKUP(G51,H39:N39,H40:N46))</v>
      </c>
    </row>
    <row r="56" spans="2:20" outlineLevel="1" x14ac:dyDescent="0.2"/>
    <row r="57" spans="2:20" outlineLevel="1" x14ac:dyDescent="0.2">
      <c r="F57" s="47" t="s">
        <v>121</v>
      </c>
      <c r="G57" s="60">
        <f>INDEX(H40:N46,MATCH(G53,G40:G46,0),MATCH(G51,H39:N39,0))</f>
        <v>0.44</v>
      </c>
      <c r="I57" s="19" t="str">
        <f ca="1">IFERROR(_xlfn.FORMULATEXT(G57),"")</f>
        <v>=INDEX(H40:N46,MATCH(G53,G40:G46,0),MATCH(G51,H39:N39,0))</v>
      </c>
    </row>
    <row r="58" spans="2:20" outlineLevel="1" x14ac:dyDescent="0.2"/>
    <row r="59" spans="2:20" outlineLevel="1" x14ac:dyDescent="0.2"/>
    <row r="60" spans="2:20" ht="16.5" thickBot="1" x14ac:dyDescent="0.3">
      <c r="B60" s="40">
        <f>MAX($B$5:$B37)+1</f>
        <v>3</v>
      </c>
      <c r="C60" s="2" t="s">
        <v>128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2:20" ht="12.75" outlineLevel="1" thickTop="1" x14ac:dyDescent="0.2"/>
    <row r="62" spans="2:20" ht="16.5" outlineLevel="1" x14ac:dyDescent="0.25">
      <c r="C62" s="3" t="s">
        <v>69</v>
      </c>
    </row>
    <row r="63" spans="2:20" outlineLevel="1" x14ac:dyDescent="0.2"/>
    <row r="64" spans="2:20" ht="15" outlineLevel="1" x14ac:dyDescent="0.25">
      <c r="D64" s="4" t="s">
        <v>73</v>
      </c>
    </row>
    <row r="65" spans="4:12" ht="12.75" outlineLevel="1" x14ac:dyDescent="0.2">
      <c r="H65" s="23"/>
      <c r="I65" s="48" t="s">
        <v>129</v>
      </c>
      <c r="J65" s="48" t="s">
        <v>130</v>
      </c>
      <c r="K65" s="48" t="s">
        <v>131</v>
      </c>
      <c r="L65" s="48" t="s">
        <v>132</v>
      </c>
    </row>
    <row r="66" spans="4:12" outlineLevel="1" x14ac:dyDescent="0.2">
      <c r="H66" s="48" t="str" cm="1">
        <f t="array" ref="H66:H72">TRANSPOSE(H39:N39)</f>
        <v>Graham</v>
      </c>
      <c r="I66" s="61">
        <v>1498</v>
      </c>
      <c r="J66" s="61">
        <v>1578</v>
      </c>
      <c r="K66" s="61">
        <v>2453</v>
      </c>
      <c r="L66" s="61">
        <v>1149</v>
      </c>
    </row>
    <row r="67" spans="4:12" outlineLevel="1" x14ac:dyDescent="0.2">
      <c r="H67" s="48" t="str">
        <v>Alice</v>
      </c>
      <c r="I67" s="61">
        <v>1616</v>
      </c>
      <c r="J67" s="61">
        <v>1374</v>
      </c>
      <c r="K67" s="61">
        <v>1255</v>
      </c>
      <c r="L67" s="61">
        <v>1589</v>
      </c>
    </row>
    <row r="68" spans="4:12" outlineLevel="1" x14ac:dyDescent="0.2">
      <c r="H68" s="48" t="str">
        <v>Mitch</v>
      </c>
      <c r="I68" s="61">
        <v>1567</v>
      </c>
      <c r="J68" s="61">
        <v>1251</v>
      </c>
      <c r="K68" s="61">
        <v>1797</v>
      </c>
      <c r="L68" s="61">
        <v>1368</v>
      </c>
    </row>
    <row r="69" spans="4:12" outlineLevel="1" x14ac:dyDescent="0.2">
      <c r="H69" s="48" t="str">
        <v>Wendy</v>
      </c>
      <c r="I69" s="61">
        <v>2439</v>
      </c>
      <c r="J69" s="61">
        <v>1382</v>
      </c>
      <c r="K69" s="61">
        <v>2107</v>
      </c>
      <c r="L69" s="61">
        <v>2399</v>
      </c>
    </row>
    <row r="70" spans="4:12" outlineLevel="1" x14ac:dyDescent="0.2">
      <c r="H70" s="48" t="str">
        <v>Xiu</v>
      </c>
      <c r="I70" s="61">
        <v>1063</v>
      </c>
      <c r="J70" s="61">
        <v>1427</v>
      </c>
      <c r="K70" s="61">
        <v>1436</v>
      </c>
      <c r="L70" s="61">
        <v>1942</v>
      </c>
    </row>
    <row r="71" spans="4:12" outlineLevel="1" x14ac:dyDescent="0.2">
      <c r="H71" s="48" t="str">
        <v>Brian</v>
      </c>
      <c r="I71" s="61">
        <v>1250</v>
      </c>
      <c r="J71" s="61">
        <v>1786</v>
      </c>
      <c r="K71" s="61">
        <v>2309</v>
      </c>
      <c r="L71" s="61">
        <v>1195</v>
      </c>
    </row>
    <row r="72" spans="4:12" outlineLevel="1" x14ac:dyDescent="0.2">
      <c r="H72" s="48" t="str">
        <v>Toby</v>
      </c>
      <c r="I72" s="61">
        <v>1211</v>
      </c>
      <c r="J72" s="61">
        <v>2491</v>
      </c>
      <c r="K72" s="61">
        <v>1611</v>
      </c>
      <c r="L72" s="61">
        <v>2059</v>
      </c>
    </row>
    <row r="73" spans="4:12" outlineLevel="1" x14ac:dyDescent="0.2"/>
    <row r="74" spans="4:12" outlineLevel="1" x14ac:dyDescent="0.2"/>
    <row r="75" spans="4:12" ht="15" outlineLevel="1" x14ac:dyDescent="0.25">
      <c r="D75" s="4" t="s">
        <v>83</v>
      </c>
    </row>
    <row r="76" spans="4:12" outlineLevel="1" x14ac:dyDescent="0.2"/>
    <row r="77" spans="4:12" outlineLevel="1" x14ac:dyDescent="0.2">
      <c r="E77" s="47" t="s">
        <v>133</v>
      </c>
      <c r="G77" s="52" t="s">
        <v>130</v>
      </c>
    </row>
    <row r="78" spans="4:12" outlineLevel="1" x14ac:dyDescent="0.2"/>
    <row r="79" spans="4:12" outlineLevel="1" x14ac:dyDescent="0.2">
      <c r="F79" s="47" t="str" cm="1">
        <f t="array" ref="F79:F85">_xlfn.ANCHORARRAY(H66)</f>
        <v>Graham</v>
      </c>
      <c r="G79" s="67" cm="1">
        <f t="array" ref="G79:G85">_xlfn.XLOOKUP(G77,I65:L65,I66:L72)</f>
        <v>1578</v>
      </c>
      <c r="I79" s="19" t="str">
        <f ca="1">IFERROR(_xlfn.FORMULATEXT(G79),"")</f>
        <v>=XLOOKUP(G77,I65:L65,I66:L72)</v>
      </c>
    </row>
    <row r="80" spans="4:12" outlineLevel="1" x14ac:dyDescent="0.2">
      <c r="F80" s="47" t="str">
        <v>Alice</v>
      </c>
      <c r="G80" s="67">
        <v>1374</v>
      </c>
    </row>
    <row r="81" spans="2:20" outlineLevel="1" x14ac:dyDescent="0.2">
      <c r="F81" s="47" t="str">
        <v>Mitch</v>
      </c>
      <c r="G81" s="67">
        <v>1251</v>
      </c>
    </row>
    <row r="82" spans="2:20" outlineLevel="1" x14ac:dyDescent="0.2">
      <c r="F82" s="47" t="str">
        <v>Wendy</v>
      </c>
      <c r="G82" s="67">
        <v>1382</v>
      </c>
    </row>
    <row r="83" spans="2:20" outlineLevel="1" x14ac:dyDescent="0.2">
      <c r="F83" s="47" t="str">
        <v>Xiu</v>
      </c>
      <c r="G83" s="67">
        <v>1427</v>
      </c>
    </row>
    <row r="84" spans="2:20" outlineLevel="1" x14ac:dyDescent="0.2">
      <c r="F84" s="47" t="str">
        <v>Brian</v>
      </c>
      <c r="G84" s="67">
        <v>1786</v>
      </c>
    </row>
    <row r="85" spans="2:20" outlineLevel="1" x14ac:dyDescent="0.2">
      <c r="F85" s="47" t="str">
        <v>Toby</v>
      </c>
      <c r="G85" s="67">
        <v>2491</v>
      </c>
    </row>
    <row r="86" spans="2:20" outlineLevel="1" x14ac:dyDescent="0.2"/>
    <row r="87" spans="2:20" outlineLevel="1" x14ac:dyDescent="0.2"/>
    <row r="88" spans="2:20" ht="16.5" thickBot="1" x14ac:dyDescent="0.3">
      <c r="B88" s="40">
        <f>MAX($B$5:$B87)+1</f>
        <v>4</v>
      </c>
      <c r="C88" s="2" t="s">
        <v>122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2:20" ht="12.75" outlineLevel="1" thickTop="1" x14ac:dyDescent="0.2"/>
    <row r="90" spans="2:20" ht="16.5" outlineLevel="1" x14ac:dyDescent="0.25">
      <c r="C90" s="3" t="s">
        <v>69</v>
      </c>
    </row>
    <row r="91" spans="2:20" outlineLevel="1" x14ac:dyDescent="0.2"/>
    <row r="92" spans="2:20" ht="15" outlineLevel="1" x14ac:dyDescent="0.25">
      <c r="D92" s="4" t="s">
        <v>73</v>
      </c>
    </row>
    <row r="93" spans="2:20" outlineLevel="1" x14ac:dyDescent="0.2"/>
    <row r="94" spans="2:20" outlineLevel="1" x14ac:dyDescent="0.2">
      <c r="F94" s="47" t="s">
        <v>123</v>
      </c>
      <c r="H94" s="62">
        <f ca="1">EOMONTH(DATE(YEAR(TODAY()),1,1),0)</f>
        <v>43496</v>
      </c>
      <c r="I94" s="62">
        <f ca="1">EOMONTH(H94,1)</f>
        <v>43524</v>
      </c>
      <c r="J94" s="62">
        <f t="shared" ref="J94:S94" ca="1" si="0">EOMONTH(I94,1)</f>
        <v>43555</v>
      </c>
      <c r="K94" s="62">
        <f t="shared" ca="1" si="0"/>
        <v>43585</v>
      </c>
      <c r="L94" s="62">
        <f t="shared" ca="1" si="0"/>
        <v>43616</v>
      </c>
      <c r="M94" s="62">
        <f t="shared" ca="1" si="0"/>
        <v>43646</v>
      </c>
      <c r="N94" s="62">
        <f t="shared" ca="1" si="0"/>
        <v>43677</v>
      </c>
      <c r="O94" s="62">
        <f t="shared" ca="1" si="0"/>
        <v>43708</v>
      </c>
      <c r="P94" s="62">
        <f t="shared" ca="1" si="0"/>
        <v>43738</v>
      </c>
      <c r="Q94" s="62">
        <f t="shared" ca="1" si="0"/>
        <v>43769</v>
      </c>
      <c r="R94" s="62">
        <f t="shared" ca="1" si="0"/>
        <v>43799</v>
      </c>
      <c r="S94" s="62">
        <f t="shared" ca="1" si="0"/>
        <v>43830</v>
      </c>
    </row>
    <row r="95" spans="2:20" outlineLevel="1" x14ac:dyDescent="0.2">
      <c r="F95" s="47" t="s">
        <v>124</v>
      </c>
      <c r="H95" s="61">
        <v>1363</v>
      </c>
      <c r="I95" s="61">
        <v>9910</v>
      </c>
      <c r="J95" s="61">
        <v>12661</v>
      </c>
      <c r="K95" s="61">
        <v>3488</v>
      </c>
      <c r="L95" s="61">
        <v>7958</v>
      </c>
      <c r="M95" s="61">
        <v>4807</v>
      </c>
      <c r="N95" s="61">
        <v>6344</v>
      </c>
      <c r="O95" s="61">
        <v>12929</v>
      </c>
      <c r="P95" s="61">
        <v>3632</v>
      </c>
      <c r="Q95" s="61">
        <v>4957</v>
      </c>
      <c r="R95" s="61">
        <v>2916</v>
      </c>
      <c r="S95" s="61">
        <v>1860</v>
      </c>
    </row>
    <row r="96" spans="2:20" outlineLevel="1" x14ac:dyDescent="0.2"/>
    <row r="97" spans="2:20" outlineLevel="1" x14ac:dyDescent="0.2"/>
    <row r="98" spans="2:20" ht="15" outlineLevel="1" x14ac:dyDescent="0.25">
      <c r="D98" s="4" t="s">
        <v>83</v>
      </c>
    </row>
    <row r="99" spans="2:20" outlineLevel="1" x14ac:dyDescent="0.2"/>
    <row r="100" spans="2:20" outlineLevel="1" x14ac:dyDescent="0.2">
      <c r="F100" s="47" t="s">
        <v>125</v>
      </c>
      <c r="G100" s="63">
        <v>43677</v>
      </c>
    </row>
    <row r="101" spans="2:20" outlineLevel="1" x14ac:dyDescent="0.2">
      <c r="F101" s="47" t="s">
        <v>126</v>
      </c>
      <c r="G101" s="63">
        <v>43769</v>
      </c>
      <c r="H101" s="64" cm="1">
        <f t="array" aca="1" ref="H101:M101" ca="1">_xlfn.XLOOKUP(G100,H94:S94,H94:S94):S94</f>
        <v>43677</v>
      </c>
      <c r="I101" s="64">
        <f ca="1"/>
        <v>43708</v>
      </c>
      <c r="J101" s="64">
        <f ca="1"/>
        <v>43738</v>
      </c>
      <c r="K101" s="64">
        <f ca="1"/>
        <v>43769</v>
      </c>
      <c r="L101" s="64">
        <f ca="1"/>
        <v>43799</v>
      </c>
      <c r="M101" s="64">
        <f ca="1"/>
        <v>43830</v>
      </c>
      <c r="N101" s="64"/>
      <c r="O101" s="64"/>
      <c r="P101" s="64"/>
      <c r="Q101" s="65"/>
      <c r="R101" s="65"/>
      <c r="S101" s="65"/>
    </row>
    <row r="102" spans="2:20" outlineLevel="1" x14ac:dyDescent="0.2"/>
    <row r="103" spans="2:20" outlineLevel="1" x14ac:dyDescent="0.2">
      <c r="F103" s="47" t="s">
        <v>127</v>
      </c>
      <c r="G103" s="66">
        <f ca="1">SUM(_xlfn.XLOOKUP(G100,H94:S94,H95:S95):_xlfn.XLOOKUP(G101,H94:S94,H95:S95))</f>
        <v>27862</v>
      </c>
      <c r="I103" s="19" t="str">
        <f ca="1">IFERROR(_xlfn.FORMULATEXT(G103),"")</f>
        <v>=SUM(XLOOKUP(G100,H94:S94,H95:S95):XLOOKUP(G101,H94:S94,H95:S95))</v>
      </c>
    </row>
    <row r="104" spans="2:20" outlineLevel="1" x14ac:dyDescent="0.2"/>
    <row r="105" spans="2:20" outlineLevel="1" x14ac:dyDescent="0.2"/>
    <row r="106" spans="2:20" ht="16.5" thickBot="1" x14ac:dyDescent="0.3">
      <c r="B106" s="40">
        <f>MAX($B$5:$B105)+1</f>
        <v>5</v>
      </c>
      <c r="C106" s="2" t="s">
        <v>134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2:20" ht="12.75" outlineLevel="1" thickTop="1" x14ac:dyDescent="0.2"/>
    <row r="108" spans="2:20" ht="16.5" outlineLevel="1" x14ac:dyDescent="0.25">
      <c r="C108" s="3" t="s">
        <v>69</v>
      </c>
    </row>
    <row r="109" spans="2:20" outlineLevel="1" x14ac:dyDescent="0.2"/>
    <row r="110" spans="2:20" ht="15" outlineLevel="1" x14ac:dyDescent="0.25">
      <c r="D110" s="4" t="s">
        <v>73</v>
      </c>
    </row>
    <row r="111" spans="2:20" outlineLevel="1" x14ac:dyDescent="0.2"/>
    <row r="112" spans="2:20" outlineLevel="1" x14ac:dyDescent="0.2">
      <c r="G112" s="48" t="s">
        <v>135</v>
      </c>
      <c r="H112" s="48" t="s">
        <v>62</v>
      </c>
      <c r="I112" s="48" t="s">
        <v>136</v>
      </c>
    </row>
    <row r="113" spans="4:11" outlineLevel="1" x14ac:dyDescent="0.2">
      <c r="G113" s="20" t="s">
        <v>77</v>
      </c>
      <c r="H113" s="68">
        <v>43473</v>
      </c>
      <c r="I113" s="69">
        <v>2460.67</v>
      </c>
      <c r="K113" s="65" t="str" cm="1">
        <f t="array" ref="K113:K118">_xlfn._xlws.SORT(_xlfn.UNIQUE(G113:G125))</f>
        <v>Alice</v>
      </c>
    </row>
    <row r="114" spans="4:11" outlineLevel="1" x14ac:dyDescent="0.2">
      <c r="G114" s="20" t="s">
        <v>137</v>
      </c>
      <c r="H114" s="68">
        <v>43489</v>
      </c>
      <c r="I114" s="69">
        <v>1862.11</v>
      </c>
      <c r="K114" s="65" t="str">
        <v>Bo</v>
      </c>
    </row>
    <row r="115" spans="4:11" outlineLevel="1" x14ac:dyDescent="0.2">
      <c r="G115" s="20" t="s">
        <v>138</v>
      </c>
      <c r="H115" s="68">
        <v>43504</v>
      </c>
      <c r="I115" s="69">
        <v>2461.64</v>
      </c>
      <c r="K115" s="65" t="str">
        <v>Charlie</v>
      </c>
    </row>
    <row r="116" spans="4:11" outlineLevel="1" x14ac:dyDescent="0.2">
      <c r="G116" s="20" t="s">
        <v>139</v>
      </c>
      <c r="H116" s="68">
        <v>43531</v>
      </c>
      <c r="I116" s="69">
        <v>1297.8900000000001</v>
      </c>
      <c r="K116" s="65" t="str">
        <v>Duane</v>
      </c>
    </row>
    <row r="117" spans="4:11" outlineLevel="1" x14ac:dyDescent="0.2">
      <c r="G117" s="20" t="s">
        <v>138</v>
      </c>
      <c r="H117" s="68">
        <v>43545</v>
      </c>
      <c r="I117" s="69">
        <v>1322.28</v>
      </c>
      <c r="K117" s="65" t="str">
        <v>Eric</v>
      </c>
    </row>
    <row r="118" spans="4:11" outlineLevel="1" x14ac:dyDescent="0.2">
      <c r="G118" s="20" t="s">
        <v>140</v>
      </c>
      <c r="H118" s="68">
        <v>43562</v>
      </c>
      <c r="I118" s="69">
        <v>1404.14</v>
      </c>
      <c r="K118" s="65" t="str">
        <v>Fred</v>
      </c>
    </row>
    <row r="119" spans="4:11" outlineLevel="1" x14ac:dyDescent="0.2">
      <c r="G119" s="20" t="s">
        <v>77</v>
      </c>
      <c r="H119" s="68">
        <v>43577</v>
      </c>
      <c r="I119" s="69">
        <v>2379.61</v>
      </c>
      <c r="K119" s="65"/>
    </row>
    <row r="120" spans="4:11" outlineLevel="1" x14ac:dyDescent="0.2">
      <c r="G120" s="20" t="s">
        <v>138</v>
      </c>
      <c r="H120" s="68">
        <v>43596</v>
      </c>
      <c r="I120" s="69">
        <v>2385.94</v>
      </c>
      <c r="K120" s="65"/>
    </row>
    <row r="121" spans="4:11" outlineLevel="1" x14ac:dyDescent="0.2">
      <c r="G121" s="20" t="s">
        <v>141</v>
      </c>
      <c r="H121" s="68">
        <v>43622</v>
      </c>
      <c r="I121" s="69">
        <v>2277.39</v>
      </c>
      <c r="K121" s="65"/>
    </row>
    <row r="122" spans="4:11" outlineLevel="1" x14ac:dyDescent="0.2">
      <c r="G122" s="20" t="s">
        <v>77</v>
      </c>
      <c r="H122" s="68">
        <v>43640</v>
      </c>
      <c r="I122" s="69">
        <v>2467.61</v>
      </c>
      <c r="K122" s="65"/>
    </row>
    <row r="123" spans="4:11" outlineLevel="1" x14ac:dyDescent="0.2">
      <c r="G123" s="20" t="s">
        <v>137</v>
      </c>
      <c r="H123" s="68">
        <v>43666</v>
      </c>
      <c r="I123" s="69">
        <v>1245.6099999999999</v>
      </c>
      <c r="K123" s="65"/>
    </row>
    <row r="124" spans="4:11" outlineLevel="1" x14ac:dyDescent="0.2">
      <c r="G124" s="20" t="s">
        <v>139</v>
      </c>
      <c r="H124" s="68">
        <v>43687</v>
      </c>
      <c r="I124" s="69">
        <v>2341.09</v>
      </c>
      <c r="K124" s="65"/>
    </row>
    <row r="125" spans="4:11" outlineLevel="1" x14ac:dyDescent="0.2">
      <c r="G125" s="20" t="s">
        <v>141</v>
      </c>
      <c r="H125" s="68">
        <v>43696</v>
      </c>
      <c r="I125" s="69">
        <v>1836.65</v>
      </c>
      <c r="K125" s="65"/>
    </row>
    <row r="126" spans="4:11" outlineLevel="1" x14ac:dyDescent="0.2"/>
    <row r="127" spans="4:11" outlineLevel="1" x14ac:dyDescent="0.2"/>
    <row r="128" spans="4:11" ht="15" outlineLevel="1" x14ac:dyDescent="0.25">
      <c r="D128" s="4" t="s">
        <v>83</v>
      </c>
    </row>
    <row r="129" spans="2:20" outlineLevel="1" x14ac:dyDescent="0.2"/>
    <row r="130" spans="2:20" outlineLevel="1" x14ac:dyDescent="0.2">
      <c r="E130" s="47" t="s">
        <v>135</v>
      </c>
      <c r="G130" s="20" t="s">
        <v>77</v>
      </c>
    </row>
    <row r="131" spans="2:20" outlineLevel="1" x14ac:dyDescent="0.2"/>
    <row r="132" spans="2:20" outlineLevel="1" x14ac:dyDescent="0.2">
      <c r="H132" s="48" t="str">
        <f>H112</f>
        <v>Date</v>
      </c>
      <c r="I132" s="48" t="str">
        <f>I112</f>
        <v>Payment</v>
      </c>
    </row>
    <row r="133" spans="2:20" outlineLevel="1" x14ac:dyDescent="0.2">
      <c r="E133" s="47" t="s">
        <v>142</v>
      </c>
      <c r="H133" s="68" cm="1">
        <f t="array" ref="H133">_xlfn.XLOOKUP($G$130,$G$113:$G$125,H$113:H$125,,-1)</f>
        <v>43640</v>
      </c>
      <c r="I133" s="69" cm="1">
        <f t="array" ref="I133">_xlfn.XLOOKUP($G$130,$G$113:$G$125,I$113:I$125,,-1)</f>
        <v>2467.61</v>
      </c>
    </row>
    <row r="134" spans="2:20" outlineLevel="1" x14ac:dyDescent="0.2"/>
    <row r="135" spans="2:20" outlineLevel="1" x14ac:dyDescent="0.2">
      <c r="H135" s="19" t="str">
        <f ca="1">IFERROR(_xlfn.FORMULATEXT(H133),"")</f>
        <v>=XLOOKUP($G$130,$G$113:$G$125,H$113:H$125,,-1)</v>
      </c>
    </row>
    <row r="136" spans="2:20" outlineLevel="1" x14ac:dyDescent="0.2"/>
    <row r="137" spans="2:20" outlineLevel="1" x14ac:dyDescent="0.2"/>
    <row r="138" spans="2:20" ht="16.5" thickBot="1" x14ac:dyDescent="0.3">
      <c r="B138" s="40">
        <f>MAX($B$5:$B137)+1</f>
        <v>6</v>
      </c>
      <c r="C138" s="2" t="s">
        <v>143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2:20" ht="12.75" outlineLevel="1" thickTop="1" x14ac:dyDescent="0.2"/>
    <row r="140" spans="2:20" ht="16.5" outlineLevel="1" x14ac:dyDescent="0.25">
      <c r="C140" s="3" t="s">
        <v>69</v>
      </c>
    </row>
    <row r="141" spans="2:20" outlineLevel="1" x14ac:dyDescent="0.2"/>
    <row r="142" spans="2:20" ht="15" outlineLevel="1" x14ac:dyDescent="0.25">
      <c r="D142" s="4" t="s">
        <v>73</v>
      </c>
    </row>
    <row r="143" spans="2:20" outlineLevel="1" x14ac:dyDescent="0.2"/>
    <row r="144" spans="2:20" outlineLevel="1" x14ac:dyDescent="0.2">
      <c r="H144" s="48" t="s">
        <v>144</v>
      </c>
      <c r="I144" s="48" t="s">
        <v>145</v>
      </c>
    </row>
    <row r="145" spans="4:11" outlineLevel="1" x14ac:dyDescent="0.2">
      <c r="H145" s="20" t="s">
        <v>146</v>
      </c>
      <c r="I145" s="52">
        <v>1</v>
      </c>
      <c r="K145" s="65" t="str" cm="1">
        <f t="array" ref="K145:K149">_xlfn._xlws.SORT(_xlfn.UNIQUE(H145:H154))</f>
        <v>Different</v>
      </c>
    </row>
    <row r="146" spans="4:11" outlineLevel="1" x14ac:dyDescent="0.2">
      <c r="H146" s="20" t="s">
        <v>147</v>
      </c>
      <c r="I146" s="52">
        <v>2</v>
      </c>
      <c r="K146" s="65" t="str">
        <v>Some Product</v>
      </c>
    </row>
    <row r="147" spans="4:11" outlineLevel="1" x14ac:dyDescent="0.2">
      <c r="H147" s="20" t="s">
        <v>148</v>
      </c>
      <c r="I147" s="52">
        <v>4</v>
      </c>
      <c r="K147" s="65" t="str">
        <v>Sum Product</v>
      </c>
    </row>
    <row r="148" spans="4:11" outlineLevel="1" x14ac:dyDescent="0.2">
      <c r="H148" s="20" t="s">
        <v>149</v>
      </c>
      <c r="I148" s="52">
        <v>8</v>
      </c>
      <c r="K148" s="65" t="str">
        <v>SumProduct</v>
      </c>
    </row>
    <row r="149" spans="4:11" outlineLevel="1" x14ac:dyDescent="0.2">
      <c r="H149" s="20" t="s">
        <v>150</v>
      </c>
      <c r="I149" s="52">
        <v>16</v>
      </c>
      <c r="K149" s="65" t="str">
        <v xml:space="preserve">SumProduct </v>
      </c>
    </row>
    <row r="150" spans="4:11" outlineLevel="1" x14ac:dyDescent="0.2">
      <c r="H150" s="20" t="s">
        <v>151</v>
      </c>
      <c r="I150" s="52">
        <v>32</v>
      </c>
      <c r="K150" s="65"/>
    </row>
    <row r="151" spans="4:11" outlineLevel="1" x14ac:dyDescent="0.2">
      <c r="H151" s="20" t="s">
        <v>152</v>
      </c>
      <c r="I151" s="52">
        <v>64</v>
      </c>
      <c r="K151" s="65"/>
    </row>
    <row r="152" spans="4:11" outlineLevel="1" x14ac:dyDescent="0.2">
      <c r="H152" s="20" t="s">
        <v>146</v>
      </c>
      <c r="I152" s="52">
        <v>128</v>
      </c>
      <c r="K152" s="65"/>
    </row>
    <row r="153" spans="4:11" outlineLevel="1" x14ac:dyDescent="0.2">
      <c r="H153" s="20" t="s">
        <v>147</v>
      </c>
      <c r="I153" s="52">
        <v>256</v>
      </c>
      <c r="K153" s="65"/>
    </row>
    <row r="154" spans="4:11" outlineLevel="1" x14ac:dyDescent="0.2">
      <c r="H154" s="20" t="s">
        <v>153</v>
      </c>
      <c r="I154" s="52">
        <v>512</v>
      </c>
      <c r="K154" s="65"/>
    </row>
    <row r="155" spans="4:11" outlineLevel="1" x14ac:dyDescent="0.2"/>
    <row r="156" spans="4:11" outlineLevel="1" x14ac:dyDescent="0.2"/>
    <row r="157" spans="4:11" ht="15" outlineLevel="1" x14ac:dyDescent="0.25">
      <c r="D157" s="4" t="s">
        <v>83</v>
      </c>
    </row>
    <row r="158" spans="4:11" outlineLevel="1" x14ac:dyDescent="0.2"/>
    <row r="159" spans="4:11" outlineLevel="1" x14ac:dyDescent="0.2">
      <c r="E159" s="47" t="s">
        <v>154</v>
      </c>
      <c r="G159" s="52" t="s">
        <v>147</v>
      </c>
    </row>
    <row r="160" spans="4:11" outlineLevel="1" x14ac:dyDescent="0.2"/>
    <row r="161" spans="2:20" outlineLevel="1" x14ac:dyDescent="0.2">
      <c r="E161" s="47" t="s">
        <v>155</v>
      </c>
      <c r="G161" s="58" cm="1">
        <f t="array" ref="G161">_xlfn.XLOOKUP(TRUE,EXACT(H145:H154,G159),I145:I154)</f>
        <v>2</v>
      </c>
      <c r="I161" s="19" t="str">
        <f ca="1">IFERROR(_xlfn.FORMULATEXT(G161),"")</f>
        <v>=XLOOKUP(TRUE,EXACT(H145:H154,G159),I145:I154)</v>
      </c>
    </row>
    <row r="162" spans="2:20" outlineLevel="1" x14ac:dyDescent="0.2"/>
    <row r="163" spans="2:20" outlineLevel="1" x14ac:dyDescent="0.2">
      <c r="E163" s="47" t="s">
        <v>156</v>
      </c>
      <c r="G163" s="58" cm="1">
        <f t="array" ref="G163">_xlfn.XLOOKUP(TRUE,EXACT(H145:H154,G159),I145:I154,,-1)</f>
        <v>256</v>
      </c>
      <c r="I163" s="19" t="str">
        <f ca="1">IFERROR(_xlfn.FORMULATEXT(G163),"")</f>
        <v>=XLOOKUP(TRUE,EXACT(H145:H154,G159),I145:I154,,-1)</v>
      </c>
    </row>
    <row r="164" spans="2:20" outlineLevel="1" x14ac:dyDescent="0.2"/>
    <row r="165" spans="2:20" outlineLevel="1" x14ac:dyDescent="0.2"/>
    <row r="166" spans="2:20" outlineLevel="1" x14ac:dyDescent="0.2"/>
    <row r="167" spans="2:20" ht="16.5" thickBot="1" x14ac:dyDescent="0.3">
      <c r="B167" s="40">
        <f>MAX($B$5:$B166)+1</f>
        <v>7</v>
      </c>
      <c r="C167" s="2" t="s">
        <v>157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2:20" ht="12.75" outlineLevel="1" thickTop="1" x14ac:dyDescent="0.2"/>
    <row r="169" spans="2:20" ht="16.5" outlineLevel="1" x14ac:dyDescent="0.25">
      <c r="C169" s="3" t="s">
        <v>69</v>
      </c>
    </row>
    <row r="170" spans="2:20" outlineLevel="1" x14ac:dyDescent="0.2"/>
    <row r="171" spans="2:20" ht="15" outlineLevel="1" x14ac:dyDescent="0.25">
      <c r="D171" s="4" t="s">
        <v>73</v>
      </c>
    </row>
    <row r="172" spans="2:20" outlineLevel="1" x14ac:dyDescent="0.2"/>
    <row r="173" spans="2:20" outlineLevel="1" x14ac:dyDescent="0.2">
      <c r="H173" s="48" t="s">
        <v>158</v>
      </c>
      <c r="I173" s="48" t="s">
        <v>145</v>
      </c>
    </row>
    <row r="174" spans="2:20" outlineLevel="1" x14ac:dyDescent="0.2">
      <c r="H174" s="20" t="s">
        <v>159</v>
      </c>
      <c r="I174" s="52">
        <v>1</v>
      </c>
    </row>
    <row r="175" spans="2:20" outlineLevel="1" x14ac:dyDescent="0.2">
      <c r="H175" s="20" t="s">
        <v>160</v>
      </c>
      <c r="I175" s="52">
        <v>2</v>
      </c>
    </row>
    <row r="176" spans="2:20" outlineLevel="1" x14ac:dyDescent="0.2">
      <c r="H176" s="20" t="s">
        <v>161</v>
      </c>
      <c r="I176" s="52">
        <v>4</v>
      </c>
    </row>
    <row r="177" spans="4:9" outlineLevel="1" x14ac:dyDescent="0.2">
      <c r="H177" s="20" t="s">
        <v>162</v>
      </c>
      <c r="I177" s="52">
        <v>8</v>
      </c>
    </row>
    <row r="178" spans="4:9" outlineLevel="1" x14ac:dyDescent="0.2">
      <c r="H178" s="20" t="s">
        <v>163</v>
      </c>
      <c r="I178" s="52">
        <v>16</v>
      </c>
    </row>
    <row r="179" spans="4:9" outlineLevel="1" x14ac:dyDescent="0.2">
      <c r="H179" s="20" t="s">
        <v>164</v>
      </c>
      <c r="I179" s="52">
        <v>32</v>
      </c>
    </row>
    <row r="180" spans="4:9" outlineLevel="1" x14ac:dyDescent="0.2"/>
    <row r="181" spans="4:9" outlineLevel="1" x14ac:dyDescent="0.2"/>
    <row r="182" spans="4:9" ht="15" outlineLevel="1" x14ac:dyDescent="0.25">
      <c r="D182" s="4" t="s">
        <v>83</v>
      </c>
    </row>
    <row r="183" spans="4:9" outlineLevel="1" x14ac:dyDescent="0.2"/>
    <row r="184" spans="4:9" outlineLevel="1" x14ac:dyDescent="0.2">
      <c r="F184" s="47" t="s">
        <v>154</v>
      </c>
      <c r="G184" s="52" t="s">
        <v>170</v>
      </c>
    </row>
    <row r="185" spans="4:9" outlineLevel="1" x14ac:dyDescent="0.2"/>
    <row r="186" spans="4:9" outlineLevel="1" x14ac:dyDescent="0.2">
      <c r="F186" s="47" t="s">
        <v>165</v>
      </c>
      <c r="G186" s="58" cm="1">
        <f t="array" ref="G186">_xlfn.XLOOKUP(G184,H174:H179,I174:I179,2)</f>
        <v>4</v>
      </c>
      <c r="I186" s="19" t="str">
        <f ca="1">IFERROR(_xlfn.FORMULATEXT(G186),"")</f>
        <v>=XLOOKUP(G184,H174:H179,I174:I179,2)</v>
      </c>
    </row>
    <row r="187" spans="4:9" outlineLevel="1" x14ac:dyDescent="0.2"/>
    <row r="188" spans="4:9" outlineLevel="1" x14ac:dyDescent="0.2">
      <c r="F188" s="47" t="s">
        <v>166</v>
      </c>
      <c r="G188" s="58" cm="1">
        <f t="array" ref="G188">_xlfn.XLOOKUP(G184,H174:H179,I174:I179,2,-1)</f>
        <v>32</v>
      </c>
      <c r="I188" s="19" t="str">
        <f ca="1">IFERROR(_xlfn.FORMULATEXT(G188),"")</f>
        <v>=XLOOKUP(G184,H174:H179,I174:I179,2,-1)</v>
      </c>
    </row>
    <row r="189" spans="4:9" outlineLevel="1" x14ac:dyDescent="0.2"/>
    <row r="190" spans="4:9" outlineLevel="1" x14ac:dyDescent="0.2"/>
  </sheetData>
  <mergeCells count="4">
    <mergeCell ref="A3:E3"/>
    <mergeCell ref="G23:J23"/>
    <mergeCell ref="F23:F24"/>
    <mergeCell ref="E25:E28"/>
  </mergeCells>
  <phoneticPr fontId="8" type="noConversion"/>
  <conditionalFormatting sqref="I4">
    <cfRule type="cellIs" dxfId="12" priority="8" operator="notEqual">
      <formula>0</formula>
    </cfRule>
  </conditionalFormatting>
  <conditionalFormatting sqref="H40:N46">
    <cfRule type="expression" dxfId="11" priority="6" stopIfTrue="1">
      <formula>AND(H$39=$G$51,$G40=$G$53)</formula>
    </cfRule>
    <cfRule type="expression" dxfId="10" priority="7">
      <formula>OR(H$39=$G$51,$G40=$G$53)</formula>
    </cfRule>
  </conditionalFormatting>
  <conditionalFormatting sqref="I66:L72">
    <cfRule type="expression" dxfId="9" priority="5">
      <formula>I$65=$G$77</formula>
    </cfRule>
  </conditionalFormatting>
  <conditionalFormatting sqref="H95:S95">
    <cfRule type="expression" dxfId="8" priority="4">
      <formula>AND(H$94&gt;=$G$100,H$94&lt;=$G$101)</formula>
    </cfRule>
  </conditionalFormatting>
  <conditionalFormatting sqref="G113:I125">
    <cfRule type="expression" dxfId="7" priority="3">
      <formula>AND($G113=$G$130,$H113=$H$133,$I113=$I$133)</formula>
    </cfRule>
  </conditionalFormatting>
  <conditionalFormatting sqref="H145:I154">
    <cfRule type="expression" dxfId="6" priority="2">
      <formula>OR($I145=$G$161,$I145=$G$163)</formula>
    </cfRule>
  </conditionalFormatting>
  <conditionalFormatting sqref="H174:I179">
    <cfRule type="expression" dxfId="5" priority="1">
      <formula>OR($I174=$G$186,$I174=$G$188)</formula>
    </cfRule>
  </conditionalFormatting>
  <dataValidations disablePrompts="1" count="7">
    <dataValidation type="list" allowBlank="1" showInputMessage="1" showErrorMessage="1" sqref="G51" xr:uid="{89BE05FB-F02C-4456-8710-C154CCD890E1}">
      <formula1>$H$39:$N$39</formula1>
    </dataValidation>
    <dataValidation type="list" allowBlank="1" showInputMessage="1" showErrorMessage="1" sqref="G53" xr:uid="{F3963F87-225D-410A-A14C-71C96DD7DD1F}">
      <formula1>$G$40:$G$46</formula1>
    </dataValidation>
    <dataValidation type="list" allowBlank="1" showInputMessage="1" showErrorMessage="1" sqref="G100" xr:uid="{DE567E20-C856-4A9B-B376-57663D66BEDC}">
      <formula1>$H$94:$S$94</formula1>
    </dataValidation>
    <dataValidation type="list" allowBlank="1" showInputMessage="1" showErrorMessage="1" sqref="G101" xr:uid="{1D86AB95-17EA-4C37-A953-E7584A52CE19}">
      <formula1>_xlfn.ANCHORARRAY($H$101)</formula1>
    </dataValidation>
    <dataValidation type="list" allowBlank="1" showInputMessage="1" showErrorMessage="1" sqref="G77" xr:uid="{9C777C34-F9CC-49DF-9EAF-2B33B3FFBA7E}">
      <formula1>$I$65:$L$65</formula1>
    </dataValidation>
    <dataValidation type="list" allowBlank="1" showInputMessage="1" showErrorMessage="1" sqref="G130" xr:uid="{DA3A7DF3-B22F-4CBE-A72F-15D0299933A5}">
      <formula1>_xlfn.ANCHORARRAY($K$113)</formula1>
    </dataValidation>
    <dataValidation type="list" allowBlank="1" showInputMessage="1" showErrorMessage="1" sqref="G159" xr:uid="{91BA5A50-943D-4691-859D-12E12401306C}">
      <formula1>_xlfn.ANCHORARRAY($K$145)</formula1>
    </dataValidation>
  </dataValidations>
  <hyperlinks>
    <hyperlink ref="A3:E3" location="HL_Navigator" tooltip="Go to Navigator (Table of Contents)" display="Navigator" xr:uid="{A2886F3B-8583-438B-9366-AF2847DEA70B}"/>
    <hyperlink ref="A3" location="HL_Navigator" display="Navigator" xr:uid="{2BFAE618-5AF1-4211-8F1A-498A1364AD07}"/>
    <hyperlink ref="I4" location="Overall_Error_Check" tooltip="Go to Overall Error Check" display="Overall_Error_Check" xr:uid="{8C0A45C5-7381-4460-B3DB-85BEC1582D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CE01-3775-49C3-8787-DC3B0177D9DC}">
  <sheetPr>
    <outlinePr summaryBelow="0" summaryRight="0"/>
  </sheetPr>
  <dimension ref="A1:T37"/>
  <sheetViews>
    <sheetView showGridLines="0" workbookViewId="0">
      <pane ySplit="4" topLeftCell="A5" activePane="bottomLeft" state="frozen"/>
      <selection pane="bottomLeft" activeCell="A3" sqref="A3:E3"/>
    </sheetView>
  </sheetViews>
  <sheetFormatPr defaultRowHeight="12" outlineLevelRow="1" x14ac:dyDescent="0.2"/>
  <cols>
    <col min="1" max="5" width="3.7109375" customWidth="1"/>
    <col min="6" max="6" width="12" bestFit="1" customWidth="1"/>
  </cols>
  <sheetData>
    <row r="1" spans="1:20" ht="20.25" x14ac:dyDescent="0.3">
      <c r="A1" s="14" t="str">
        <f ca="1">IF(ISERROR(RIGHT(CELL("filename",A1),LEN(CELL("filename",A1))-FIND("]",CELL("filename",A1)))),
"",
RIGHT(CELL("filename",A1),LEN(CELL("filename",A1))-FIND("]",CELL("filename",A1))))</f>
        <v>XMATCH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0" ht="18" x14ac:dyDescent="0.25">
      <c r="A2" s="16" t="str">
        <f ca="1">Model_Name</f>
        <v>SP XLOOKUP and XMATCH Functions.xlsx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</row>
    <row r="3" spans="1:20" x14ac:dyDescent="0.2">
      <c r="A3" s="72" t="s">
        <v>1</v>
      </c>
      <c r="B3" s="72"/>
      <c r="C3" s="72"/>
      <c r="D3" s="72"/>
      <c r="E3" s="72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</row>
    <row r="4" spans="1:20" ht="14.25" x14ac:dyDescent="0.2">
      <c r="A4" s="50"/>
      <c r="B4" s="50"/>
      <c r="C4" s="50"/>
      <c r="D4" s="50"/>
      <c r="E4" s="50" t="s">
        <v>2</v>
      </c>
      <c r="F4" s="50"/>
      <c r="G4" s="50"/>
      <c r="H4" s="50"/>
      <c r="I4" s="1">
        <f>Overall_Error_Check</f>
        <v>0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</row>
    <row r="5" spans="1:20" x14ac:dyDescent="0.2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</row>
    <row r="6" spans="1:20" ht="16.5" thickBot="1" x14ac:dyDescent="0.3">
      <c r="A6" s="50"/>
      <c r="B6" s="40">
        <f>MAX($B$5:$B5)+1</f>
        <v>1</v>
      </c>
      <c r="C6" s="2" t="str">
        <f ca="1">A1</f>
        <v>XMATCH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outlineLevel="1" thickTop="1" x14ac:dyDescent="0.2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</row>
    <row r="8" spans="1:20" ht="16.5" outlineLevel="1" x14ac:dyDescent="0.25">
      <c r="A8" s="50"/>
      <c r="B8" s="50"/>
      <c r="C8" s="3" t="s">
        <v>69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</row>
    <row r="9" spans="1:20" outlineLevel="1" x14ac:dyDescent="0.2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</row>
    <row r="10" spans="1:20" ht="15" outlineLevel="1" x14ac:dyDescent="0.25">
      <c r="A10" s="50"/>
      <c r="B10" s="50"/>
      <c r="C10" s="50"/>
      <c r="D10" s="4" t="s">
        <v>73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</row>
    <row r="11" spans="1:20" outlineLevel="1" x14ac:dyDescent="0.2">
      <c r="A11" s="50"/>
      <c r="B11" s="50"/>
      <c r="C11" s="50"/>
    </row>
    <row r="12" spans="1:20" outlineLevel="1" x14ac:dyDescent="0.2">
      <c r="A12" s="50"/>
      <c r="B12" s="50"/>
      <c r="C12" s="50"/>
      <c r="F12" s="51" t="s">
        <v>181</v>
      </c>
    </row>
    <row r="13" spans="1:20" outlineLevel="1" x14ac:dyDescent="0.2">
      <c r="A13" s="50"/>
      <c r="B13" s="50"/>
      <c r="C13" s="50"/>
      <c r="F13" s="52" t="e">
        <f>3/0</f>
        <v>#DIV/0!</v>
      </c>
    </row>
    <row r="14" spans="1:20" outlineLevel="1" x14ac:dyDescent="0.2">
      <c r="B14" s="50"/>
      <c r="C14" s="50"/>
      <c r="F14" s="52">
        <v>14</v>
      </c>
    </row>
    <row r="15" spans="1:20" outlineLevel="1" x14ac:dyDescent="0.2">
      <c r="F15" s="52">
        <v>-7</v>
      </c>
    </row>
    <row r="16" spans="1:20" outlineLevel="1" x14ac:dyDescent="0.2">
      <c r="F16" s="52">
        <v>6.2</v>
      </c>
    </row>
    <row r="17" spans="4:7" outlineLevel="1" x14ac:dyDescent="0.2">
      <c r="F17" s="52">
        <v>9</v>
      </c>
    </row>
    <row r="18" spans="4:7" outlineLevel="1" x14ac:dyDescent="0.2">
      <c r="F18" s="52">
        <v>-7</v>
      </c>
    </row>
    <row r="19" spans="4:7" outlineLevel="1" x14ac:dyDescent="0.2">
      <c r="F19" s="52" t="e">
        <f>#REF!</f>
        <v>#REF!</v>
      </c>
    </row>
    <row r="20" spans="4:7" outlineLevel="1" x14ac:dyDescent="0.2">
      <c r="F20" s="52">
        <v>7</v>
      </c>
    </row>
    <row r="21" spans="4:7" outlineLevel="1" x14ac:dyDescent="0.2">
      <c r="F21" s="52">
        <v>1</v>
      </c>
    </row>
    <row r="22" spans="4:7" outlineLevel="1" x14ac:dyDescent="0.2">
      <c r="F22" s="52">
        <v>5.2</v>
      </c>
    </row>
    <row r="23" spans="4:7" outlineLevel="1" x14ac:dyDescent="0.2">
      <c r="F23" s="52">
        <v>9</v>
      </c>
    </row>
    <row r="24" spans="4:7" outlineLevel="1" x14ac:dyDescent="0.2">
      <c r="F24" s="52">
        <v>4</v>
      </c>
    </row>
    <row r="25" spans="4:7" outlineLevel="1" x14ac:dyDescent="0.2">
      <c r="F25" s="52">
        <v>1</v>
      </c>
    </row>
    <row r="26" spans="4:7" outlineLevel="1" x14ac:dyDescent="0.2"/>
    <row r="27" spans="4:7" outlineLevel="1" x14ac:dyDescent="0.2"/>
    <row r="28" spans="4:7" ht="15" outlineLevel="1" x14ac:dyDescent="0.25">
      <c r="D28" s="4" t="s">
        <v>182</v>
      </c>
    </row>
    <row r="29" spans="4:7" outlineLevel="1" x14ac:dyDescent="0.2"/>
    <row r="30" spans="4:7" outlineLevel="1" x14ac:dyDescent="0.2">
      <c r="F30" t="s">
        <v>183</v>
      </c>
      <c r="G30" s="52">
        <v>-6.7</v>
      </c>
    </row>
    <row r="31" spans="4:7" outlineLevel="1" x14ac:dyDescent="0.2">
      <c r="F31" t="s">
        <v>184</v>
      </c>
      <c r="G31" s="52">
        <v>-1</v>
      </c>
    </row>
    <row r="32" spans="4:7" outlineLevel="1" x14ac:dyDescent="0.2">
      <c r="F32" t="s">
        <v>185</v>
      </c>
      <c r="G32" s="52">
        <v>-1</v>
      </c>
    </row>
    <row r="33" spans="6:9" outlineLevel="1" x14ac:dyDescent="0.2"/>
    <row r="34" spans="6:9" outlineLevel="1" x14ac:dyDescent="0.2"/>
    <row r="35" spans="6:9" outlineLevel="1" x14ac:dyDescent="0.2">
      <c r="F35" s="53" t="s">
        <v>180</v>
      </c>
      <c r="G35" s="79">
        <f>_xlfn.XMATCH(G30,F13:F25,G31,G32)</f>
        <v>6</v>
      </c>
      <c r="I35" s="19" t="str">
        <f ca="1">IFERROR(_xlfn.FORMULATEXT(G35),"")</f>
        <v>=XMATCH(G30,F13:F25,G31,G32)</v>
      </c>
    </row>
    <row r="36" spans="6:9" outlineLevel="1" x14ac:dyDescent="0.2"/>
    <row r="37" spans="6:9" outlineLevel="1" x14ac:dyDescent="0.2"/>
  </sheetData>
  <mergeCells count="1">
    <mergeCell ref="A3:E3"/>
  </mergeCells>
  <conditionalFormatting sqref="I4">
    <cfRule type="cellIs" dxfId="4" priority="1" operator="notEqual">
      <formula>0</formula>
    </cfRule>
  </conditionalFormatting>
  <dataValidations count="2">
    <dataValidation type="list" allowBlank="1" showInputMessage="1" showErrorMessage="1" sqref="G31" xr:uid="{47756AB8-1EA9-4A9E-BC28-30E064163411}">
      <formula1>"0,-1,1,2"</formula1>
    </dataValidation>
    <dataValidation type="list" allowBlank="1" showInputMessage="1" showErrorMessage="1" sqref="G32" xr:uid="{9AC0E084-BE87-4E42-95B4-A1C846FAEE9D}">
      <formula1>"1,-1,2,-2"</formula1>
    </dataValidation>
  </dataValidations>
  <hyperlinks>
    <hyperlink ref="A3:E3" location="HL_Navigator" tooltip="Go to Navigator (Table of Contents)" display="Navigator" xr:uid="{AE680F57-6ACF-43AD-9913-B06CC9554EAA}"/>
    <hyperlink ref="A3" location="HL_Navigator" display="Navigator" xr:uid="{5CCDF934-2304-43CD-A9F0-03A4D17942F3}"/>
    <hyperlink ref="I4" location="Overall_Error_Check" tooltip="Go to Overall Error Check" display="Overall_Error_Check" xr:uid="{E3053B53-3A2A-44B4-A688-2350079ABFCE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outlinePr summaryBelow="0"/>
  </sheetPr>
  <dimension ref="A1:R19"/>
  <sheetViews>
    <sheetView showGridLines="0" workbookViewId="0">
      <pane ySplit="4" topLeftCell="A5" activePane="bottomLeft" state="frozen"/>
      <selection pane="bottomLeft" activeCell="A3" sqref="A3:E3"/>
    </sheetView>
  </sheetViews>
  <sheetFormatPr defaultColWidth="0" defaultRowHeight="12" outlineLevelRow="1" x14ac:dyDescent="0.2"/>
  <cols>
    <col min="1" max="5" width="3.7109375" customWidth="1"/>
    <col min="6" max="12" width="9.140625" customWidth="1"/>
    <col min="13" max="18" width="0" hidden="1" customWidth="1"/>
    <col min="19" max="16384" width="9.140625" hidden="1"/>
  </cols>
  <sheetData>
    <row r="1" spans="1:11" ht="20.25" x14ac:dyDescent="0.3">
      <c r="A1" s="14" t="str">
        <f ca="1">IF(ISERROR(RIGHT(CELL("filename",A1),LEN(CELL("filename",A1))-FIND("]",CELL("filename",A1)))),
"",
RIGHT(CELL("filename",A1),LEN(CELL("filename",A1))-FIND("]",CELL("filename",A1))))</f>
        <v>Error Checks</v>
      </c>
      <c r="I1" s="72"/>
      <c r="J1" s="72"/>
    </row>
    <row r="2" spans="1:11" ht="18" x14ac:dyDescent="0.25">
      <c r="A2" s="16" t="str">
        <f ca="1">Model_Name</f>
        <v>SP XLOOKUP and XMATCH Functions.xlsx</v>
      </c>
    </row>
    <row r="3" spans="1:11" x14ac:dyDescent="0.2">
      <c r="A3" s="72" t="s">
        <v>1</v>
      </c>
      <c r="B3" s="72"/>
      <c r="C3" s="72"/>
      <c r="D3" s="72"/>
      <c r="E3" s="72"/>
    </row>
    <row r="4" spans="1:11" ht="14.25" x14ac:dyDescent="0.2">
      <c r="B4" t="s">
        <v>2</v>
      </c>
      <c r="F4" s="1">
        <f>Overall_Error_Check</f>
        <v>0</v>
      </c>
    </row>
    <row r="5" spans="1:11" x14ac:dyDescent="0.2">
      <c r="A5" s="11"/>
    </row>
    <row r="6" spans="1:11" ht="16.5" thickBot="1" x14ac:dyDescent="0.3">
      <c r="B6" s="40">
        <f>MAX($B$5:$B5)+1</f>
        <v>1</v>
      </c>
      <c r="C6" s="2" t="s">
        <v>66</v>
      </c>
      <c r="D6" s="2"/>
      <c r="E6" s="2"/>
      <c r="F6" s="2"/>
      <c r="G6" s="2"/>
      <c r="H6" s="2"/>
      <c r="I6" s="2"/>
      <c r="J6" s="2"/>
      <c r="K6" s="2"/>
    </row>
    <row r="7" spans="1:11" ht="12.75" outlineLevel="1" thickTop="1" x14ac:dyDescent="0.2"/>
    <row r="8" spans="1:11" ht="16.5" outlineLevel="1" x14ac:dyDescent="0.25">
      <c r="C8" s="3" t="s">
        <v>67</v>
      </c>
    </row>
    <row r="9" spans="1:11" ht="16.5" outlineLevel="1" x14ac:dyDescent="0.25">
      <c r="C9" s="3"/>
    </row>
    <row r="10" spans="1:11" ht="16.5" outlineLevel="1" x14ac:dyDescent="0.25">
      <c r="C10" s="3"/>
      <c r="D10" s="4" t="s">
        <v>68</v>
      </c>
    </row>
    <row r="11" spans="1:11" outlineLevel="1" x14ac:dyDescent="0.2"/>
    <row r="12" spans="1:11" ht="14.25" outlineLevel="1" x14ac:dyDescent="0.2">
      <c r="E12" t="s">
        <v>167</v>
      </c>
      <c r="I12" s="36"/>
    </row>
    <row r="13" spans="1:11" outlineLevel="1" x14ac:dyDescent="0.2"/>
    <row r="14" spans="1:11" outlineLevel="1" x14ac:dyDescent="0.2"/>
    <row r="15" spans="1:11" outlineLevel="1" x14ac:dyDescent="0.2"/>
    <row r="16" spans="1:11" outlineLevel="1" x14ac:dyDescent="0.2"/>
    <row r="17" spans="5:11" ht="15" outlineLevel="1" x14ac:dyDescent="0.25">
      <c r="E17" s="4" t="str">
        <f>C8</f>
        <v>Summary of Errors</v>
      </c>
      <c r="I17" s="1">
        <f>MIN(1,SUM(I11:I15))</f>
        <v>0</v>
      </c>
      <c r="K17" s="11"/>
    </row>
    <row r="18" spans="5:11" outlineLevel="1" x14ac:dyDescent="0.2"/>
    <row r="19" spans="5:11" outlineLevel="1" x14ac:dyDescent="0.2"/>
  </sheetData>
  <mergeCells count="2">
    <mergeCell ref="I1:J1"/>
    <mergeCell ref="A3:E3"/>
  </mergeCells>
  <conditionalFormatting sqref="I17">
    <cfRule type="cellIs" dxfId="3" priority="5" operator="notEqual">
      <formula>0</formula>
    </cfRule>
  </conditionalFormatting>
  <conditionalFormatting sqref="I12">
    <cfRule type="cellIs" dxfId="2" priority="4" operator="notEqual">
      <formula>0</formula>
    </cfRule>
  </conditionalFormatting>
  <conditionalFormatting sqref="I12">
    <cfRule type="cellIs" dxfId="1" priority="3" operator="notEqual">
      <formula>0</formula>
    </cfRule>
  </conditionalFormatting>
  <conditionalFormatting sqref="F4">
    <cfRule type="cellIs" dxfId="0" priority="1" operator="notEqual">
      <formula>0</formula>
    </cfRule>
  </conditionalFormatting>
  <hyperlinks>
    <hyperlink ref="F4" location="Overall_Error_Check" tooltip="Go to Overall Error Check" display="Overall_Error_Check" xr:uid="{00000000-0004-0000-0500-000000000000}"/>
    <hyperlink ref="A3:E3" location="HL_Navigator" tooltip="Go to Navigator (Table of Contents)" display="Navigator" xr:uid="{00000000-0004-0000-0500-000001000000}"/>
    <hyperlink ref="A3" location="HL_Navigator" display="Navigator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26</vt:i4>
      </vt:variant>
    </vt:vector>
  </HeadingPairs>
  <TitlesOfParts>
    <vt:vector size="34" baseType="lpstr">
      <vt:lpstr>Cover</vt:lpstr>
      <vt:lpstr>Navigator</vt:lpstr>
      <vt:lpstr>Style Guide</vt:lpstr>
      <vt:lpstr>Model Parameters</vt:lpstr>
      <vt:lpstr>Replacing the LOOKUP Family</vt:lpstr>
      <vt:lpstr>New Features for XLOOKUP</vt:lpstr>
      <vt:lpstr>XMATCH</vt:lpstr>
      <vt:lpstr>Error Checks</vt:lpstr>
      <vt:lpstr>Client_Name</vt:lpstr>
      <vt:lpstr>Days_in_Year</vt:lpstr>
      <vt:lpstr>Days_in_Yr</vt:lpstr>
      <vt:lpstr>HL_1</vt:lpstr>
      <vt:lpstr>HL_3</vt:lpstr>
      <vt:lpstr>HL_4</vt:lpstr>
      <vt:lpstr>HL_5</vt:lpstr>
      <vt:lpstr>HL_6</vt:lpstr>
      <vt:lpstr>'New Features for XLOOKUP'!HL_7</vt:lpstr>
      <vt:lpstr>'Replacing the LOOKUP Family'!HL_7</vt:lpstr>
      <vt:lpstr>HL_7</vt:lpstr>
      <vt:lpstr>HL_8</vt:lpstr>
      <vt:lpstr>HL_Model_Parameters</vt:lpstr>
      <vt:lpstr>HL_Navigator</vt:lpstr>
      <vt:lpstr>Model_Name</vt:lpstr>
      <vt:lpstr>Months_in_Half_Yr</vt:lpstr>
      <vt:lpstr>Months_in_Month</vt:lpstr>
      <vt:lpstr>Months_in_Qtr</vt:lpstr>
      <vt:lpstr>Months_in_Quarter</vt:lpstr>
      <vt:lpstr>Months_in_Year</vt:lpstr>
      <vt:lpstr>Overall_Error_Check</vt:lpstr>
      <vt:lpstr>Quarters_in_Year</vt:lpstr>
      <vt:lpstr>Rounding_Accuracy</vt:lpstr>
      <vt:lpstr>Thousand</vt:lpstr>
      <vt:lpstr>Very_Large_Number</vt:lpstr>
      <vt:lpstr>Very_Small_Number</vt:lpstr>
    </vt:vector>
  </TitlesOfParts>
  <Company>SumProduct Pty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 Bastick</cp:lastModifiedBy>
  <dcterms:created xsi:type="dcterms:W3CDTF">2012-10-20T20:39:47Z</dcterms:created>
  <dcterms:modified xsi:type="dcterms:W3CDTF">2019-08-29T10:14:42Z</dcterms:modified>
</cp:coreProperties>
</file>