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D:\cf\projects\SMALL_PROJECTS\DiplomaStatsCounter\Docs\"/>
    </mc:Choice>
  </mc:AlternateContent>
  <xr:revisionPtr revIDLastSave="0" documentId="8_{379EEB9D-4A7B-4186-AEF8-873972F1BE99}" xr6:coauthVersionLast="47" xr6:coauthVersionMax="47" xr10:uidLastSave="{00000000-0000-0000-0000-000000000000}"/>
  <bookViews>
    <workbookView xWindow="-120" yWindow="-120" windowWidth="29040" windowHeight="15840" activeTab="6" xr2:uid="{00000000-000D-0000-FFFF-FFFF00000000}"/>
  </bookViews>
  <sheets>
    <sheet name="геленко" sheetId="9" r:id="rId1"/>
    <sheet name="Лист1" sheetId="1" r:id="rId2"/>
    <sheet name="мнк" sheetId="5" r:id="rId3"/>
    <sheet name="Лист4" sheetId="4" r:id="rId4"/>
    <sheet name="РАЗМЕР" sheetId="2" r:id="rId5"/>
    <sheet name="ТРУДОЕМКОСТЬ" sheetId="3" r:id="rId6"/>
    <sheet name="трудоемкость тестирования" sheetId="6" r:id="rId7"/>
    <sheet name="трудоемкость тестирования (2)" sheetId="7" r:id="rId8"/>
    <sheet name="Лист8" sheetId="8" r:id="rId9"/>
  </sheets>
  <definedNames>
    <definedName name="solver_adj" localSheetId="3" hidden="1">Лист4!$G$9:$H$9</definedName>
    <definedName name="solver_cvg" localSheetId="3" hidden="1">0.0001</definedName>
    <definedName name="solver_drv" localSheetId="3" hidden="1">1</definedName>
    <definedName name="solver_eng" localSheetId="3" hidden="1">3</definedName>
    <definedName name="solver_est" localSheetId="3" hidden="1">1</definedName>
    <definedName name="solver_itr" localSheetId="3" hidden="1">2147483647</definedName>
    <definedName name="solver_mip" localSheetId="3" hidden="1">2147483647</definedName>
    <definedName name="solver_mni" localSheetId="3" hidden="1">30</definedName>
    <definedName name="solver_mrt" localSheetId="3" hidden="1">0.075</definedName>
    <definedName name="solver_msl" localSheetId="3" hidden="1">2</definedName>
    <definedName name="solver_neg" localSheetId="3" hidden="1">2</definedName>
    <definedName name="solver_nod" localSheetId="3" hidden="1">2147483647</definedName>
    <definedName name="solver_num" localSheetId="3" hidden="1">0</definedName>
    <definedName name="solver_nwt" localSheetId="3" hidden="1">1</definedName>
    <definedName name="solver_opt" localSheetId="3" hidden="1">Лист4!$I$6</definedName>
    <definedName name="solver_pre" localSheetId="3" hidden="1">0.000001</definedName>
    <definedName name="solver_rbv" localSheetId="3" hidden="1">1</definedName>
    <definedName name="solver_rlx" localSheetId="3" hidden="1">2</definedName>
    <definedName name="solver_rsd" localSheetId="3" hidden="1">0</definedName>
    <definedName name="solver_scl" localSheetId="3" hidden="1">1</definedName>
    <definedName name="solver_sho" localSheetId="3" hidden="1">2</definedName>
    <definedName name="solver_ssz" localSheetId="3" hidden="1">100</definedName>
    <definedName name="solver_tim" localSheetId="3" hidden="1">2147483647</definedName>
    <definedName name="solver_tol" localSheetId="3" hidden="1">0.01</definedName>
    <definedName name="solver_typ" localSheetId="3" hidden="1">2</definedName>
    <definedName name="solver_val" localSheetId="3" hidden="1">0</definedName>
    <definedName name="solver_ver" localSheetId="3" hidden="1">3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45" i="6" l="1"/>
  <c r="Q8" i="6"/>
  <c r="R44" i="6"/>
  <c r="X7" i="6" s="1"/>
  <c r="J7" i="6"/>
  <c r="P7" i="9"/>
  <c r="J8" i="9"/>
  <c r="K8" i="9"/>
  <c r="J9" i="9"/>
  <c r="K9" i="9"/>
  <c r="K39" i="9" s="1"/>
  <c r="J10" i="9"/>
  <c r="K10" i="9"/>
  <c r="J11" i="9"/>
  <c r="K11" i="9"/>
  <c r="J12" i="9"/>
  <c r="K12" i="9"/>
  <c r="J13" i="9"/>
  <c r="K13" i="9"/>
  <c r="J14" i="9"/>
  <c r="K14" i="9"/>
  <c r="J15" i="9"/>
  <c r="K15" i="9"/>
  <c r="J16" i="9"/>
  <c r="K16" i="9"/>
  <c r="J17" i="9"/>
  <c r="K17" i="9"/>
  <c r="J18" i="9"/>
  <c r="K18" i="9"/>
  <c r="J19" i="9"/>
  <c r="K19" i="9"/>
  <c r="J20" i="9"/>
  <c r="K20" i="9"/>
  <c r="J21" i="9"/>
  <c r="K21" i="9"/>
  <c r="J22" i="9"/>
  <c r="K22" i="9"/>
  <c r="J23" i="9"/>
  <c r="K23" i="9"/>
  <c r="J24" i="9"/>
  <c r="K24" i="9"/>
  <c r="J25" i="9"/>
  <c r="K25" i="9"/>
  <c r="J26" i="9"/>
  <c r="K26" i="9"/>
  <c r="J27" i="9"/>
  <c r="K27" i="9"/>
  <c r="J28" i="9"/>
  <c r="K28" i="9"/>
  <c r="J29" i="9"/>
  <c r="K29" i="9"/>
  <c r="J30" i="9"/>
  <c r="K30" i="9"/>
  <c r="J31" i="9"/>
  <c r="K31" i="9"/>
  <c r="J32" i="9"/>
  <c r="K32" i="9"/>
  <c r="J33" i="9"/>
  <c r="K33" i="9"/>
  <c r="J34" i="9"/>
  <c r="K34" i="9"/>
  <c r="J35" i="9"/>
  <c r="K35" i="9"/>
  <c r="J36" i="9"/>
  <c r="K36" i="9"/>
  <c r="J37" i="9"/>
  <c r="K37" i="9"/>
  <c r="J38" i="9"/>
  <c r="K38" i="9"/>
  <c r="K7" i="9"/>
  <c r="J7" i="9"/>
  <c r="I49" i="9"/>
  <c r="J48" i="9"/>
  <c r="R44" i="9"/>
  <c r="I39" i="9"/>
  <c r="H39" i="9"/>
  <c r="G39" i="9"/>
  <c r="F39" i="9"/>
  <c r="E39" i="9"/>
  <c r="D39" i="9"/>
  <c r="C39" i="9"/>
  <c r="AC38" i="9"/>
  <c r="AE38" i="9" s="1"/>
  <c r="AB38" i="9"/>
  <c r="AD38" i="9" s="1"/>
  <c r="W38" i="9"/>
  <c r="V38" i="9"/>
  <c r="P38" i="9"/>
  <c r="O38" i="9"/>
  <c r="N38" i="9"/>
  <c r="M38" i="9"/>
  <c r="L38" i="9"/>
  <c r="AC37" i="9"/>
  <c r="AE37" i="9" s="1"/>
  <c r="AB37" i="9"/>
  <c r="AD37" i="9" s="1"/>
  <c r="W37" i="9"/>
  <c r="V37" i="9"/>
  <c r="Q37" i="9"/>
  <c r="P37" i="9"/>
  <c r="AC36" i="9"/>
  <c r="AE36" i="9" s="1"/>
  <c r="AB36" i="9"/>
  <c r="AD36" i="9" s="1"/>
  <c r="W36" i="9"/>
  <c r="V36" i="9"/>
  <c r="Q36" i="9"/>
  <c r="P36" i="9"/>
  <c r="AC35" i="9"/>
  <c r="AE35" i="9" s="1"/>
  <c r="AB35" i="9"/>
  <c r="AD35" i="9" s="1"/>
  <c r="W35" i="9"/>
  <c r="V35" i="9"/>
  <c r="Q35" i="9"/>
  <c r="P35" i="9"/>
  <c r="AC34" i="9"/>
  <c r="AE34" i="9" s="1"/>
  <c r="AB34" i="9"/>
  <c r="AD34" i="9" s="1"/>
  <c r="W34" i="9"/>
  <c r="V34" i="9"/>
  <c r="P34" i="9"/>
  <c r="AC33" i="9"/>
  <c r="AE33" i="9" s="1"/>
  <c r="AB33" i="9"/>
  <c r="AD33" i="9" s="1"/>
  <c r="W33" i="9"/>
  <c r="V33" i="9"/>
  <c r="Q33" i="9"/>
  <c r="P33" i="9"/>
  <c r="AC32" i="9"/>
  <c r="AE32" i="9" s="1"/>
  <c r="AB32" i="9"/>
  <c r="AD32" i="9" s="1"/>
  <c r="W32" i="9"/>
  <c r="V32" i="9"/>
  <c r="Q32" i="9"/>
  <c r="P32" i="9"/>
  <c r="AC31" i="9"/>
  <c r="AE31" i="9" s="1"/>
  <c r="AB31" i="9"/>
  <c r="AD31" i="9" s="1"/>
  <c r="W31" i="9"/>
  <c r="V31" i="9"/>
  <c r="Q31" i="9"/>
  <c r="P31" i="9"/>
  <c r="AC30" i="9"/>
  <c r="AE30" i="9" s="1"/>
  <c r="AB30" i="9"/>
  <c r="AD30" i="9" s="1"/>
  <c r="W30" i="9"/>
  <c r="V30" i="9"/>
  <c r="P30" i="9"/>
  <c r="AE29" i="9"/>
  <c r="AD29" i="9"/>
  <c r="AC29" i="9"/>
  <c r="AB29" i="9"/>
  <c r="W29" i="9"/>
  <c r="V29" i="9"/>
  <c r="Q29" i="9"/>
  <c r="P29" i="9"/>
  <c r="AC28" i="9"/>
  <c r="AE28" i="9" s="1"/>
  <c r="AB28" i="9"/>
  <c r="AD28" i="9" s="1"/>
  <c r="W28" i="9"/>
  <c r="V28" i="9"/>
  <c r="Q28" i="9"/>
  <c r="P28" i="9"/>
  <c r="AC27" i="9"/>
  <c r="AE27" i="9" s="1"/>
  <c r="AB27" i="9"/>
  <c r="AD27" i="9" s="1"/>
  <c r="W27" i="9"/>
  <c r="V27" i="9"/>
  <c r="Q27" i="9"/>
  <c r="P27" i="9"/>
  <c r="AC26" i="9"/>
  <c r="AE26" i="9" s="1"/>
  <c r="AB26" i="9"/>
  <c r="AD26" i="9" s="1"/>
  <c r="W26" i="9"/>
  <c r="V26" i="9"/>
  <c r="P26" i="9"/>
  <c r="AC25" i="9"/>
  <c r="AE25" i="9" s="1"/>
  <c r="AB25" i="9"/>
  <c r="AD25" i="9" s="1"/>
  <c r="W25" i="9"/>
  <c r="V25" i="9"/>
  <c r="Q25" i="9"/>
  <c r="P25" i="9"/>
  <c r="AC24" i="9"/>
  <c r="AE24" i="9" s="1"/>
  <c r="AB24" i="9"/>
  <c r="AD24" i="9" s="1"/>
  <c r="W24" i="9"/>
  <c r="V24" i="9"/>
  <c r="Q24" i="9"/>
  <c r="P24" i="9"/>
  <c r="AC23" i="9"/>
  <c r="AE23" i="9" s="1"/>
  <c r="AB23" i="9"/>
  <c r="AD23" i="9" s="1"/>
  <c r="W23" i="9"/>
  <c r="V23" i="9"/>
  <c r="Q23" i="9"/>
  <c r="P23" i="9"/>
  <c r="AC22" i="9"/>
  <c r="AE22" i="9" s="1"/>
  <c r="AB22" i="9"/>
  <c r="AD22" i="9" s="1"/>
  <c r="W22" i="9"/>
  <c r="V22" i="9"/>
  <c r="P22" i="9"/>
  <c r="AC21" i="9"/>
  <c r="AE21" i="9" s="1"/>
  <c r="AB21" i="9"/>
  <c r="AD21" i="9" s="1"/>
  <c r="W21" i="9"/>
  <c r="V21" i="9"/>
  <c r="Q21" i="9"/>
  <c r="P21" i="9"/>
  <c r="AC20" i="9"/>
  <c r="AE20" i="9" s="1"/>
  <c r="AB20" i="9"/>
  <c r="AD20" i="9" s="1"/>
  <c r="W20" i="9"/>
  <c r="V20" i="9"/>
  <c r="Q20" i="9"/>
  <c r="P20" i="9"/>
  <c r="AC19" i="9"/>
  <c r="AE19" i="9" s="1"/>
  <c r="AB19" i="9"/>
  <c r="AD19" i="9" s="1"/>
  <c r="W19" i="9"/>
  <c r="V19" i="9"/>
  <c r="Q19" i="9"/>
  <c r="P19" i="9"/>
  <c r="AD18" i="9"/>
  <c r="AC18" i="9"/>
  <c r="AE18" i="9" s="1"/>
  <c r="AB18" i="9"/>
  <c r="W18" i="9"/>
  <c r="V18" i="9"/>
  <c r="P18" i="9"/>
  <c r="AC17" i="9"/>
  <c r="AE17" i="9" s="1"/>
  <c r="AB17" i="9"/>
  <c r="AD17" i="9" s="1"/>
  <c r="W17" i="9"/>
  <c r="V17" i="9"/>
  <c r="Q17" i="9"/>
  <c r="P17" i="9"/>
  <c r="AC16" i="9"/>
  <c r="AE16" i="9" s="1"/>
  <c r="AB16" i="9"/>
  <c r="AD16" i="9" s="1"/>
  <c r="W16" i="9"/>
  <c r="V16" i="9"/>
  <c r="Q16" i="9"/>
  <c r="P16" i="9"/>
  <c r="AC15" i="9"/>
  <c r="AE15" i="9" s="1"/>
  <c r="AB15" i="9"/>
  <c r="AD15" i="9" s="1"/>
  <c r="W15" i="9"/>
  <c r="V15" i="9"/>
  <c r="Q15" i="9"/>
  <c r="P15" i="9"/>
  <c r="AC14" i="9"/>
  <c r="AE14" i="9" s="1"/>
  <c r="AB14" i="9"/>
  <c r="AD14" i="9" s="1"/>
  <c r="W14" i="9"/>
  <c r="V14" i="9"/>
  <c r="P14" i="9"/>
  <c r="AC13" i="9"/>
  <c r="AE13" i="9" s="1"/>
  <c r="AB13" i="9"/>
  <c r="AD13" i="9" s="1"/>
  <c r="W13" i="9"/>
  <c r="V13" i="9"/>
  <c r="Q13" i="9"/>
  <c r="P13" i="9"/>
  <c r="AC12" i="9"/>
  <c r="AE12" i="9" s="1"/>
  <c r="AB12" i="9"/>
  <c r="AD12" i="9" s="1"/>
  <c r="W12" i="9"/>
  <c r="V12" i="9"/>
  <c r="Q12" i="9"/>
  <c r="P12" i="9"/>
  <c r="AC11" i="9"/>
  <c r="AE11" i="9" s="1"/>
  <c r="AB11" i="9"/>
  <c r="AD11" i="9" s="1"/>
  <c r="W11" i="9"/>
  <c r="V11" i="9"/>
  <c r="Q11" i="9"/>
  <c r="P11" i="9"/>
  <c r="AC10" i="9"/>
  <c r="AE10" i="9" s="1"/>
  <c r="AB10" i="9"/>
  <c r="AD10" i="9" s="1"/>
  <c r="W10" i="9"/>
  <c r="V10" i="9"/>
  <c r="P10" i="9"/>
  <c r="AC9" i="9"/>
  <c r="AE9" i="9" s="1"/>
  <c r="AB9" i="9"/>
  <c r="AD9" i="9" s="1"/>
  <c r="W9" i="9"/>
  <c r="V9" i="9"/>
  <c r="Q9" i="9"/>
  <c r="P9" i="9"/>
  <c r="AD8" i="9"/>
  <c r="AC8" i="9"/>
  <c r="AE8" i="9" s="1"/>
  <c r="AB8" i="9"/>
  <c r="W8" i="9"/>
  <c r="V8" i="9"/>
  <c r="Q8" i="9"/>
  <c r="P8" i="9"/>
  <c r="A8" i="9"/>
  <c r="A9" i="9" s="1"/>
  <c r="A10" i="9" s="1"/>
  <c r="A11" i="9" s="1"/>
  <c r="A12" i="9" s="1"/>
  <c r="A13" i="9" s="1"/>
  <c r="A14" i="9" s="1"/>
  <c r="A15" i="9" s="1"/>
  <c r="A16" i="9" s="1"/>
  <c r="A17" i="9" s="1"/>
  <c r="A18" i="9" s="1"/>
  <c r="A19" i="9" s="1"/>
  <c r="A20" i="9" s="1"/>
  <c r="A21" i="9" s="1"/>
  <c r="A22" i="9" s="1"/>
  <c r="A23" i="9" s="1"/>
  <c r="A24" i="9" s="1"/>
  <c r="A25" i="9" s="1"/>
  <c r="A26" i="9" s="1"/>
  <c r="A27" i="9" s="1"/>
  <c r="A28" i="9" s="1"/>
  <c r="A29" i="9" s="1"/>
  <c r="A30" i="9" s="1"/>
  <c r="A31" i="9" s="1"/>
  <c r="A32" i="9" s="1"/>
  <c r="A33" i="9" s="1"/>
  <c r="A34" i="9" s="1"/>
  <c r="A35" i="9" s="1"/>
  <c r="A36" i="9" s="1"/>
  <c r="A37" i="9" s="1"/>
  <c r="A38" i="9" s="1"/>
  <c r="AC7" i="9"/>
  <c r="AE7" i="9" s="1"/>
  <c r="AB7" i="9"/>
  <c r="AD7" i="9" s="1"/>
  <c r="W7" i="9"/>
  <c r="V7" i="9"/>
  <c r="V39" i="9" s="1"/>
  <c r="Q7" i="9"/>
  <c r="M39" i="9"/>
  <c r="R39" i="9" l="1"/>
  <c r="R42" i="9" s="1"/>
  <c r="J39" i="9"/>
  <c r="O39" i="9"/>
  <c r="N39" i="9"/>
  <c r="W39" i="9"/>
  <c r="Q38" i="9"/>
  <c r="Q34" i="9"/>
  <c r="Q30" i="9"/>
  <c r="Q26" i="9"/>
  <c r="Q22" i="9"/>
  <c r="Q18" i="9"/>
  <c r="Q14" i="9"/>
  <c r="Q10" i="9"/>
  <c r="L39" i="9"/>
  <c r="P39" i="9"/>
  <c r="Q39" i="9" l="1"/>
  <c r="AA38" i="9" l="1"/>
  <c r="AA37" i="9"/>
  <c r="Z36" i="9"/>
  <c r="X34" i="9"/>
  <c r="Y33" i="9"/>
  <c r="X32" i="9"/>
  <c r="Y31" i="9"/>
  <c r="AA30" i="9"/>
  <c r="AA29" i="9"/>
  <c r="Z28" i="9"/>
  <c r="X26" i="9"/>
  <c r="Y25" i="9"/>
  <c r="X24" i="9"/>
  <c r="Y23" i="9"/>
  <c r="AA22" i="9"/>
  <c r="AA21" i="9"/>
  <c r="Z20" i="9"/>
  <c r="X18" i="9"/>
  <c r="Y17" i="9"/>
  <c r="X16" i="9"/>
  <c r="Y15" i="9"/>
  <c r="AA14" i="9"/>
  <c r="AA13" i="9"/>
  <c r="Z12" i="9"/>
  <c r="X10" i="9"/>
  <c r="Y9" i="9"/>
  <c r="X8" i="9"/>
  <c r="Y7" i="9"/>
  <c r="Y24" i="9"/>
  <c r="Y8" i="9"/>
  <c r="Z38" i="9"/>
  <c r="Z37" i="9"/>
  <c r="Y36" i="9"/>
  <c r="AA35" i="9"/>
  <c r="X31" i="9"/>
  <c r="Z30" i="9"/>
  <c r="Z29" i="9"/>
  <c r="Y28" i="9"/>
  <c r="AA27" i="9"/>
  <c r="X23" i="9"/>
  <c r="Z22" i="9"/>
  <c r="Z21" i="9"/>
  <c r="Y20" i="9"/>
  <c r="AA19" i="9"/>
  <c r="X15" i="9"/>
  <c r="Z14" i="9"/>
  <c r="Z13" i="9"/>
  <c r="Y12" i="9"/>
  <c r="AA11" i="9"/>
  <c r="X7" i="9"/>
  <c r="X14" i="9"/>
  <c r="Y13" i="9"/>
  <c r="Y11" i="9"/>
  <c r="Y32" i="9"/>
  <c r="Z26" i="9"/>
  <c r="Z25" i="9"/>
  <c r="AA23" i="9"/>
  <c r="Z18" i="9"/>
  <c r="Z17" i="9"/>
  <c r="Y16" i="9"/>
  <c r="AA15" i="9"/>
  <c r="Z10" i="9"/>
  <c r="Z9" i="9"/>
  <c r="Y37" i="9"/>
  <c r="X36" i="9"/>
  <c r="Y35" i="9"/>
  <c r="AA34" i="9"/>
  <c r="AA33" i="9"/>
  <c r="Z32" i="9"/>
  <c r="X30" i="9"/>
  <c r="Y29" i="9"/>
  <c r="X28" i="9"/>
  <c r="Y27" i="9"/>
  <c r="AA26" i="9"/>
  <c r="AA25" i="9"/>
  <c r="Z24" i="9"/>
  <c r="X22" i="9"/>
  <c r="Y21" i="9"/>
  <c r="X20" i="9"/>
  <c r="Y19" i="9"/>
  <c r="AA18" i="9"/>
  <c r="AA17" i="9"/>
  <c r="Z16" i="9"/>
  <c r="X12" i="9"/>
  <c r="AA10" i="9"/>
  <c r="AA9" i="9"/>
  <c r="Z8" i="9"/>
  <c r="X35" i="9"/>
  <c r="Z34" i="9"/>
  <c r="Z33" i="9"/>
  <c r="AA31" i="9"/>
  <c r="X27" i="9"/>
  <c r="X19" i="9"/>
  <c r="X11" i="9"/>
  <c r="AA7" i="9"/>
  <c r="Y34" i="9"/>
  <c r="Z31" i="9"/>
  <c r="AA28" i="9"/>
  <c r="X25" i="9"/>
  <c r="Y18" i="9"/>
  <c r="Z15" i="9"/>
  <c r="AA12" i="9"/>
  <c r="X9" i="9"/>
  <c r="Y22" i="9"/>
  <c r="AA16" i="9"/>
  <c r="X38" i="9"/>
  <c r="X37" i="9"/>
  <c r="Y30" i="9"/>
  <c r="Z27" i="9"/>
  <c r="AA24" i="9"/>
  <c r="X21" i="9"/>
  <c r="Y14" i="9"/>
  <c r="Z11" i="9"/>
  <c r="AA8" i="9"/>
  <c r="Z23" i="9"/>
  <c r="X17" i="9"/>
  <c r="Y10" i="9"/>
  <c r="Z7" i="9"/>
  <c r="Z35" i="9"/>
  <c r="AA32" i="9"/>
  <c r="X13" i="9"/>
  <c r="AA36" i="9"/>
  <c r="X33" i="9"/>
  <c r="Y26" i="9"/>
  <c r="AA20" i="9"/>
  <c r="Y38" i="9"/>
  <c r="X29" i="9"/>
  <c r="Z19" i="9"/>
  <c r="W38" i="7" l="1"/>
  <c r="W8" i="7"/>
  <c r="W9" i="7"/>
  <c r="W10" i="7"/>
  <c r="W11" i="7"/>
  <c r="W12" i="7"/>
  <c r="W13" i="7"/>
  <c r="W14" i="7"/>
  <c r="W15" i="7"/>
  <c r="W16" i="7"/>
  <c r="W17" i="7"/>
  <c r="W18" i="7"/>
  <c r="W19" i="7"/>
  <c r="W20" i="7"/>
  <c r="W21" i="7"/>
  <c r="W22" i="7"/>
  <c r="W23" i="7"/>
  <c r="W24" i="7"/>
  <c r="W25" i="7"/>
  <c r="W26" i="7"/>
  <c r="W27" i="7"/>
  <c r="W28" i="7"/>
  <c r="W29" i="7"/>
  <c r="W30" i="7"/>
  <c r="W31" i="7"/>
  <c r="W32" i="7"/>
  <c r="W33" i="7"/>
  <c r="W34" i="7"/>
  <c r="W35" i="7"/>
  <c r="W36" i="7"/>
  <c r="W37" i="7"/>
  <c r="W7" i="7"/>
  <c r="V8" i="7"/>
  <c r="V9" i="7"/>
  <c r="V10" i="7"/>
  <c r="V11" i="7"/>
  <c r="V12" i="7"/>
  <c r="V13" i="7"/>
  <c r="V14" i="7"/>
  <c r="V15" i="7"/>
  <c r="V16" i="7"/>
  <c r="V17" i="7"/>
  <c r="V18" i="7"/>
  <c r="V19" i="7"/>
  <c r="V20" i="7"/>
  <c r="V21" i="7"/>
  <c r="V22" i="7"/>
  <c r="V23" i="7"/>
  <c r="V24" i="7"/>
  <c r="V25" i="7"/>
  <c r="V26" i="7"/>
  <c r="V27" i="7"/>
  <c r="V28" i="7"/>
  <c r="V29" i="7"/>
  <c r="V30" i="7"/>
  <c r="V31" i="7"/>
  <c r="V32" i="7"/>
  <c r="V33" i="7"/>
  <c r="V34" i="7"/>
  <c r="V35" i="7"/>
  <c r="V36" i="7"/>
  <c r="V37" i="7"/>
  <c r="V38" i="7"/>
  <c r="V7" i="7"/>
  <c r="U8" i="7"/>
  <c r="U9" i="7"/>
  <c r="U10" i="7"/>
  <c r="U11" i="7"/>
  <c r="U12" i="7"/>
  <c r="U13" i="7"/>
  <c r="U14" i="7"/>
  <c r="U15" i="7"/>
  <c r="U16" i="7"/>
  <c r="U17" i="7"/>
  <c r="U18" i="7"/>
  <c r="U19" i="7"/>
  <c r="U20" i="7"/>
  <c r="U21" i="7"/>
  <c r="U22" i="7"/>
  <c r="U23" i="7"/>
  <c r="U24" i="7"/>
  <c r="U25" i="7"/>
  <c r="U26" i="7"/>
  <c r="U27" i="7"/>
  <c r="U28" i="7"/>
  <c r="U29" i="7"/>
  <c r="U30" i="7"/>
  <c r="U31" i="7"/>
  <c r="U32" i="7"/>
  <c r="U33" i="7"/>
  <c r="U34" i="7"/>
  <c r="U35" i="7"/>
  <c r="U36" i="7"/>
  <c r="U37" i="7"/>
  <c r="U38" i="7"/>
  <c r="U7" i="7"/>
  <c r="I49" i="7" l="1"/>
  <c r="J48" i="7"/>
  <c r="R44" i="7"/>
  <c r="I39" i="7"/>
  <c r="H39" i="7"/>
  <c r="G39" i="7"/>
  <c r="F39" i="7"/>
  <c r="E39" i="7"/>
  <c r="D39" i="7"/>
  <c r="C39" i="7"/>
  <c r="AC38" i="7"/>
  <c r="AE38" i="7" s="1"/>
  <c r="AB38" i="7"/>
  <c r="AD38" i="7" s="1"/>
  <c r="P38" i="7"/>
  <c r="O38" i="7"/>
  <c r="N38" i="7"/>
  <c r="M38" i="7"/>
  <c r="L38" i="7"/>
  <c r="K38" i="7"/>
  <c r="J38" i="7"/>
  <c r="AC37" i="7"/>
  <c r="AE37" i="7" s="1"/>
  <c r="AB37" i="7"/>
  <c r="AD37" i="7" s="1"/>
  <c r="P37" i="7"/>
  <c r="O37" i="7"/>
  <c r="N37" i="7"/>
  <c r="M37" i="7"/>
  <c r="L37" i="7"/>
  <c r="K37" i="7"/>
  <c r="J37" i="7"/>
  <c r="AD36" i="7"/>
  <c r="AC36" i="7"/>
  <c r="AE36" i="7" s="1"/>
  <c r="AB36" i="7"/>
  <c r="P36" i="7"/>
  <c r="O36" i="7"/>
  <c r="N36" i="7"/>
  <c r="M36" i="7"/>
  <c r="L36" i="7"/>
  <c r="K36" i="7"/>
  <c r="J36" i="7"/>
  <c r="AC35" i="7"/>
  <c r="AE35" i="7" s="1"/>
  <c r="AB35" i="7"/>
  <c r="AD35" i="7" s="1"/>
  <c r="P35" i="7"/>
  <c r="O35" i="7"/>
  <c r="N35" i="7"/>
  <c r="M35" i="7"/>
  <c r="L35" i="7"/>
  <c r="K35" i="7"/>
  <c r="J35" i="7"/>
  <c r="AE34" i="7"/>
  <c r="AC34" i="7"/>
  <c r="AB34" i="7"/>
  <c r="AD34" i="7" s="1"/>
  <c r="P34" i="7"/>
  <c r="O34" i="7"/>
  <c r="N34" i="7"/>
  <c r="M34" i="7"/>
  <c r="L34" i="7"/>
  <c r="K34" i="7"/>
  <c r="J34" i="7"/>
  <c r="AD33" i="7"/>
  <c r="AC33" i="7"/>
  <c r="AE33" i="7" s="1"/>
  <c r="AB33" i="7"/>
  <c r="P33" i="7"/>
  <c r="O33" i="7"/>
  <c r="N33" i="7"/>
  <c r="M33" i="7"/>
  <c r="L33" i="7"/>
  <c r="K33" i="7"/>
  <c r="J33" i="7"/>
  <c r="AC32" i="7"/>
  <c r="AE32" i="7" s="1"/>
  <c r="AB32" i="7"/>
  <c r="AD32" i="7" s="1"/>
  <c r="P32" i="7"/>
  <c r="O32" i="7"/>
  <c r="N32" i="7"/>
  <c r="M32" i="7"/>
  <c r="L32" i="7"/>
  <c r="K32" i="7"/>
  <c r="J32" i="7"/>
  <c r="AE31" i="7"/>
  <c r="AC31" i="7"/>
  <c r="AB31" i="7"/>
  <c r="AD31" i="7" s="1"/>
  <c r="P31" i="7"/>
  <c r="O31" i="7"/>
  <c r="N31" i="7"/>
  <c r="M31" i="7"/>
  <c r="L31" i="7"/>
  <c r="K31" i="7"/>
  <c r="J31" i="7"/>
  <c r="AC30" i="7"/>
  <c r="AE30" i="7" s="1"/>
  <c r="AB30" i="7"/>
  <c r="AD30" i="7" s="1"/>
  <c r="P30" i="7"/>
  <c r="O30" i="7"/>
  <c r="N30" i="7"/>
  <c r="M30" i="7"/>
  <c r="L30" i="7"/>
  <c r="K30" i="7"/>
  <c r="J30" i="7"/>
  <c r="AC29" i="7"/>
  <c r="AE29" i="7" s="1"/>
  <c r="AB29" i="7"/>
  <c r="AD29" i="7" s="1"/>
  <c r="P29" i="7"/>
  <c r="O29" i="7"/>
  <c r="N29" i="7"/>
  <c r="M29" i="7"/>
  <c r="L29" i="7"/>
  <c r="K29" i="7"/>
  <c r="J29" i="7"/>
  <c r="AC28" i="7"/>
  <c r="AE28" i="7" s="1"/>
  <c r="AB28" i="7"/>
  <c r="AD28" i="7" s="1"/>
  <c r="P28" i="7"/>
  <c r="O28" i="7"/>
  <c r="N28" i="7"/>
  <c r="M28" i="7"/>
  <c r="L28" i="7"/>
  <c r="K28" i="7"/>
  <c r="J28" i="7"/>
  <c r="AC27" i="7"/>
  <c r="AE27" i="7" s="1"/>
  <c r="AB27" i="7"/>
  <c r="AD27" i="7" s="1"/>
  <c r="P27" i="7"/>
  <c r="O27" i="7"/>
  <c r="N27" i="7"/>
  <c r="M27" i="7"/>
  <c r="L27" i="7"/>
  <c r="K27" i="7"/>
  <c r="J27" i="7"/>
  <c r="AE26" i="7"/>
  <c r="AC26" i="7"/>
  <c r="AB26" i="7"/>
  <c r="AD26" i="7" s="1"/>
  <c r="P26" i="7"/>
  <c r="O26" i="7"/>
  <c r="N26" i="7"/>
  <c r="M26" i="7"/>
  <c r="L26" i="7"/>
  <c r="K26" i="7"/>
  <c r="J26" i="7"/>
  <c r="AD25" i="7"/>
  <c r="AC25" i="7"/>
  <c r="AE25" i="7" s="1"/>
  <c r="AB25" i="7"/>
  <c r="P25" i="7"/>
  <c r="O25" i="7"/>
  <c r="N25" i="7"/>
  <c r="M25" i="7"/>
  <c r="L25" i="7"/>
  <c r="K25" i="7"/>
  <c r="J25" i="7"/>
  <c r="AC24" i="7"/>
  <c r="AE24" i="7" s="1"/>
  <c r="AB24" i="7"/>
  <c r="AD24" i="7" s="1"/>
  <c r="P24" i="7"/>
  <c r="O24" i="7"/>
  <c r="N24" i="7"/>
  <c r="M24" i="7"/>
  <c r="L24" i="7"/>
  <c r="K24" i="7"/>
  <c r="J24" i="7"/>
  <c r="AC23" i="7"/>
  <c r="AE23" i="7" s="1"/>
  <c r="AB23" i="7"/>
  <c r="AD23" i="7" s="1"/>
  <c r="P23" i="7"/>
  <c r="O23" i="7"/>
  <c r="N23" i="7"/>
  <c r="M23" i="7"/>
  <c r="L23" i="7"/>
  <c r="K23" i="7"/>
  <c r="J23" i="7"/>
  <c r="AE22" i="7"/>
  <c r="AC22" i="7"/>
  <c r="AB22" i="7"/>
  <c r="AD22" i="7" s="1"/>
  <c r="P22" i="7"/>
  <c r="O22" i="7"/>
  <c r="N22" i="7"/>
  <c r="M22" i="7"/>
  <c r="L22" i="7"/>
  <c r="K22" i="7"/>
  <c r="J22" i="7"/>
  <c r="AD21" i="7"/>
  <c r="AC21" i="7"/>
  <c r="AE21" i="7" s="1"/>
  <c r="AB21" i="7"/>
  <c r="P21" i="7"/>
  <c r="O21" i="7"/>
  <c r="N21" i="7"/>
  <c r="M21" i="7"/>
  <c r="L21" i="7"/>
  <c r="K21" i="7"/>
  <c r="J21" i="7"/>
  <c r="AD20" i="7"/>
  <c r="AC20" i="7"/>
  <c r="AE20" i="7" s="1"/>
  <c r="AB20" i="7"/>
  <c r="P20" i="7"/>
  <c r="O20" i="7"/>
  <c r="N20" i="7"/>
  <c r="M20" i="7"/>
  <c r="L20" i="7"/>
  <c r="K20" i="7"/>
  <c r="J20" i="7"/>
  <c r="AC19" i="7"/>
  <c r="AE19" i="7" s="1"/>
  <c r="AB19" i="7"/>
  <c r="AD19" i="7" s="1"/>
  <c r="P19" i="7"/>
  <c r="O19" i="7"/>
  <c r="N19" i="7"/>
  <c r="M19" i="7"/>
  <c r="L19" i="7"/>
  <c r="K19" i="7"/>
  <c r="J19" i="7"/>
  <c r="AC18" i="7"/>
  <c r="AE18" i="7" s="1"/>
  <c r="AB18" i="7"/>
  <c r="AD18" i="7" s="1"/>
  <c r="P18" i="7"/>
  <c r="O18" i="7"/>
  <c r="N18" i="7"/>
  <c r="M18" i="7"/>
  <c r="L18" i="7"/>
  <c r="K18" i="7"/>
  <c r="J18" i="7"/>
  <c r="AC17" i="7"/>
  <c r="AE17" i="7" s="1"/>
  <c r="AB17" i="7"/>
  <c r="AD17" i="7" s="1"/>
  <c r="P17" i="7"/>
  <c r="O17" i="7"/>
  <c r="N17" i="7"/>
  <c r="M17" i="7"/>
  <c r="L17" i="7"/>
  <c r="K17" i="7"/>
  <c r="J17" i="7"/>
  <c r="AC16" i="7"/>
  <c r="AE16" i="7" s="1"/>
  <c r="AB16" i="7"/>
  <c r="AD16" i="7" s="1"/>
  <c r="P16" i="7"/>
  <c r="O16" i="7"/>
  <c r="N16" i="7"/>
  <c r="M16" i="7"/>
  <c r="L16" i="7"/>
  <c r="K16" i="7"/>
  <c r="J16" i="7"/>
  <c r="AC15" i="7"/>
  <c r="AE15" i="7" s="1"/>
  <c r="AB15" i="7"/>
  <c r="AD15" i="7" s="1"/>
  <c r="P15" i="7"/>
  <c r="O15" i="7"/>
  <c r="N15" i="7"/>
  <c r="M15" i="7"/>
  <c r="L15" i="7"/>
  <c r="K15" i="7"/>
  <c r="J15" i="7"/>
  <c r="AD14" i="7"/>
  <c r="AC14" i="7"/>
  <c r="AE14" i="7" s="1"/>
  <c r="AB14" i="7"/>
  <c r="P14" i="7"/>
  <c r="O14" i="7"/>
  <c r="N14" i="7"/>
  <c r="M14" i="7"/>
  <c r="L14" i="7"/>
  <c r="K14" i="7"/>
  <c r="J14" i="7"/>
  <c r="AC13" i="7"/>
  <c r="AE13" i="7" s="1"/>
  <c r="AB13" i="7"/>
  <c r="AD13" i="7" s="1"/>
  <c r="P13" i="7"/>
  <c r="O13" i="7"/>
  <c r="N13" i="7"/>
  <c r="M13" i="7"/>
  <c r="L13" i="7"/>
  <c r="K13" i="7"/>
  <c r="J13" i="7"/>
  <c r="AC12" i="7"/>
  <c r="AE12" i="7" s="1"/>
  <c r="AB12" i="7"/>
  <c r="AD12" i="7" s="1"/>
  <c r="P12" i="7"/>
  <c r="O12" i="7"/>
  <c r="N12" i="7"/>
  <c r="M12" i="7"/>
  <c r="L12" i="7"/>
  <c r="K12" i="7"/>
  <c r="J12" i="7"/>
  <c r="AC11" i="7"/>
  <c r="AE11" i="7" s="1"/>
  <c r="AB11" i="7"/>
  <c r="AD11" i="7" s="1"/>
  <c r="P11" i="7"/>
  <c r="O11" i="7"/>
  <c r="N11" i="7"/>
  <c r="M11" i="7"/>
  <c r="L11" i="7"/>
  <c r="K11" i="7"/>
  <c r="J11" i="7"/>
  <c r="AE10" i="7"/>
  <c r="AD10" i="7"/>
  <c r="AC10" i="7"/>
  <c r="AB10" i="7"/>
  <c r="P10" i="7"/>
  <c r="O10" i="7"/>
  <c r="N10" i="7"/>
  <c r="M10" i="7"/>
  <c r="L10" i="7"/>
  <c r="K10" i="7"/>
  <c r="J10" i="7"/>
  <c r="AC9" i="7"/>
  <c r="AE9" i="7" s="1"/>
  <c r="AB9" i="7"/>
  <c r="AD9" i="7" s="1"/>
  <c r="P9" i="7"/>
  <c r="O9" i="7"/>
  <c r="N9" i="7"/>
  <c r="M9" i="7"/>
  <c r="L9" i="7"/>
  <c r="K9" i="7"/>
  <c r="J9" i="7"/>
  <c r="A9" i="7"/>
  <c r="A10" i="7" s="1"/>
  <c r="A11" i="7" s="1"/>
  <c r="A12" i="7" s="1"/>
  <c r="A13" i="7" s="1"/>
  <c r="A14" i="7" s="1"/>
  <c r="A15" i="7" s="1"/>
  <c r="A16" i="7" s="1"/>
  <c r="A17" i="7" s="1"/>
  <c r="A18" i="7" s="1"/>
  <c r="A19" i="7" s="1"/>
  <c r="A20" i="7" s="1"/>
  <c r="A21" i="7" s="1"/>
  <c r="A22" i="7" s="1"/>
  <c r="A23" i="7" s="1"/>
  <c r="A24" i="7" s="1"/>
  <c r="A25" i="7" s="1"/>
  <c r="A26" i="7" s="1"/>
  <c r="A27" i="7" s="1"/>
  <c r="A28" i="7" s="1"/>
  <c r="A29" i="7" s="1"/>
  <c r="A30" i="7" s="1"/>
  <c r="A31" i="7" s="1"/>
  <c r="A32" i="7" s="1"/>
  <c r="A33" i="7" s="1"/>
  <c r="A34" i="7" s="1"/>
  <c r="A35" i="7" s="1"/>
  <c r="A36" i="7" s="1"/>
  <c r="A37" i="7" s="1"/>
  <c r="A38" i="7" s="1"/>
  <c r="AC8" i="7"/>
  <c r="AE8" i="7" s="1"/>
  <c r="AB8" i="7"/>
  <c r="AD8" i="7" s="1"/>
  <c r="P8" i="7"/>
  <c r="O8" i="7"/>
  <c r="N8" i="7"/>
  <c r="M8" i="7"/>
  <c r="L8" i="7"/>
  <c r="K8" i="7"/>
  <c r="J8" i="7"/>
  <c r="A8" i="7"/>
  <c r="AC7" i="7"/>
  <c r="AE7" i="7" s="1"/>
  <c r="AB7" i="7"/>
  <c r="AD7" i="7" s="1"/>
  <c r="P7" i="7"/>
  <c r="O7" i="7"/>
  <c r="U39" i="7" s="1"/>
  <c r="N7" i="7"/>
  <c r="M7" i="7"/>
  <c r="L7" i="7"/>
  <c r="K7" i="7"/>
  <c r="J7" i="7"/>
  <c r="AE11" i="6"/>
  <c r="AE12" i="6"/>
  <c r="AE13" i="6"/>
  <c r="AE14" i="6"/>
  <c r="AE15" i="6"/>
  <c r="AE23" i="6"/>
  <c r="AE24" i="6"/>
  <c r="AE25" i="6"/>
  <c r="AE26" i="6"/>
  <c r="AE27" i="6"/>
  <c r="AE35" i="6"/>
  <c r="AE36" i="6"/>
  <c r="AE37" i="6"/>
  <c r="AE38" i="6"/>
  <c r="AE7" i="6"/>
  <c r="AD15" i="6"/>
  <c r="AD16" i="6"/>
  <c r="AD17" i="6"/>
  <c r="AD18" i="6"/>
  <c r="AD19" i="6"/>
  <c r="AD27" i="6"/>
  <c r="AD28" i="6"/>
  <c r="AD29" i="6"/>
  <c r="AD30" i="6"/>
  <c r="AD31" i="6"/>
  <c r="AD7" i="6"/>
  <c r="AC8" i="6"/>
  <c r="AE8" i="6" s="1"/>
  <c r="AC9" i="6"/>
  <c r="AE9" i="6" s="1"/>
  <c r="AC10" i="6"/>
  <c r="AE10" i="6" s="1"/>
  <c r="AC11" i="6"/>
  <c r="AC12" i="6"/>
  <c r="AC13" i="6"/>
  <c r="AC14" i="6"/>
  <c r="AC15" i="6"/>
  <c r="AC16" i="6"/>
  <c r="AE16" i="6" s="1"/>
  <c r="AC17" i="6"/>
  <c r="AE17" i="6" s="1"/>
  <c r="AC18" i="6"/>
  <c r="AE18" i="6" s="1"/>
  <c r="AC19" i="6"/>
  <c r="AE19" i="6" s="1"/>
  <c r="AC20" i="6"/>
  <c r="AE20" i="6" s="1"/>
  <c r="AC21" i="6"/>
  <c r="AE21" i="6" s="1"/>
  <c r="AC22" i="6"/>
  <c r="AE22" i="6" s="1"/>
  <c r="AC23" i="6"/>
  <c r="AC24" i="6"/>
  <c r="AC25" i="6"/>
  <c r="AC26" i="6"/>
  <c r="AC27" i="6"/>
  <c r="AC28" i="6"/>
  <c r="AE28" i="6" s="1"/>
  <c r="AC29" i="6"/>
  <c r="AE29" i="6" s="1"/>
  <c r="AC30" i="6"/>
  <c r="AE30" i="6" s="1"/>
  <c r="AC31" i="6"/>
  <c r="AE31" i="6" s="1"/>
  <c r="AC32" i="6"/>
  <c r="AE32" i="6" s="1"/>
  <c r="AC33" i="6"/>
  <c r="AE33" i="6" s="1"/>
  <c r="AC34" i="6"/>
  <c r="AE34" i="6" s="1"/>
  <c r="AC35" i="6"/>
  <c r="AC36" i="6"/>
  <c r="AC37" i="6"/>
  <c r="AC38" i="6"/>
  <c r="AC7" i="6"/>
  <c r="AB8" i="6"/>
  <c r="AD8" i="6" s="1"/>
  <c r="AB9" i="6"/>
  <c r="AD9" i="6" s="1"/>
  <c r="AB10" i="6"/>
  <c r="AD10" i="6" s="1"/>
  <c r="AB11" i="6"/>
  <c r="AD11" i="6" s="1"/>
  <c r="AB12" i="6"/>
  <c r="AD12" i="6" s="1"/>
  <c r="AB13" i="6"/>
  <c r="AD13" i="6" s="1"/>
  <c r="AB14" i="6"/>
  <c r="AD14" i="6" s="1"/>
  <c r="AB15" i="6"/>
  <c r="AB16" i="6"/>
  <c r="AB17" i="6"/>
  <c r="AB18" i="6"/>
  <c r="AB19" i="6"/>
  <c r="AB20" i="6"/>
  <c r="AD20" i="6" s="1"/>
  <c r="AB21" i="6"/>
  <c r="AD21" i="6" s="1"/>
  <c r="AB22" i="6"/>
  <c r="AD22" i="6" s="1"/>
  <c r="AB23" i="6"/>
  <c r="AD23" i="6" s="1"/>
  <c r="AB24" i="6"/>
  <c r="AD24" i="6" s="1"/>
  <c r="AB25" i="6"/>
  <c r="AD25" i="6" s="1"/>
  <c r="AB26" i="6"/>
  <c r="AD26" i="6" s="1"/>
  <c r="AB27" i="6"/>
  <c r="AB28" i="6"/>
  <c r="AB29" i="6"/>
  <c r="AB30" i="6"/>
  <c r="AB31" i="6"/>
  <c r="AB32" i="6"/>
  <c r="AD32" i="6" s="1"/>
  <c r="AB33" i="6"/>
  <c r="AD33" i="6" s="1"/>
  <c r="AB34" i="6"/>
  <c r="AD34" i="6" s="1"/>
  <c r="AB35" i="6"/>
  <c r="AD35" i="6" s="1"/>
  <c r="AB36" i="6"/>
  <c r="AD36" i="6" s="1"/>
  <c r="AB37" i="6"/>
  <c r="AD37" i="6" s="1"/>
  <c r="AB38" i="6"/>
  <c r="AD38" i="6" s="1"/>
  <c r="AB7" i="6"/>
  <c r="Q10" i="6"/>
  <c r="Q13" i="6"/>
  <c r="Q18" i="6"/>
  <c r="Q22" i="6"/>
  <c r="Q25" i="6"/>
  <c r="Q30" i="6"/>
  <c r="Q34" i="6"/>
  <c r="Q37" i="6"/>
  <c r="Q7" i="6"/>
  <c r="P7" i="6"/>
  <c r="N36" i="6"/>
  <c r="D39" i="6"/>
  <c r="E39" i="6"/>
  <c r="F39" i="6"/>
  <c r="G39" i="6"/>
  <c r="H39" i="6"/>
  <c r="I39" i="6"/>
  <c r="C39" i="6"/>
  <c r="O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7" i="6"/>
  <c r="N38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O8" i="6"/>
  <c r="P8" i="6"/>
  <c r="O9" i="6"/>
  <c r="P9" i="6"/>
  <c r="Q9" i="6" s="1"/>
  <c r="O10" i="6"/>
  <c r="P10" i="6"/>
  <c r="O11" i="6"/>
  <c r="P11" i="6"/>
  <c r="Q11" i="6" s="1"/>
  <c r="O12" i="6"/>
  <c r="P12" i="6"/>
  <c r="Q12" i="6" s="1"/>
  <c r="O13" i="6"/>
  <c r="P13" i="6"/>
  <c r="O14" i="6"/>
  <c r="P14" i="6"/>
  <c r="Q14" i="6" s="1"/>
  <c r="O15" i="6"/>
  <c r="P15" i="6"/>
  <c r="Q15" i="6" s="1"/>
  <c r="O16" i="6"/>
  <c r="P16" i="6"/>
  <c r="Q16" i="6" s="1"/>
  <c r="O17" i="6"/>
  <c r="P17" i="6"/>
  <c r="Q17" i="6" s="1"/>
  <c r="O18" i="6"/>
  <c r="P18" i="6"/>
  <c r="O19" i="6"/>
  <c r="P19" i="6"/>
  <c r="Q19" i="6" s="1"/>
  <c r="O20" i="6"/>
  <c r="P20" i="6"/>
  <c r="Q20" i="6" s="1"/>
  <c r="O21" i="6"/>
  <c r="P21" i="6"/>
  <c r="Q21" i="6" s="1"/>
  <c r="O22" i="6"/>
  <c r="P22" i="6"/>
  <c r="O23" i="6"/>
  <c r="P23" i="6"/>
  <c r="Q23" i="6" s="1"/>
  <c r="O24" i="6"/>
  <c r="P24" i="6"/>
  <c r="Q24" i="6" s="1"/>
  <c r="O25" i="6"/>
  <c r="P25" i="6"/>
  <c r="O26" i="6"/>
  <c r="P26" i="6"/>
  <c r="Q26" i="6" s="1"/>
  <c r="O27" i="6"/>
  <c r="P27" i="6"/>
  <c r="Q27" i="6" s="1"/>
  <c r="O28" i="6"/>
  <c r="P28" i="6"/>
  <c r="Q28" i="6" s="1"/>
  <c r="O29" i="6"/>
  <c r="P29" i="6"/>
  <c r="Q29" i="6" s="1"/>
  <c r="O30" i="6"/>
  <c r="P30" i="6"/>
  <c r="O31" i="6"/>
  <c r="P31" i="6"/>
  <c r="Q31" i="6" s="1"/>
  <c r="O32" i="6"/>
  <c r="P32" i="6"/>
  <c r="Q32" i="6" s="1"/>
  <c r="O33" i="6"/>
  <c r="P33" i="6"/>
  <c r="Q33" i="6" s="1"/>
  <c r="O34" i="6"/>
  <c r="P34" i="6"/>
  <c r="O35" i="6"/>
  <c r="P35" i="6"/>
  <c r="Q35" i="6" s="1"/>
  <c r="O36" i="6"/>
  <c r="P36" i="6"/>
  <c r="Q36" i="6" s="1"/>
  <c r="O37" i="6"/>
  <c r="P37" i="6"/>
  <c r="O38" i="6"/>
  <c r="P38" i="6"/>
  <c r="Q38" i="6" s="1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7" i="6"/>
  <c r="K39" i="6" s="1"/>
  <c r="L7" i="6"/>
  <c r="M7" i="6"/>
  <c r="N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A8" i="6"/>
  <c r="A9" i="6" s="1"/>
  <c r="A10" i="6" s="1"/>
  <c r="A11" i="6" s="1"/>
  <c r="A12" i="6" s="1"/>
  <c r="A13" i="6" s="1"/>
  <c r="A14" i="6" s="1"/>
  <c r="A15" i="6" s="1"/>
  <c r="A16" i="6" s="1"/>
  <c r="A17" i="6" s="1"/>
  <c r="A18" i="6" s="1"/>
  <c r="A19" i="6" s="1"/>
  <c r="A20" i="6" s="1"/>
  <c r="A21" i="6" s="1"/>
  <c r="A22" i="6" s="1"/>
  <c r="A23" i="6" s="1"/>
  <c r="A24" i="6" s="1"/>
  <c r="A25" i="6" s="1"/>
  <c r="A26" i="6" s="1"/>
  <c r="A27" i="6" s="1"/>
  <c r="A28" i="6" s="1"/>
  <c r="A29" i="6" s="1"/>
  <c r="A30" i="6" s="1"/>
  <c r="A31" i="6" s="1"/>
  <c r="A32" i="6" s="1"/>
  <c r="A33" i="6" s="1"/>
  <c r="A34" i="6" s="1"/>
  <c r="A35" i="6" s="1"/>
  <c r="A36" i="6" s="1"/>
  <c r="A37" i="6" s="1"/>
  <c r="A38" i="6" s="1"/>
  <c r="J61" i="3"/>
  <c r="J60" i="3"/>
  <c r="J59" i="3"/>
  <c r="R46" i="6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56" i="3"/>
  <c r="K23" i="3"/>
  <c r="J57" i="3"/>
  <c r="S32" i="6" l="1"/>
  <c r="S20" i="6"/>
  <c r="S8" i="6"/>
  <c r="W21" i="6"/>
  <c r="J39" i="7"/>
  <c r="R16" i="7"/>
  <c r="R28" i="7"/>
  <c r="R17" i="7"/>
  <c r="R29" i="7"/>
  <c r="R11" i="7"/>
  <c r="R38" i="7"/>
  <c r="R18" i="7"/>
  <c r="R30" i="7"/>
  <c r="R26" i="7"/>
  <c r="R7" i="7"/>
  <c r="R19" i="7"/>
  <c r="R31" i="7"/>
  <c r="R9" i="7"/>
  <c r="R22" i="7"/>
  <c r="R23" i="7"/>
  <c r="R14" i="7"/>
  <c r="R15" i="7"/>
  <c r="R8" i="7"/>
  <c r="R20" i="7"/>
  <c r="R32" i="7"/>
  <c r="R21" i="7"/>
  <c r="R10" i="7"/>
  <c r="R34" i="7"/>
  <c r="R12" i="7"/>
  <c r="R33" i="7"/>
  <c r="R35" i="7"/>
  <c r="R36" i="7"/>
  <c r="R24" i="7"/>
  <c r="R13" i="7"/>
  <c r="R25" i="7"/>
  <c r="R37" i="7"/>
  <c r="R27" i="7"/>
  <c r="S10" i="6"/>
  <c r="U14" i="6"/>
  <c r="S31" i="6"/>
  <c r="S19" i="6"/>
  <c r="U11" i="6"/>
  <c r="S13" i="7"/>
  <c r="S25" i="7"/>
  <c r="S37" i="7"/>
  <c r="S14" i="7"/>
  <c r="S38" i="7"/>
  <c r="S8" i="7"/>
  <c r="S33" i="7"/>
  <c r="S12" i="7"/>
  <c r="S26" i="7"/>
  <c r="S11" i="7"/>
  <c r="S36" i="7"/>
  <c r="S15" i="7"/>
  <c r="S27" i="7"/>
  <c r="S7" i="7"/>
  <c r="S9" i="7"/>
  <c r="S16" i="7"/>
  <c r="S28" i="7"/>
  <c r="S30" i="7"/>
  <c r="S31" i="7"/>
  <c r="S21" i="7"/>
  <c r="S17" i="7"/>
  <c r="S29" i="7"/>
  <c r="S18" i="7"/>
  <c r="S19" i="7"/>
  <c r="S32" i="7"/>
  <c r="S24" i="7"/>
  <c r="S20" i="7"/>
  <c r="S23" i="7"/>
  <c r="S10" i="7"/>
  <c r="S22" i="7"/>
  <c r="S34" i="7"/>
  <c r="S35" i="7"/>
  <c r="S33" i="6"/>
  <c r="U34" i="6"/>
  <c r="U10" i="6"/>
  <c r="P39" i="6"/>
  <c r="T10" i="7"/>
  <c r="T22" i="7"/>
  <c r="T34" i="7"/>
  <c r="T32" i="7"/>
  <c r="T9" i="7"/>
  <c r="T11" i="7"/>
  <c r="T23" i="7"/>
  <c r="T35" i="7"/>
  <c r="T30" i="7"/>
  <c r="T12" i="7"/>
  <c r="T24" i="7"/>
  <c r="T36" i="7"/>
  <c r="T20" i="7"/>
  <c r="T13" i="7"/>
  <c r="T25" i="7"/>
  <c r="T37" i="7"/>
  <c r="T29" i="7"/>
  <c r="T18" i="7"/>
  <c r="T14" i="7"/>
  <c r="T26" i="7"/>
  <c r="T38" i="7"/>
  <c r="T17" i="7"/>
  <c r="T15" i="7"/>
  <c r="T27" i="7"/>
  <c r="T7" i="7"/>
  <c r="T33" i="7"/>
  <c r="T16" i="7"/>
  <c r="T28" i="7"/>
  <c r="T8" i="7"/>
  <c r="T21" i="7"/>
  <c r="T19" i="7"/>
  <c r="T31" i="7"/>
  <c r="S34" i="6"/>
  <c r="W10" i="6"/>
  <c r="M39" i="6"/>
  <c r="U35" i="6" s="1"/>
  <c r="S30" i="6"/>
  <c r="U22" i="6"/>
  <c r="U7" i="6"/>
  <c r="S29" i="6"/>
  <c r="S17" i="6"/>
  <c r="T38" i="6"/>
  <c r="T26" i="6"/>
  <c r="U33" i="6"/>
  <c r="U21" i="6"/>
  <c r="U9" i="6"/>
  <c r="U13" i="6"/>
  <c r="S28" i="6"/>
  <c r="S16" i="6"/>
  <c r="W13" i="6"/>
  <c r="U32" i="6"/>
  <c r="U20" i="6"/>
  <c r="U8" i="6"/>
  <c r="K39" i="7"/>
  <c r="U38" i="6"/>
  <c r="S9" i="6"/>
  <c r="U37" i="6"/>
  <c r="L39" i="6"/>
  <c r="T14" i="6" s="1"/>
  <c r="S7" i="6"/>
  <c r="S27" i="6"/>
  <c r="S15" i="6"/>
  <c r="U31" i="6"/>
  <c r="U19" i="6"/>
  <c r="Q39" i="6"/>
  <c r="L39" i="7"/>
  <c r="T31" i="6"/>
  <c r="S21" i="6"/>
  <c r="S18" i="6"/>
  <c r="S38" i="6"/>
  <c r="S26" i="6"/>
  <c r="S14" i="6"/>
  <c r="T23" i="6"/>
  <c r="T11" i="6"/>
  <c r="U30" i="6"/>
  <c r="U18" i="6"/>
  <c r="V37" i="6"/>
  <c r="Q18" i="7"/>
  <c r="Q30" i="7"/>
  <c r="Q19" i="7"/>
  <c r="Q8" i="7"/>
  <c r="Q20" i="7"/>
  <c r="Q25" i="7"/>
  <c r="Q14" i="7"/>
  <c r="Q28" i="7"/>
  <c r="Q17" i="7"/>
  <c r="Q31" i="7"/>
  <c r="Q13" i="7"/>
  <c r="Q38" i="7"/>
  <c r="Q32" i="7"/>
  <c r="Q37" i="7"/>
  <c r="Q9" i="7"/>
  <c r="Q21" i="7"/>
  <c r="Q33" i="7"/>
  <c r="Q11" i="7"/>
  <c r="Q35" i="7"/>
  <c r="Q12" i="7"/>
  <c r="Q36" i="7"/>
  <c r="Q26" i="7"/>
  <c r="Q10" i="7"/>
  <c r="Q22" i="7"/>
  <c r="Q34" i="7"/>
  <c r="Q23" i="7"/>
  <c r="Q24" i="7"/>
  <c r="Q16" i="7"/>
  <c r="Q29" i="7"/>
  <c r="Q15" i="7"/>
  <c r="Q27" i="7"/>
  <c r="Q7" i="7"/>
  <c r="W34" i="6"/>
  <c r="N39" i="7"/>
  <c r="S37" i="6"/>
  <c r="S13" i="6"/>
  <c r="U29" i="6"/>
  <c r="S36" i="6"/>
  <c r="S24" i="6"/>
  <c r="S12" i="6"/>
  <c r="W23" i="6"/>
  <c r="T21" i="6"/>
  <c r="T9" i="6"/>
  <c r="U28" i="6"/>
  <c r="U16" i="6"/>
  <c r="O39" i="6"/>
  <c r="W15" i="6" s="1"/>
  <c r="S22" i="6"/>
  <c r="U26" i="6"/>
  <c r="U25" i="6"/>
  <c r="S25" i="6"/>
  <c r="T10" i="6"/>
  <c r="U17" i="6"/>
  <c r="J39" i="6"/>
  <c r="R26" i="6" s="1"/>
  <c r="S35" i="6"/>
  <c r="S23" i="6"/>
  <c r="S11" i="6"/>
  <c r="T8" i="6"/>
  <c r="U27" i="6"/>
  <c r="U15" i="6"/>
  <c r="N39" i="6"/>
  <c r="V16" i="6" s="1"/>
  <c r="O39" i="7"/>
  <c r="P39" i="7"/>
  <c r="M39" i="7"/>
  <c r="I49" i="6"/>
  <c r="J48" i="6"/>
  <c r="R10" i="6" l="1"/>
  <c r="R27" i="6"/>
  <c r="R8" i="6"/>
  <c r="R28" i="6"/>
  <c r="R12" i="6"/>
  <c r="R31" i="6"/>
  <c r="R38" i="6"/>
  <c r="R23" i="6"/>
  <c r="R15" i="6"/>
  <c r="R7" i="6"/>
  <c r="R24" i="6"/>
  <c r="R14" i="6"/>
  <c r="R36" i="6"/>
  <c r="V10" i="6"/>
  <c r="W35" i="6"/>
  <c r="S39" i="6"/>
  <c r="R11" i="6"/>
  <c r="W25" i="6"/>
  <c r="W14" i="6"/>
  <c r="R20" i="6"/>
  <c r="W33" i="6"/>
  <c r="W19" i="6"/>
  <c r="V22" i="6"/>
  <c r="R19" i="6"/>
  <c r="R16" i="6"/>
  <c r="W31" i="6"/>
  <c r="R34" i="6"/>
  <c r="W38" i="6"/>
  <c r="R32" i="6"/>
  <c r="V18" i="6"/>
  <c r="Q39" i="7"/>
  <c r="W27" i="6"/>
  <c r="V13" i="6"/>
  <c r="V14" i="6"/>
  <c r="W37" i="6"/>
  <c r="R41" i="6"/>
  <c r="U39" i="6"/>
  <c r="V17" i="6"/>
  <c r="R39" i="7"/>
  <c r="R42" i="7" s="1"/>
  <c r="X7" i="7" s="1"/>
  <c r="V30" i="6"/>
  <c r="V21" i="6"/>
  <c r="T35" i="6"/>
  <c r="V25" i="6"/>
  <c r="R22" i="6"/>
  <c r="V26" i="6"/>
  <c r="W22" i="6"/>
  <c r="R18" i="6"/>
  <c r="S39" i="7"/>
  <c r="V29" i="6"/>
  <c r="U12" i="6"/>
  <c r="V33" i="6"/>
  <c r="V23" i="6"/>
  <c r="R13" i="6"/>
  <c r="W12" i="6"/>
  <c r="V38" i="6"/>
  <c r="T15" i="6"/>
  <c r="V15" i="6"/>
  <c r="R30" i="6"/>
  <c r="V28" i="6"/>
  <c r="U24" i="6"/>
  <c r="R9" i="6"/>
  <c r="W28" i="6"/>
  <c r="V9" i="6"/>
  <c r="R25" i="6"/>
  <c r="W18" i="6"/>
  <c r="W26" i="6"/>
  <c r="T7" i="6"/>
  <c r="V27" i="6"/>
  <c r="V31" i="6"/>
  <c r="V36" i="6"/>
  <c r="U23" i="6"/>
  <c r="U36" i="6"/>
  <c r="R21" i="6"/>
  <c r="R37" i="6"/>
  <c r="V11" i="6"/>
  <c r="W24" i="6"/>
  <c r="V19" i="6"/>
  <c r="V7" i="6"/>
  <c r="R17" i="6"/>
  <c r="T27" i="6"/>
  <c r="T17" i="6"/>
  <c r="R33" i="6"/>
  <c r="W8" i="6"/>
  <c r="W30" i="6"/>
  <c r="T30" i="6"/>
  <c r="T12" i="6"/>
  <c r="T13" i="6"/>
  <c r="R29" i="6"/>
  <c r="W20" i="6"/>
  <c r="T18" i="6"/>
  <c r="T39" i="7"/>
  <c r="T16" i="6"/>
  <c r="T29" i="6"/>
  <c r="W16" i="6"/>
  <c r="T34" i="6"/>
  <c r="T33" i="6"/>
  <c r="V35" i="6"/>
  <c r="T20" i="6"/>
  <c r="W11" i="6"/>
  <c r="V12" i="6"/>
  <c r="W36" i="6"/>
  <c r="T24" i="6"/>
  <c r="T25" i="6"/>
  <c r="W32" i="6"/>
  <c r="T19" i="6"/>
  <c r="T28" i="6"/>
  <c r="W9" i="6"/>
  <c r="R35" i="6"/>
  <c r="W29" i="6"/>
  <c r="V34" i="6"/>
  <c r="W7" i="6"/>
  <c r="T32" i="6"/>
  <c r="W17" i="6"/>
  <c r="T22" i="6"/>
  <c r="V32" i="6"/>
  <c r="V24" i="6"/>
  <c r="V20" i="6"/>
  <c r="T36" i="6"/>
  <c r="V8" i="6"/>
  <c r="T37" i="6"/>
  <c r="Z38" i="7"/>
  <c r="Y37" i="7"/>
  <c r="X36" i="7"/>
  <c r="AA33" i="7"/>
  <c r="Z32" i="7"/>
  <c r="Y31" i="7"/>
  <c r="Z30" i="7"/>
  <c r="Y29" i="7"/>
  <c r="X28" i="7"/>
  <c r="AA25" i="7"/>
  <c r="Z24" i="7"/>
  <c r="Y23" i="7"/>
  <c r="Z22" i="7"/>
  <c r="Y21" i="7"/>
  <c r="X20" i="7"/>
  <c r="AA17" i="7"/>
  <c r="Z16" i="7"/>
  <c r="Z15" i="7"/>
  <c r="Y14" i="7"/>
  <c r="X13" i="7"/>
  <c r="AA12" i="7"/>
  <c r="Z11" i="7"/>
  <c r="Y10" i="7"/>
  <c r="X9" i="7"/>
  <c r="AA8" i="7"/>
  <c r="Z7" i="7"/>
  <c r="AA37" i="7"/>
  <c r="AA35" i="7"/>
  <c r="AA34" i="7"/>
  <c r="Z33" i="7"/>
  <c r="Y32" i="7"/>
  <c r="X31" i="7"/>
  <c r="X30" i="7"/>
  <c r="AA27" i="7"/>
  <c r="AA26" i="7"/>
  <c r="Z25" i="7"/>
  <c r="Y24" i="7"/>
  <c r="X23" i="7"/>
  <c r="X22" i="7"/>
  <c r="AA19" i="7"/>
  <c r="AA18" i="7"/>
  <c r="Z17" i="7"/>
  <c r="Y16" i="7"/>
  <c r="Y15" i="7"/>
  <c r="X14" i="7"/>
  <c r="AA13" i="7"/>
  <c r="Z12" i="7"/>
  <c r="Y11" i="7"/>
  <c r="X10" i="7"/>
  <c r="AA9" i="7"/>
  <c r="Z8" i="7"/>
  <c r="Y7" i="7"/>
  <c r="X35" i="7"/>
  <c r="X34" i="7"/>
  <c r="Y27" i="7"/>
  <c r="X26" i="7"/>
  <c r="X24" i="7"/>
  <c r="Z21" i="7"/>
  <c r="Y20" i="7"/>
  <c r="Z18" i="7"/>
  <c r="AA15" i="7"/>
  <c r="AA14" i="7"/>
  <c r="Z13" i="7"/>
  <c r="Y12" i="7"/>
  <c r="AA11" i="7"/>
  <c r="AA10" i="7"/>
  <c r="Z9" i="7"/>
  <c r="Y8" i="7"/>
  <c r="AA7" i="7"/>
  <c r="Z36" i="7"/>
  <c r="X32" i="7"/>
  <c r="AA31" i="7"/>
  <c r="AA30" i="7"/>
  <c r="X27" i="7"/>
  <c r="Y25" i="7"/>
  <c r="Y19" i="7"/>
  <c r="X18" i="7"/>
  <c r="X16" i="7"/>
  <c r="X15" i="7"/>
  <c r="Z14" i="7"/>
  <c r="Y13" i="7"/>
  <c r="X12" i="7"/>
  <c r="X11" i="7"/>
  <c r="Z10" i="7"/>
  <c r="Y9" i="7"/>
  <c r="X8" i="7"/>
  <c r="Z37" i="7"/>
  <c r="Y36" i="7"/>
  <c r="Y33" i="7"/>
  <c r="AA29" i="7"/>
  <c r="Z28" i="7"/>
  <c r="X19" i="7"/>
  <c r="Y17" i="7"/>
  <c r="AA38" i="7"/>
  <c r="Y35" i="7"/>
  <c r="Z34" i="7"/>
  <c r="Z29" i="7"/>
  <c r="Y28" i="7"/>
  <c r="Z26" i="7"/>
  <c r="AA23" i="7"/>
  <c r="AA22" i="7"/>
  <c r="AA21" i="7"/>
  <c r="Z20" i="7"/>
  <c r="AA36" i="7"/>
  <c r="AA32" i="7"/>
  <c r="AA28" i="7"/>
  <c r="AA24" i="7"/>
  <c r="AA20" i="7"/>
  <c r="AA16" i="7"/>
  <c r="Z35" i="7"/>
  <c r="Z31" i="7"/>
  <c r="Z27" i="7"/>
  <c r="Z23" i="7"/>
  <c r="Z19" i="7"/>
  <c r="X38" i="7"/>
  <c r="Y38" i="7"/>
  <c r="Y34" i="7"/>
  <c r="Y30" i="7"/>
  <c r="Y26" i="7"/>
  <c r="Y22" i="7"/>
  <c r="Y18" i="7"/>
  <c r="X37" i="7"/>
  <c r="X33" i="7"/>
  <c r="X29" i="7"/>
  <c r="X25" i="7"/>
  <c r="X21" i="7"/>
  <c r="X17" i="7"/>
  <c r="W39" i="7"/>
  <c r="V39" i="7"/>
  <c r="R39" i="6" l="1"/>
  <c r="AA39" i="6" s="1"/>
  <c r="T39" i="6"/>
  <c r="X21" i="6"/>
  <c r="X28" i="6"/>
  <c r="X29" i="6"/>
  <c r="Z39" i="6"/>
  <c r="Y36" i="6"/>
  <c r="Y7" i="6"/>
  <c r="AA19" i="6"/>
  <c r="Z30" i="6"/>
  <c r="AA14" i="6"/>
  <c r="Y37" i="6"/>
  <c r="Z21" i="6"/>
  <c r="Y12" i="6"/>
  <c r="Y38" i="6"/>
  <c r="Y29" i="6"/>
  <c r="Y19" i="6"/>
  <c r="Y25" i="6"/>
  <c r="Y15" i="6"/>
  <c r="Y21" i="6"/>
  <c r="Z27" i="6"/>
  <c r="Z15" i="6"/>
  <c r="Z32" i="6"/>
  <c r="Z16" i="6"/>
  <c r="AA31" i="6"/>
  <c r="Z38" i="6"/>
  <c r="Z34" i="6"/>
  <c r="X33" i="6"/>
  <c r="X13" i="6"/>
  <c r="X18" i="6"/>
  <c r="Y28" i="6"/>
  <c r="Y20" i="6"/>
  <c r="Y31" i="6"/>
  <c r="AA11" i="6"/>
  <c r="Z26" i="6"/>
  <c r="AA10" i="6"/>
  <c r="Y33" i="6"/>
  <c r="Z17" i="6"/>
  <c r="Y23" i="6"/>
  <c r="Z22" i="6"/>
  <c r="Y35" i="6"/>
  <c r="Z13" i="6"/>
  <c r="Z20" i="6"/>
  <c r="Y34" i="6"/>
  <c r="Y27" i="6"/>
  <c r="Y30" i="6"/>
  <c r="AA37" i="6"/>
  <c r="Y16" i="6"/>
  <c r="Y9" i="6"/>
  <c r="AA22" i="6"/>
  <c r="AA16" i="6"/>
  <c r="X10" i="6"/>
  <c r="X25" i="6"/>
  <c r="X30" i="6"/>
  <c r="Y39" i="6"/>
  <c r="Z36" i="6"/>
  <c r="Z18" i="6"/>
  <c r="AA36" i="6"/>
  <c r="Z7" i="6"/>
  <c r="Y18" i="6"/>
  <c r="AA21" i="6"/>
  <c r="AA28" i="6"/>
  <c r="X32" i="6"/>
  <c r="X9" i="6"/>
  <c r="X39" i="6"/>
  <c r="X22" i="6"/>
  <c r="X37" i="6"/>
  <c r="X19" i="6"/>
  <c r="AA12" i="6"/>
  <c r="Z9" i="6"/>
  <c r="AA8" i="6"/>
  <c r="X34" i="6"/>
  <c r="X14" i="6"/>
  <c r="Z28" i="6"/>
  <c r="Z14" i="6"/>
  <c r="AA34" i="6"/>
  <c r="Z24" i="6"/>
  <c r="Y14" i="6"/>
  <c r="Z8" i="6"/>
  <c r="AA24" i="6"/>
  <c r="Z29" i="6"/>
  <c r="X16" i="6"/>
  <c r="X26" i="6"/>
  <c r="Z12" i="6"/>
  <c r="AA20" i="6"/>
  <c r="Y11" i="6"/>
  <c r="Y26" i="6"/>
  <c r="Z10" i="6"/>
  <c r="Z31" i="6"/>
  <c r="Y17" i="6"/>
  <c r="AA33" i="6"/>
  <c r="AA30" i="6"/>
  <c r="X31" i="6"/>
  <c r="AA15" i="6"/>
  <c r="X11" i="6"/>
  <c r="X38" i="6"/>
  <c r="Y24" i="6"/>
  <c r="Y32" i="6"/>
  <c r="Z35" i="6"/>
  <c r="Y22" i="6"/>
  <c r="AA38" i="6"/>
  <c r="Z23" i="6"/>
  <c r="Y13" i="6"/>
  <c r="AA29" i="6"/>
  <c r="AA25" i="6"/>
  <c r="Z37" i="6"/>
  <c r="Z11" i="6"/>
  <c r="Z33" i="6"/>
  <c r="AA35" i="6"/>
  <c r="Z25" i="6"/>
  <c r="X23" i="6"/>
  <c r="X15" i="6"/>
  <c r="Y8" i="6"/>
  <c r="AA7" i="6"/>
  <c r="Y10" i="6"/>
  <c r="X17" i="6"/>
  <c r="AA9" i="6"/>
  <c r="X8" i="6"/>
  <c r="X35" i="6"/>
  <c r="X27" i="6"/>
  <c r="Z19" i="6"/>
  <c r="AA17" i="6"/>
  <c r="AA23" i="6"/>
  <c r="X36" i="6"/>
  <c r="AA27" i="6"/>
  <c r="X20" i="6"/>
  <c r="X12" i="6"/>
  <c r="AA26" i="6"/>
  <c r="X24" i="6"/>
  <c r="AA32" i="6"/>
  <c r="AA13" i="6"/>
  <c r="AA18" i="6"/>
  <c r="V39" i="6"/>
  <c r="W39" i="6"/>
  <c r="J17" i="3"/>
  <c r="M26" i="3"/>
  <c r="E73" i="3" a="1"/>
  <c r="E74" i="3" s="1"/>
  <c r="H22" i="2"/>
  <c r="O62" i="3"/>
  <c r="N56" i="3"/>
  <c r="O56" i="3" s="1"/>
  <c r="M56" i="3"/>
  <c r="L56" i="3"/>
  <c r="P56" i="3" s="1"/>
  <c r="N55" i="3"/>
  <c r="O55" i="3" s="1"/>
  <c r="L55" i="3"/>
  <c r="P55" i="3" s="1"/>
  <c r="I55" i="3"/>
  <c r="N54" i="3"/>
  <c r="O54" i="3" s="1"/>
  <c r="L54" i="3"/>
  <c r="P54" i="3" s="1"/>
  <c r="I54" i="3"/>
  <c r="N53" i="3"/>
  <c r="O53" i="3" s="1"/>
  <c r="L53" i="3"/>
  <c r="P53" i="3" s="1"/>
  <c r="I53" i="3"/>
  <c r="N52" i="3"/>
  <c r="O52" i="3" s="1"/>
  <c r="L52" i="3"/>
  <c r="P52" i="3" s="1"/>
  <c r="I52" i="3"/>
  <c r="N51" i="3"/>
  <c r="O51" i="3" s="1"/>
  <c r="L51" i="3"/>
  <c r="P51" i="3" s="1"/>
  <c r="I51" i="3"/>
  <c r="N50" i="3"/>
  <c r="O50" i="3" s="1"/>
  <c r="L50" i="3"/>
  <c r="P50" i="3" s="1"/>
  <c r="I50" i="3"/>
  <c r="N49" i="3"/>
  <c r="O49" i="3" s="1"/>
  <c r="L49" i="3"/>
  <c r="P49" i="3" s="1"/>
  <c r="I49" i="3"/>
  <c r="N48" i="3"/>
  <c r="O48" i="3" s="1"/>
  <c r="L48" i="3"/>
  <c r="P48" i="3" s="1"/>
  <c r="I48" i="3"/>
  <c r="N47" i="3"/>
  <c r="O47" i="3" s="1"/>
  <c r="M47" i="3"/>
  <c r="L47" i="3"/>
  <c r="P47" i="3" s="1"/>
  <c r="N46" i="3"/>
  <c r="O46" i="3" s="1"/>
  <c r="M46" i="3"/>
  <c r="L46" i="3"/>
  <c r="P46" i="3" s="1"/>
  <c r="N45" i="3"/>
  <c r="O45" i="3" s="1"/>
  <c r="M45" i="3"/>
  <c r="L45" i="3"/>
  <c r="P45" i="3" s="1"/>
  <c r="N44" i="3"/>
  <c r="O44" i="3" s="1"/>
  <c r="M44" i="3"/>
  <c r="L44" i="3"/>
  <c r="P44" i="3" s="1"/>
  <c r="N43" i="3"/>
  <c r="O43" i="3" s="1"/>
  <c r="M43" i="3"/>
  <c r="L43" i="3"/>
  <c r="P43" i="3" s="1"/>
  <c r="N42" i="3"/>
  <c r="O42" i="3" s="1"/>
  <c r="M42" i="3"/>
  <c r="L42" i="3"/>
  <c r="P42" i="3" s="1"/>
  <c r="N41" i="3"/>
  <c r="O41" i="3" s="1"/>
  <c r="M41" i="3"/>
  <c r="L41" i="3"/>
  <c r="P41" i="3" s="1"/>
  <c r="N40" i="3"/>
  <c r="O40" i="3" s="1"/>
  <c r="M40" i="3"/>
  <c r="L40" i="3"/>
  <c r="P40" i="3" s="1"/>
  <c r="N39" i="3"/>
  <c r="O39" i="3" s="1"/>
  <c r="M39" i="3"/>
  <c r="L39" i="3"/>
  <c r="P39" i="3" s="1"/>
  <c r="N38" i="3"/>
  <c r="O38" i="3" s="1"/>
  <c r="M38" i="3"/>
  <c r="L38" i="3"/>
  <c r="P38" i="3" s="1"/>
  <c r="N37" i="3"/>
  <c r="O37" i="3" s="1"/>
  <c r="M37" i="3"/>
  <c r="L37" i="3"/>
  <c r="P37" i="3" s="1"/>
  <c r="N36" i="3"/>
  <c r="O36" i="3" s="1"/>
  <c r="M36" i="3"/>
  <c r="L36" i="3"/>
  <c r="P36" i="3" s="1"/>
  <c r="N35" i="3"/>
  <c r="O35" i="3" s="1"/>
  <c r="M35" i="3"/>
  <c r="L35" i="3"/>
  <c r="P35" i="3" s="1"/>
  <c r="N34" i="3"/>
  <c r="O34" i="3" s="1"/>
  <c r="M34" i="3"/>
  <c r="L34" i="3"/>
  <c r="P34" i="3" s="1"/>
  <c r="N33" i="3"/>
  <c r="O33" i="3" s="1"/>
  <c r="M33" i="3"/>
  <c r="L33" i="3"/>
  <c r="P33" i="3" s="1"/>
  <c r="N32" i="3"/>
  <c r="O32" i="3" s="1"/>
  <c r="M32" i="3"/>
  <c r="L32" i="3"/>
  <c r="P32" i="3" s="1"/>
  <c r="N31" i="3"/>
  <c r="O31" i="3" s="1"/>
  <c r="M31" i="3"/>
  <c r="L31" i="3"/>
  <c r="P31" i="3" s="1"/>
  <c r="N30" i="3"/>
  <c r="O30" i="3" s="1"/>
  <c r="M30" i="3"/>
  <c r="L30" i="3"/>
  <c r="P30" i="3" s="1"/>
  <c r="N29" i="3"/>
  <c r="O29" i="3" s="1"/>
  <c r="M29" i="3"/>
  <c r="L29" i="3"/>
  <c r="P29" i="3" s="1"/>
  <c r="N28" i="3"/>
  <c r="O28" i="3" s="1"/>
  <c r="M28" i="3"/>
  <c r="L28" i="3"/>
  <c r="P28" i="3" s="1"/>
  <c r="N27" i="3"/>
  <c r="O27" i="3" s="1"/>
  <c r="M27" i="3"/>
  <c r="L27" i="3"/>
  <c r="P27" i="3" s="1"/>
  <c r="N26" i="3"/>
  <c r="O26" i="3" s="1"/>
  <c r="L26" i="3"/>
  <c r="P26" i="3" s="1"/>
  <c r="N25" i="3"/>
  <c r="O25" i="3" s="1"/>
  <c r="L25" i="3"/>
  <c r="P25" i="3" s="1"/>
  <c r="N24" i="3"/>
  <c r="O24" i="3" s="1"/>
  <c r="L24" i="3"/>
  <c r="P24" i="3" s="1"/>
  <c r="G24" i="3"/>
  <c r="G25" i="3" s="1"/>
  <c r="G26" i="3" s="1"/>
  <c r="G27" i="3" s="1"/>
  <c r="G28" i="3" s="1"/>
  <c r="G29" i="3" s="1"/>
  <c r="G30" i="3" s="1"/>
  <c r="G31" i="3" s="1"/>
  <c r="G32" i="3" s="1"/>
  <c r="G33" i="3" s="1"/>
  <c r="G34" i="3" s="1"/>
  <c r="G35" i="3" s="1"/>
  <c r="G36" i="3" s="1"/>
  <c r="G37" i="3" s="1"/>
  <c r="G38" i="3" s="1"/>
  <c r="G39" i="3" s="1"/>
  <c r="G40" i="3" s="1"/>
  <c r="G41" i="3" s="1"/>
  <c r="G42" i="3" s="1"/>
  <c r="G43" i="3" s="1"/>
  <c r="G44" i="3" s="1"/>
  <c r="G45" i="3" s="1"/>
  <c r="G46" i="3" s="1"/>
  <c r="G47" i="3" s="1"/>
  <c r="G48" i="3" s="1"/>
  <c r="G49" i="3" s="1"/>
  <c r="G50" i="3" s="1"/>
  <c r="G51" i="3" s="1"/>
  <c r="G52" i="3" s="1"/>
  <c r="G53" i="3" s="1"/>
  <c r="G54" i="3" s="1"/>
  <c r="G55" i="3" s="1"/>
  <c r="G56" i="3" s="1"/>
  <c r="N23" i="3"/>
  <c r="M23" i="3"/>
  <c r="L23" i="3"/>
  <c r="D20" i="4"/>
  <c r="D10" i="4"/>
  <c r="A23" i="3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D55" i="2"/>
  <c r="I60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54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G21" i="2"/>
  <c r="H21" i="2"/>
  <c r="F21" i="2"/>
  <c r="E22" i="2"/>
  <c r="E23" i="2" s="1"/>
  <c r="E24" i="2" s="1"/>
  <c r="E25" i="2" s="1"/>
  <c r="E26" i="2" s="1"/>
  <c r="E27" i="2" s="1"/>
  <c r="E28" i="2" s="1"/>
  <c r="E29" i="2" s="1"/>
  <c r="E30" i="2" s="1"/>
  <c r="E31" i="2" s="1"/>
  <c r="E32" i="2" s="1"/>
  <c r="E33" i="2" s="1"/>
  <c r="E34" i="2" s="1"/>
  <c r="E35" i="2" s="1"/>
  <c r="E36" i="2" s="1"/>
  <c r="E37" i="2" s="1"/>
  <c r="E38" i="2" s="1"/>
  <c r="E39" i="2" s="1"/>
  <c r="E40" i="2" s="1"/>
  <c r="E41" i="2" s="1"/>
  <c r="E42" i="2" s="1"/>
  <c r="E43" i="2" s="1"/>
  <c r="E44" i="2" s="1"/>
  <c r="E45" i="2" s="1"/>
  <c r="E46" i="2" s="1"/>
  <c r="E47" i="2" s="1"/>
  <c r="E48" i="2" s="1"/>
  <c r="E49" i="2" s="1"/>
  <c r="E50" i="2" s="1"/>
  <c r="E51" i="2" s="1"/>
  <c r="E52" i="2" s="1"/>
  <c r="E53" i="2" s="1"/>
  <c r="E54" i="2" s="1"/>
  <c r="S41" i="6" l="1"/>
  <c r="M53" i="3"/>
  <c r="K53" i="3"/>
  <c r="O23" i="3"/>
  <c r="O57" i="3" s="1"/>
  <c r="O60" i="3" s="1"/>
  <c r="N57" i="3"/>
  <c r="M50" i="3"/>
  <c r="K50" i="3"/>
  <c r="M54" i="3"/>
  <c r="K54" i="3"/>
  <c r="E75" i="3"/>
  <c r="M51" i="3"/>
  <c r="K51" i="3"/>
  <c r="M55" i="3"/>
  <c r="Q55" i="3" s="1"/>
  <c r="K55" i="3"/>
  <c r="M49" i="3"/>
  <c r="K49" i="3"/>
  <c r="L57" i="3"/>
  <c r="M48" i="3"/>
  <c r="K48" i="3"/>
  <c r="K57" i="3" s="1"/>
  <c r="M52" i="3"/>
  <c r="K52" i="3"/>
  <c r="M25" i="3"/>
  <c r="E73" i="3"/>
  <c r="P23" i="3"/>
  <c r="F55" i="2"/>
  <c r="J25" i="2" s="1"/>
  <c r="J41" i="2"/>
  <c r="I44" i="2"/>
  <c r="I46" i="2"/>
  <c r="I28" i="2"/>
  <c r="I29" i="2"/>
  <c r="I41" i="2"/>
  <c r="I53" i="2"/>
  <c r="I22" i="2"/>
  <c r="I38" i="2"/>
  <c r="I42" i="2"/>
  <c r="I54" i="2"/>
  <c r="I31" i="2"/>
  <c r="I35" i="2"/>
  <c r="I43" i="2"/>
  <c r="I51" i="2"/>
  <c r="I40" i="2"/>
  <c r="I24" i="2"/>
  <c r="C53" i="2"/>
  <c r="G53" i="2" s="1"/>
  <c r="C52" i="2"/>
  <c r="G52" i="2" s="1"/>
  <c r="C51" i="2"/>
  <c r="G51" i="2" s="1"/>
  <c r="C50" i="2"/>
  <c r="G50" i="2" s="1"/>
  <c r="C49" i="2"/>
  <c r="G49" i="2" s="1"/>
  <c r="C48" i="2"/>
  <c r="G48" i="2" s="1"/>
  <c r="C47" i="2"/>
  <c r="G47" i="2" s="1"/>
  <c r="C46" i="2"/>
  <c r="G46" i="2" s="1"/>
  <c r="Q41" i="1"/>
  <c r="M45" i="1"/>
  <c r="T28" i="1"/>
  <c r="T25" i="1"/>
  <c r="T26" i="1" s="1"/>
  <c r="T27" i="1" s="1"/>
  <c r="T13" i="1"/>
  <c r="R33" i="3" l="1"/>
  <c r="U49" i="3"/>
  <c r="U37" i="3"/>
  <c r="T43" i="3"/>
  <c r="S25" i="3"/>
  <c r="R48" i="3"/>
  <c r="R46" i="3"/>
  <c r="R36" i="3"/>
  <c r="U31" i="3"/>
  <c r="S38" i="3"/>
  <c r="S34" i="3"/>
  <c r="S45" i="3"/>
  <c r="T54" i="3"/>
  <c r="T49" i="3"/>
  <c r="S55" i="3"/>
  <c r="T23" i="3"/>
  <c r="S26" i="3"/>
  <c r="R43" i="3"/>
  <c r="U42" i="3"/>
  <c r="R31" i="3"/>
  <c r="T33" i="3"/>
  <c r="U47" i="3"/>
  <c r="T45" i="3"/>
  <c r="U36" i="3"/>
  <c r="S43" i="3"/>
  <c r="U54" i="3"/>
  <c r="S32" i="3"/>
  <c r="R35" i="3"/>
  <c r="T53" i="3"/>
  <c r="T30" i="3"/>
  <c r="R41" i="3"/>
  <c r="T37" i="3"/>
  <c r="T40" i="3"/>
  <c r="T46" i="3"/>
  <c r="S41" i="3"/>
  <c r="R32" i="3"/>
  <c r="S48" i="3"/>
  <c r="R24" i="3"/>
  <c r="T35" i="3"/>
  <c r="R34" i="3"/>
  <c r="R51" i="3"/>
  <c r="R45" i="3"/>
  <c r="R30" i="3"/>
  <c r="T26" i="3"/>
  <c r="U23" i="3"/>
  <c r="U29" i="3"/>
  <c r="U34" i="3"/>
  <c r="S29" i="3"/>
  <c r="U30" i="3"/>
  <c r="S47" i="3"/>
  <c r="S46" i="3"/>
  <c r="T32" i="3"/>
  <c r="T36" i="3"/>
  <c r="S40" i="3"/>
  <c r="U35" i="3"/>
  <c r="S23" i="3"/>
  <c r="U27" i="3"/>
  <c r="R27" i="3"/>
  <c r="R56" i="3"/>
  <c r="U33" i="3"/>
  <c r="S39" i="3"/>
  <c r="U50" i="3"/>
  <c r="T27" i="3"/>
  <c r="S54" i="3"/>
  <c r="T44" i="3"/>
  <c r="S53" i="3"/>
  <c r="T52" i="3"/>
  <c r="S35" i="3"/>
  <c r="R23" i="3"/>
  <c r="S56" i="3"/>
  <c r="R28" i="3"/>
  <c r="T50" i="3"/>
  <c r="R26" i="3"/>
  <c r="R55" i="3"/>
  <c r="U56" i="3"/>
  <c r="U26" i="3"/>
  <c r="U48" i="3"/>
  <c r="T39" i="3"/>
  <c r="S27" i="3"/>
  <c r="T38" i="3"/>
  <c r="T31" i="3"/>
  <c r="T34" i="3"/>
  <c r="U39" i="3"/>
  <c r="S36" i="3"/>
  <c r="S37" i="3"/>
  <c r="T28" i="3"/>
  <c r="R54" i="3"/>
  <c r="R42" i="3"/>
  <c r="U44" i="3"/>
  <c r="U24" i="3"/>
  <c r="S33" i="3"/>
  <c r="R38" i="3"/>
  <c r="S51" i="3"/>
  <c r="S44" i="3"/>
  <c r="U53" i="3"/>
  <c r="S50" i="3"/>
  <c r="U25" i="3"/>
  <c r="U46" i="3"/>
  <c r="U45" i="3"/>
  <c r="T51" i="3"/>
  <c r="R52" i="3"/>
  <c r="S42" i="3"/>
  <c r="S30" i="3"/>
  <c r="T24" i="3"/>
  <c r="T42" i="3"/>
  <c r="U40" i="3"/>
  <c r="U51" i="3"/>
  <c r="T55" i="3"/>
  <c r="S24" i="3"/>
  <c r="T41" i="3"/>
  <c r="T29" i="3"/>
  <c r="U55" i="3"/>
  <c r="R50" i="3"/>
  <c r="R39" i="3"/>
  <c r="S28" i="3"/>
  <c r="S52" i="3"/>
  <c r="R37" i="3"/>
  <c r="U41" i="3"/>
  <c r="T48" i="3"/>
  <c r="U28" i="3"/>
  <c r="S49" i="3"/>
  <c r="R44" i="3"/>
  <c r="U38" i="3"/>
  <c r="S31" i="3"/>
  <c r="T25" i="3"/>
  <c r="T47" i="3"/>
  <c r="R25" i="3"/>
  <c r="U43" i="3"/>
  <c r="U32" i="3"/>
  <c r="R53" i="3"/>
  <c r="R29" i="3"/>
  <c r="T56" i="3"/>
  <c r="R47" i="3"/>
  <c r="R40" i="3"/>
  <c r="U52" i="3"/>
  <c r="R49" i="3"/>
  <c r="Q44" i="3"/>
  <c r="Q40" i="3"/>
  <c r="Q34" i="3"/>
  <c r="Q48" i="3"/>
  <c r="Q36" i="3"/>
  <c r="Q54" i="3"/>
  <c r="Q32" i="3"/>
  <c r="Q23" i="3"/>
  <c r="Q41" i="3"/>
  <c r="Q51" i="3"/>
  <c r="Q28" i="3"/>
  <c r="Q56" i="3"/>
  <c r="Q47" i="3"/>
  <c r="Q29" i="3"/>
  <c r="Q50" i="3"/>
  <c r="Q30" i="3"/>
  <c r="Q49" i="3"/>
  <c r="Q43" i="3"/>
  <c r="Q26" i="3"/>
  <c r="Q45" i="3"/>
  <c r="O10" i="1"/>
  <c r="O11" i="1" s="1"/>
  <c r="Q25" i="3"/>
  <c r="Q39" i="3"/>
  <c r="Q46" i="3"/>
  <c r="Q27" i="3"/>
  <c r="Q37" i="3"/>
  <c r="Q42" i="3"/>
  <c r="Q33" i="3"/>
  <c r="Q35" i="3"/>
  <c r="Q52" i="3"/>
  <c r="Q31" i="3"/>
  <c r="Q38" i="3"/>
  <c r="Q53" i="3"/>
  <c r="M24" i="3"/>
  <c r="I65" i="3"/>
  <c r="J64" i="3"/>
  <c r="I79" i="3" a="1"/>
  <c r="P57" i="3"/>
  <c r="J50" i="2"/>
  <c r="J29" i="2"/>
  <c r="J45" i="2"/>
  <c r="J54" i="2"/>
  <c r="J33" i="2"/>
  <c r="J22" i="2"/>
  <c r="J21" i="2"/>
  <c r="J37" i="2"/>
  <c r="J26" i="2"/>
  <c r="J24" i="2"/>
  <c r="J49" i="2"/>
  <c r="J34" i="2"/>
  <c r="J31" i="2"/>
  <c r="J40" i="2"/>
  <c r="J53" i="2"/>
  <c r="J38" i="2"/>
  <c r="J39" i="2"/>
  <c r="J44" i="2"/>
  <c r="J42" i="2"/>
  <c r="J23" i="2"/>
  <c r="J43" i="2"/>
  <c r="J28" i="2"/>
  <c r="J52" i="2"/>
  <c r="J46" i="2"/>
  <c r="J27" i="2"/>
  <c r="J47" i="2"/>
  <c r="J36" i="2"/>
  <c r="J30" i="2"/>
  <c r="J35" i="2"/>
  <c r="J51" i="2"/>
  <c r="J32" i="2"/>
  <c r="J48" i="2"/>
  <c r="I47" i="2"/>
  <c r="I27" i="2"/>
  <c r="I26" i="2"/>
  <c r="I37" i="2"/>
  <c r="I32" i="2"/>
  <c r="I21" i="2"/>
  <c r="I39" i="2"/>
  <c r="I23" i="2"/>
  <c r="I34" i="2"/>
  <c r="I45" i="2"/>
  <c r="I25" i="2"/>
  <c r="I52" i="2"/>
  <c r="I50" i="2"/>
  <c r="I30" i="2"/>
  <c r="I49" i="2"/>
  <c r="I33" i="2"/>
  <c r="I48" i="2"/>
  <c r="I36" i="2"/>
  <c r="G55" i="2"/>
  <c r="Q24" i="3" l="1"/>
  <c r="Q57" i="3" s="1"/>
  <c r="M57" i="3"/>
  <c r="I81" i="3"/>
  <c r="I80" i="3"/>
  <c r="I79" i="3"/>
  <c r="J55" i="2"/>
  <c r="I55" i="2"/>
  <c r="I58" i="2" s="1"/>
  <c r="L49" i="2" s="1"/>
  <c r="K25" i="2"/>
  <c r="K29" i="2"/>
  <c r="K33" i="2"/>
  <c r="K37" i="2"/>
  <c r="K41" i="2"/>
  <c r="K45" i="2"/>
  <c r="K49" i="2"/>
  <c r="K53" i="2"/>
  <c r="K22" i="2"/>
  <c r="K26" i="2"/>
  <c r="K30" i="2"/>
  <c r="K34" i="2"/>
  <c r="K38" i="2"/>
  <c r="K42" i="2"/>
  <c r="K50" i="2"/>
  <c r="K54" i="2"/>
  <c r="K23" i="2"/>
  <c r="K27" i="2"/>
  <c r="K31" i="2"/>
  <c r="K35" i="2"/>
  <c r="K39" i="2"/>
  <c r="K43" i="2"/>
  <c r="K47" i="2"/>
  <c r="K51" i="2"/>
  <c r="K21" i="2"/>
  <c r="K24" i="2"/>
  <c r="K40" i="2"/>
  <c r="K28" i="2"/>
  <c r="K44" i="2"/>
  <c r="K32" i="2"/>
  <c r="K48" i="2"/>
  <c r="K36" i="2"/>
  <c r="K52" i="2"/>
  <c r="K46" i="2"/>
  <c r="L41" i="2" l="1"/>
  <c r="M41" i="2"/>
  <c r="L29" i="2"/>
  <c r="M35" i="2"/>
  <c r="M49" i="2"/>
  <c r="L52" i="2"/>
  <c r="M52" i="2"/>
  <c r="M47" i="2"/>
  <c r="M27" i="2"/>
  <c r="L53" i="2"/>
  <c r="L23" i="2"/>
  <c r="L46" i="2"/>
  <c r="L35" i="2"/>
  <c r="M45" i="2"/>
  <c r="M23" i="2"/>
  <c r="L39" i="2"/>
  <c r="M29" i="2"/>
  <c r="L27" i="2"/>
  <c r="L43" i="2"/>
  <c r="M25" i="2"/>
  <c r="M31" i="2"/>
  <c r="L45" i="2"/>
  <c r="L31" i="2"/>
  <c r="M40" i="2"/>
  <c r="M46" i="2"/>
  <c r="L48" i="2"/>
  <c r="L51" i="2"/>
  <c r="M36" i="2"/>
  <c r="M42" i="2"/>
  <c r="L22" i="2"/>
  <c r="L21" i="2"/>
  <c r="M48" i="2"/>
  <c r="M54" i="2"/>
  <c r="M53" i="2"/>
  <c r="L26" i="2"/>
  <c r="L24" i="2"/>
  <c r="M44" i="2"/>
  <c r="M50" i="2"/>
  <c r="L28" i="2"/>
  <c r="L47" i="2"/>
  <c r="M24" i="2"/>
  <c r="M30" i="2"/>
  <c r="L34" i="2"/>
  <c r="L36" i="2"/>
  <c r="M21" i="2"/>
  <c r="M26" i="2"/>
  <c r="L38" i="2"/>
  <c r="L40" i="2"/>
  <c r="M32" i="2"/>
  <c r="M38" i="2"/>
  <c r="L42" i="2"/>
  <c r="L44" i="2"/>
  <c r="M28" i="2"/>
  <c r="M34" i="2"/>
  <c r="L30" i="2"/>
  <c r="L32" i="2"/>
  <c r="M43" i="2"/>
  <c r="L33" i="2"/>
  <c r="L50" i="2"/>
  <c r="L25" i="2"/>
  <c r="M39" i="2"/>
  <c r="L37" i="2"/>
  <c r="L54" i="2"/>
  <c r="M33" i="2"/>
  <c r="M51" i="2"/>
  <c r="M22" i="2"/>
  <c r="M37" i="2"/>
  <c r="K55" i="2"/>
</calcChain>
</file>

<file path=xl/sharedStrings.xml><?xml version="1.0" encoding="utf-8"?>
<sst xmlns="http://schemas.openxmlformats.org/spreadsheetml/2006/main" count="434" uniqueCount="188">
  <si>
    <t>tNo TeamExp ManagerExp Length Effort Transactions Entities PointAdjust Envergure PointsNonAdjust 1 0 0 4 5635 197 124 321 33 315 2 4 4 1 805 40 60 100 18 83 3 0 0 5 3829 200 119 319 30 303 4 0 0 4 2149 140 94 234 24 208 5 0 0 4 2821 97 89 186 38 192 6 2 1 9 2569 119 42 161 25 7 1 2 13 3913 186 52 25 8 3 1 12 7854 172 88 30 9 3 4 4 2422 78 38 24 10 4 1 21 4067 167 99 24 11 2 1 17 9051 146 112 258 12 1 1 3 2282 183 72 105 13 3 4 8 4172 183 61 223 216 14 4 4 9 4977 183 121 344 320 15 3 2 8 1617 183 48 167 26 152 16 4 3 8 3192 183 43 100 43 108 17 4 14 3437 68 316 384 20 326 18 3 14 4494 9 386 395 21 340 19 4 5 840 58 34 92 29 86 20 4 12 14973 318 269 587 34 21 2 18 5180 88 170 258 34 22 2 5 5775 306 132 438 37 23 4 1 20 10577 304 78 382 397 24 1 4 8 3983 89 200 289 283 25 4 1 14 3164 86 230 316 310 26 2 0 6 3542 71 235 306 312 27 3 1 14 4277 148 324 472 491 28 4 4 16 7252 116 170 286 27 263 29 4 1 14 3948 175 277 452 37 30 4 3 6 3927 79 128 207 27 31 1 1 9 710 145 38 27 32 4 4 9 2429 174 78 41 33 1 1 5 6405 194 91 35 34 2 2 3 651 126 49 38 (IJACSA) International Journal of Advanced Computer Science and Applications, Vol. 10, No. 2, 201 9 231 | P a g e www.ijacsa.thesai.org 35 1 3 17 9135 137 119 256 34 36 2 4 11 1435 289 88 377 28 37 8 5922 260 144 404 24 360 38 1 4 4 847 158 59 217 18 180 39 3 3 16 8050 302 145 447 52 523 40 1 1 4620 451 48 499 28 464 41 2 4 2352 661 132 793 23 698 42 1 1 2174 64 54 118 25 106 43 4 19894 284 230 514 50 591 44 2 1 6699 182 126 308 35 308 45 2 3 14987 173 332 505 19 424 46 2 2 9 4004 252 7 259 28 241 47 4 3 11 12824 131 180 311 51 361 48 2 3 8 2331 106 39 145 6 103 49 3 3 9 5817 96 108 204 29 192 50 2 3 7 2989 116 72 188 18 156 51 3 3 6 3136 86 49 135 32 131 52 2 3 17 14434 221 121 342 35 342 53 1 1 12 2583 61 96 157 18 130 54 1 3 12 3647 132 89 221 5 155 55 3 7 13 8232 45 387 432 16 350 56 1 1 12 3276 55 112 167 12 129 57 1 4 8 2723 124 52 176 14 139 58 3 3 5 3472 120 126 246 15 197 59 1 2 6 1575 47 32 79 14 62 60 1 1 12 2926 126 107 233 23 205 61 3 2 6 1876 101 45 146 15 117 62 1 1 5 2520 78 99 177 14 140 63 4 7 13 1603 69 74 143 14 113 64 1 3 8 3626 194 97 291 35 291 65 2 10 6783 224 110 334 28 311 66 2 4 15 11361 323 184 507 35 507 67 1 3 10 1267 42 31 73 27 67 68 1 2 5 2548 74 43 117 25 105 69 3 4 10 1155 101 57 158 9 117 70 0 4 6 546 97 42 139 6 99 71 2 3 13 2275 134 77 211 13 165 72 4 5 26 9100 482 227 709 26 645 73 0 2 6 595 213 73 286 6 203 74 0 22 3941 139 143 282 22 245 75 2 3 24 13860 473 182 655 40 688 76 4 4 12 1400 229 169 398 39 414 77 4 3 12 2800 227 73 300 34 297 78 4 4 24 9520 395 193 588 40 617 79 4 3 12 5880 469 176 645 43 697 80 4 4 36 23940 886 241 1127 34 1116</t>
  </si>
  <si>
    <t>a</t>
  </si>
  <si>
    <t>b</t>
  </si>
  <si>
    <t>c</t>
  </si>
  <si>
    <t>d</t>
  </si>
  <si>
    <t>kloc</t>
  </si>
  <si>
    <t>organic</t>
  </si>
  <si>
    <t>effort</t>
  </si>
  <si>
    <t>чел/мес</t>
  </si>
  <si>
    <t>duration</t>
  </si>
  <si>
    <t>мес</t>
  </si>
  <si>
    <t>staffing</t>
  </si>
  <si>
    <t>A</t>
  </si>
  <si>
    <t>B</t>
  </si>
  <si>
    <t>E</t>
  </si>
  <si>
    <t>SF</t>
  </si>
  <si>
    <t>Nominal</t>
  </si>
  <si>
    <t>ТРУДОЕМКОСТЬ</t>
  </si>
  <si>
    <t>x1</t>
  </si>
  <si>
    <t>x2</t>
  </si>
  <si>
    <t>начало доверит интервала</t>
  </si>
  <si>
    <t>конец доверительного интервала</t>
  </si>
  <si>
    <t>y</t>
  </si>
  <si>
    <t>р-р</t>
  </si>
  <si>
    <t>клок, тыс</t>
  </si>
  <si>
    <t>y=356+5*K45+3,5*L45</t>
  </si>
  <si>
    <t xml:space="preserve">введите </t>
  </si>
  <si>
    <t>MMRE</t>
  </si>
  <si>
    <t>PRED(0,25)</t>
  </si>
  <si>
    <t>R2</t>
  </si>
  <si>
    <t>N</t>
  </si>
  <si>
    <t>СТЕПЕНИ СВОБОДЫ (N-1)</t>
  </si>
  <si>
    <t>TСТЮДЕНТА</t>
  </si>
  <si>
    <t>s</t>
  </si>
  <si>
    <t>ДОВЕРИТЕЛЬНАЯ ВЕРОЯТНОСТЬ</t>
  </si>
  <si>
    <t>=</t>
  </si>
  <si>
    <t>Y</t>
  </si>
  <si>
    <t>X1</t>
  </si>
  <si>
    <t>X2</t>
  </si>
  <si>
    <t>Y (ТРУДОМІСТКІСТЬ У ЛЮД/ГОД)</t>
  </si>
  <si>
    <t>X2(КІЛЬКІСТЬ ФУНКЦІЙ)</t>
  </si>
  <si>
    <t>X3(КЫЛЬКЫСТЬ ФАЙЛЫВ)</t>
  </si>
  <si>
    <t>logx1</t>
  </si>
  <si>
    <t>logx2</t>
  </si>
  <si>
    <t>Szy</t>
  </si>
  <si>
    <t>y среднее</t>
  </si>
  <si>
    <t>ліва границя доверит интервала</t>
  </si>
  <si>
    <t>права границя доверит интервала</t>
  </si>
  <si>
    <t>x1среднее</t>
  </si>
  <si>
    <t>x2 среднее</t>
  </si>
  <si>
    <t>квадрат разницы y</t>
  </si>
  <si>
    <t>квадрат разницы x1</t>
  </si>
  <si>
    <t>квадрат разницы x2</t>
  </si>
  <si>
    <t>сумма квадратов разностей y</t>
  </si>
  <si>
    <t>сумма квадратов разностей x1</t>
  </si>
  <si>
    <t>сумма квадратов разностей x2</t>
  </si>
  <si>
    <t xml:space="preserve">стьюдент </t>
  </si>
  <si>
    <t>прогноз</t>
  </si>
  <si>
    <t>7.607</t>
  </si>
  <si>
    <t>7.010</t>
  </si>
  <si>
    <t>18.545</t>
  </si>
  <si>
    <t>3.030</t>
  </si>
  <si>
    <t>7.686</t>
  </si>
  <si>
    <t>3.040</t>
  </si>
  <si>
    <t>7.713</t>
  </si>
  <si>
    <t>4.000</t>
  </si>
  <si>
    <t>10.289</t>
  </si>
  <si>
    <t>6.010</t>
  </si>
  <si>
    <t>15.777</t>
  </si>
  <si>
    <t>6.096</t>
  </si>
  <si>
    <t>16.014</t>
  </si>
  <si>
    <t>1.989</t>
  </si>
  <si>
    <t>4.941</t>
  </si>
  <si>
    <t>1.673</t>
  </si>
  <si>
    <t>4.120</t>
  </si>
  <si>
    <t>6.940</t>
  </si>
  <si>
    <t>18.350</t>
  </si>
  <si>
    <t>3.096</t>
  </si>
  <si>
    <t>7.862</t>
  </si>
  <si>
    <t>5.011</t>
  </si>
  <si>
    <t>13.036</t>
  </si>
  <si>
    <t>15.080</t>
  </si>
  <si>
    <t>41.451</t>
  </si>
  <si>
    <t>10.380</t>
  </si>
  <si>
    <t>28.004</t>
  </si>
  <si>
    <t>4.007</t>
  </si>
  <si>
    <t>10.308</t>
  </si>
  <si>
    <t>6.023</t>
  </si>
  <si>
    <t>15.813</t>
  </si>
  <si>
    <t>8.065</t>
  </si>
  <si>
    <t>21.486</t>
  </si>
  <si>
    <t>"A" variable</t>
  </si>
  <si>
    <t>"B" variable</t>
  </si>
  <si>
    <t>"C" variable</t>
  </si>
  <si>
    <t>"D" variable</t>
  </si>
  <si>
    <t>KLOC</t>
  </si>
  <si>
    <t>EFFORT, (in person-months)</t>
  </si>
  <si>
    <t>DURATION, (in months)</t>
  </si>
  <si>
    <t>STAFFING, (recommended)</t>
  </si>
  <si>
    <t>6.125</t>
  </si>
  <si>
    <t>16.094</t>
  </si>
  <si>
    <t>6.998</t>
  </si>
  <si>
    <t>18.511</t>
  </si>
  <si>
    <t>2.986</t>
  </si>
  <si>
    <t>7.569</t>
  </si>
  <si>
    <t>17.025</t>
  </si>
  <si>
    <t>47.082</t>
  </si>
  <si>
    <t>10.205</t>
  </si>
  <si>
    <t>27.508</t>
  </si>
  <si>
    <t>25.589</t>
  </si>
  <si>
    <t>72.222</t>
  </si>
  <si>
    <t>8.798</t>
  </si>
  <si>
    <t>23.540</t>
  </si>
  <si>
    <t>8.007</t>
  </si>
  <si>
    <t>21.323</t>
  </si>
  <si>
    <t>4.022</t>
  </si>
  <si>
    <t>10.348</t>
  </si>
  <si>
    <t>5.987</t>
  </si>
  <si>
    <t>15.714</t>
  </si>
  <si>
    <t>10.265</t>
  </si>
  <si>
    <t>27.678</t>
  </si>
  <si>
    <t>5.589</t>
  </si>
  <si>
    <t>14.619</t>
  </si>
  <si>
    <t>7.056</t>
  </si>
  <si>
    <t>18.672</t>
  </si>
  <si>
    <t>17.654</t>
  </si>
  <si>
    <t>48.910</t>
  </si>
  <si>
    <t>16.692</t>
  </si>
  <si>
    <t>46.115</t>
  </si>
  <si>
    <t>19.558</t>
  </si>
  <si>
    <t>54.463</t>
  </si>
  <si>
    <t>9.558</t>
  </si>
  <si>
    <t>25.680</t>
  </si>
  <si>
    <t>9.336</t>
  </si>
  <si>
    <t>25.054</t>
  </si>
  <si>
    <t>1.569</t>
  </si>
  <si>
    <t>3.851</t>
  </si>
  <si>
    <t xml:space="preserve">y </t>
  </si>
  <si>
    <t>log10x1</t>
  </si>
  <si>
    <t>log10x2</t>
  </si>
  <si>
    <t>log10y</t>
  </si>
  <si>
    <t>zx1</t>
  </si>
  <si>
    <t>zx2</t>
  </si>
  <si>
    <t>zy</t>
  </si>
  <si>
    <t>Матриця X'y</t>
  </si>
  <si>
    <t>Оценки параметров модели</t>
  </si>
  <si>
    <t>Матричный метод</t>
  </si>
  <si>
    <t>b0</t>
  </si>
  <si>
    <t>b1</t>
  </si>
  <si>
    <t>b2</t>
  </si>
  <si>
    <t>кореляц</t>
  </si>
  <si>
    <t xml:space="preserve">обр </t>
  </si>
  <si>
    <t>x</t>
  </si>
  <si>
    <t>X1(kloc)</t>
  </si>
  <si>
    <t>bo</t>
  </si>
  <si>
    <t>матриця b за емпірічними даними</t>
  </si>
  <si>
    <t>матриця b за нормованими даними</t>
  </si>
  <si>
    <t>left prediction interval</t>
  </si>
  <si>
    <t>right prediction interval</t>
  </si>
  <si>
    <t>epsilont</t>
  </si>
  <si>
    <t>cроткл</t>
  </si>
  <si>
    <t>сргеом</t>
  </si>
  <si>
    <t>средн</t>
  </si>
  <si>
    <t>TCLOC</t>
  </si>
  <si>
    <t>TFUNC</t>
  </si>
  <si>
    <t>Effort</t>
  </si>
  <si>
    <t>EFFORT=-12.9 -13.8×DCOUNT -1.09×DEXP+5.8×SFCOUNT+ 0.021×TCLOC-0.035×TDELTA-0.034×TFUNC</t>
  </si>
  <si>
    <t>b3</t>
  </si>
  <si>
    <t>b4</t>
  </si>
  <si>
    <t>b5</t>
  </si>
  <si>
    <t>b6</t>
  </si>
  <si>
    <t>TDELTA</t>
  </si>
  <si>
    <t xml:space="preserve"> DEXP</t>
  </si>
  <si>
    <t>DCOUNT</t>
  </si>
  <si>
    <t>SFCOUNT</t>
  </si>
  <si>
    <t>z1</t>
  </si>
  <si>
    <t>z2</t>
  </si>
  <si>
    <t>z3</t>
  </si>
  <si>
    <t>z4</t>
  </si>
  <si>
    <t>z5</t>
  </si>
  <si>
    <t>z6</t>
  </si>
  <si>
    <t>Z в шляпе</t>
  </si>
  <si>
    <t>среднее</t>
  </si>
  <si>
    <t>квадрат разницы x3</t>
  </si>
  <si>
    <t>квадрат разницы x4</t>
  </si>
  <si>
    <t>квадрат разницы x5</t>
  </si>
  <si>
    <t>квадрат разницы x6</t>
  </si>
  <si>
    <t>сумма квадратов разностей 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</si>
</sst>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19]General"/>
    <numFmt numFmtId="165" formatCode="0.0000"/>
  </numFmts>
  <fonts count="15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Symbol"/>
      <family val="1"/>
      <charset val="2"/>
    </font>
    <font>
      <sz val="14"/>
      <color rgb="FF000000"/>
      <name val="Times New Roman"/>
      <family val="1"/>
      <charset val="204"/>
    </font>
    <font>
      <sz val="10"/>
      <color theme="1"/>
      <name val="Arial"/>
      <family val="2"/>
      <charset val="204"/>
    </font>
    <font>
      <sz val="10"/>
      <color theme="1"/>
      <name val="Calibri"/>
      <family val="2"/>
      <charset val="204"/>
    </font>
    <font>
      <sz val="14"/>
      <color theme="1"/>
      <name val="Calibri"/>
      <family val="2"/>
      <charset val="204"/>
      <scheme val="minor"/>
    </font>
    <font>
      <sz val="11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b/>
      <sz val="10"/>
      <color theme="1"/>
      <name val="Arial"/>
      <family val="2"/>
      <charset val="204"/>
    </font>
    <font>
      <sz val="10"/>
      <color theme="1"/>
      <name val="Times New Roman"/>
      <family val="1"/>
      <charset val="204"/>
    </font>
    <font>
      <sz val="12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b/>
      <sz val="10"/>
      <color rgb="FF000000"/>
      <name val="Times New Roman"/>
      <family val="1"/>
      <charset val="204"/>
    </font>
    <font>
      <sz val="12"/>
      <color rgb="FF000000"/>
      <name val="Times New Roman"/>
      <family val="1"/>
      <charset val="204"/>
    </font>
  </fonts>
  <fills count="4">
    <fill>
      <patternFill patternType="none"/>
    </fill>
    <fill>
      <patternFill patternType="gray125"/>
    </fill>
    <fill>
      <patternFill patternType="solid">
        <fgColor rgb="FFB2B8C8"/>
        <bgColor indexed="64"/>
      </patternFill>
    </fill>
    <fill>
      <patternFill patternType="solid">
        <fgColor rgb="FFFFFFFF"/>
        <bgColor indexed="64"/>
      </patternFill>
    </fill>
  </fills>
  <borders count="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A"/>
      </left>
      <right style="medium">
        <color rgb="FF00000A"/>
      </right>
      <top style="medium">
        <color rgb="FF00000A"/>
      </top>
      <bottom style="medium">
        <color rgb="FF00000A"/>
      </bottom>
      <diagonal/>
    </border>
    <border>
      <left style="medium">
        <color rgb="FF00000A"/>
      </left>
      <right style="medium">
        <color rgb="FF00000A"/>
      </right>
      <top/>
      <bottom style="medium">
        <color rgb="FF00000A"/>
      </bottom>
      <diagonal/>
    </border>
    <border>
      <left/>
      <right style="medium">
        <color rgb="FF00000A"/>
      </right>
      <top style="medium">
        <color rgb="FF00000A"/>
      </top>
      <bottom style="medium">
        <color rgb="FF00000A"/>
      </bottom>
      <diagonal/>
    </border>
    <border>
      <left/>
      <right style="medium">
        <color rgb="FF00000A"/>
      </right>
      <top style="medium">
        <color rgb="FF00000A"/>
      </top>
      <bottom/>
      <diagonal/>
    </border>
    <border>
      <left/>
      <right style="medium">
        <color rgb="FF00000A"/>
      </right>
      <top/>
      <bottom style="medium">
        <color rgb="FF00000A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164" fontId="4" fillId="0" borderId="0"/>
  </cellStyleXfs>
  <cellXfs count="75">
    <xf numFmtId="0" fontId="0" fillId="0" borderId="0" xfId="0"/>
    <xf numFmtId="0" fontId="2" fillId="0" borderId="0" xfId="0" applyFont="1"/>
    <xf numFmtId="0" fontId="3" fillId="0" borderId="2" xfId="0" applyFont="1" applyBorder="1" applyAlignment="1">
      <alignment vertical="center" wrapText="1"/>
    </xf>
    <xf numFmtId="0" fontId="0" fillId="0" borderId="0" xfId="0"/>
    <xf numFmtId="0" fontId="3" fillId="0" borderId="3" xfId="0" applyFont="1" applyBorder="1" applyAlignment="1">
      <alignment vertical="center" wrapText="1"/>
    </xf>
    <xf numFmtId="0" fontId="3" fillId="0" borderId="4" xfId="0" applyFont="1" applyBorder="1" applyAlignment="1">
      <alignment vertical="center" wrapText="1"/>
    </xf>
    <xf numFmtId="0" fontId="3" fillId="0" borderId="5" xfId="0" applyFont="1" applyBorder="1" applyAlignment="1">
      <alignment vertical="center" wrapText="1"/>
    </xf>
    <xf numFmtId="0" fontId="3" fillId="0" borderId="0" xfId="0" applyFont="1" applyAlignment="1">
      <alignment horizontal="right" vertical="center" wrapText="1"/>
    </xf>
    <xf numFmtId="0" fontId="3" fillId="0" borderId="0" xfId="0" applyFont="1" applyFill="1" applyBorder="1" applyAlignment="1">
      <alignment vertical="center" wrapText="1"/>
    </xf>
    <xf numFmtId="0" fontId="3" fillId="0" borderId="6" xfId="0" applyFont="1" applyFill="1" applyBorder="1" applyAlignment="1">
      <alignment vertical="center" wrapText="1"/>
    </xf>
    <xf numFmtId="164" fontId="5" fillId="0" borderId="7" xfId="1" applyFont="1" applyBorder="1"/>
    <xf numFmtId="2" fontId="5" fillId="0" borderId="7" xfId="1" applyNumberFormat="1" applyFont="1" applyFill="1" applyBorder="1"/>
    <xf numFmtId="0" fontId="5" fillId="0" borderId="7" xfId="1" applyNumberFormat="1" applyFont="1" applyBorder="1"/>
    <xf numFmtId="165" fontId="5" fillId="0" borderId="7" xfId="1" applyNumberFormat="1" applyFont="1" applyBorder="1"/>
    <xf numFmtId="2" fontId="3" fillId="0" borderId="0" xfId="0" applyNumberFormat="1" applyFont="1" applyFill="1" applyBorder="1" applyAlignment="1">
      <alignment vertical="center" wrapText="1"/>
    </xf>
    <xf numFmtId="2" fontId="0" fillId="0" borderId="0" xfId="0" applyNumberFormat="1"/>
    <xf numFmtId="2" fontId="3" fillId="0" borderId="8" xfId="0" applyNumberFormat="1" applyFont="1" applyFill="1" applyBorder="1" applyAlignment="1">
      <alignment vertical="center" wrapText="1"/>
    </xf>
    <xf numFmtId="0" fontId="0" fillId="0" borderId="9" xfId="0" applyBorder="1"/>
    <xf numFmtId="0" fontId="0" fillId="0" borderId="8" xfId="0" applyBorder="1"/>
    <xf numFmtId="0" fontId="6" fillId="0" borderId="8" xfId="0" applyFont="1" applyBorder="1"/>
    <xf numFmtId="2" fontId="0" fillId="0" borderId="0" xfId="0" applyNumberFormat="1" applyAlignment="1">
      <alignment horizontal="center"/>
    </xf>
    <xf numFmtId="2" fontId="3" fillId="0" borderId="0" xfId="0" applyNumberFormat="1" applyFont="1" applyAlignment="1">
      <alignment horizontal="right" vertical="center" wrapText="1"/>
    </xf>
    <xf numFmtId="2" fontId="3" fillId="0" borderId="3" xfId="0" applyNumberFormat="1" applyFont="1" applyBorder="1" applyAlignment="1">
      <alignment vertical="center" wrapText="1"/>
    </xf>
    <xf numFmtId="2" fontId="3" fillId="0" borderId="5" xfId="0" applyNumberFormat="1" applyFont="1" applyBorder="1" applyAlignment="1">
      <alignment vertical="center" wrapText="1"/>
    </xf>
    <xf numFmtId="0" fontId="7" fillId="0" borderId="7" xfId="0" applyFont="1" applyBorder="1" applyAlignment="1">
      <alignment vertical="center" wrapText="1"/>
    </xf>
    <xf numFmtId="16" fontId="7" fillId="0" borderId="7" xfId="0" applyNumberFormat="1" applyFont="1" applyBorder="1" applyAlignment="1">
      <alignment vertical="center" wrapText="1"/>
    </xf>
    <xf numFmtId="2" fontId="7" fillId="0" borderId="7" xfId="0" applyNumberFormat="1" applyFont="1" applyBorder="1" applyAlignment="1">
      <alignment vertical="center" wrapText="1"/>
    </xf>
    <xf numFmtId="0" fontId="8" fillId="2" borderId="7" xfId="0" applyFont="1" applyFill="1" applyBorder="1" applyAlignment="1">
      <alignment horizontal="center" vertical="center" wrapText="1"/>
    </xf>
    <xf numFmtId="0" fontId="0" fillId="0" borderId="10" xfId="0" applyBorder="1"/>
    <xf numFmtId="0" fontId="3" fillId="0" borderId="1" xfId="0" applyFont="1" applyBorder="1" applyAlignment="1">
      <alignment vertical="center" wrapText="1"/>
    </xf>
    <xf numFmtId="164" fontId="4" fillId="0" borderId="7" xfId="1" applyBorder="1"/>
    <xf numFmtId="164" fontId="4" fillId="0" borderId="0" xfId="1"/>
    <xf numFmtId="164" fontId="9" fillId="0" borderId="7" xfId="1" applyFont="1" applyBorder="1"/>
    <xf numFmtId="164" fontId="9" fillId="0" borderId="0" xfId="1" applyFont="1"/>
    <xf numFmtId="2" fontId="3" fillId="0" borderId="11" xfId="0" applyNumberFormat="1" applyFont="1" applyFill="1" applyBorder="1" applyAlignment="1">
      <alignment vertical="center" wrapText="1"/>
    </xf>
    <xf numFmtId="0" fontId="7" fillId="0" borderId="1" xfId="0" applyFont="1" applyBorder="1" applyAlignment="1">
      <alignment vertical="center" wrapText="1"/>
    </xf>
    <xf numFmtId="2" fontId="3" fillId="0" borderId="1" xfId="0" applyNumberFormat="1" applyFont="1" applyBorder="1" applyAlignment="1">
      <alignment vertical="center" wrapText="1"/>
    </xf>
    <xf numFmtId="2" fontId="7" fillId="0" borderId="1" xfId="0" applyNumberFormat="1" applyFont="1" applyBorder="1" applyAlignment="1">
      <alignment vertical="center" wrapText="1"/>
    </xf>
    <xf numFmtId="2" fontId="0" fillId="0" borderId="1" xfId="0" applyNumberFormat="1" applyBorder="1"/>
    <xf numFmtId="2" fontId="3" fillId="0" borderId="1" xfId="0" applyNumberFormat="1" applyFont="1" applyBorder="1" applyAlignment="1">
      <alignment horizontal="right" vertical="center" wrapText="1"/>
    </xf>
    <xf numFmtId="164" fontId="4" fillId="0" borderId="12" xfId="1" applyBorder="1"/>
    <xf numFmtId="164" fontId="4" fillId="0" borderId="1" xfId="1" applyBorder="1"/>
    <xf numFmtId="0" fontId="0" fillId="0" borderId="1" xfId="0" applyBorder="1"/>
    <xf numFmtId="164" fontId="0" fillId="0" borderId="0" xfId="0" applyNumberFormat="1"/>
    <xf numFmtId="2" fontId="7" fillId="0" borderId="0" xfId="0" applyNumberFormat="1" applyFont="1" applyBorder="1" applyAlignment="1">
      <alignment vertical="center" wrapText="1"/>
    </xf>
    <xf numFmtId="0" fontId="0" fillId="0" borderId="7" xfId="0" applyBorder="1"/>
    <xf numFmtId="0" fontId="7" fillId="0" borderId="0" xfId="0" applyFont="1" applyBorder="1" applyAlignment="1">
      <alignment vertical="center" wrapText="1"/>
    </xf>
    <xf numFmtId="0" fontId="11" fillId="3" borderId="16" xfId="0" applyFont="1" applyFill="1" applyBorder="1" applyAlignment="1">
      <alignment horizontal="center" vertical="center" wrapText="1"/>
    </xf>
    <xf numFmtId="0" fontId="11" fillId="3" borderId="17" xfId="0" applyFont="1" applyFill="1" applyBorder="1" applyAlignment="1">
      <alignment horizontal="center" vertical="center" wrapText="1"/>
    </xf>
    <xf numFmtId="0" fontId="12" fillId="0" borderId="0" xfId="0" applyFont="1" applyAlignment="1">
      <alignment horizontal="center" vertical="center"/>
    </xf>
    <xf numFmtId="0" fontId="12" fillId="0" borderId="0" xfId="0" applyFont="1"/>
    <xf numFmtId="164" fontId="4" fillId="0" borderId="18" xfId="1" applyBorder="1"/>
    <xf numFmtId="164" fontId="4" fillId="0" borderId="8" xfId="1" applyBorder="1"/>
    <xf numFmtId="164" fontId="4" fillId="0" borderId="0" xfId="1" applyBorder="1"/>
    <xf numFmtId="0" fontId="0" fillId="0" borderId="0" xfId="0" applyBorder="1"/>
    <xf numFmtId="0" fontId="12" fillId="0" borderId="1" xfId="0" applyFont="1" applyBorder="1"/>
    <xf numFmtId="0" fontId="0" fillId="0" borderId="11" xfId="0" applyFill="1" applyBorder="1"/>
    <xf numFmtId="0" fontId="13" fillId="3" borderId="13" xfId="0" applyFont="1" applyFill="1" applyBorder="1" applyAlignment="1">
      <alignment horizontal="center" vertical="center" wrapText="1"/>
    </xf>
    <xf numFmtId="0" fontId="13" fillId="3" borderId="14" xfId="0" applyFont="1" applyFill="1" applyBorder="1" applyAlignment="1">
      <alignment horizontal="center" vertical="center" wrapText="1"/>
    </xf>
    <xf numFmtId="0" fontId="10" fillId="0" borderId="13" xfId="0" applyFont="1" applyBorder="1" applyAlignment="1">
      <alignment horizontal="center" vertical="center" wrapText="1"/>
    </xf>
    <xf numFmtId="0" fontId="10" fillId="0" borderId="15" xfId="0" applyFont="1" applyBorder="1" applyAlignment="1">
      <alignment horizontal="center" vertical="center" wrapText="1"/>
    </xf>
    <xf numFmtId="0" fontId="10" fillId="0" borderId="14" xfId="0" applyFont="1" applyBorder="1" applyAlignment="1">
      <alignment horizontal="center" vertical="center" wrapText="1"/>
    </xf>
    <xf numFmtId="0" fontId="10" fillId="0" borderId="17" xfId="0" applyFont="1" applyBorder="1" applyAlignment="1">
      <alignment horizontal="center" vertical="center" wrapText="1"/>
    </xf>
    <xf numFmtId="0" fontId="0" fillId="0" borderId="19" xfId="0" applyFill="1" applyBorder="1"/>
    <xf numFmtId="0" fontId="0" fillId="0" borderId="0" xfId="0" applyFill="1" applyBorder="1"/>
    <xf numFmtId="0" fontId="8" fillId="0" borderId="7" xfId="0" applyFont="1" applyBorder="1" applyAlignment="1">
      <alignment vertical="center" wrapText="1"/>
    </xf>
    <xf numFmtId="0" fontId="1" fillId="0" borderId="0" xfId="0" applyFont="1"/>
    <xf numFmtId="0" fontId="0" fillId="0" borderId="20" xfId="0" applyBorder="1"/>
    <xf numFmtId="0" fontId="0" fillId="0" borderId="21" xfId="0" applyBorder="1"/>
    <xf numFmtId="0" fontId="0" fillId="0" borderId="4" xfId="0" applyBorder="1"/>
    <xf numFmtId="0" fontId="14" fillId="0" borderId="4" xfId="0" applyFont="1" applyBorder="1" applyAlignment="1">
      <alignment horizontal="justify" vertical="center"/>
    </xf>
    <xf numFmtId="0" fontId="14" fillId="0" borderId="5" xfId="0" applyFont="1" applyBorder="1" applyAlignment="1">
      <alignment horizontal="justify" vertical="center"/>
    </xf>
    <xf numFmtId="0" fontId="14" fillId="0" borderId="4" xfId="0" applyFont="1" applyBorder="1" applyAlignment="1">
      <alignment horizontal="justify" vertical="center" wrapText="1"/>
    </xf>
    <xf numFmtId="0" fontId="14" fillId="0" borderId="5" xfId="0" applyFont="1" applyBorder="1" applyAlignment="1">
      <alignment horizontal="justify" vertical="center" wrapText="1"/>
    </xf>
    <xf numFmtId="164" fontId="9" fillId="0" borderId="7" xfId="1" applyFont="1" applyFill="1" applyBorder="1" applyAlignment="1">
      <alignment horizontal="center"/>
    </xf>
  </cellXfs>
  <cellStyles count="2">
    <cellStyle name="Обычный" xfId="0" builtinId="0"/>
    <cellStyle name="Обычный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Довірчі</a:t>
            </a:r>
            <a:r>
              <a:rPr lang="ru-RU" baseline="0"/>
              <a:t> та прогнозні інтервали трудомісткості виправлення помилок</a:t>
            </a:r>
            <a:r>
              <a:rPr lang="en-US" baseline="0"/>
              <a:t> </a:t>
            </a:r>
            <a:r>
              <a:rPr lang="ru-RU" baseline="0"/>
              <a:t>у ПЗ </a:t>
            </a:r>
            <a:r>
              <a:rPr lang="en-US" baseline="0"/>
              <a:t>YII3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UA"/>
        </a:p>
      </c:txPr>
    </c:title>
    <c:autoTitleDeleted val="0"/>
    <c:plotArea>
      <c:layout>
        <c:manualLayout>
          <c:layoutTarget val="inner"/>
          <c:xMode val="edge"/>
          <c:yMode val="edge"/>
          <c:x val="6.8242953729723707E-2"/>
          <c:y val="0.27114443976968983"/>
          <c:w val="0.90688072118193708"/>
          <c:h val="0.66872087005595915"/>
        </c:manualLayout>
      </c:layout>
      <c:scatterChart>
        <c:scatterStyle val="lineMarker"/>
        <c:varyColors val="0"/>
        <c:ser>
          <c:idx val="0"/>
          <c:order val="0"/>
          <c:tx>
            <c:v>y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геленко!$I$7:$I$38</c:f>
              <c:numCache>
                <c:formatCode>General</c:formatCode>
                <c:ptCount val="32"/>
                <c:pt idx="0">
                  <c:v>16.68</c:v>
                </c:pt>
                <c:pt idx="1">
                  <c:v>11.5</c:v>
                </c:pt>
                <c:pt idx="2">
                  <c:v>12.03</c:v>
                </c:pt>
                <c:pt idx="3">
                  <c:v>14.88</c:v>
                </c:pt>
                <c:pt idx="4">
                  <c:v>13.75</c:v>
                </c:pt>
                <c:pt idx="5">
                  <c:v>18.11</c:v>
                </c:pt>
                <c:pt idx="6">
                  <c:v>8</c:v>
                </c:pt>
                <c:pt idx="7">
                  <c:v>17.829999999999998</c:v>
                </c:pt>
                <c:pt idx="8">
                  <c:v>79.239999999999995</c:v>
                </c:pt>
                <c:pt idx="9">
                  <c:v>21.5</c:v>
                </c:pt>
                <c:pt idx="10">
                  <c:v>40.33</c:v>
                </c:pt>
                <c:pt idx="11">
                  <c:v>21</c:v>
                </c:pt>
                <c:pt idx="12">
                  <c:v>13.5</c:v>
                </c:pt>
                <c:pt idx="13">
                  <c:v>19.75</c:v>
                </c:pt>
                <c:pt idx="14">
                  <c:v>24</c:v>
                </c:pt>
                <c:pt idx="15">
                  <c:v>29</c:v>
                </c:pt>
                <c:pt idx="16">
                  <c:v>15.35</c:v>
                </c:pt>
                <c:pt idx="17">
                  <c:v>19</c:v>
                </c:pt>
                <c:pt idx="18">
                  <c:v>9.5</c:v>
                </c:pt>
                <c:pt idx="19">
                  <c:v>35.1</c:v>
                </c:pt>
                <c:pt idx="20">
                  <c:v>17.899999999999999</c:v>
                </c:pt>
                <c:pt idx="21">
                  <c:v>52.32</c:v>
                </c:pt>
                <c:pt idx="22">
                  <c:v>19.829999999999998</c:v>
                </c:pt>
                <c:pt idx="23">
                  <c:v>10.75</c:v>
                </c:pt>
                <c:pt idx="24">
                  <c:v>10.56</c:v>
                </c:pt>
                <c:pt idx="25">
                  <c:v>7.4409999999999998</c:v>
                </c:pt>
                <c:pt idx="26">
                  <c:v>7.4509999999999996</c:v>
                </c:pt>
                <c:pt idx="27">
                  <c:v>7.484</c:v>
                </c:pt>
                <c:pt idx="28">
                  <c:v>7.7069999999999999</c:v>
                </c:pt>
                <c:pt idx="29">
                  <c:v>7.9020000000000001</c:v>
                </c:pt>
                <c:pt idx="30">
                  <c:v>7.98</c:v>
                </c:pt>
                <c:pt idx="31">
                  <c:v>8.7249999999999996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137-4667-9774-92A4D6657FB2}"/>
            </c:ext>
          </c:extLst>
        </c:ser>
        <c:ser>
          <c:idx val="1"/>
          <c:order val="1"/>
          <c:tx>
            <c:v>y-delta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геленко!$AB$7:$AB$38</c:f>
              <c:numCache>
                <c:formatCode>General</c:formatCode>
                <c:ptCount val="32"/>
                <c:pt idx="0">
                  <c:v>14.045</c:v>
                </c:pt>
                <c:pt idx="1">
                  <c:v>8.8650000000000002</c:v>
                </c:pt>
                <c:pt idx="2">
                  <c:v>9.3949999999999996</c:v>
                </c:pt>
                <c:pt idx="3">
                  <c:v>12.245000000000001</c:v>
                </c:pt>
                <c:pt idx="4">
                  <c:v>11.115</c:v>
                </c:pt>
                <c:pt idx="5">
                  <c:v>15.475</c:v>
                </c:pt>
                <c:pt idx="6">
                  <c:v>5.3650000000000002</c:v>
                </c:pt>
                <c:pt idx="7">
                  <c:v>15.194999999999999</c:v>
                </c:pt>
                <c:pt idx="8">
                  <c:v>76.60499999999999</c:v>
                </c:pt>
                <c:pt idx="9">
                  <c:v>18.865000000000002</c:v>
                </c:pt>
                <c:pt idx="10">
                  <c:v>37.695</c:v>
                </c:pt>
                <c:pt idx="11">
                  <c:v>18.365000000000002</c:v>
                </c:pt>
                <c:pt idx="12">
                  <c:v>10.865</c:v>
                </c:pt>
                <c:pt idx="13">
                  <c:v>17.115000000000002</c:v>
                </c:pt>
                <c:pt idx="14">
                  <c:v>21.365000000000002</c:v>
                </c:pt>
                <c:pt idx="15">
                  <c:v>26.365000000000002</c:v>
                </c:pt>
                <c:pt idx="16">
                  <c:v>12.715</c:v>
                </c:pt>
                <c:pt idx="17">
                  <c:v>16.365000000000002</c:v>
                </c:pt>
                <c:pt idx="18">
                  <c:v>6.8650000000000002</c:v>
                </c:pt>
                <c:pt idx="19">
                  <c:v>32.465000000000003</c:v>
                </c:pt>
                <c:pt idx="20">
                  <c:v>15.264999999999999</c:v>
                </c:pt>
                <c:pt idx="21">
                  <c:v>49.685000000000002</c:v>
                </c:pt>
                <c:pt idx="22">
                  <c:v>17.195</c:v>
                </c:pt>
                <c:pt idx="23">
                  <c:v>8.1150000000000002</c:v>
                </c:pt>
                <c:pt idx="24">
                  <c:v>7.9250000000000007</c:v>
                </c:pt>
                <c:pt idx="25">
                  <c:v>4.806</c:v>
                </c:pt>
                <c:pt idx="26">
                  <c:v>4.8159999999999998</c:v>
                </c:pt>
                <c:pt idx="27">
                  <c:v>4.8490000000000002</c:v>
                </c:pt>
                <c:pt idx="28">
                  <c:v>5.0720000000000001</c:v>
                </c:pt>
                <c:pt idx="29">
                  <c:v>5.2670000000000003</c:v>
                </c:pt>
                <c:pt idx="30">
                  <c:v>5.3450000000000006</c:v>
                </c:pt>
                <c:pt idx="31">
                  <c:v>6.09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137-4667-9774-92A4D6657FB2}"/>
            </c:ext>
          </c:extLst>
        </c:ser>
        <c:ser>
          <c:idx val="2"/>
          <c:order val="2"/>
          <c:tx>
            <c:v>y+delta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геленко!$AC$7:$AC$38</c:f>
              <c:numCache>
                <c:formatCode>General</c:formatCode>
                <c:ptCount val="32"/>
                <c:pt idx="0">
                  <c:v>19.314999999999998</c:v>
                </c:pt>
                <c:pt idx="1">
                  <c:v>14.135</c:v>
                </c:pt>
                <c:pt idx="2">
                  <c:v>14.664999999999999</c:v>
                </c:pt>
                <c:pt idx="3">
                  <c:v>17.515000000000001</c:v>
                </c:pt>
                <c:pt idx="4">
                  <c:v>16.384999999999998</c:v>
                </c:pt>
                <c:pt idx="5">
                  <c:v>20.744999999999997</c:v>
                </c:pt>
                <c:pt idx="6">
                  <c:v>10.635</c:v>
                </c:pt>
                <c:pt idx="7">
                  <c:v>20.464999999999996</c:v>
                </c:pt>
                <c:pt idx="8">
                  <c:v>81.875</c:v>
                </c:pt>
                <c:pt idx="9">
                  <c:v>24.134999999999998</c:v>
                </c:pt>
                <c:pt idx="10">
                  <c:v>42.964999999999996</c:v>
                </c:pt>
                <c:pt idx="11">
                  <c:v>23.634999999999998</c:v>
                </c:pt>
                <c:pt idx="12">
                  <c:v>16.134999999999998</c:v>
                </c:pt>
                <c:pt idx="13">
                  <c:v>22.384999999999998</c:v>
                </c:pt>
                <c:pt idx="14">
                  <c:v>26.634999999999998</c:v>
                </c:pt>
                <c:pt idx="15">
                  <c:v>31.634999999999998</c:v>
                </c:pt>
                <c:pt idx="16">
                  <c:v>17.984999999999999</c:v>
                </c:pt>
                <c:pt idx="17">
                  <c:v>21.634999999999998</c:v>
                </c:pt>
                <c:pt idx="18">
                  <c:v>12.135</c:v>
                </c:pt>
                <c:pt idx="19">
                  <c:v>37.734999999999999</c:v>
                </c:pt>
                <c:pt idx="20">
                  <c:v>20.534999999999997</c:v>
                </c:pt>
                <c:pt idx="21">
                  <c:v>54.954999999999998</c:v>
                </c:pt>
                <c:pt idx="22">
                  <c:v>22.464999999999996</c:v>
                </c:pt>
                <c:pt idx="23">
                  <c:v>13.385</c:v>
                </c:pt>
                <c:pt idx="24">
                  <c:v>13.195</c:v>
                </c:pt>
                <c:pt idx="25">
                  <c:v>10.076000000000001</c:v>
                </c:pt>
                <c:pt idx="26">
                  <c:v>10.085999999999999</c:v>
                </c:pt>
                <c:pt idx="27">
                  <c:v>10.119</c:v>
                </c:pt>
                <c:pt idx="28">
                  <c:v>10.341999999999999</c:v>
                </c:pt>
                <c:pt idx="29">
                  <c:v>10.536999999999999</c:v>
                </c:pt>
                <c:pt idx="30">
                  <c:v>10.615</c:v>
                </c:pt>
                <c:pt idx="31">
                  <c:v>11.36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137-4667-9774-92A4D6657FB2}"/>
            </c:ext>
          </c:extLst>
        </c:ser>
        <c:ser>
          <c:idx val="3"/>
          <c:order val="3"/>
          <c:tx>
            <c:v>y-pred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yVal>
            <c:numRef>
              <c:f>геленко!$AD$7:$AD$38</c:f>
              <c:numCache>
                <c:formatCode>General</c:formatCode>
                <c:ptCount val="32"/>
                <c:pt idx="0">
                  <c:v>13.045</c:v>
                </c:pt>
                <c:pt idx="1">
                  <c:v>7.8650000000000002</c:v>
                </c:pt>
                <c:pt idx="2">
                  <c:v>8.3949999999999996</c:v>
                </c:pt>
                <c:pt idx="3">
                  <c:v>11.245000000000001</c:v>
                </c:pt>
                <c:pt idx="4">
                  <c:v>10.115</c:v>
                </c:pt>
                <c:pt idx="5">
                  <c:v>14.475</c:v>
                </c:pt>
                <c:pt idx="6">
                  <c:v>4.3650000000000002</c:v>
                </c:pt>
                <c:pt idx="7">
                  <c:v>14.194999999999999</c:v>
                </c:pt>
                <c:pt idx="8">
                  <c:v>75.60499999999999</c:v>
                </c:pt>
                <c:pt idx="9">
                  <c:v>17.865000000000002</c:v>
                </c:pt>
                <c:pt idx="10">
                  <c:v>36.695</c:v>
                </c:pt>
                <c:pt idx="11">
                  <c:v>17.365000000000002</c:v>
                </c:pt>
                <c:pt idx="12">
                  <c:v>9.8650000000000002</c:v>
                </c:pt>
                <c:pt idx="13">
                  <c:v>16.115000000000002</c:v>
                </c:pt>
                <c:pt idx="14">
                  <c:v>20.365000000000002</c:v>
                </c:pt>
                <c:pt idx="15">
                  <c:v>25.365000000000002</c:v>
                </c:pt>
                <c:pt idx="16">
                  <c:v>11.715</c:v>
                </c:pt>
                <c:pt idx="17">
                  <c:v>15.365000000000002</c:v>
                </c:pt>
                <c:pt idx="18">
                  <c:v>5.8650000000000002</c:v>
                </c:pt>
                <c:pt idx="19">
                  <c:v>31.465000000000003</c:v>
                </c:pt>
                <c:pt idx="20">
                  <c:v>14.264999999999999</c:v>
                </c:pt>
                <c:pt idx="21">
                  <c:v>48.685000000000002</c:v>
                </c:pt>
                <c:pt idx="22">
                  <c:v>16.195</c:v>
                </c:pt>
                <c:pt idx="23">
                  <c:v>7.1150000000000002</c:v>
                </c:pt>
                <c:pt idx="24">
                  <c:v>6.9250000000000007</c:v>
                </c:pt>
                <c:pt idx="25">
                  <c:v>3.806</c:v>
                </c:pt>
                <c:pt idx="26">
                  <c:v>3.8159999999999998</c:v>
                </c:pt>
                <c:pt idx="27">
                  <c:v>3.8490000000000002</c:v>
                </c:pt>
                <c:pt idx="28">
                  <c:v>4.0720000000000001</c:v>
                </c:pt>
                <c:pt idx="29">
                  <c:v>4.2670000000000003</c:v>
                </c:pt>
                <c:pt idx="30">
                  <c:v>4.3450000000000006</c:v>
                </c:pt>
                <c:pt idx="31">
                  <c:v>5.09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137-4667-9774-92A4D6657FB2}"/>
            </c:ext>
          </c:extLst>
        </c:ser>
        <c:ser>
          <c:idx val="4"/>
          <c:order val="4"/>
          <c:tx>
            <c:v>y+pred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геленко!$AE$7:$AE$38</c:f>
              <c:numCache>
                <c:formatCode>General</c:formatCode>
                <c:ptCount val="32"/>
                <c:pt idx="0">
                  <c:v>20.314999999999998</c:v>
                </c:pt>
                <c:pt idx="1">
                  <c:v>15.135</c:v>
                </c:pt>
                <c:pt idx="2">
                  <c:v>15.664999999999999</c:v>
                </c:pt>
                <c:pt idx="3">
                  <c:v>18.515000000000001</c:v>
                </c:pt>
                <c:pt idx="4">
                  <c:v>17.384999999999998</c:v>
                </c:pt>
                <c:pt idx="5">
                  <c:v>21.744999999999997</c:v>
                </c:pt>
                <c:pt idx="6">
                  <c:v>11.635</c:v>
                </c:pt>
                <c:pt idx="7">
                  <c:v>21.464999999999996</c:v>
                </c:pt>
                <c:pt idx="8">
                  <c:v>82.875</c:v>
                </c:pt>
                <c:pt idx="9">
                  <c:v>25.134999999999998</c:v>
                </c:pt>
                <c:pt idx="10">
                  <c:v>43.964999999999996</c:v>
                </c:pt>
                <c:pt idx="11">
                  <c:v>24.634999999999998</c:v>
                </c:pt>
                <c:pt idx="12">
                  <c:v>17.134999999999998</c:v>
                </c:pt>
                <c:pt idx="13">
                  <c:v>23.384999999999998</c:v>
                </c:pt>
                <c:pt idx="14">
                  <c:v>27.634999999999998</c:v>
                </c:pt>
                <c:pt idx="15">
                  <c:v>32.634999999999998</c:v>
                </c:pt>
                <c:pt idx="16">
                  <c:v>18.984999999999999</c:v>
                </c:pt>
                <c:pt idx="17">
                  <c:v>22.634999999999998</c:v>
                </c:pt>
                <c:pt idx="18">
                  <c:v>13.135</c:v>
                </c:pt>
                <c:pt idx="19">
                  <c:v>38.734999999999999</c:v>
                </c:pt>
                <c:pt idx="20">
                  <c:v>21.534999999999997</c:v>
                </c:pt>
                <c:pt idx="21">
                  <c:v>55.954999999999998</c:v>
                </c:pt>
                <c:pt idx="22">
                  <c:v>23.464999999999996</c:v>
                </c:pt>
                <c:pt idx="23">
                  <c:v>14.385</c:v>
                </c:pt>
                <c:pt idx="24">
                  <c:v>14.195</c:v>
                </c:pt>
                <c:pt idx="25">
                  <c:v>11.076000000000001</c:v>
                </c:pt>
                <c:pt idx="26">
                  <c:v>11.085999999999999</c:v>
                </c:pt>
                <c:pt idx="27">
                  <c:v>11.119</c:v>
                </c:pt>
                <c:pt idx="28">
                  <c:v>11.341999999999999</c:v>
                </c:pt>
                <c:pt idx="29">
                  <c:v>11.536999999999999</c:v>
                </c:pt>
                <c:pt idx="30">
                  <c:v>11.615</c:v>
                </c:pt>
                <c:pt idx="31">
                  <c:v>12.36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137-4667-9774-92A4D6657F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2525440"/>
        <c:axId val="812525856"/>
      </c:scatterChart>
      <c:valAx>
        <c:axId val="812525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UA"/>
          </a:p>
        </c:txPr>
        <c:crossAx val="812525856"/>
        <c:crosses val="autoZero"/>
        <c:crossBetween val="midCat"/>
      </c:valAx>
      <c:valAx>
        <c:axId val="81252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UA"/>
          </a:p>
        </c:txPr>
        <c:crossAx val="8125254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UA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UA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Довірчі</a:t>
            </a:r>
            <a:r>
              <a:rPr lang="ru-RU" baseline="0"/>
              <a:t> та прогнозні інтервали трудомісткості виправлення помилок</a:t>
            </a:r>
            <a:r>
              <a:rPr lang="en-US" baseline="0"/>
              <a:t> </a:t>
            </a:r>
            <a:r>
              <a:rPr lang="ru-RU" baseline="0"/>
              <a:t>у ПЗ </a:t>
            </a:r>
            <a:r>
              <a:rPr lang="en-US" baseline="0"/>
              <a:t>YII3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UA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'трудоемкость тестирования'!$I$7:$I$38</c:f>
              <c:numCache>
                <c:formatCode>General</c:formatCode>
                <c:ptCount val="32"/>
                <c:pt idx="0">
                  <c:v>6.1820000000000004</c:v>
                </c:pt>
                <c:pt idx="1">
                  <c:v>6.1820000000000004</c:v>
                </c:pt>
                <c:pt idx="2">
                  <c:v>6.3140000000000001</c:v>
                </c:pt>
                <c:pt idx="3">
                  <c:v>6.3579999999999997</c:v>
                </c:pt>
                <c:pt idx="4">
                  <c:v>6.4820000000000002</c:v>
                </c:pt>
                <c:pt idx="5">
                  <c:v>6.5830000000000002</c:v>
                </c:pt>
                <c:pt idx="6">
                  <c:v>6.6050000000000004</c:v>
                </c:pt>
                <c:pt idx="7">
                  <c:v>6.7489999999999997</c:v>
                </c:pt>
                <c:pt idx="8">
                  <c:v>6.8630000000000004</c:v>
                </c:pt>
                <c:pt idx="9">
                  <c:v>6.8789999999999996</c:v>
                </c:pt>
                <c:pt idx="10">
                  <c:v>6.9480000000000004</c:v>
                </c:pt>
                <c:pt idx="11">
                  <c:v>6.9720000000000004</c:v>
                </c:pt>
                <c:pt idx="12">
                  <c:v>7.0069999999999997</c:v>
                </c:pt>
                <c:pt idx="13">
                  <c:v>7.0149999999999997</c:v>
                </c:pt>
                <c:pt idx="14">
                  <c:v>7.1070000000000002</c:v>
                </c:pt>
                <c:pt idx="15">
                  <c:v>7.1239999999999997</c:v>
                </c:pt>
                <c:pt idx="16">
                  <c:v>7.1529999999999996</c:v>
                </c:pt>
                <c:pt idx="17">
                  <c:v>7.1689999999999996</c:v>
                </c:pt>
                <c:pt idx="18">
                  <c:v>7.2190000000000003</c:v>
                </c:pt>
                <c:pt idx="19">
                  <c:v>7.2690000000000001</c:v>
                </c:pt>
                <c:pt idx="20">
                  <c:v>7.2919999999999998</c:v>
                </c:pt>
                <c:pt idx="21">
                  <c:v>7.3010000000000002</c:v>
                </c:pt>
                <c:pt idx="22">
                  <c:v>7.375</c:v>
                </c:pt>
                <c:pt idx="23">
                  <c:v>7.383</c:v>
                </c:pt>
                <c:pt idx="24">
                  <c:v>7.4279999999999999</c:v>
                </c:pt>
                <c:pt idx="25">
                  <c:v>7.4409999999999998</c:v>
                </c:pt>
                <c:pt idx="26">
                  <c:v>7.4509999999999996</c:v>
                </c:pt>
                <c:pt idx="27">
                  <c:v>7.484</c:v>
                </c:pt>
                <c:pt idx="28">
                  <c:v>7.7069999999999999</c:v>
                </c:pt>
                <c:pt idx="29">
                  <c:v>7.9020000000000001</c:v>
                </c:pt>
                <c:pt idx="30">
                  <c:v>7.98</c:v>
                </c:pt>
                <c:pt idx="31">
                  <c:v>8.7249999999999996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EF-4CF4-AE90-16F9628AE04F}"/>
            </c:ext>
          </c:extLst>
        </c:ser>
        <c:ser>
          <c:idx val="1"/>
          <c:order val="1"/>
          <c:tx>
            <c:v>y-delta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'трудоемкость тестирования'!$AB$7:$AB$38</c:f>
              <c:numCache>
                <c:formatCode>General</c:formatCode>
                <c:ptCount val="32"/>
                <c:pt idx="0">
                  <c:v>3.5470000000000006</c:v>
                </c:pt>
                <c:pt idx="1">
                  <c:v>3.5470000000000006</c:v>
                </c:pt>
                <c:pt idx="2">
                  <c:v>3.6790000000000003</c:v>
                </c:pt>
                <c:pt idx="3">
                  <c:v>3.7229999999999999</c:v>
                </c:pt>
                <c:pt idx="4">
                  <c:v>3.8470000000000004</c:v>
                </c:pt>
                <c:pt idx="5">
                  <c:v>3.9480000000000004</c:v>
                </c:pt>
                <c:pt idx="6">
                  <c:v>3.9700000000000006</c:v>
                </c:pt>
                <c:pt idx="7">
                  <c:v>4.1139999999999999</c:v>
                </c:pt>
                <c:pt idx="8">
                  <c:v>4.2280000000000006</c:v>
                </c:pt>
                <c:pt idx="9">
                  <c:v>4.2439999999999998</c:v>
                </c:pt>
                <c:pt idx="10">
                  <c:v>4.3130000000000006</c:v>
                </c:pt>
                <c:pt idx="11">
                  <c:v>4.3370000000000006</c:v>
                </c:pt>
                <c:pt idx="12">
                  <c:v>4.3719999999999999</c:v>
                </c:pt>
                <c:pt idx="13">
                  <c:v>4.38</c:v>
                </c:pt>
                <c:pt idx="14">
                  <c:v>4.4720000000000004</c:v>
                </c:pt>
                <c:pt idx="15">
                  <c:v>4.4889999999999999</c:v>
                </c:pt>
                <c:pt idx="16">
                  <c:v>4.5179999999999998</c:v>
                </c:pt>
                <c:pt idx="17">
                  <c:v>4.5339999999999998</c:v>
                </c:pt>
                <c:pt idx="18">
                  <c:v>4.5840000000000005</c:v>
                </c:pt>
                <c:pt idx="19">
                  <c:v>4.6340000000000003</c:v>
                </c:pt>
                <c:pt idx="20">
                  <c:v>4.657</c:v>
                </c:pt>
                <c:pt idx="21">
                  <c:v>4.6660000000000004</c:v>
                </c:pt>
                <c:pt idx="22">
                  <c:v>4.74</c:v>
                </c:pt>
                <c:pt idx="23">
                  <c:v>4.7480000000000002</c:v>
                </c:pt>
                <c:pt idx="24">
                  <c:v>4.7930000000000001</c:v>
                </c:pt>
                <c:pt idx="25">
                  <c:v>4.806</c:v>
                </c:pt>
                <c:pt idx="26">
                  <c:v>4.8159999999999998</c:v>
                </c:pt>
                <c:pt idx="27">
                  <c:v>4.8490000000000002</c:v>
                </c:pt>
                <c:pt idx="28">
                  <c:v>5.0720000000000001</c:v>
                </c:pt>
                <c:pt idx="29">
                  <c:v>5.2670000000000003</c:v>
                </c:pt>
                <c:pt idx="30">
                  <c:v>5.3450000000000006</c:v>
                </c:pt>
                <c:pt idx="31">
                  <c:v>6.09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AEF-4CF4-AE90-16F9628AE04F}"/>
            </c:ext>
          </c:extLst>
        </c:ser>
        <c:ser>
          <c:idx val="2"/>
          <c:order val="2"/>
          <c:tx>
            <c:v>y+delta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'трудоемкость тестирования'!$AC$7:$AC$38</c:f>
              <c:numCache>
                <c:formatCode>General</c:formatCode>
                <c:ptCount val="32"/>
                <c:pt idx="0">
                  <c:v>8.8170000000000002</c:v>
                </c:pt>
                <c:pt idx="1">
                  <c:v>8.8170000000000002</c:v>
                </c:pt>
                <c:pt idx="2">
                  <c:v>8.9489999999999998</c:v>
                </c:pt>
                <c:pt idx="3">
                  <c:v>8.9929999999999986</c:v>
                </c:pt>
                <c:pt idx="4">
                  <c:v>9.1170000000000009</c:v>
                </c:pt>
                <c:pt idx="5">
                  <c:v>9.218</c:v>
                </c:pt>
                <c:pt idx="6">
                  <c:v>9.24</c:v>
                </c:pt>
                <c:pt idx="7">
                  <c:v>9.3840000000000003</c:v>
                </c:pt>
                <c:pt idx="8">
                  <c:v>9.4980000000000011</c:v>
                </c:pt>
                <c:pt idx="9">
                  <c:v>9.5139999999999993</c:v>
                </c:pt>
                <c:pt idx="10">
                  <c:v>9.5830000000000002</c:v>
                </c:pt>
                <c:pt idx="11">
                  <c:v>9.6069999999999993</c:v>
                </c:pt>
                <c:pt idx="12">
                  <c:v>9.6419999999999995</c:v>
                </c:pt>
                <c:pt idx="13">
                  <c:v>9.6499999999999986</c:v>
                </c:pt>
                <c:pt idx="14">
                  <c:v>9.7420000000000009</c:v>
                </c:pt>
                <c:pt idx="15">
                  <c:v>9.7590000000000003</c:v>
                </c:pt>
                <c:pt idx="16">
                  <c:v>9.7880000000000003</c:v>
                </c:pt>
                <c:pt idx="17">
                  <c:v>9.8039999999999985</c:v>
                </c:pt>
                <c:pt idx="18">
                  <c:v>9.8539999999999992</c:v>
                </c:pt>
                <c:pt idx="19">
                  <c:v>9.9039999999999999</c:v>
                </c:pt>
                <c:pt idx="20">
                  <c:v>9.9269999999999996</c:v>
                </c:pt>
                <c:pt idx="21">
                  <c:v>9.9359999999999999</c:v>
                </c:pt>
                <c:pt idx="22">
                  <c:v>10.01</c:v>
                </c:pt>
                <c:pt idx="23">
                  <c:v>10.018000000000001</c:v>
                </c:pt>
                <c:pt idx="24">
                  <c:v>10.062999999999999</c:v>
                </c:pt>
                <c:pt idx="25">
                  <c:v>10.076000000000001</c:v>
                </c:pt>
                <c:pt idx="26">
                  <c:v>10.085999999999999</c:v>
                </c:pt>
                <c:pt idx="27">
                  <c:v>10.119</c:v>
                </c:pt>
                <c:pt idx="28">
                  <c:v>10.341999999999999</c:v>
                </c:pt>
                <c:pt idx="29">
                  <c:v>10.536999999999999</c:v>
                </c:pt>
                <c:pt idx="30">
                  <c:v>10.615</c:v>
                </c:pt>
                <c:pt idx="31">
                  <c:v>11.36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AEF-4CF4-AE90-16F9628AE04F}"/>
            </c:ext>
          </c:extLst>
        </c:ser>
        <c:ser>
          <c:idx val="3"/>
          <c:order val="3"/>
          <c:tx>
            <c:v>y-pred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yVal>
            <c:numRef>
              <c:f>'трудоемкость тестирования'!$AD$7:$AD$38</c:f>
              <c:numCache>
                <c:formatCode>General</c:formatCode>
                <c:ptCount val="32"/>
                <c:pt idx="0">
                  <c:v>2.5470000000000006</c:v>
                </c:pt>
                <c:pt idx="1">
                  <c:v>2.5470000000000006</c:v>
                </c:pt>
                <c:pt idx="2">
                  <c:v>2.6790000000000003</c:v>
                </c:pt>
                <c:pt idx="3">
                  <c:v>2.7229999999999999</c:v>
                </c:pt>
                <c:pt idx="4">
                  <c:v>2.8470000000000004</c:v>
                </c:pt>
                <c:pt idx="5">
                  <c:v>2.9480000000000004</c:v>
                </c:pt>
                <c:pt idx="6">
                  <c:v>2.9700000000000006</c:v>
                </c:pt>
                <c:pt idx="7">
                  <c:v>3.1139999999999999</c:v>
                </c:pt>
                <c:pt idx="8">
                  <c:v>3.2280000000000006</c:v>
                </c:pt>
                <c:pt idx="9">
                  <c:v>3.2439999999999998</c:v>
                </c:pt>
                <c:pt idx="10">
                  <c:v>3.3130000000000006</c:v>
                </c:pt>
                <c:pt idx="11">
                  <c:v>3.3370000000000006</c:v>
                </c:pt>
                <c:pt idx="12">
                  <c:v>3.3719999999999999</c:v>
                </c:pt>
                <c:pt idx="13">
                  <c:v>3.38</c:v>
                </c:pt>
                <c:pt idx="14">
                  <c:v>3.4720000000000004</c:v>
                </c:pt>
                <c:pt idx="15">
                  <c:v>3.4889999999999999</c:v>
                </c:pt>
                <c:pt idx="16">
                  <c:v>3.5179999999999998</c:v>
                </c:pt>
                <c:pt idx="17">
                  <c:v>3.5339999999999998</c:v>
                </c:pt>
                <c:pt idx="18">
                  <c:v>3.5840000000000005</c:v>
                </c:pt>
                <c:pt idx="19">
                  <c:v>3.6340000000000003</c:v>
                </c:pt>
                <c:pt idx="20">
                  <c:v>3.657</c:v>
                </c:pt>
                <c:pt idx="21">
                  <c:v>3.6660000000000004</c:v>
                </c:pt>
                <c:pt idx="22">
                  <c:v>3.74</c:v>
                </c:pt>
                <c:pt idx="23">
                  <c:v>3.7480000000000002</c:v>
                </c:pt>
                <c:pt idx="24">
                  <c:v>3.7930000000000001</c:v>
                </c:pt>
                <c:pt idx="25">
                  <c:v>3.806</c:v>
                </c:pt>
                <c:pt idx="26">
                  <c:v>3.8159999999999998</c:v>
                </c:pt>
                <c:pt idx="27">
                  <c:v>3.8490000000000002</c:v>
                </c:pt>
                <c:pt idx="28">
                  <c:v>4.0720000000000001</c:v>
                </c:pt>
                <c:pt idx="29">
                  <c:v>4.2670000000000003</c:v>
                </c:pt>
                <c:pt idx="30">
                  <c:v>4.3450000000000006</c:v>
                </c:pt>
                <c:pt idx="31">
                  <c:v>5.09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AEF-4CF4-AE90-16F9628AE04F}"/>
            </c:ext>
          </c:extLst>
        </c:ser>
        <c:ser>
          <c:idx val="4"/>
          <c:order val="4"/>
          <c:tx>
            <c:v>y+pred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'трудоемкость тестирования'!$AE$7:$AE$38</c:f>
              <c:numCache>
                <c:formatCode>General</c:formatCode>
                <c:ptCount val="32"/>
                <c:pt idx="0">
                  <c:v>9.8170000000000002</c:v>
                </c:pt>
                <c:pt idx="1">
                  <c:v>9.8170000000000002</c:v>
                </c:pt>
                <c:pt idx="2">
                  <c:v>9.9489999999999998</c:v>
                </c:pt>
                <c:pt idx="3">
                  <c:v>9.9929999999999986</c:v>
                </c:pt>
                <c:pt idx="4">
                  <c:v>10.117000000000001</c:v>
                </c:pt>
                <c:pt idx="5">
                  <c:v>10.218</c:v>
                </c:pt>
                <c:pt idx="6">
                  <c:v>10.24</c:v>
                </c:pt>
                <c:pt idx="7">
                  <c:v>10.384</c:v>
                </c:pt>
                <c:pt idx="8">
                  <c:v>10.498000000000001</c:v>
                </c:pt>
                <c:pt idx="9">
                  <c:v>10.513999999999999</c:v>
                </c:pt>
                <c:pt idx="10">
                  <c:v>10.583</c:v>
                </c:pt>
                <c:pt idx="11">
                  <c:v>10.606999999999999</c:v>
                </c:pt>
                <c:pt idx="12">
                  <c:v>10.641999999999999</c:v>
                </c:pt>
                <c:pt idx="13">
                  <c:v>10.649999999999999</c:v>
                </c:pt>
                <c:pt idx="14">
                  <c:v>10.742000000000001</c:v>
                </c:pt>
                <c:pt idx="15">
                  <c:v>10.759</c:v>
                </c:pt>
                <c:pt idx="16">
                  <c:v>10.788</c:v>
                </c:pt>
                <c:pt idx="17">
                  <c:v>10.803999999999998</c:v>
                </c:pt>
                <c:pt idx="18">
                  <c:v>10.853999999999999</c:v>
                </c:pt>
                <c:pt idx="19">
                  <c:v>10.904</c:v>
                </c:pt>
                <c:pt idx="20">
                  <c:v>10.927</c:v>
                </c:pt>
                <c:pt idx="21">
                  <c:v>10.936</c:v>
                </c:pt>
                <c:pt idx="22">
                  <c:v>11.01</c:v>
                </c:pt>
                <c:pt idx="23">
                  <c:v>11.018000000000001</c:v>
                </c:pt>
                <c:pt idx="24">
                  <c:v>11.062999999999999</c:v>
                </c:pt>
                <c:pt idx="25">
                  <c:v>11.076000000000001</c:v>
                </c:pt>
                <c:pt idx="26">
                  <c:v>11.085999999999999</c:v>
                </c:pt>
                <c:pt idx="27">
                  <c:v>11.119</c:v>
                </c:pt>
                <c:pt idx="28">
                  <c:v>11.341999999999999</c:v>
                </c:pt>
                <c:pt idx="29">
                  <c:v>11.536999999999999</c:v>
                </c:pt>
                <c:pt idx="30">
                  <c:v>11.615</c:v>
                </c:pt>
                <c:pt idx="31">
                  <c:v>12.36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AEF-4CF4-AE90-16F9628AE0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2525440"/>
        <c:axId val="812525856"/>
      </c:scatterChart>
      <c:valAx>
        <c:axId val="812525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UA"/>
          </a:p>
        </c:txPr>
        <c:crossAx val="812525856"/>
        <c:crosses val="autoZero"/>
        <c:crossBetween val="midCat"/>
      </c:valAx>
      <c:valAx>
        <c:axId val="81252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UA"/>
          </a:p>
        </c:txPr>
        <c:crossAx val="8125254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UA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UA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Довірчі інтервали та інтервали прогнозування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UA"/>
        </a:p>
      </c:txPr>
    </c:title>
    <c:autoTitleDeleted val="0"/>
    <c:plotArea>
      <c:layout>
        <c:manualLayout>
          <c:layoutTarget val="inner"/>
          <c:xMode val="edge"/>
          <c:yMode val="edge"/>
          <c:x val="6.1959360799137546E-2"/>
          <c:y val="2.5428331875182269E-2"/>
          <c:w val="0.87903364765712766"/>
          <c:h val="0.65027492398132314"/>
        </c:manualLayout>
      </c:layout>
      <c:scatterChart>
        <c:scatterStyle val="lineMarker"/>
        <c:varyColors val="0"/>
        <c:ser>
          <c:idx val="0"/>
          <c:order val="0"/>
          <c:tx>
            <c:v>effort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'трудоемкость тестирования'!$I$7:$I$38</c:f>
              <c:numCache>
                <c:formatCode>General</c:formatCode>
                <c:ptCount val="32"/>
                <c:pt idx="0">
                  <c:v>6.1820000000000004</c:v>
                </c:pt>
                <c:pt idx="1">
                  <c:v>6.1820000000000004</c:v>
                </c:pt>
                <c:pt idx="2">
                  <c:v>6.3140000000000001</c:v>
                </c:pt>
                <c:pt idx="3">
                  <c:v>6.3579999999999997</c:v>
                </c:pt>
                <c:pt idx="4">
                  <c:v>6.4820000000000002</c:v>
                </c:pt>
                <c:pt idx="5">
                  <c:v>6.5830000000000002</c:v>
                </c:pt>
                <c:pt idx="6">
                  <c:v>6.6050000000000004</c:v>
                </c:pt>
                <c:pt idx="7">
                  <c:v>6.7489999999999997</c:v>
                </c:pt>
                <c:pt idx="8">
                  <c:v>6.8630000000000004</c:v>
                </c:pt>
                <c:pt idx="9">
                  <c:v>6.8789999999999996</c:v>
                </c:pt>
                <c:pt idx="10">
                  <c:v>6.9480000000000004</c:v>
                </c:pt>
                <c:pt idx="11">
                  <c:v>6.9720000000000004</c:v>
                </c:pt>
                <c:pt idx="12">
                  <c:v>7.0069999999999997</c:v>
                </c:pt>
                <c:pt idx="13">
                  <c:v>7.0149999999999997</c:v>
                </c:pt>
                <c:pt idx="14">
                  <c:v>7.1070000000000002</c:v>
                </c:pt>
                <c:pt idx="15">
                  <c:v>7.1239999999999997</c:v>
                </c:pt>
                <c:pt idx="16">
                  <c:v>7.1529999999999996</c:v>
                </c:pt>
                <c:pt idx="17">
                  <c:v>7.1689999999999996</c:v>
                </c:pt>
                <c:pt idx="18">
                  <c:v>7.2190000000000003</c:v>
                </c:pt>
                <c:pt idx="19">
                  <c:v>7.2690000000000001</c:v>
                </c:pt>
                <c:pt idx="20">
                  <c:v>7.2919999999999998</c:v>
                </c:pt>
                <c:pt idx="21">
                  <c:v>7.3010000000000002</c:v>
                </c:pt>
                <c:pt idx="22">
                  <c:v>7.375</c:v>
                </c:pt>
                <c:pt idx="23">
                  <c:v>7.383</c:v>
                </c:pt>
                <c:pt idx="24">
                  <c:v>7.4279999999999999</c:v>
                </c:pt>
                <c:pt idx="25">
                  <c:v>7.4409999999999998</c:v>
                </c:pt>
                <c:pt idx="26">
                  <c:v>7.4509999999999996</c:v>
                </c:pt>
                <c:pt idx="27">
                  <c:v>7.484</c:v>
                </c:pt>
                <c:pt idx="28">
                  <c:v>7.7069999999999999</c:v>
                </c:pt>
                <c:pt idx="29">
                  <c:v>7.9020000000000001</c:v>
                </c:pt>
                <c:pt idx="30">
                  <c:v>7.98</c:v>
                </c:pt>
                <c:pt idx="31">
                  <c:v>8.7249999999999996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E79-444E-8A22-FCF3626E6989}"/>
            </c:ext>
          </c:extLst>
        </c:ser>
        <c:ser>
          <c:idx val="1"/>
          <c:order val="1"/>
          <c:tx>
            <c:v>lefy dov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'трудоемкость тестирования'!$X$7:$X$38</c:f>
              <c:numCache>
                <c:formatCode>0.00</c:formatCode>
                <c:ptCount val="32"/>
                <c:pt idx="0">
                  <c:v>6.8825016202290907</c:v>
                </c:pt>
                <c:pt idx="1">
                  <c:v>6.9668272554635458</c:v>
                </c:pt>
                <c:pt idx="2">
                  <c:v>6.9872515513716982</c:v>
                </c:pt>
                <c:pt idx="3">
                  <c:v>6.9872515513716982</c:v>
                </c:pt>
                <c:pt idx="4">
                  <c:v>6.9872515513716982</c:v>
                </c:pt>
                <c:pt idx="5">
                  <c:v>7.0050132038567607</c:v>
                </c:pt>
                <c:pt idx="6">
                  <c:v>6.9668272554635458</c:v>
                </c:pt>
                <c:pt idx="7">
                  <c:v>7.0204290008051498</c:v>
                </c:pt>
                <c:pt idx="8">
                  <c:v>7.0588160538695783</c:v>
                </c:pt>
                <c:pt idx="9">
                  <c:v>7.0050132038567607</c:v>
                </c:pt>
                <c:pt idx="10">
                  <c:v>7.0429673530597823</c:v>
                </c:pt>
                <c:pt idx="11">
                  <c:v>6.9432093326453259</c:v>
                </c:pt>
                <c:pt idx="12">
                  <c:v>7.0245038080561049</c:v>
                </c:pt>
                <c:pt idx="13">
                  <c:v>7.0050132038567607</c:v>
                </c:pt>
                <c:pt idx="14">
                  <c:v>6.9872515513716982</c:v>
                </c:pt>
                <c:pt idx="15">
                  <c:v>7.0336480118264433</c:v>
                </c:pt>
                <c:pt idx="16">
                  <c:v>7.0204290008051498</c:v>
                </c:pt>
                <c:pt idx="17">
                  <c:v>7.0368804730560797</c:v>
                </c:pt>
                <c:pt idx="18">
                  <c:v>7.0123043791545046</c:v>
                </c:pt>
                <c:pt idx="19">
                  <c:v>6.9682495873051709</c:v>
                </c:pt>
                <c:pt idx="20">
                  <c:v>7.0336480118264433</c:v>
                </c:pt>
                <c:pt idx="21">
                  <c:v>7.0588160538695783</c:v>
                </c:pt>
                <c:pt idx="22">
                  <c:v>7.0488154343107228</c:v>
                </c:pt>
                <c:pt idx="23">
                  <c:v>7.0542069711441275</c:v>
                </c:pt>
                <c:pt idx="24">
                  <c:v>7.0306958946513332</c:v>
                </c:pt>
                <c:pt idx="25">
                  <c:v>7.0123043791545046</c:v>
                </c:pt>
                <c:pt idx="26">
                  <c:v>7.0123043791545046</c:v>
                </c:pt>
                <c:pt idx="27">
                  <c:v>7.0123043791545046</c:v>
                </c:pt>
                <c:pt idx="28">
                  <c:v>6.9838099100600521</c:v>
                </c:pt>
                <c:pt idx="29">
                  <c:v>6.9948233447521284</c:v>
                </c:pt>
                <c:pt idx="30">
                  <c:v>6.8539934320177327</c:v>
                </c:pt>
                <c:pt idx="31">
                  <c:v>6.7486585488564632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E79-444E-8A22-FCF3626E6989}"/>
            </c:ext>
          </c:extLst>
        </c:ser>
        <c:ser>
          <c:idx val="2"/>
          <c:order val="2"/>
          <c:tx>
            <c:v>right dov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'трудоемкость тестирования'!$Y$7:$Y$38</c:f>
              <c:numCache>
                <c:formatCode>0.00</c:formatCode>
                <c:ptCount val="32"/>
                <c:pt idx="0">
                  <c:v>7.3455608797709075</c:v>
                </c:pt>
                <c:pt idx="1">
                  <c:v>7.2612352445364525</c:v>
                </c:pt>
                <c:pt idx="2">
                  <c:v>7.2408109486283001</c:v>
                </c:pt>
                <c:pt idx="3">
                  <c:v>7.2408109486283001</c:v>
                </c:pt>
                <c:pt idx="4">
                  <c:v>7.2408109486283001</c:v>
                </c:pt>
                <c:pt idx="5">
                  <c:v>7.2230492961432375</c:v>
                </c:pt>
                <c:pt idx="6">
                  <c:v>7.2612352445364525</c:v>
                </c:pt>
                <c:pt idx="7">
                  <c:v>7.2076334991948485</c:v>
                </c:pt>
                <c:pt idx="8">
                  <c:v>7.1692464461304199</c:v>
                </c:pt>
                <c:pt idx="9">
                  <c:v>7.2230492961432375</c:v>
                </c:pt>
                <c:pt idx="10">
                  <c:v>7.185095146940216</c:v>
                </c:pt>
                <c:pt idx="11">
                  <c:v>7.2848531673546724</c:v>
                </c:pt>
                <c:pt idx="12">
                  <c:v>7.2035586919438934</c:v>
                </c:pt>
                <c:pt idx="13">
                  <c:v>7.2230492961432375</c:v>
                </c:pt>
                <c:pt idx="14">
                  <c:v>7.2408109486283001</c:v>
                </c:pt>
                <c:pt idx="15">
                  <c:v>7.194414488173555</c:v>
                </c:pt>
                <c:pt idx="16">
                  <c:v>7.2076334991948485</c:v>
                </c:pt>
                <c:pt idx="17">
                  <c:v>7.1911820269439186</c:v>
                </c:pt>
                <c:pt idx="18">
                  <c:v>7.2157581208454937</c:v>
                </c:pt>
                <c:pt idx="19">
                  <c:v>7.2598129126948274</c:v>
                </c:pt>
                <c:pt idx="20">
                  <c:v>7.194414488173555</c:v>
                </c:pt>
                <c:pt idx="21">
                  <c:v>7.1692464461304199</c:v>
                </c:pt>
                <c:pt idx="22">
                  <c:v>7.1792470656892755</c:v>
                </c:pt>
                <c:pt idx="23">
                  <c:v>7.1738555288558707</c:v>
                </c:pt>
                <c:pt idx="24">
                  <c:v>7.1973666053486651</c:v>
                </c:pt>
                <c:pt idx="25">
                  <c:v>7.2157581208454937</c:v>
                </c:pt>
                <c:pt idx="26">
                  <c:v>7.2157581208454937</c:v>
                </c:pt>
                <c:pt idx="27">
                  <c:v>7.2157581208454937</c:v>
                </c:pt>
                <c:pt idx="28">
                  <c:v>7.2442525899399461</c:v>
                </c:pt>
                <c:pt idx="29">
                  <c:v>7.2332391552478699</c:v>
                </c:pt>
                <c:pt idx="30">
                  <c:v>7.3740690679822656</c:v>
                </c:pt>
                <c:pt idx="31">
                  <c:v>7.4794039511435351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E79-444E-8A22-FCF3626E6989}"/>
            </c:ext>
          </c:extLst>
        </c:ser>
        <c:ser>
          <c:idx val="3"/>
          <c:order val="3"/>
          <c:tx>
            <c:v>levt predic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yVal>
            <c:numRef>
              <c:f>'трудоемкость тестирования'!$Z$7:$Z$38</c:f>
              <c:numCache>
                <c:formatCode>0.00</c:formatCode>
                <c:ptCount val="32"/>
                <c:pt idx="0">
                  <c:v>6.7475153828211623</c:v>
                </c:pt>
                <c:pt idx="1">
                  <c:v>6.794036050911811</c:v>
                </c:pt>
                <c:pt idx="2">
                  <c:v>6.8029026537310546</c:v>
                </c:pt>
                <c:pt idx="3">
                  <c:v>6.8029026537310546</c:v>
                </c:pt>
                <c:pt idx="4">
                  <c:v>6.8029026537310546</c:v>
                </c:pt>
                <c:pt idx="5">
                  <c:v>6.809707662651121</c:v>
                </c:pt>
                <c:pt idx="6">
                  <c:v>6.794036050911811</c:v>
                </c:pt>
                <c:pt idx="7">
                  <c:v>6.8148836401376842</c:v>
                </c:pt>
                <c:pt idx="8">
                  <c:v>6.8245893226368031</c:v>
                </c:pt>
                <c:pt idx="9">
                  <c:v>6.809707662651121</c:v>
                </c:pt>
                <c:pt idx="10">
                  <c:v>6.8211524544542472</c:v>
                </c:pt>
                <c:pt idx="11">
                  <c:v>6.7825074365555835</c:v>
                </c:pt>
                <c:pt idx="12">
                  <c:v>6.816133491879838</c:v>
                </c:pt>
                <c:pt idx="13">
                  <c:v>6.809707662651121</c:v>
                </c:pt>
                <c:pt idx="14">
                  <c:v>6.8029026537310546</c:v>
                </c:pt>
                <c:pt idx="15">
                  <c:v>6.8187527773487284</c:v>
                </c:pt>
                <c:pt idx="16">
                  <c:v>6.8148836401376842</c:v>
                </c:pt>
                <c:pt idx="17">
                  <c:v>6.819616315230971</c:v>
                </c:pt>
                <c:pt idx="18">
                  <c:v>6.8122428014403882</c:v>
                </c:pt>
                <c:pt idx="19">
                  <c:v>6.794687853935403</c:v>
                </c:pt>
                <c:pt idx="20">
                  <c:v>6.8187527773487284</c:v>
                </c:pt>
                <c:pt idx="21">
                  <c:v>6.8245893226368031</c:v>
                </c:pt>
                <c:pt idx="22">
                  <c:v>6.8225162177151812</c:v>
                </c:pt>
                <c:pt idx="23">
                  <c:v>6.8236748211532694</c:v>
                </c:pt>
                <c:pt idx="24">
                  <c:v>6.8179355004812168</c:v>
                </c:pt>
                <c:pt idx="25">
                  <c:v>6.8122428014403882</c:v>
                </c:pt>
                <c:pt idx="26">
                  <c:v>6.8122428014403882</c:v>
                </c:pt>
                <c:pt idx="27">
                  <c:v>6.8122428014403882</c:v>
                </c:pt>
                <c:pt idx="28">
                  <c:v>6.8014844394135592</c:v>
                </c:pt>
                <c:pt idx="29">
                  <c:v>6.8059104358611515</c:v>
                </c:pt>
                <c:pt idx="30">
                  <c:v>6.7288720904140185</c:v>
                </c:pt>
                <c:pt idx="31">
                  <c:v>6.6511866517027691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0E79-444E-8A22-FCF3626E6989}"/>
            </c:ext>
          </c:extLst>
        </c:ser>
        <c:ser>
          <c:idx val="4"/>
          <c:order val="4"/>
          <c:tx>
            <c:v>right predic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'трудоемкость тестирования'!$AA$7:$AA$38</c:f>
              <c:numCache>
                <c:formatCode>0.00</c:formatCode>
                <c:ptCount val="32"/>
                <c:pt idx="0">
                  <c:v>7.480547117178836</c:v>
                </c:pt>
                <c:pt idx="1">
                  <c:v>7.4340264490881873</c:v>
                </c:pt>
                <c:pt idx="2">
                  <c:v>7.4251598462689437</c:v>
                </c:pt>
                <c:pt idx="3">
                  <c:v>7.4251598462689437</c:v>
                </c:pt>
                <c:pt idx="4">
                  <c:v>7.4251598462689437</c:v>
                </c:pt>
                <c:pt idx="5">
                  <c:v>7.4183548373488772</c:v>
                </c:pt>
                <c:pt idx="6">
                  <c:v>7.4340264490881873</c:v>
                </c:pt>
                <c:pt idx="7">
                  <c:v>7.4131788598623141</c:v>
                </c:pt>
                <c:pt idx="8">
                  <c:v>7.4034731773631952</c:v>
                </c:pt>
                <c:pt idx="9">
                  <c:v>7.4183548373488772</c:v>
                </c:pt>
                <c:pt idx="10">
                  <c:v>7.4069100455457511</c:v>
                </c:pt>
                <c:pt idx="11">
                  <c:v>7.4455550634444148</c:v>
                </c:pt>
                <c:pt idx="12">
                  <c:v>7.4119290081201603</c:v>
                </c:pt>
                <c:pt idx="13">
                  <c:v>7.4183548373488772</c:v>
                </c:pt>
                <c:pt idx="14">
                  <c:v>7.4251598462689437</c:v>
                </c:pt>
                <c:pt idx="15">
                  <c:v>7.4093097226512699</c:v>
                </c:pt>
                <c:pt idx="16">
                  <c:v>7.4131788598623141</c:v>
                </c:pt>
                <c:pt idx="17">
                  <c:v>7.4084461847690273</c:v>
                </c:pt>
                <c:pt idx="18">
                  <c:v>7.4158196985596101</c:v>
                </c:pt>
                <c:pt idx="19">
                  <c:v>7.4333746460645953</c:v>
                </c:pt>
                <c:pt idx="20">
                  <c:v>7.4093097226512699</c:v>
                </c:pt>
                <c:pt idx="21">
                  <c:v>7.4034731773631952</c:v>
                </c:pt>
                <c:pt idx="22">
                  <c:v>7.405546282284817</c:v>
                </c:pt>
                <c:pt idx="23">
                  <c:v>7.4043876788467289</c:v>
                </c:pt>
                <c:pt idx="24">
                  <c:v>7.4101269995187815</c:v>
                </c:pt>
                <c:pt idx="25">
                  <c:v>7.4158196985596101</c:v>
                </c:pt>
                <c:pt idx="26">
                  <c:v>7.4158196985596101</c:v>
                </c:pt>
                <c:pt idx="27">
                  <c:v>7.4158196985596101</c:v>
                </c:pt>
                <c:pt idx="28">
                  <c:v>7.4265780605864391</c:v>
                </c:pt>
                <c:pt idx="29">
                  <c:v>7.4221520641388468</c:v>
                </c:pt>
                <c:pt idx="30">
                  <c:v>7.4991904095859798</c:v>
                </c:pt>
                <c:pt idx="31">
                  <c:v>7.5768758482972292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0E79-444E-8A22-FCF3626E69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6867344"/>
        <c:axId val="986864016"/>
      </c:scatterChart>
      <c:valAx>
        <c:axId val="986867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UA"/>
          </a:p>
        </c:txPr>
        <c:crossAx val="986864016"/>
        <c:crosses val="autoZero"/>
        <c:crossBetween val="midCat"/>
      </c:valAx>
      <c:valAx>
        <c:axId val="986864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UA"/>
          </a:p>
        </c:txPr>
        <c:crossAx val="9868673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58267716535433"/>
          <c:y val="0.92187445319335082"/>
          <c:w val="0.59004153077052546"/>
          <c:h val="4.741866173055082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UA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UA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Довірчі</a:t>
            </a:r>
            <a:r>
              <a:rPr lang="ru-RU" baseline="0"/>
              <a:t> та прогнозні інтервали трудомісткості виправлення помилок</a:t>
            </a:r>
            <a:r>
              <a:rPr lang="en-US" baseline="0"/>
              <a:t> </a:t>
            </a:r>
            <a:r>
              <a:rPr lang="ru-RU" baseline="0"/>
              <a:t>у ПЗ </a:t>
            </a:r>
            <a:r>
              <a:rPr lang="en-US" baseline="0"/>
              <a:t>YII3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UA"/>
        </a:p>
      </c:txPr>
    </c:title>
    <c:autoTitleDeleted val="0"/>
    <c:plotArea>
      <c:layout>
        <c:manualLayout>
          <c:layoutTarget val="inner"/>
          <c:xMode val="edge"/>
          <c:yMode val="edge"/>
          <c:x val="6.8242953729723707E-2"/>
          <c:y val="0.27114443976968983"/>
          <c:w val="0.90688072118193708"/>
          <c:h val="0.66872087005595915"/>
        </c:manualLayout>
      </c:layout>
      <c:scatterChart>
        <c:scatterStyle val="lineMarker"/>
        <c:varyColors val="0"/>
        <c:ser>
          <c:idx val="0"/>
          <c:order val="0"/>
          <c:tx>
            <c:v>y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'трудоемкость тестирования (2)'!$I$7:$I$38</c:f>
              <c:numCache>
                <c:formatCode>General</c:formatCode>
                <c:ptCount val="32"/>
                <c:pt idx="0">
                  <c:v>6.1820000000000004</c:v>
                </c:pt>
                <c:pt idx="1">
                  <c:v>6.1820000000000004</c:v>
                </c:pt>
                <c:pt idx="2">
                  <c:v>6.3140000000000001</c:v>
                </c:pt>
                <c:pt idx="3">
                  <c:v>6.3579999999999997</c:v>
                </c:pt>
                <c:pt idx="4">
                  <c:v>6.4820000000000002</c:v>
                </c:pt>
                <c:pt idx="5">
                  <c:v>6.5830000000000002</c:v>
                </c:pt>
                <c:pt idx="6">
                  <c:v>6.6050000000000004</c:v>
                </c:pt>
                <c:pt idx="7">
                  <c:v>6.7489999999999997</c:v>
                </c:pt>
                <c:pt idx="8">
                  <c:v>6.8630000000000004</c:v>
                </c:pt>
                <c:pt idx="9">
                  <c:v>6.8789999999999996</c:v>
                </c:pt>
                <c:pt idx="10">
                  <c:v>6.9480000000000004</c:v>
                </c:pt>
                <c:pt idx="11">
                  <c:v>6.9720000000000004</c:v>
                </c:pt>
                <c:pt idx="12">
                  <c:v>7.0069999999999997</c:v>
                </c:pt>
                <c:pt idx="13">
                  <c:v>7.0149999999999997</c:v>
                </c:pt>
                <c:pt idx="14">
                  <c:v>7.1070000000000002</c:v>
                </c:pt>
                <c:pt idx="15">
                  <c:v>7.1239999999999997</c:v>
                </c:pt>
                <c:pt idx="16">
                  <c:v>7.1529999999999996</c:v>
                </c:pt>
                <c:pt idx="17">
                  <c:v>7.1689999999999996</c:v>
                </c:pt>
                <c:pt idx="18">
                  <c:v>7.2190000000000003</c:v>
                </c:pt>
                <c:pt idx="19">
                  <c:v>7.2690000000000001</c:v>
                </c:pt>
                <c:pt idx="20">
                  <c:v>7.2919999999999998</c:v>
                </c:pt>
                <c:pt idx="21">
                  <c:v>7.3010000000000002</c:v>
                </c:pt>
                <c:pt idx="22">
                  <c:v>7.375</c:v>
                </c:pt>
                <c:pt idx="23">
                  <c:v>7.383</c:v>
                </c:pt>
                <c:pt idx="24">
                  <c:v>7.4279999999999999</c:v>
                </c:pt>
                <c:pt idx="25">
                  <c:v>7.4409999999999998</c:v>
                </c:pt>
                <c:pt idx="26">
                  <c:v>7.4509999999999996</c:v>
                </c:pt>
                <c:pt idx="27">
                  <c:v>7.484</c:v>
                </c:pt>
                <c:pt idx="28">
                  <c:v>7.7069999999999999</c:v>
                </c:pt>
                <c:pt idx="29">
                  <c:v>7.9020000000000001</c:v>
                </c:pt>
                <c:pt idx="30">
                  <c:v>7.98</c:v>
                </c:pt>
                <c:pt idx="31">
                  <c:v>8.7249999999999996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1DA-4845-9ED0-2F02B5F5A8B7}"/>
            </c:ext>
          </c:extLst>
        </c:ser>
        <c:ser>
          <c:idx val="1"/>
          <c:order val="1"/>
          <c:tx>
            <c:v>y-delta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'трудоемкость тестирования (2)'!$AB$7:$AB$38</c:f>
              <c:numCache>
                <c:formatCode>General</c:formatCode>
                <c:ptCount val="32"/>
                <c:pt idx="0">
                  <c:v>3.5470000000000006</c:v>
                </c:pt>
                <c:pt idx="1">
                  <c:v>3.5470000000000006</c:v>
                </c:pt>
                <c:pt idx="2">
                  <c:v>3.6790000000000003</c:v>
                </c:pt>
                <c:pt idx="3">
                  <c:v>3.7229999999999999</c:v>
                </c:pt>
                <c:pt idx="4">
                  <c:v>3.8470000000000004</c:v>
                </c:pt>
                <c:pt idx="5">
                  <c:v>3.9480000000000004</c:v>
                </c:pt>
                <c:pt idx="6">
                  <c:v>3.9700000000000006</c:v>
                </c:pt>
                <c:pt idx="7">
                  <c:v>4.1139999999999999</c:v>
                </c:pt>
                <c:pt idx="8">
                  <c:v>4.2280000000000006</c:v>
                </c:pt>
                <c:pt idx="9">
                  <c:v>4.2439999999999998</c:v>
                </c:pt>
                <c:pt idx="10">
                  <c:v>4.3130000000000006</c:v>
                </c:pt>
                <c:pt idx="11">
                  <c:v>4.3370000000000006</c:v>
                </c:pt>
                <c:pt idx="12">
                  <c:v>4.3719999999999999</c:v>
                </c:pt>
                <c:pt idx="13">
                  <c:v>4.38</c:v>
                </c:pt>
                <c:pt idx="14">
                  <c:v>4.4720000000000004</c:v>
                </c:pt>
                <c:pt idx="15">
                  <c:v>4.4889999999999999</c:v>
                </c:pt>
                <c:pt idx="16">
                  <c:v>4.5179999999999998</c:v>
                </c:pt>
                <c:pt idx="17">
                  <c:v>4.5339999999999998</c:v>
                </c:pt>
                <c:pt idx="18">
                  <c:v>4.5840000000000005</c:v>
                </c:pt>
                <c:pt idx="19">
                  <c:v>4.6340000000000003</c:v>
                </c:pt>
                <c:pt idx="20">
                  <c:v>4.657</c:v>
                </c:pt>
                <c:pt idx="21">
                  <c:v>4.6660000000000004</c:v>
                </c:pt>
                <c:pt idx="22">
                  <c:v>4.74</c:v>
                </c:pt>
                <c:pt idx="23">
                  <c:v>4.7480000000000002</c:v>
                </c:pt>
                <c:pt idx="24">
                  <c:v>4.7930000000000001</c:v>
                </c:pt>
                <c:pt idx="25">
                  <c:v>4.806</c:v>
                </c:pt>
                <c:pt idx="26">
                  <c:v>4.8159999999999998</c:v>
                </c:pt>
                <c:pt idx="27">
                  <c:v>4.8490000000000002</c:v>
                </c:pt>
                <c:pt idx="28">
                  <c:v>5.0720000000000001</c:v>
                </c:pt>
                <c:pt idx="29">
                  <c:v>5.2670000000000003</c:v>
                </c:pt>
                <c:pt idx="30">
                  <c:v>5.3450000000000006</c:v>
                </c:pt>
                <c:pt idx="31">
                  <c:v>6.09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1DA-4845-9ED0-2F02B5F5A8B7}"/>
            </c:ext>
          </c:extLst>
        </c:ser>
        <c:ser>
          <c:idx val="2"/>
          <c:order val="2"/>
          <c:tx>
            <c:v>y+delta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'трудоемкость тестирования (2)'!$AC$7:$AC$38</c:f>
              <c:numCache>
                <c:formatCode>General</c:formatCode>
                <c:ptCount val="32"/>
                <c:pt idx="0">
                  <c:v>8.8170000000000002</c:v>
                </c:pt>
                <c:pt idx="1">
                  <c:v>8.8170000000000002</c:v>
                </c:pt>
                <c:pt idx="2">
                  <c:v>8.9489999999999998</c:v>
                </c:pt>
                <c:pt idx="3">
                  <c:v>8.9929999999999986</c:v>
                </c:pt>
                <c:pt idx="4">
                  <c:v>9.1170000000000009</c:v>
                </c:pt>
                <c:pt idx="5">
                  <c:v>9.218</c:v>
                </c:pt>
                <c:pt idx="6">
                  <c:v>9.24</c:v>
                </c:pt>
                <c:pt idx="7">
                  <c:v>9.3840000000000003</c:v>
                </c:pt>
                <c:pt idx="8">
                  <c:v>9.4980000000000011</c:v>
                </c:pt>
                <c:pt idx="9">
                  <c:v>9.5139999999999993</c:v>
                </c:pt>
                <c:pt idx="10">
                  <c:v>9.5830000000000002</c:v>
                </c:pt>
                <c:pt idx="11">
                  <c:v>9.6069999999999993</c:v>
                </c:pt>
                <c:pt idx="12">
                  <c:v>9.6419999999999995</c:v>
                </c:pt>
                <c:pt idx="13">
                  <c:v>9.6499999999999986</c:v>
                </c:pt>
                <c:pt idx="14">
                  <c:v>9.7420000000000009</c:v>
                </c:pt>
                <c:pt idx="15">
                  <c:v>9.7590000000000003</c:v>
                </c:pt>
                <c:pt idx="16">
                  <c:v>9.7880000000000003</c:v>
                </c:pt>
                <c:pt idx="17">
                  <c:v>9.8039999999999985</c:v>
                </c:pt>
                <c:pt idx="18">
                  <c:v>9.8539999999999992</c:v>
                </c:pt>
                <c:pt idx="19">
                  <c:v>9.9039999999999999</c:v>
                </c:pt>
                <c:pt idx="20">
                  <c:v>9.9269999999999996</c:v>
                </c:pt>
                <c:pt idx="21">
                  <c:v>9.9359999999999999</c:v>
                </c:pt>
                <c:pt idx="22">
                  <c:v>10.01</c:v>
                </c:pt>
                <c:pt idx="23">
                  <c:v>10.018000000000001</c:v>
                </c:pt>
                <c:pt idx="24">
                  <c:v>10.062999999999999</c:v>
                </c:pt>
                <c:pt idx="25">
                  <c:v>10.076000000000001</c:v>
                </c:pt>
                <c:pt idx="26">
                  <c:v>10.085999999999999</c:v>
                </c:pt>
                <c:pt idx="27">
                  <c:v>10.119</c:v>
                </c:pt>
                <c:pt idx="28">
                  <c:v>10.341999999999999</c:v>
                </c:pt>
                <c:pt idx="29">
                  <c:v>10.536999999999999</c:v>
                </c:pt>
                <c:pt idx="30">
                  <c:v>10.615</c:v>
                </c:pt>
                <c:pt idx="31">
                  <c:v>11.36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1DA-4845-9ED0-2F02B5F5A8B7}"/>
            </c:ext>
          </c:extLst>
        </c:ser>
        <c:ser>
          <c:idx val="3"/>
          <c:order val="3"/>
          <c:tx>
            <c:v>y-pred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yVal>
            <c:numRef>
              <c:f>'трудоемкость тестирования (2)'!$AD$7:$AD$38</c:f>
              <c:numCache>
                <c:formatCode>General</c:formatCode>
                <c:ptCount val="32"/>
                <c:pt idx="0">
                  <c:v>2.5470000000000006</c:v>
                </c:pt>
                <c:pt idx="1">
                  <c:v>2.5470000000000006</c:v>
                </c:pt>
                <c:pt idx="2">
                  <c:v>2.6790000000000003</c:v>
                </c:pt>
                <c:pt idx="3">
                  <c:v>2.7229999999999999</c:v>
                </c:pt>
                <c:pt idx="4">
                  <c:v>2.8470000000000004</c:v>
                </c:pt>
                <c:pt idx="5">
                  <c:v>2.9480000000000004</c:v>
                </c:pt>
                <c:pt idx="6">
                  <c:v>2.9700000000000006</c:v>
                </c:pt>
                <c:pt idx="7">
                  <c:v>3.1139999999999999</c:v>
                </c:pt>
                <c:pt idx="8">
                  <c:v>3.2280000000000006</c:v>
                </c:pt>
                <c:pt idx="9">
                  <c:v>3.2439999999999998</c:v>
                </c:pt>
                <c:pt idx="10">
                  <c:v>3.3130000000000006</c:v>
                </c:pt>
                <c:pt idx="11">
                  <c:v>3.3370000000000006</c:v>
                </c:pt>
                <c:pt idx="12">
                  <c:v>3.3719999999999999</c:v>
                </c:pt>
                <c:pt idx="13">
                  <c:v>3.38</c:v>
                </c:pt>
                <c:pt idx="14">
                  <c:v>3.4720000000000004</c:v>
                </c:pt>
                <c:pt idx="15">
                  <c:v>3.4889999999999999</c:v>
                </c:pt>
                <c:pt idx="16">
                  <c:v>3.5179999999999998</c:v>
                </c:pt>
                <c:pt idx="17">
                  <c:v>3.5339999999999998</c:v>
                </c:pt>
                <c:pt idx="18">
                  <c:v>3.5840000000000005</c:v>
                </c:pt>
                <c:pt idx="19">
                  <c:v>3.6340000000000003</c:v>
                </c:pt>
                <c:pt idx="20">
                  <c:v>3.657</c:v>
                </c:pt>
                <c:pt idx="21">
                  <c:v>3.6660000000000004</c:v>
                </c:pt>
                <c:pt idx="22">
                  <c:v>3.74</c:v>
                </c:pt>
                <c:pt idx="23">
                  <c:v>3.7480000000000002</c:v>
                </c:pt>
                <c:pt idx="24">
                  <c:v>3.7930000000000001</c:v>
                </c:pt>
                <c:pt idx="25">
                  <c:v>3.806</c:v>
                </c:pt>
                <c:pt idx="26">
                  <c:v>3.8159999999999998</c:v>
                </c:pt>
                <c:pt idx="27">
                  <c:v>3.8490000000000002</c:v>
                </c:pt>
                <c:pt idx="28">
                  <c:v>4.0720000000000001</c:v>
                </c:pt>
                <c:pt idx="29">
                  <c:v>4.2670000000000003</c:v>
                </c:pt>
                <c:pt idx="30">
                  <c:v>4.3450000000000006</c:v>
                </c:pt>
                <c:pt idx="31">
                  <c:v>5.09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1DA-4845-9ED0-2F02B5F5A8B7}"/>
            </c:ext>
          </c:extLst>
        </c:ser>
        <c:ser>
          <c:idx val="4"/>
          <c:order val="4"/>
          <c:tx>
            <c:v>y+pred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'трудоемкость тестирования (2)'!$AE$7:$AE$38</c:f>
              <c:numCache>
                <c:formatCode>General</c:formatCode>
                <c:ptCount val="32"/>
                <c:pt idx="0">
                  <c:v>9.8170000000000002</c:v>
                </c:pt>
                <c:pt idx="1">
                  <c:v>9.8170000000000002</c:v>
                </c:pt>
                <c:pt idx="2">
                  <c:v>9.9489999999999998</c:v>
                </c:pt>
                <c:pt idx="3">
                  <c:v>9.9929999999999986</c:v>
                </c:pt>
                <c:pt idx="4">
                  <c:v>10.117000000000001</c:v>
                </c:pt>
                <c:pt idx="5">
                  <c:v>10.218</c:v>
                </c:pt>
                <c:pt idx="6">
                  <c:v>10.24</c:v>
                </c:pt>
                <c:pt idx="7">
                  <c:v>10.384</c:v>
                </c:pt>
                <c:pt idx="8">
                  <c:v>10.498000000000001</c:v>
                </c:pt>
                <c:pt idx="9">
                  <c:v>10.513999999999999</c:v>
                </c:pt>
                <c:pt idx="10">
                  <c:v>10.583</c:v>
                </c:pt>
                <c:pt idx="11">
                  <c:v>10.606999999999999</c:v>
                </c:pt>
                <c:pt idx="12">
                  <c:v>10.641999999999999</c:v>
                </c:pt>
                <c:pt idx="13">
                  <c:v>10.649999999999999</c:v>
                </c:pt>
                <c:pt idx="14">
                  <c:v>10.742000000000001</c:v>
                </c:pt>
                <c:pt idx="15">
                  <c:v>10.759</c:v>
                </c:pt>
                <c:pt idx="16">
                  <c:v>10.788</c:v>
                </c:pt>
                <c:pt idx="17">
                  <c:v>10.803999999999998</c:v>
                </c:pt>
                <c:pt idx="18">
                  <c:v>10.853999999999999</c:v>
                </c:pt>
                <c:pt idx="19">
                  <c:v>10.904</c:v>
                </c:pt>
                <c:pt idx="20">
                  <c:v>10.927</c:v>
                </c:pt>
                <c:pt idx="21">
                  <c:v>10.936</c:v>
                </c:pt>
                <c:pt idx="22">
                  <c:v>11.01</c:v>
                </c:pt>
                <c:pt idx="23">
                  <c:v>11.018000000000001</c:v>
                </c:pt>
                <c:pt idx="24">
                  <c:v>11.062999999999999</c:v>
                </c:pt>
                <c:pt idx="25">
                  <c:v>11.076000000000001</c:v>
                </c:pt>
                <c:pt idx="26">
                  <c:v>11.085999999999999</c:v>
                </c:pt>
                <c:pt idx="27">
                  <c:v>11.119</c:v>
                </c:pt>
                <c:pt idx="28">
                  <c:v>11.341999999999999</c:v>
                </c:pt>
                <c:pt idx="29">
                  <c:v>11.536999999999999</c:v>
                </c:pt>
                <c:pt idx="30">
                  <c:v>11.615</c:v>
                </c:pt>
                <c:pt idx="31">
                  <c:v>12.36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1DA-4845-9ED0-2F02B5F5A8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2525440"/>
        <c:axId val="812525856"/>
      </c:scatterChart>
      <c:valAx>
        <c:axId val="812525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UA"/>
          </a:p>
        </c:txPr>
        <c:crossAx val="812525856"/>
        <c:crosses val="autoZero"/>
        <c:crossBetween val="midCat"/>
      </c:valAx>
      <c:valAx>
        <c:axId val="81252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UA"/>
          </a:p>
        </c:txPr>
        <c:crossAx val="8125254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UA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UA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13" Type="http://schemas.openxmlformats.org/officeDocument/2006/relationships/image" Target="../media/image18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2" Type="http://schemas.openxmlformats.org/officeDocument/2006/relationships/image" Target="../media/image7.png"/><Relationship Id="rId16" Type="http://schemas.openxmlformats.org/officeDocument/2006/relationships/image" Target="../media/image21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5" Type="http://schemas.openxmlformats.org/officeDocument/2006/relationships/image" Target="../media/image10.png"/><Relationship Id="rId15" Type="http://schemas.openxmlformats.org/officeDocument/2006/relationships/image" Target="../media/image20.pn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Relationship Id="rId14" Type="http://schemas.openxmlformats.org/officeDocument/2006/relationships/image" Target="../media/image19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504824</xdr:colOff>
      <xdr:row>41</xdr:row>
      <xdr:rowOff>71436</xdr:rowOff>
    </xdr:from>
    <xdr:to>
      <xdr:col>15</xdr:col>
      <xdr:colOff>171450</xdr:colOff>
      <xdr:row>70</xdr:row>
      <xdr:rowOff>76200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1</xdr:row>
      <xdr:rowOff>76200</xdr:rowOff>
    </xdr:from>
    <xdr:to>
      <xdr:col>12</xdr:col>
      <xdr:colOff>27665</xdr:colOff>
      <xdr:row>18</xdr:row>
      <xdr:rowOff>56748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" y="266700"/>
          <a:ext cx="7276190" cy="3219048"/>
        </a:xfrm>
        <a:prstGeom prst="rect">
          <a:avLst/>
        </a:prstGeom>
      </xdr:spPr>
    </xdr:pic>
    <xdr:clientData/>
  </xdr:twoCellAnchor>
  <xdr:twoCellAnchor editAs="oneCell">
    <xdr:from>
      <xdr:col>5</xdr:col>
      <xdr:colOff>161926</xdr:colOff>
      <xdr:row>0</xdr:row>
      <xdr:rowOff>0</xdr:rowOff>
    </xdr:from>
    <xdr:to>
      <xdr:col>13</xdr:col>
      <xdr:colOff>1017697</xdr:colOff>
      <xdr:row>20</xdr:row>
      <xdr:rowOff>27823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09926" y="0"/>
          <a:ext cx="6161196" cy="3837823"/>
        </a:xfrm>
        <a:prstGeom prst="rect">
          <a:avLst/>
        </a:prstGeom>
      </xdr:spPr>
    </xdr:pic>
    <xdr:clientData/>
  </xdr:twoCellAnchor>
  <xdr:twoCellAnchor editAs="oneCell">
    <xdr:from>
      <xdr:col>10</xdr:col>
      <xdr:colOff>352426</xdr:colOff>
      <xdr:row>17</xdr:row>
      <xdr:rowOff>142875</xdr:rowOff>
    </xdr:from>
    <xdr:to>
      <xdr:col>15</xdr:col>
      <xdr:colOff>901771</xdr:colOff>
      <xdr:row>37</xdr:row>
      <xdr:rowOff>161344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48426" y="3381375"/>
          <a:ext cx="5797620" cy="3828469"/>
        </a:xfrm>
        <a:prstGeom prst="rect">
          <a:avLst/>
        </a:prstGeom>
      </xdr:spPr>
    </xdr:pic>
    <xdr:clientData/>
  </xdr:twoCellAnchor>
  <xdr:twoCellAnchor editAs="oneCell">
    <xdr:from>
      <xdr:col>21</xdr:col>
      <xdr:colOff>121601</xdr:colOff>
      <xdr:row>1</xdr:row>
      <xdr:rowOff>76200</xdr:rowOff>
    </xdr:from>
    <xdr:to>
      <xdr:col>35</xdr:col>
      <xdr:colOff>36272</xdr:colOff>
      <xdr:row>27</xdr:row>
      <xdr:rowOff>27514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618526" y="266700"/>
          <a:ext cx="8449071" cy="4904314"/>
        </a:xfrm>
        <a:prstGeom prst="rect">
          <a:avLst/>
        </a:prstGeom>
      </xdr:spPr>
    </xdr:pic>
    <xdr:clientData/>
  </xdr:twoCellAnchor>
  <xdr:twoCellAnchor editAs="oneCell">
    <xdr:from>
      <xdr:col>18</xdr:col>
      <xdr:colOff>123825</xdr:colOff>
      <xdr:row>31</xdr:row>
      <xdr:rowOff>47625</xdr:rowOff>
    </xdr:from>
    <xdr:to>
      <xdr:col>28</xdr:col>
      <xdr:colOff>227825</xdr:colOff>
      <xdr:row>67</xdr:row>
      <xdr:rowOff>65815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420600" y="5953125"/>
          <a:ext cx="6200000" cy="6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19</xdr:row>
      <xdr:rowOff>152400</xdr:rowOff>
    </xdr:from>
    <xdr:to>
      <xdr:col>8</xdr:col>
      <xdr:colOff>370825</xdr:colOff>
      <xdr:row>36</xdr:row>
      <xdr:rowOff>142471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625" y="3771900"/>
          <a:ext cx="5200000" cy="322857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75550</xdr:colOff>
      <xdr:row>16</xdr:row>
      <xdr:rowOff>180571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200000" cy="3228571"/>
        </a:xfrm>
        <a:prstGeom prst="rect">
          <a:avLst/>
        </a:prstGeom>
      </xdr:spPr>
    </xdr:pic>
    <xdr:clientData/>
  </xdr:twoCellAnchor>
  <xdr:twoCellAnchor editAs="oneCell">
    <xdr:from>
      <xdr:col>16</xdr:col>
      <xdr:colOff>161925</xdr:colOff>
      <xdr:row>0</xdr:row>
      <xdr:rowOff>0</xdr:rowOff>
    </xdr:from>
    <xdr:to>
      <xdr:col>27</xdr:col>
      <xdr:colOff>389658</xdr:colOff>
      <xdr:row>16</xdr:row>
      <xdr:rowOff>123429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96725" y="0"/>
          <a:ext cx="6933333" cy="31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371475</xdr:colOff>
      <xdr:row>0</xdr:row>
      <xdr:rowOff>0</xdr:rowOff>
    </xdr:from>
    <xdr:to>
      <xdr:col>28</xdr:col>
      <xdr:colOff>532694</xdr:colOff>
      <xdr:row>33</xdr:row>
      <xdr:rowOff>113406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53875" y="0"/>
          <a:ext cx="5647619" cy="7152381"/>
        </a:xfrm>
        <a:prstGeom prst="rect">
          <a:avLst/>
        </a:prstGeom>
      </xdr:spPr>
    </xdr:pic>
    <xdr:clientData/>
  </xdr:twoCellAnchor>
  <xdr:twoCellAnchor editAs="oneCell">
    <xdr:from>
      <xdr:col>16</xdr:col>
      <xdr:colOff>476250</xdr:colOff>
      <xdr:row>16</xdr:row>
      <xdr:rowOff>133350</xdr:rowOff>
    </xdr:from>
    <xdr:to>
      <xdr:col>25</xdr:col>
      <xdr:colOff>408898</xdr:colOff>
      <xdr:row>20</xdr:row>
      <xdr:rowOff>66587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211050" y="3181350"/>
          <a:ext cx="5419048" cy="704762"/>
        </a:xfrm>
        <a:prstGeom prst="rect">
          <a:avLst/>
        </a:prstGeom>
      </xdr:spPr>
    </xdr:pic>
    <xdr:clientData/>
  </xdr:twoCellAnchor>
  <xdr:twoCellAnchor editAs="oneCell">
    <xdr:from>
      <xdr:col>17</xdr:col>
      <xdr:colOff>304800</xdr:colOff>
      <xdr:row>21</xdr:row>
      <xdr:rowOff>104775</xdr:rowOff>
    </xdr:from>
    <xdr:to>
      <xdr:col>25</xdr:col>
      <xdr:colOff>570857</xdr:colOff>
      <xdr:row>24</xdr:row>
      <xdr:rowOff>76111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649200" y="4171950"/>
          <a:ext cx="5142857" cy="714286"/>
        </a:xfrm>
        <a:prstGeom prst="rect">
          <a:avLst/>
        </a:prstGeom>
      </xdr:spPr>
    </xdr:pic>
    <xdr:clientData/>
  </xdr:twoCellAnchor>
  <xdr:twoCellAnchor editAs="oneCell">
    <xdr:from>
      <xdr:col>20</xdr:col>
      <xdr:colOff>47625</xdr:colOff>
      <xdr:row>25</xdr:row>
      <xdr:rowOff>114300</xdr:rowOff>
    </xdr:from>
    <xdr:to>
      <xdr:col>29</xdr:col>
      <xdr:colOff>27892</xdr:colOff>
      <xdr:row>33</xdr:row>
      <xdr:rowOff>104529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220825" y="5172075"/>
          <a:ext cx="5466667" cy="1971429"/>
        </a:xfrm>
        <a:prstGeom prst="rect">
          <a:avLst/>
        </a:prstGeom>
      </xdr:spPr>
    </xdr:pic>
    <xdr:clientData/>
  </xdr:twoCellAnchor>
  <xdr:twoCellAnchor editAs="oneCell">
    <xdr:from>
      <xdr:col>22</xdr:col>
      <xdr:colOff>228600</xdr:colOff>
      <xdr:row>31</xdr:row>
      <xdr:rowOff>85725</xdr:rowOff>
    </xdr:from>
    <xdr:to>
      <xdr:col>30</xdr:col>
      <xdr:colOff>580371</xdr:colOff>
      <xdr:row>34</xdr:row>
      <xdr:rowOff>190394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621000" y="6629400"/>
          <a:ext cx="5228571" cy="847619"/>
        </a:xfrm>
        <a:prstGeom prst="rect">
          <a:avLst/>
        </a:prstGeom>
      </xdr:spPr>
    </xdr:pic>
    <xdr:clientData/>
  </xdr:twoCellAnchor>
  <xdr:twoCellAnchor editAs="oneCell">
    <xdr:from>
      <xdr:col>14</xdr:col>
      <xdr:colOff>276225</xdr:colOff>
      <xdr:row>47</xdr:row>
      <xdr:rowOff>171450</xdr:rowOff>
    </xdr:from>
    <xdr:to>
      <xdr:col>19</xdr:col>
      <xdr:colOff>571082</xdr:colOff>
      <xdr:row>54</xdr:row>
      <xdr:rowOff>152194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449800" y="10658475"/>
          <a:ext cx="3342857" cy="1647619"/>
        </a:xfrm>
        <a:prstGeom prst="rect">
          <a:avLst/>
        </a:prstGeom>
      </xdr:spPr>
    </xdr:pic>
    <xdr:clientData/>
  </xdr:twoCellAnchor>
  <xdr:twoCellAnchor editAs="oneCell">
    <xdr:from>
      <xdr:col>15</xdr:col>
      <xdr:colOff>285750</xdr:colOff>
      <xdr:row>57</xdr:row>
      <xdr:rowOff>104775</xdr:rowOff>
    </xdr:from>
    <xdr:to>
      <xdr:col>21</xdr:col>
      <xdr:colOff>66245</xdr:colOff>
      <xdr:row>95</xdr:row>
      <xdr:rowOff>18150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611725" y="12877800"/>
          <a:ext cx="3438095" cy="720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95250</xdr:colOff>
      <xdr:row>87</xdr:row>
      <xdr:rowOff>38100</xdr:rowOff>
    </xdr:from>
    <xdr:to>
      <xdr:col>12</xdr:col>
      <xdr:colOff>1399788</xdr:colOff>
      <xdr:row>94</xdr:row>
      <xdr:rowOff>9362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00850" y="16611600"/>
          <a:ext cx="3095238" cy="1304762"/>
        </a:xfrm>
        <a:prstGeom prst="rect">
          <a:avLst/>
        </a:prstGeom>
      </xdr:spPr>
    </xdr:pic>
    <xdr:clientData/>
  </xdr:twoCellAnchor>
  <xdr:twoCellAnchor editAs="oneCell">
    <xdr:from>
      <xdr:col>19</xdr:col>
      <xdr:colOff>104775</xdr:colOff>
      <xdr:row>45</xdr:row>
      <xdr:rowOff>66675</xdr:rowOff>
    </xdr:from>
    <xdr:to>
      <xdr:col>26</xdr:col>
      <xdr:colOff>399480</xdr:colOff>
      <xdr:row>68</xdr:row>
      <xdr:rowOff>161300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326350" y="10077450"/>
          <a:ext cx="4561905" cy="50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1238250</xdr:colOff>
      <xdr:row>63</xdr:row>
      <xdr:rowOff>123825</xdr:rowOff>
    </xdr:from>
    <xdr:to>
      <xdr:col>25</xdr:col>
      <xdr:colOff>342900</xdr:colOff>
      <xdr:row>80</xdr:row>
      <xdr:rowOff>38100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/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887200" y="14087475"/>
          <a:ext cx="12334875" cy="3152775"/>
        </a:xfrm>
        <a:prstGeom prst="rect">
          <a:avLst/>
        </a:prstGeom>
      </xdr:spPr>
    </xdr:pic>
    <xdr:clientData/>
  </xdr:twoCellAnchor>
  <xdr:twoCellAnchor editAs="oneCell">
    <xdr:from>
      <xdr:col>10</xdr:col>
      <xdr:colOff>1076325</xdr:colOff>
      <xdr:row>0</xdr:row>
      <xdr:rowOff>0</xdr:rowOff>
    </xdr:from>
    <xdr:to>
      <xdr:col>12</xdr:col>
      <xdr:colOff>1304356</xdr:colOff>
      <xdr:row>29</xdr:row>
      <xdr:rowOff>27815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430250" y="0"/>
          <a:ext cx="4552381" cy="6076190"/>
        </a:xfrm>
        <a:prstGeom prst="rect">
          <a:avLst/>
        </a:prstGeom>
      </xdr:spPr>
    </xdr:pic>
    <xdr:clientData/>
  </xdr:twoCellAnchor>
  <xdr:twoCellAnchor editAs="oneCell">
    <xdr:from>
      <xdr:col>15</xdr:col>
      <xdr:colOff>66675</xdr:colOff>
      <xdr:row>12</xdr:row>
      <xdr:rowOff>28575</xdr:rowOff>
    </xdr:from>
    <xdr:to>
      <xdr:col>22</xdr:col>
      <xdr:colOff>513761</xdr:colOff>
      <xdr:row>37</xdr:row>
      <xdr:rowOff>37381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7849850" y="2314575"/>
          <a:ext cx="4714286" cy="5752381"/>
        </a:xfrm>
        <a:prstGeom prst="rect">
          <a:avLst/>
        </a:prstGeom>
      </xdr:spPr>
    </xdr:pic>
    <xdr:clientData/>
  </xdr:twoCellAnchor>
  <xdr:twoCellAnchor editAs="oneCell">
    <xdr:from>
      <xdr:col>10</xdr:col>
      <xdr:colOff>2438400</xdr:colOff>
      <xdr:row>2</xdr:row>
      <xdr:rowOff>0</xdr:rowOff>
    </xdr:from>
    <xdr:to>
      <xdr:col>14</xdr:col>
      <xdr:colOff>161394</xdr:colOff>
      <xdr:row>28</xdr:row>
      <xdr:rowOff>227894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792325" y="381000"/>
          <a:ext cx="4247619" cy="5647619"/>
        </a:xfrm>
        <a:prstGeom prst="rect">
          <a:avLst/>
        </a:prstGeom>
      </xdr:spPr>
    </xdr:pic>
    <xdr:clientData/>
  </xdr:twoCellAnchor>
  <xdr:twoCellAnchor editAs="oneCell">
    <xdr:from>
      <xdr:col>27</xdr:col>
      <xdr:colOff>419100</xdr:colOff>
      <xdr:row>0</xdr:row>
      <xdr:rowOff>0</xdr:rowOff>
    </xdr:from>
    <xdr:to>
      <xdr:col>38</xdr:col>
      <xdr:colOff>608738</xdr:colOff>
      <xdr:row>35</xdr:row>
      <xdr:rowOff>151439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5517475" y="0"/>
          <a:ext cx="6895238" cy="768571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923925</xdr:colOff>
      <xdr:row>1</xdr:row>
      <xdr:rowOff>38100</xdr:rowOff>
    </xdr:from>
    <xdr:to>
      <xdr:col>5</xdr:col>
      <xdr:colOff>580153</xdr:colOff>
      <xdr:row>12</xdr:row>
      <xdr:rowOff>85457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3925" y="228600"/>
          <a:ext cx="6971428" cy="2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180975</xdr:rowOff>
    </xdr:from>
    <xdr:to>
      <xdr:col>1</xdr:col>
      <xdr:colOff>1133073</xdr:colOff>
      <xdr:row>17</xdr:row>
      <xdr:rowOff>190404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657475"/>
          <a:ext cx="3219048" cy="771429"/>
        </a:xfrm>
        <a:prstGeom prst="rect">
          <a:avLst/>
        </a:prstGeom>
      </xdr:spPr>
    </xdr:pic>
    <xdr:clientData/>
  </xdr:twoCellAnchor>
  <xdr:twoCellAnchor editAs="oneCell">
    <xdr:from>
      <xdr:col>23</xdr:col>
      <xdr:colOff>342900</xdr:colOff>
      <xdr:row>19</xdr:row>
      <xdr:rowOff>57150</xdr:rowOff>
    </xdr:from>
    <xdr:to>
      <xdr:col>34</xdr:col>
      <xdr:colOff>532538</xdr:colOff>
      <xdr:row>51</xdr:row>
      <xdr:rowOff>218114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831800" y="3676650"/>
          <a:ext cx="6895238" cy="768571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371474</xdr:colOff>
      <xdr:row>40</xdr:row>
      <xdr:rowOff>166686</xdr:rowOff>
    </xdr:from>
    <xdr:to>
      <xdr:col>11</xdr:col>
      <xdr:colOff>257174</xdr:colOff>
      <xdr:row>60</xdr:row>
      <xdr:rowOff>142875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114299</xdr:colOff>
      <xdr:row>14</xdr:row>
      <xdr:rowOff>52386</xdr:rowOff>
    </xdr:from>
    <xdr:to>
      <xdr:col>25</xdr:col>
      <xdr:colOff>400049</xdr:colOff>
      <xdr:row>36</xdr:row>
      <xdr:rowOff>171449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504824</xdr:colOff>
      <xdr:row>41</xdr:row>
      <xdr:rowOff>71436</xdr:rowOff>
    </xdr:from>
    <xdr:to>
      <xdr:col>15</xdr:col>
      <xdr:colOff>171450</xdr:colOff>
      <xdr:row>70</xdr:row>
      <xdr:rowOff>76200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49"/>
  <sheetViews>
    <sheetView topLeftCell="N5" zoomScaleNormal="100" workbookViewId="0">
      <selection activeCell="R40" sqref="R40"/>
    </sheetView>
  </sheetViews>
  <sheetFormatPr defaultRowHeight="15" x14ac:dyDescent="0.25"/>
  <cols>
    <col min="1" max="6" width="9.140625" style="3"/>
    <col min="7" max="7" width="9.28515625" style="3" customWidth="1"/>
    <col min="8" max="14" width="9.140625" style="3"/>
    <col min="15" max="15" width="7.140625" style="3" customWidth="1"/>
    <col min="16" max="16" width="15.140625" style="3" customWidth="1"/>
    <col min="17" max="17" width="24" style="3" customWidth="1"/>
    <col min="18" max="18" width="22.5703125" style="3" customWidth="1"/>
    <col min="19" max="19" width="33" style="3" customWidth="1"/>
    <col min="20" max="20" width="27.140625" style="3" customWidth="1"/>
    <col min="21" max="21" width="18.5703125" style="3" customWidth="1"/>
    <col min="22" max="22" width="20.7109375" style="3" customWidth="1"/>
    <col min="23" max="23" width="20.42578125" style="3" customWidth="1"/>
    <col min="24" max="24" width="30.5703125" style="3" customWidth="1"/>
    <col min="25" max="26" width="23" style="3" customWidth="1"/>
    <col min="27" max="27" width="23.7109375" style="3" customWidth="1"/>
    <col min="28" max="28" width="27.85546875" style="3" customWidth="1"/>
    <col min="29" max="29" width="13" style="3" customWidth="1"/>
    <col min="30" max="30" width="9.140625" style="3"/>
    <col min="31" max="31" width="12.140625" style="3" customWidth="1"/>
    <col min="32" max="16384" width="9.140625" style="3"/>
  </cols>
  <sheetData>
    <row r="1" spans="1:31" ht="18.75" x14ac:dyDescent="0.3">
      <c r="A1" s="50" t="s">
        <v>166</v>
      </c>
      <c r="H1" s="51"/>
      <c r="I1" s="52"/>
      <c r="J1" s="18"/>
      <c r="K1" s="18"/>
      <c r="L1" s="18"/>
    </row>
    <row r="2" spans="1:31" ht="18.75" x14ac:dyDescent="0.3">
      <c r="A2" s="55"/>
      <c r="B2" s="42" t="s">
        <v>173</v>
      </c>
      <c r="C2" s="42" t="s">
        <v>172</v>
      </c>
      <c r="D2" s="42" t="s">
        <v>174</v>
      </c>
      <c r="E2" s="42" t="s">
        <v>163</v>
      </c>
      <c r="F2" s="42" t="s">
        <v>171</v>
      </c>
      <c r="G2" s="41" t="s">
        <v>164</v>
      </c>
      <c r="H2" s="41"/>
      <c r="I2" s="53"/>
      <c r="J2" s="54"/>
      <c r="K2" s="54"/>
      <c r="L2" s="49"/>
    </row>
    <row r="3" spans="1:31" x14ac:dyDescent="0.25">
      <c r="A3" s="42" t="s">
        <v>147</v>
      </c>
      <c r="B3" s="42" t="s">
        <v>148</v>
      </c>
      <c r="C3" s="42" t="s">
        <v>149</v>
      </c>
      <c r="D3" s="42" t="s">
        <v>167</v>
      </c>
      <c r="E3" s="42" t="s">
        <v>168</v>
      </c>
      <c r="F3" s="42" t="s">
        <v>169</v>
      </c>
      <c r="G3" s="42" t="s">
        <v>170</v>
      </c>
      <c r="H3" s="41"/>
      <c r="I3" s="53"/>
      <c r="J3" s="54"/>
      <c r="K3" s="54"/>
      <c r="L3" s="54"/>
    </row>
    <row r="4" spans="1:31" ht="15.75" thickBot="1" x14ac:dyDescent="0.3">
      <c r="A4" s="42">
        <v>-12.9</v>
      </c>
      <c r="B4" s="42">
        <v>-13.8</v>
      </c>
      <c r="C4" s="42">
        <v>-1.0900000000000001</v>
      </c>
      <c r="D4" s="42">
        <v>5.8</v>
      </c>
      <c r="E4" s="42">
        <v>2.1000000000000001E-2</v>
      </c>
      <c r="F4" s="56">
        <v>3.5000000000000003E-2</v>
      </c>
      <c r="G4" s="42">
        <v>3.4000000000000002E-2</v>
      </c>
      <c r="H4" s="42"/>
    </row>
    <row r="5" spans="1:31" ht="15.75" customHeight="1" x14ac:dyDescent="0.25">
      <c r="B5" s="42"/>
      <c r="C5" s="42"/>
      <c r="D5" s="42"/>
      <c r="E5" s="42"/>
      <c r="F5" s="42"/>
      <c r="G5" s="41" t="s">
        <v>18</v>
      </c>
      <c r="H5" s="3" t="s">
        <v>19</v>
      </c>
      <c r="I5" s="47" t="s">
        <v>165</v>
      </c>
    </row>
    <row r="6" spans="1:31" ht="16.5" thickBot="1" x14ac:dyDescent="0.3">
      <c r="A6" s="24"/>
      <c r="C6" s="42"/>
      <c r="D6" s="42"/>
      <c r="E6" s="42"/>
      <c r="F6" s="42"/>
      <c r="G6" s="42" t="s">
        <v>171</v>
      </c>
      <c r="H6" s="41" t="s">
        <v>164</v>
      </c>
      <c r="I6" s="48" t="s">
        <v>22</v>
      </c>
      <c r="J6" s="63" t="s">
        <v>175</v>
      </c>
      <c r="K6" s="64" t="s">
        <v>176</v>
      </c>
      <c r="L6" s="64"/>
      <c r="M6" s="64"/>
      <c r="N6" s="64"/>
      <c r="O6" s="64"/>
      <c r="P6" s="64" t="s">
        <v>181</v>
      </c>
      <c r="Q6" s="3" t="s">
        <v>50</v>
      </c>
      <c r="V6" s="3" t="s">
        <v>51</v>
      </c>
      <c r="W6" s="3" t="s">
        <v>52</v>
      </c>
      <c r="X6" s="3" t="s">
        <v>46</v>
      </c>
      <c r="Y6" s="3" t="s">
        <v>47</v>
      </c>
      <c r="Z6" s="3" t="s">
        <v>157</v>
      </c>
      <c r="AA6" s="3" t="s">
        <v>158</v>
      </c>
      <c r="AB6" s="3" t="s">
        <v>46</v>
      </c>
      <c r="AC6" s="3" t="s">
        <v>47</v>
      </c>
    </row>
    <row r="7" spans="1:31" ht="18.75" customHeight="1" thickBot="1" x14ac:dyDescent="0.3">
      <c r="A7" s="24">
        <v>1</v>
      </c>
      <c r="B7" s="57"/>
      <c r="C7" s="59"/>
      <c r="D7" s="60"/>
      <c r="E7" s="60"/>
      <c r="F7" s="60"/>
      <c r="G7" s="70">
        <v>10</v>
      </c>
      <c r="H7" s="71">
        <v>71.59</v>
      </c>
      <c r="I7" s="71">
        <v>16.68</v>
      </c>
      <c r="J7" s="3">
        <f>LOG10(G7)</f>
        <v>1</v>
      </c>
      <c r="K7" s="3">
        <f>LOG10(H7)</f>
        <v>1.8548523624178341</v>
      </c>
      <c r="P7" s="3">
        <f>LOG10(I7)</f>
        <v>1.2221960463017199</v>
      </c>
      <c r="Q7" s="3">
        <f>POWER((I7-$I$39),2)</f>
        <v>5.1104253906250205</v>
      </c>
      <c r="V7" s="3">
        <f>POWER((G7-$G$38),2)</f>
        <v>92.73690000000002</v>
      </c>
      <c r="W7" s="3">
        <f>POWER((H7-$H$38),2)</f>
        <v>4980.1249000000007</v>
      </c>
      <c r="X7" s="20">
        <f>$I$39-$R$44*$R$42*SQRT(1/32+R7/$R$39)</f>
        <v>13.53435437648114</v>
      </c>
      <c r="Y7" s="3">
        <f>$I$39+$R$44*$R$42*SQRT(1/32+R7/$R$39)</f>
        <v>24.346895623518868</v>
      </c>
      <c r="Z7" s="3">
        <f>$I$39-$R$44*$R$42*SQRT(1+1/32+R7/$R$39)</f>
        <v>-12.116035280942313</v>
      </c>
      <c r="AA7" s="3">
        <f>$I$39+$R$44*$R$42*SQRT(1+1/32+R7/$R$39)</f>
        <v>49.997285280942322</v>
      </c>
      <c r="AB7" s="3">
        <f>$I7-2.635</f>
        <v>14.045</v>
      </c>
      <c r="AC7" s="3">
        <f>$I7+2.635</f>
        <v>19.314999999999998</v>
      </c>
      <c r="AD7" s="3">
        <f>AB7-1</f>
        <v>13.045</v>
      </c>
      <c r="AE7" s="3">
        <f>AC7+1</f>
        <v>20.314999999999998</v>
      </c>
    </row>
    <row r="8" spans="1:31" ht="16.5" thickBot="1" x14ac:dyDescent="0.3">
      <c r="A8" s="24">
        <f t="shared" ref="A8:A38" si="0">A7+1</f>
        <v>2</v>
      </c>
      <c r="B8" s="58"/>
      <c r="C8" s="61"/>
      <c r="D8" s="62"/>
      <c r="E8" s="62"/>
      <c r="F8" s="62"/>
      <c r="G8" s="70">
        <v>209</v>
      </c>
      <c r="H8" s="71">
        <v>99.61</v>
      </c>
      <c r="I8" s="71">
        <v>11.5</v>
      </c>
      <c r="J8" s="3">
        <f t="shared" ref="J8:J38" si="1">LOG10(G8)</f>
        <v>2.3201462861110542</v>
      </c>
      <c r="K8" s="3">
        <f t="shared" ref="K8:K38" si="2">LOG10(H8)</f>
        <v>1.9983029400985413</v>
      </c>
      <c r="P8" s="3">
        <f t="shared" ref="P8:P22" si="3">LOG10(I8)</f>
        <v>1.0606978403536116</v>
      </c>
      <c r="Q8" s="3">
        <f t="shared" ref="Q8:Q38" si="4">POWER((I8-$I$39),2)</f>
        <v>55.362900390625065</v>
      </c>
      <c r="V8" s="3">
        <f t="shared" ref="V8:V38" si="5">POWER((G8-$G$38),2)</f>
        <v>43526.476900000001</v>
      </c>
      <c r="W8" s="3">
        <f t="shared" ref="W8:W37" si="6">POWER((H8-$H$38),2)</f>
        <v>9719.9881000000005</v>
      </c>
      <c r="X8" s="20">
        <f t="shared" ref="X8:X38" si="7">$I$39-$R$44*$R$42*SQRT(1/32+R8/$R$39)</f>
        <v>13.53435437648114</v>
      </c>
      <c r="Y8" s="3">
        <f t="shared" ref="Y8:Y38" si="8">$I$39+$R$44*$R$42*SQRT(1/32+R8/$R$39)</f>
        <v>24.346895623518868</v>
      </c>
      <c r="Z8" s="3">
        <f t="shared" ref="Z8:Z38" si="9">$I$39-$R$44*$R$42*SQRT(1+1/32+R8/$R$39)</f>
        <v>-12.116035280942313</v>
      </c>
      <c r="AA8" s="3">
        <f t="shared" ref="AA8:AA38" si="10">$I$39+$R$44*$R$42*SQRT(1+1/32+R8/$R$39)</f>
        <v>49.997285280942322</v>
      </c>
      <c r="AB8" s="3">
        <f t="shared" ref="AB8:AB38" si="11">$I8-2.635</f>
        <v>8.8650000000000002</v>
      </c>
      <c r="AC8" s="3">
        <f t="shared" ref="AC8:AC38" si="12">$I8+2.635</f>
        <v>14.135</v>
      </c>
      <c r="AD8" s="3">
        <f t="shared" ref="AD8:AD38" si="13">AB8-1</f>
        <v>7.8650000000000002</v>
      </c>
      <c r="AE8" s="3">
        <f t="shared" ref="AE8:AE38" si="14">AC8+1</f>
        <v>15.135</v>
      </c>
    </row>
    <row r="9" spans="1:31" ht="16.5" thickBot="1" x14ac:dyDescent="0.3">
      <c r="A9" s="24">
        <f t="shared" si="0"/>
        <v>3</v>
      </c>
      <c r="B9" s="58"/>
      <c r="C9" s="61"/>
      <c r="D9" s="62"/>
      <c r="E9" s="62"/>
      <c r="F9" s="62"/>
      <c r="G9" s="70">
        <v>16</v>
      </c>
      <c r="H9" s="71">
        <v>80.540000000000006</v>
      </c>
      <c r="I9" s="71">
        <v>12.03</v>
      </c>
      <c r="J9" s="3">
        <f t="shared" si="1"/>
        <v>1.2041199826559248</v>
      </c>
      <c r="K9" s="3">
        <f t="shared" si="2"/>
        <v>1.9060116252714128</v>
      </c>
      <c r="P9" s="3">
        <f t="shared" si="3"/>
        <v>1.0802656273398448</v>
      </c>
      <c r="Q9" s="3">
        <f t="shared" si="4"/>
        <v>47.756737890625068</v>
      </c>
      <c r="V9" s="3">
        <f t="shared" si="5"/>
        <v>244.29690000000002</v>
      </c>
      <c r="W9" s="3">
        <f t="shared" si="6"/>
        <v>6323.430400000002</v>
      </c>
      <c r="X9" s="20">
        <f t="shared" si="7"/>
        <v>13.53435437648114</v>
      </c>
      <c r="Y9" s="3">
        <f t="shared" si="8"/>
        <v>24.346895623518868</v>
      </c>
      <c r="Z9" s="3">
        <f t="shared" si="9"/>
        <v>-12.116035280942313</v>
      </c>
      <c r="AA9" s="3">
        <f t="shared" si="10"/>
        <v>49.997285280942322</v>
      </c>
      <c r="AB9" s="3">
        <f t="shared" si="11"/>
        <v>9.3949999999999996</v>
      </c>
      <c r="AC9" s="3">
        <f t="shared" si="12"/>
        <v>14.664999999999999</v>
      </c>
      <c r="AD9" s="3">
        <f t="shared" si="13"/>
        <v>8.3949999999999996</v>
      </c>
      <c r="AE9" s="3">
        <f t="shared" si="14"/>
        <v>15.664999999999999</v>
      </c>
    </row>
    <row r="10" spans="1:31" ht="16.5" thickBot="1" x14ac:dyDescent="0.3">
      <c r="A10" s="24">
        <f t="shared" si="0"/>
        <v>4</v>
      </c>
      <c r="B10" s="58"/>
      <c r="C10" s="61"/>
      <c r="D10" s="62"/>
      <c r="E10" s="62"/>
      <c r="F10" s="62"/>
      <c r="G10" s="70">
        <v>4</v>
      </c>
      <c r="H10" s="71">
        <v>80</v>
      </c>
      <c r="I10" s="71">
        <v>14.88</v>
      </c>
      <c r="J10" s="3">
        <f t="shared" si="1"/>
        <v>0.6020599913279624</v>
      </c>
      <c r="K10" s="3">
        <f t="shared" si="2"/>
        <v>1.9030899869919435</v>
      </c>
      <c r="P10" s="3">
        <f t="shared" si="3"/>
        <v>1.1726029312098598</v>
      </c>
      <c r="Q10" s="3">
        <f t="shared" si="4"/>
        <v>16.48867539062503</v>
      </c>
      <c r="V10" s="3">
        <f t="shared" si="5"/>
        <v>13.1769</v>
      </c>
      <c r="W10" s="3">
        <f t="shared" si="6"/>
        <v>6237.840400000001</v>
      </c>
      <c r="X10" s="20">
        <f t="shared" si="7"/>
        <v>13.53435437648114</v>
      </c>
      <c r="Y10" s="3">
        <f t="shared" si="8"/>
        <v>24.346895623518868</v>
      </c>
      <c r="Z10" s="3">
        <f t="shared" si="9"/>
        <v>-12.116035280942313</v>
      </c>
      <c r="AA10" s="3">
        <f t="shared" si="10"/>
        <v>49.997285280942322</v>
      </c>
      <c r="AB10" s="3">
        <f t="shared" si="11"/>
        <v>12.245000000000001</v>
      </c>
      <c r="AC10" s="3">
        <f t="shared" si="12"/>
        <v>17.515000000000001</v>
      </c>
      <c r="AD10" s="3">
        <f t="shared" si="13"/>
        <v>11.245000000000001</v>
      </c>
      <c r="AE10" s="3">
        <f t="shared" si="14"/>
        <v>18.515000000000001</v>
      </c>
    </row>
    <row r="11" spans="1:31" ht="16.5" thickBot="1" x14ac:dyDescent="0.3">
      <c r="A11" s="24">
        <f t="shared" si="0"/>
        <v>5</v>
      </c>
      <c r="B11" s="58"/>
      <c r="C11" s="61"/>
      <c r="D11" s="62"/>
      <c r="E11" s="62"/>
      <c r="F11" s="62"/>
      <c r="G11" s="70">
        <v>45</v>
      </c>
      <c r="H11" s="71">
        <v>180.99</v>
      </c>
      <c r="I11" s="71">
        <v>13.75</v>
      </c>
      <c r="J11" s="3">
        <f t="shared" si="1"/>
        <v>1.6532125137753437</v>
      </c>
      <c r="K11" s="3">
        <f t="shared" si="2"/>
        <v>2.2576545800360668</v>
      </c>
      <c r="P11" s="3">
        <f t="shared" si="3"/>
        <v>1.1383026981662814</v>
      </c>
      <c r="Q11" s="3">
        <f t="shared" si="4"/>
        <v>26.942587890625045</v>
      </c>
      <c r="V11" s="3">
        <f t="shared" si="5"/>
        <v>1991.8369000000002</v>
      </c>
      <c r="W11" s="3">
        <f t="shared" si="6"/>
        <v>32389.2009</v>
      </c>
      <c r="X11" s="20">
        <f t="shared" si="7"/>
        <v>13.53435437648114</v>
      </c>
      <c r="Y11" s="3">
        <f t="shared" si="8"/>
        <v>24.346895623518868</v>
      </c>
      <c r="Z11" s="3">
        <f t="shared" si="9"/>
        <v>-12.116035280942313</v>
      </c>
      <c r="AA11" s="3">
        <f t="shared" si="10"/>
        <v>49.997285280942322</v>
      </c>
      <c r="AB11" s="3">
        <f t="shared" si="11"/>
        <v>11.115</v>
      </c>
      <c r="AC11" s="3">
        <f t="shared" si="12"/>
        <v>16.384999999999998</v>
      </c>
      <c r="AD11" s="3">
        <f t="shared" si="13"/>
        <v>10.115</v>
      </c>
      <c r="AE11" s="3">
        <f t="shared" si="14"/>
        <v>17.384999999999998</v>
      </c>
    </row>
    <row r="12" spans="1:31" ht="16.5" thickBot="1" x14ac:dyDescent="0.3">
      <c r="A12" s="24">
        <f t="shared" si="0"/>
        <v>6</v>
      </c>
      <c r="B12" s="58"/>
      <c r="C12" s="61"/>
      <c r="D12" s="62"/>
      <c r="E12" s="62"/>
      <c r="F12" s="62"/>
      <c r="G12" s="70">
        <v>25</v>
      </c>
      <c r="H12" s="71">
        <v>330</v>
      </c>
      <c r="I12" s="71">
        <v>18.11</v>
      </c>
      <c r="J12" s="3">
        <f t="shared" si="1"/>
        <v>1.3979400086720377</v>
      </c>
      <c r="K12" s="3">
        <f t="shared" si="2"/>
        <v>2.5185139398778875</v>
      </c>
      <c r="P12" s="3">
        <f t="shared" si="3"/>
        <v>1.2579184503140584</v>
      </c>
      <c r="Q12" s="3">
        <f t="shared" si="4"/>
        <v>0.68993789062500799</v>
      </c>
      <c r="V12" s="3">
        <f t="shared" si="5"/>
        <v>606.63689999999997</v>
      </c>
      <c r="W12" s="3">
        <f t="shared" si="6"/>
        <v>108227.84040000002</v>
      </c>
      <c r="X12" s="20">
        <f t="shared" si="7"/>
        <v>13.53435437648114</v>
      </c>
      <c r="Y12" s="3">
        <f t="shared" si="8"/>
        <v>24.346895623518868</v>
      </c>
      <c r="Z12" s="3">
        <f t="shared" si="9"/>
        <v>-12.116035280942313</v>
      </c>
      <c r="AA12" s="3">
        <f t="shared" si="10"/>
        <v>49.997285280942322</v>
      </c>
      <c r="AB12" s="3">
        <f t="shared" si="11"/>
        <v>15.475</v>
      </c>
      <c r="AC12" s="3">
        <f t="shared" si="12"/>
        <v>20.744999999999997</v>
      </c>
      <c r="AD12" s="3">
        <f t="shared" si="13"/>
        <v>14.475</v>
      </c>
      <c r="AE12" s="3">
        <f t="shared" si="14"/>
        <v>21.744999999999997</v>
      </c>
    </row>
    <row r="13" spans="1:31" ht="16.5" thickBot="1" x14ac:dyDescent="0.3">
      <c r="A13" s="24">
        <f t="shared" si="0"/>
        <v>7</v>
      </c>
      <c r="B13" s="58"/>
      <c r="C13" s="61"/>
      <c r="D13" s="62"/>
      <c r="E13" s="62"/>
      <c r="F13" s="62"/>
      <c r="G13" s="70">
        <v>12</v>
      </c>
      <c r="H13" s="71">
        <v>110</v>
      </c>
      <c r="I13" s="71">
        <v>8</v>
      </c>
      <c r="J13" s="3">
        <f t="shared" si="1"/>
        <v>1.0791812460476249</v>
      </c>
      <c r="K13" s="3">
        <f t="shared" si="2"/>
        <v>2.0413926851582249</v>
      </c>
      <c r="P13" s="3">
        <f t="shared" si="3"/>
        <v>0.90308998699194354</v>
      </c>
      <c r="Q13" s="3">
        <f t="shared" si="4"/>
        <v>119.69727539062509</v>
      </c>
      <c r="V13" s="3">
        <f t="shared" si="5"/>
        <v>135.25690000000003</v>
      </c>
      <c r="W13" s="3">
        <f t="shared" si="6"/>
        <v>11876.6404</v>
      </c>
      <c r="X13" s="20">
        <f t="shared" si="7"/>
        <v>13.53435437648114</v>
      </c>
      <c r="Y13" s="3">
        <f t="shared" si="8"/>
        <v>24.346895623518868</v>
      </c>
      <c r="Z13" s="3">
        <f t="shared" si="9"/>
        <v>-12.116035280942313</v>
      </c>
      <c r="AA13" s="3">
        <f t="shared" si="10"/>
        <v>49.997285280942322</v>
      </c>
      <c r="AB13" s="3">
        <f t="shared" si="11"/>
        <v>5.3650000000000002</v>
      </c>
      <c r="AC13" s="3">
        <f t="shared" si="12"/>
        <v>10.635</v>
      </c>
      <c r="AD13" s="3">
        <f t="shared" si="13"/>
        <v>4.3650000000000002</v>
      </c>
      <c r="AE13" s="3">
        <f t="shared" si="14"/>
        <v>11.635</v>
      </c>
    </row>
    <row r="14" spans="1:31" ht="16.5" thickBot="1" x14ac:dyDescent="0.3">
      <c r="A14" s="24">
        <f t="shared" si="0"/>
        <v>8</v>
      </c>
      <c r="B14" s="58"/>
      <c r="C14" s="61"/>
      <c r="D14" s="62"/>
      <c r="E14" s="62"/>
      <c r="F14" s="62"/>
      <c r="G14" s="70">
        <v>37</v>
      </c>
      <c r="H14" s="71">
        <v>210</v>
      </c>
      <c r="I14" s="71">
        <v>17.829999999999998</v>
      </c>
      <c r="J14" s="3">
        <f t="shared" si="1"/>
        <v>1.568201724066995</v>
      </c>
      <c r="K14" s="3">
        <f t="shared" si="2"/>
        <v>2.3222192947339191</v>
      </c>
      <c r="P14" s="3">
        <f t="shared" si="3"/>
        <v>1.2511513431753545</v>
      </c>
      <c r="Q14" s="3">
        <f t="shared" si="4"/>
        <v>1.2334878906250133</v>
      </c>
      <c r="V14" s="3">
        <f t="shared" si="5"/>
        <v>1341.7569000000001</v>
      </c>
      <c r="W14" s="3">
        <f t="shared" si="6"/>
        <v>43672.640399999997</v>
      </c>
      <c r="X14" s="20">
        <f t="shared" si="7"/>
        <v>13.53435437648114</v>
      </c>
      <c r="Y14" s="3">
        <f t="shared" si="8"/>
        <v>24.346895623518868</v>
      </c>
      <c r="Z14" s="3">
        <f t="shared" si="9"/>
        <v>-12.116035280942313</v>
      </c>
      <c r="AA14" s="3">
        <f t="shared" si="10"/>
        <v>49.997285280942322</v>
      </c>
      <c r="AB14" s="3">
        <f t="shared" si="11"/>
        <v>15.194999999999999</v>
      </c>
      <c r="AC14" s="3">
        <f t="shared" si="12"/>
        <v>20.464999999999996</v>
      </c>
      <c r="AD14" s="3">
        <f t="shared" si="13"/>
        <v>14.194999999999999</v>
      </c>
      <c r="AE14" s="3">
        <f t="shared" si="14"/>
        <v>21.464999999999996</v>
      </c>
    </row>
    <row r="15" spans="1:31" ht="16.5" thickBot="1" x14ac:dyDescent="0.3">
      <c r="A15" s="24">
        <f t="shared" si="0"/>
        <v>9</v>
      </c>
      <c r="B15" s="58"/>
      <c r="C15" s="61"/>
      <c r="D15" s="62"/>
      <c r="E15" s="62"/>
      <c r="F15" s="62"/>
      <c r="G15" s="70">
        <v>30</v>
      </c>
      <c r="H15" s="71">
        <v>1460</v>
      </c>
      <c r="I15" s="71">
        <v>79.239999999999995</v>
      </c>
      <c r="J15" s="3">
        <f t="shared" si="1"/>
        <v>1.4771212547196624</v>
      </c>
      <c r="K15" s="3">
        <f t="shared" si="2"/>
        <v>3.1643528557844371</v>
      </c>
      <c r="P15" s="3">
        <f t="shared" si="3"/>
        <v>1.8989444668665094</v>
      </c>
      <c r="Q15" s="3">
        <f t="shared" si="4"/>
        <v>3636.0146253906237</v>
      </c>
      <c r="V15" s="3">
        <f t="shared" si="5"/>
        <v>877.93689999999992</v>
      </c>
      <c r="W15" s="3">
        <f t="shared" si="6"/>
        <v>2128622.6403999999</v>
      </c>
      <c r="X15" s="20">
        <f t="shared" si="7"/>
        <v>13.53435437648114</v>
      </c>
      <c r="Y15" s="3">
        <f t="shared" si="8"/>
        <v>24.346895623518868</v>
      </c>
      <c r="Z15" s="3">
        <f t="shared" si="9"/>
        <v>-12.116035280942313</v>
      </c>
      <c r="AA15" s="3">
        <f t="shared" si="10"/>
        <v>49.997285280942322</v>
      </c>
      <c r="AB15" s="3">
        <f t="shared" si="11"/>
        <v>76.60499999999999</v>
      </c>
      <c r="AC15" s="3">
        <f t="shared" si="12"/>
        <v>81.875</v>
      </c>
      <c r="AD15" s="3">
        <f t="shared" si="13"/>
        <v>75.60499999999999</v>
      </c>
      <c r="AE15" s="3">
        <f t="shared" si="14"/>
        <v>82.875</v>
      </c>
    </row>
    <row r="16" spans="1:31" ht="16.5" thickBot="1" x14ac:dyDescent="0.3">
      <c r="A16" s="24">
        <f t="shared" si="0"/>
        <v>10</v>
      </c>
      <c r="B16" s="58"/>
      <c r="C16" s="61"/>
      <c r="D16" s="62"/>
      <c r="E16" s="62"/>
      <c r="F16" s="62"/>
      <c r="G16" s="70">
        <v>15</v>
      </c>
      <c r="H16" s="71">
        <v>605</v>
      </c>
      <c r="I16" s="71">
        <v>21.5</v>
      </c>
      <c r="J16" s="3">
        <f t="shared" si="1"/>
        <v>1.1760912590556813</v>
      </c>
      <c r="K16" s="3">
        <f t="shared" si="2"/>
        <v>2.781755374652469</v>
      </c>
      <c r="P16" s="3">
        <f t="shared" si="3"/>
        <v>1.3324384599156054</v>
      </c>
      <c r="Q16" s="3">
        <f t="shared" si="4"/>
        <v>6.5504003906249784</v>
      </c>
      <c r="V16" s="3">
        <f t="shared" si="5"/>
        <v>214.03690000000003</v>
      </c>
      <c r="W16" s="3">
        <f t="shared" si="6"/>
        <v>364791.84040000004</v>
      </c>
      <c r="X16" s="20">
        <f t="shared" si="7"/>
        <v>13.53435437648114</v>
      </c>
      <c r="Y16" s="3">
        <f t="shared" si="8"/>
        <v>24.346895623518868</v>
      </c>
      <c r="Z16" s="3">
        <f t="shared" si="9"/>
        <v>-12.116035280942313</v>
      </c>
      <c r="AA16" s="3">
        <f t="shared" si="10"/>
        <v>49.997285280942322</v>
      </c>
      <c r="AB16" s="3">
        <f t="shared" si="11"/>
        <v>18.865000000000002</v>
      </c>
      <c r="AC16" s="3">
        <f t="shared" si="12"/>
        <v>24.134999999999998</v>
      </c>
      <c r="AD16" s="3">
        <f t="shared" si="13"/>
        <v>17.865000000000002</v>
      </c>
      <c r="AE16" s="3">
        <f t="shared" si="14"/>
        <v>25.134999999999998</v>
      </c>
    </row>
    <row r="17" spans="1:31" ht="16.5" thickBot="1" x14ac:dyDescent="0.3">
      <c r="A17" s="24">
        <f t="shared" si="0"/>
        <v>11</v>
      </c>
      <c r="B17" s="58"/>
      <c r="C17" s="61"/>
      <c r="D17" s="62"/>
      <c r="E17" s="62"/>
      <c r="F17" s="62"/>
      <c r="G17" s="70">
        <v>16</v>
      </c>
      <c r="H17" s="71">
        <v>688</v>
      </c>
      <c r="I17" s="71">
        <v>40.33</v>
      </c>
      <c r="J17" s="3">
        <f t="shared" si="1"/>
        <v>1.2041199826559248</v>
      </c>
      <c r="K17" s="3">
        <f t="shared" si="2"/>
        <v>2.8375884382355112</v>
      </c>
      <c r="P17" s="3">
        <f t="shared" si="3"/>
        <v>1.6056282220076186</v>
      </c>
      <c r="Q17" s="3">
        <f t="shared" si="4"/>
        <v>457.50536289062472</v>
      </c>
      <c r="V17" s="3">
        <f t="shared" si="5"/>
        <v>244.29690000000002</v>
      </c>
      <c r="W17" s="3">
        <f t="shared" si="6"/>
        <v>471941.52040000004</v>
      </c>
      <c r="X17" s="20">
        <f t="shared" si="7"/>
        <v>13.53435437648114</v>
      </c>
      <c r="Y17" s="3">
        <f t="shared" si="8"/>
        <v>24.346895623518868</v>
      </c>
      <c r="Z17" s="3">
        <f t="shared" si="9"/>
        <v>-12.116035280942313</v>
      </c>
      <c r="AA17" s="3">
        <f t="shared" si="10"/>
        <v>49.997285280942322</v>
      </c>
      <c r="AB17" s="3">
        <f t="shared" si="11"/>
        <v>37.695</v>
      </c>
      <c r="AC17" s="3">
        <f t="shared" si="12"/>
        <v>42.964999999999996</v>
      </c>
      <c r="AD17" s="3">
        <f t="shared" si="13"/>
        <v>36.695</v>
      </c>
      <c r="AE17" s="3">
        <f t="shared" si="14"/>
        <v>43.964999999999996</v>
      </c>
    </row>
    <row r="18" spans="1:31" ht="16.5" thickBot="1" x14ac:dyDescent="0.3">
      <c r="A18" s="24">
        <f t="shared" si="0"/>
        <v>12</v>
      </c>
      <c r="B18" s="58"/>
      <c r="C18" s="61"/>
      <c r="D18" s="62"/>
      <c r="E18" s="62"/>
      <c r="F18" s="62"/>
      <c r="G18" s="70">
        <v>10</v>
      </c>
      <c r="H18" s="71">
        <v>215</v>
      </c>
      <c r="I18" s="71">
        <v>21</v>
      </c>
      <c r="J18" s="3">
        <f t="shared" si="1"/>
        <v>1</v>
      </c>
      <c r="K18" s="3">
        <f t="shared" si="2"/>
        <v>2.3324384599156054</v>
      </c>
      <c r="P18" s="3">
        <f t="shared" si="3"/>
        <v>1.3222192947339193</v>
      </c>
      <c r="Q18" s="3">
        <f t="shared" si="4"/>
        <v>4.2410253906249826</v>
      </c>
      <c r="V18" s="3">
        <f t="shared" si="5"/>
        <v>92.73690000000002</v>
      </c>
      <c r="W18" s="3">
        <f t="shared" si="6"/>
        <v>45787.440399999992</v>
      </c>
      <c r="X18" s="20">
        <f t="shared" si="7"/>
        <v>13.53435437648114</v>
      </c>
      <c r="Y18" s="3">
        <f t="shared" si="8"/>
        <v>24.346895623518868</v>
      </c>
      <c r="Z18" s="3">
        <f t="shared" si="9"/>
        <v>-12.116035280942313</v>
      </c>
      <c r="AA18" s="3">
        <f t="shared" si="10"/>
        <v>49.997285280942322</v>
      </c>
      <c r="AB18" s="3">
        <f t="shared" si="11"/>
        <v>18.365000000000002</v>
      </c>
      <c r="AC18" s="3">
        <f t="shared" si="12"/>
        <v>23.634999999999998</v>
      </c>
      <c r="AD18" s="3">
        <f t="shared" si="13"/>
        <v>17.365000000000002</v>
      </c>
      <c r="AE18" s="3">
        <f t="shared" si="14"/>
        <v>24.634999999999998</v>
      </c>
    </row>
    <row r="19" spans="1:31" ht="16.5" thickBot="1" x14ac:dyDescent="0.3">
      <c r="A19" s="24">
        <f t="shared" si="0"/>
        <v>13</v>
      </c>
      <c r="B19" s="58"/>
      <c r="C19" s="61"/>
      <c r="D19" s="62"/>
      <c r="E19" s="62"/>
      <c r="F19" s="62"/>
      <c r="G19" s="70">
        <v>14</v>
      </c>
      <c r="H19" s="71">
        <v>255</v>
      </c>
      <c r="I19" s="71">
        <v>13.5</v>
      </c>
      <c r="J19" s="3">
        <f t="shared" si="1"/>
        <v>1.146128035678238</v>
      </c>
      <c r="K19" s="3">
        <f t="shared" si="2"/>
        <v>2.406540180433955</v>
      </c>
      <c r="P19" s="3">
        <f t="shared" si="3"/>
        <v>1.1303337684950061</v>
      </c>
      <c r="Q19" s="3">
        <f t="shared" si="4"/>
        <v>29.600400390625047</v>
      </c>
      <c r="V19" s="3">
        <f t="shared" si="5"/>
        <v>185.77690000000001</v>
      </c>
      <c r="W19" s="3">
        <f t="shared" si="6"/>
        <v>64505.840399999994</v>
      </c>
      <c r="X19" s="20">
        <f t="shared" si="7"/>
        <v>13.53435437648114</v>
      </c>
      <c r="Y19" s="3">
        <f t="shared" si="8"/>
        <v>24.346895623518868</v>
      </c>
      <c r="Z19" s="3">
        <f t="shared" si="9"/>
        <v>-12.116035280942313</v>
      </c>
      <c r="AA19" s="3">
        <f t="shared" si="10"/>
        <v>49.997285280942322</v>
      </c>
      <c r="AB19" s="3">
        <f t="shared" si="11"/>
        <v>10.865</v>
      </c>
      <c r="AC19" s="3">
        <f t="shared" si="12"/>
        <v>16.134999999999998</v>
      </c>
      <c r="AD19" s="3">
        <f t="shared" si="13"/>
        <v>9.8650000000000002</v>
      </c>
      <c r="AE19" s="3">
        <f t="shared" si="14"/>
        <v>17.134999999999998</v>
      </c>
    </row>
    <row r="20" spans="1:31" ht="16.5" thickBot="1" x14ac:dyDescent="0.3">
      <c r="A20" s="24">
        <f t="shared" si="0"/>
        <v>14</v>
      </c>
      <c r="B20" s="58"/>
      <c r="C20" s="61"/>
      <c r="D20" s="62"/>
      <c r="E20" s="62"/>
      <c r="F20" s="62"/>
      <c r="G20" s="70">
        <v>6</v>
      </c>
      <c r="H20" s="71">
        <v>462</v>
      </c>
      <c r="I20" s="71">
        <v>19.75</v>
      </c>
      <c r="J20" s="3">
        <f t="shared" si="1"/>
        <v>0.77815125038364363</v>
      </c>
      <c r="K20" s="3">
        <f t="shared" si="2"/>
        <v>2.6646419755561257</v>
      </c>
      <c r="P20" s="3">
        <f t="shared" si="3"/>
        <v>1.2955670999624791</v>
      </c>
      <c r="Q20" s="3">
        <f t="shared" si="4"/>
        <v>0.65508789062499306</v>
      </c>
      <c r="V20" s="3">
        <f t="shared" si="5"/>
        <v>31.696899999999999</v>
      </c>
      <c r="W20" s="3">
        <f t="shared" si="6"/>
        <v>212502.56040000002</v>
      </c>
      <c r="X20" s="20">
        <f t="shared" si="7"/>
        <v>13.53435437648114</v>
      </c>
      <c r="Y20" s="3">
        <f t="shared" si="8"/>
        <v>24.346895623518868</v>
      </c>
      <c r="Z20" s="3">
        <f t="shared" si="9"/>
        <v>-12.116035280942313</v>
      </c>
      <c r="AA20" s="3">
        <f t="shared" si="10"/>
        <v>49.997285280942322</v>
      </c>
      <c r="AB20" s="3">
        <f t="shared" si="11"/>
        <v>17.115000000000002</v>
      </c>
      <c r="AC20" s="3">
        <f t="shared" si="12"/>
        <v>22.384999999999998</v>
      </c>
      <c r="AD20" s="3">
        <f t="shared" si="13"/>
        <v>16.115000000000002</v>
      </c>
      <c r="AE20" s="3">
        <f t="shared" si="14"/>
        <v>23.384999999999998</v>
      </c>
    </row>
    <row r="21" spans="1:31" ht="16.5" thickBot="1" x14ac:dyDescent="0.3">
      <c r="A21" s="24">
        <f t="shared" si="0"/>
        <v>15</v>
      </c>
      <c r="B21" s="58"/>
      <c r="C21" s="61"/>
      <c r="D21" s="62"/>
      <c r="E21" s="62"/>
      <c r="F21" s="62"/>
      <c r="G21" s="70">
        <v>9</v>
      </c>
      <c r="H21" s="71">
        <v>448</v>
      </c>
      <c r="I21" s="71">
        <v>24</v>
      </c>
      <c r="J21" s="3">
        <f t="shared" si="1"/>
        <v>0.95424250943932487</v>
      </c>
      <c r="K21" s="3">
        <f t="shared" si="2"/>
        <v>2.651278013998144</v>
      </c>
      <c r="P21" s="3">
        <f t="shared" si="3"/>
        <v>1.3802112417116059</v>
      </c>
      <c r="Q21" s="3">
        <f t="shared" si="4"/>
        <v>25.597275390624958</v>
      </c>
      <c r="V21" s="3">
        <f t="shared" si="5"/>
        <v>74.476900000000015</v>
      </c>
      <c r="W21" s="3">
        <f t="shared" si="6"/>
        <v>199791.12040000001</v>
      </c>
      <c r="X21" s="20">
        <f t="shared" si="7"/>
        <v>13.53435437648114</v>
      </c>
      <c r="Y21" s="3">
        <f t="shared" si="8"/>
        <v>24.346895623518868</v>
      </c>
      <c r="Z21" s="3">
        <f t="shared" si="9"/>
        <v>-12.116035280942313</v>
      </c>
      <c r="AA21" s="3">
        <f t="shared" si="10"/>
        <v>49.997285280942322</v>
      </c>
      <c r="AB21" s="3">
        <f t="shared" si="11"/>
        <v>21.365000000000002</v>
      </c>
      <c r="AC21" s="3">
        <f t="shared" si="12"/>
        <v>26.634999999999998</v>
      </c>
      <c r="AD21" s="3">
        <f t="shared" si="13"/>
        <v>20.365000000000002</v>
      </c>
      <c r="AE21" s="3">
        <f t="shared" si="14"/>
        <v>27.634999999999998</v>
      </c>
    </row>
    <row r="22" spans="1:31" ht="16.5" thickBot="1" x14ac:dyDescent="0.3">
      <c r="A22" s="24">
        <f t="shared" si="0"/>
        <v>16</v>
      </c>
      <c r="B22" s="58"/>
      <c r="C22" s="61"/>
      <c r="D22" s="62"/>
      <c r="E22" s="62"/>
      <c r="F22" s="62"/>
      <c r="G22" s="70">
        <v>10</v>
      </c>
      <c r="H22" s="71">
        <v>776</v>
      </c>
      <c r="I22" s="71">
        <v>29</v>
      </c>
      <c r="J22" s="3">
        <f t="shared" si="1"/>
        <v>1</v>
      </c>
      <c r="K22" s="3">
        <f t="shared" si="2"/>
        <v>2.8898617212581885</v>
      </c>
      <c r="P22" s="3">
        <f t="shared" si="3"/>
        <v>1.4623979978989561</v>
      </c>
      <c r="Q22" s="3">
        <f t="shared" si="4"/>
        <v>101.19102539062492</v>
      </c>
      <c r="V22" s="3">
        <f t="shared" si="5"/>
        <v>92.73690000000002</v>
      </c>
      <c r="W22" s="3">
        <f t="shared" si="6"/>
        <v>600594.00040000002</v>
      </c>
      <c r="X22" s="20">
        <f t="shared" si="7"/>
        <v>13.53435437648114</v>
      </c>
      <c r="Y22" s="3">
        <f t="shared" si="8"/>
        <v>24.346895623518868</v>
      </c>
      <c r="Z22" s="3">
        <f t="shared" si="9"/>
        <v>-12.116035280942313</v>
      </c>
      <c r="AA22" s="3">
        <f t="shared" si="10"/>
        <v>49.997285280942322</v>
      </c>
      <c r="AB22" s="3">
        <f t="shared" si="11"/>
        <v>26.365000000000002</v>
      </c>
      <c r="AC22" s="3">
        <f t="shared" si="12"/>
        <v>31.634999999999998</v>
      </c>
      <c r="AD22" s="3">
        <f t="shared" si="13"/>
        <v>25.365000000000002</v>
      </c>
      <c r="AE22" s="3">
        <f t="shared" si="14"/>
        <v>32.634999999999998</v>
      </c>
    </row>
    <row r="23" spans="1:31" ht="16.5" thickBot="1" x14ac:dyDescent="0.3">
      <c r="A23" s="24">
        <f t="shared" si="0"/>
        <v>17</v>
      </c>
      <c r="B23" s="58"/>
      <c r="C23" s="61"/>
      <c r="D23" s="62"/>
      <c r="E23" s="62"/>
      <c r="F23" s="62"/>
      <c r="G23" s="70">
        <v>6</v>
      </c>
      <c r="H23" s="71">
        <v>200</v>
      </c>
      <c r="I23" s="71">
        <v>15.35</v>
      </c>
      <c r="J23" s="3">
        <f t="shared" si="1"/>
        <v>0.77815125038364363</v>
      </c>
      <c r="K23" s="3">
        <f t="shared" si="2"/>
        <v>2.3010299956639813</v>
      </c>
      <c r="P23" s="3">
        <f t="shared" ref="L23:P38" si="15">LOG10(I23)</f>
        <v>1.1861083798132053</v>
      </c>
      <c r="Q23" s="3">
        <f t="shared" si="4"/>
        <v>12.892587890625034</v>
      </c>
      <c r="V23" s="3">
        <f t="shared" si="5"/>
        <v>31.696899999999999</v>
      </c>
      <c r="W23" s="3">
        <f t="shared" si="6"/>
        <v>39593.040399999998</v>
      </c>
      <c r="X23" s="20">
        <f t="shared" si="7"/>
        <v>13.53435437648114</v>
      </c>
      <c r="Y23" s="3">
        <f t="shared" si="8"/>
        <v>24.346895623518868</v>
      </c>
      <c r="Z23" s="3">
        <f t="shared" si="9"/>
        <v>-12.116035280942313</v>
      </c>
      <c r="AA23" s="3">
        <f t="shared" si="10"/>
        <v>49.997285280942322</v>
      </c>
      <c r="AB23" s="3">
        <f t="shared" si="11"/>
        <v>12.715</v>
      </c>
      <c r="AC23" s="3">
        <f t="shared" si="12"/>
        <v>17.984999999999999</v>
      </c>
      <c r="AD23" s="3">
        <f t="shared" si="13"/>
        <v>11.715</v>
      </c>
      <c r="AE23" s="3">
        <f t="shared" si="14"/>
        <v>18.984999999999999</v>
      </c>
    </row>
    <row r="24" spans="1:31" ht="16.5" thickBot="1" x14ac:dyDescent="0.3">
      <c r="A24" s="24">
        <f t="shared" si="0"/>
        <v>18</v>
      </c>
      <c r="B24" s="58"/>
      <c r="C24" s="61"/>
      <c r="D24" s="62"/>
      <c r="E24" s="62"/>
      <c r="F24" s="62"/>
      <c r="G24" s="70">
        <v>7</v>
      </c>
      <c r="H24" s="71">
        <v>132</v>
      </c>
      <c r="I24" s="71">
        <v>19</v>
      </c>
      <c r="J24" s="3">
        <f t="shared" si="1"/>
        <v>0.84509804001425681</v>
      </c>
      <c r="K24" s="3">
        <f t="shared" si="2"/>
        <v>2.12057393120585</v>
      </c>
      <c r="P24" s="3">
        <f t="shared" si="15"/>
        <v>1.2787536009528289</v>
      </c>
      <c r="Q24" s="3">
        <f t="shared" si="4"/>
        <v>3.5253906249994938E-3</v>
      </c>
      <c r="V24" s="3">
        <f t="shared" si="5"/>
        <v>43.956899999999997</v>
      </c>
      <c r="W24" s="3">
        <f t="shared" si="6"/>
        <v>17155.760399999996</v>
      </c>
      <c r="X24" s="20">
        <f t="shared" si="7"/>
        <v>13.53435437648114</v>
      </c>
      <c r="Y24" s="3">
        <f t="shared" si="8"/>
        <v>24.346895623518868</v>
      </c>
      <c r="Z24" s="3">
        <f t="shared" si="9"/>
        <v>-12.116035280942313</v>
      </c>
      <c r="AA24" s="3">
        <f t="shared" si="10"/>
        <v>49.997285280942322</v>
      </c>
      <c r="AB24" s="3">
        <f t="shared" si="11"/>
        <v>16.365000000000002</v>
      </c>
      <c r="AC24" s="3">
        <f t="shared" si="12"/>
        <v>21.634999999999998</v>
      </c>
      <c r="AD24" s="3">
        <f t="shared" si="13"/>
        <v>15.365000000000002</v>
      </c>
      <c r="AE24" s="3">
        <f t="shared" si="14"/>
        <v>22.634999999999998</v>
      </c>
    </row>
    <row r="25" spans="1:31" ht="16.5" thickBot="1" x14ac:dyDescent="0.3">
      <c r="A25" s="24">
        <f t="shared" si="0"/>
        <v>19</v>
      </c>
      <c r="B25" s="58"/>
      <c r="C25" s="61"/>
      <c r="D25" s="62"/>
      <c r="E25" s="62"/>
      <c r="F25" s="62"/>
      <c r="G25" s="70">
        <v>13</v>
      </c>
      <c r="H25" s="71">
        <v>36</v>
      </c>
      <c r="I25" s="71">
        <v>9.5</v>
      </c>
      <c r="J25" s="3">
        <f t="shared" si="1"/>
        <v>1.1139433523068367</v>
      </c>
      <c r="K25" s="3">
        <f t="shared" si="2"/>
        <v>1.5563025007672873</v>
      </c>
      <c r="P25" s="3">
        <f t="shared" si="15"/>
        <v>0.97772360528884772</v>
      </c>
      <c r="Q25" s="3">
        <f t="shared" si="4"/>
        <v>89.125400390625074</v>
      </c>
      <c r="V25" s="3">
        <f t="shared" si="5"/>
        <v>159.51690000000002</v>
      </c>
      <c r="W25" s="3">
        <f t="shared" si="6"/>
        <v>1223.6003999999998</v>
      </c>
      <c r="X25" s="20">
        <f t="shared" si="7"/>
        <v>13.53435437648114</v>
      </c>
      <c r="Y25" s="3">
        <f t="shared" si="8"/>
        <v>24.346895623518868</v>
      </c>
      <c r="Z25" s="3">
        <f t="shared" si="9"/>
        <v>-12.116035280942313</v>
      </c>
      <c r="AA25" s="3">
        <f t="shared" si="10"/>
        <v>49.997285280942322</v>
      </c>
      <c r="AB25" s="3">
        <f t="shared" si="11"/>
        <v>6.8650000000000002</v>
      </c>
      <c r="AC25" s="3">
        <f t="shared" si="12"/>
        <v>12.135</v>
      </c>
      <c r="AD25" s="3">
        <f t="shared" si="13"/>
        <v>5.8650000000000002</v>
      </c>
      <c r="AE25" s="3">
        <f t="shared" si="14"/>
        <v>13.135</v>
      </c>
    </row>
    <row r="26" spans="1:31" ht="16.5" thickBot="1" x14ac:dyDescent="0.3">
      <c r="A26" s="24">
        <f t="shared" si="0"/>
        <v>20</v>
      </c>
      <c r="B26" s="58"/>
      <c r="C26" s="61"/>
      <c r="D26" s="62"/>
      <c r="E26" s="62"/>
      <c r="F26" s="62"/>
      <c r="G26" s="70">
        <v>17</v>
      </c>
      <c r="H26" s="71">
        <v>770</v>
      </c>
      <c r="I26" s="71">
        <v>35.1</v>
      </c>
      <c r="J26" s="3">
        <f t="shared" si="1"/>
        <v>1.2304489213782739</v>
      </c>
      <c r="K26" s="3">
        <f t="shared" si="2"/>
        <v>2.8864907251724818</v>
      </c>
      <c r="P26" s="3">
        <f t="shared" si="15"/>
        <v>1.5453071164658241</v>
      </c>
      <c r="Q26" s="3">
        <f t="shared" si="4"/>
        <v>261.12540039062492</v>
      </c>
      <c r="V26" s="3">
        <f t="shared" si="5"/>
        <v>276.55689999999998</v>
      </c>
      <c r="W26" s="3">
        <f t="shared" si="6"/>
        <v>591330.24040000001</v>
      </c>
      <c r="X26" s="20">
        <f t="shared" si="7"/>
        <v>13.53435437648114</v>
      </c>
      <c r="Y26" s="3">
        <f t="shared" si="8"/>
        <v>24.346895623518868</v>
      </c>
      <c r="Z26" s="3">
        <f t="shared" si="9"/>
        <v>-12.116035280942313</v>
      </c>
      <c r="AA26" s="3">
        <f t="shared" si="10"/>
        <v>49.997285280942322</v>
      </c>
      <c r="AB26" s="3">
        <f t="shared" si="11"/>
        <v>32.465000000000003</v>
      </c>
      <c r="AC26" s="3">
        <f t="shared" si="12"/>
        <v>37.734999999999999</v>
      </c>
      <c r="AD26" s="3">
        <f t="shared" si="13"/>
        <v>31.465000000000003</v>
      </c>
      <c r="AE26" s="3">
        <f t="shared" si="14"/>
        <v>38.734999999999999</v>
      </c>
    </row>
    <row r="27" spans="1:31" ht="16.5" thickBot="1" x14ac:dyDescent="0.3">
      <c r="A27" s="24">
        <f t="shared" si="0"/>
        <v>21</v>
      </c>
      <c r="B27" s="58"/>
      <c r="C27" s="61"/>
      <c r="D27" s="62"/>
      <c r="E27" s="62"/>
      <c r="F27" s="62"/>
      <c r="G27" s="70">
        <v>10</v>
      </c>
      <c r="H27" s="71">
        <v>140</v>
      </c>
      <c r="I27" s="71">
        <v>17.899999999999999</v>
      </c>
      <c r="J27" s="3">
        <f t="shared" si="1"/>
        <v>1</v>
      </c>
      <c r="K27" s="3">
        <f t="shared" si="2"/>
        <v>2.1461280356782382</v>
      </c>
      <c r="P27" s="3">
        <f t="shared" si="15"/>
        <v>1.2528530309798931</v>
      </c>
      <c r="Q27" s="3">
        <f t="shared" si="4"/>
        <v>1.0829003906250119</v>
      </c>
      <c r="V27" s="3">
        <f t="shared" si="5"/>
        <v>92.73690000000002</v>
      </c>
      <c r="W27" s="3">
        <f t="shared" si="6"/>
        <v>19315.440399999996</v>
      </c>
      <c r="X27" s="20">
        <f t="shared" si="7"/>
        <v>13.53435437648114</v>
      </c>
      <c r="Y27" s="3">
        <f t="shared" si="8"/>
        <v>24.346895623518868</v>
      </c>
      <c r="Z27" s="3">
        <f t="shared" si="9"/>
        <v>-12.116035280942313</v>
      </c>
      <c r="AA27" s="3">
        <f t="shared" si="10"/>
        <v>49.997285280942322</v>
      </c>
      <c r="AB27" s="3">
        <f t="shared" si="11"/>
        <v>15.264999999999999</v>
      </c>
      <c r="AC27" s="3">
        <f t="shared" si="12"/>
        <v>20.534999999999997</v>
      </c>
      <c r="AD27" s="3">
        <f t="shared" si="13"/>
        <v>14.264999999999999</v>
      </c>
      <c r="AE27" s="3">
        <f t="shared" si="14"/>
        <v>21.534999999999997</v>
      </c>
    </row>
    <row r="28" spans="1:31" ht="16.5" thickBot="1" x14ac:dyDescent="0.3">
      <c r="A28" s="24">
        <f t="shared" si="0"/>
        <v>22</v>
      </c>
      <c r="B28" s="58"/>
      <c r="C28" s="61"/>
      <c r="D28" s="62"/>
      <c r="E28" s="62"/>
      <c r="F28" s="62"/>
      <c r="G28" s="70">
        <v>26</v>
      </c>
      <c r="H28" s="71">
        <v>810</v>
      </c>
      <c r="I28" s="71">
        <v>52.32</v>
      </c>
      <c r="J28" s="3">
        <f t="shared" si="1"/>
        <v>1.414973347970818</v>
      </c>
      <c r="K28" s="3">
        <f t="shared" si="2"/>
        <v>2.90848501887865</v>
      </c>
      <c r="P28" s="3">
        <f t="shared" si="15"/>
        <v>1.7186677353162108</v>
      </c>
      <c r="Q28" s="3">
        <f t="shared" si="4"/>
        <v>1114.1826753906248</v>
      </c>
      <c r="V28" s="3">
        <f t="shared" si="5"/>
        <v>656.89689999999996</v>
      </c>
      <c r="W28" s="3">
        <f t="shared" si="6"/>
        <v>654448.64040000003</v>
      </c>
      <c r="X28" s="20">
        <f t="shared" si="7"/>
        <v>13.53435437648114</v>
      </c>
      <c r="Y28" s="3">
        <f t="shared" si="8"/>
        <v>24.346895623518868</v>
      </c>
      <c r="Z28" s="3">
        <f t="shared" si="9"/>
        <v>-12.116035280942313</v>
      </c>
      <c r="AA28" s="3">
        <f t="shared" si="10"/>
        <v>49.997285280942322</v>
      </c>
      <c r="AB28" s="3">
        <f t="shared" si="11"/>
        <v>49.685000000000002</v>
      </c>
      <c r="AC28" s="3">
        <f t="shared" si="12"/>
        <v>54.954999999999998</v>
      </c>
      <c r="AD28" s="3">
        <f t="shared" si="13"/>
        <v>48.685000000000002</v>
      </c>
      <c r="AE28" s="3">
        <f t="shared" si="14"/>
        <v>55.954999999999998</v>
      </c>
    </row>
    <row r="29" spans="1:31" ht="16.5" thickBot="1" x14ac:dyDescent="0.3">
      <c r="A29" s="24">
        <f t="shared" si="0"/>
        <v>23</v>
      </c>
      <c r="B29" s="58"/>
      <c r="C29" s="61"/>
      <c r="D29" s="62"/>
      <c r="E29" s="62"/>
      <c r="F29" s="62"/>
      <c r="G29" s="70">
        <v>18</v>
      </c>
      <c r="H29" s="71">
        <v>635</v>
      </c>
      <c r="I29" s="71">
        <v>19.829999999999998</v>
      </c>
      <c r="J29" s="3">
        <f t="shared" si="1"/>
        <v>1.255272505103306</v>
      </c>
      <c r="K29" s="3">
        <f t="shared" si="2"/>
        <v>2.8027737252919755</v>
      </c>
      <c r="P29" s="3">
        <f t="shared" si="15"/>
        <v>1.2973227142053025</v>
      </c>
      <c r="Q29" s="3">
        <f t="shared" si="4"/>
        <v>0.79098789062498942</v>
      </c>
      <c r="V29" s="3">
        <f t="shared" si="5"/>
        <v>310.81689999999998</v>
      </c>
      <c r="W29" s="3">
        <f t="shared" si="6"/>
        <v>401930.64040000003</v>
      </c>
      <c r="X29" s="20">
        <f t="shared" si="7"/>
        <v>13.53435437648114</v>
      </c>
      <c r="Y29" s="3">
        <f t="shared" si="8"/>
        <v>24.346895623518868</v>
      </c>
      <c r="Z29" s="3">
        <f t="shared" si="9"/>
        <v>-12.116035280942313</v>
      </c>
      <c r="AA29" s="3">
        <f t="shared" si="10"/>
        <v>49.997285280942322</v>
      </c>
      <c r="AB29" s="3">
        <f t="shared" si="11"/>
        <v>17.195</v>
      </c>
      <c r="AC29" s="3">
        <f t="shared" si="12"/>
        <v>22.464999999999996</v>
      </c>
      <c r="AD29" s="3">
        <f t="shared" si="13"/>
        <v>16.195</v>
      </c>
      <c r="AE29" s="3">
        <f t="shared" si="14"/>
        <v>23.464999999999996</v>
      </c>
    </row>
    <row r="30" spans="1:31" ht="16.5" thickBot="1" x14ac:dyDescent="0.3">
      <c r="A30" s="24">
        <f t="shared" si="0"/>
        <v>24</v>
      </c>
      <c r="B30" s="58"/>
      <c r="C30" s="61"/>
      <c r="D30" s="62"/>
      <c r="E30" s="62"/>
      <c r="F30" s="62"/>
      <c r="G30" s="70">
        <v>4</v>
      </c>
      <c r="H30" s="71">
        <v>150</v>
      </c>
      <c r="I30" s="71">
        <v>10.75</v>
      </c>
      <c r="J30" s="3">
        <f t="shared" si="1"/>
        <v>0.6020599913279624</v>
      </c>
      <c r="K30" s="3">
        <f t="shared" si="2"/>
        <v>2.1760912590556813</v>
      </c>
      <c r="P30" s="3">
        <f t="shared" si="15"/>
        <v>1.0314084642516241</v>
      </c>
      <c r="Q30" s="3">
        <f t="shared" si="4"/>
        <v>67.086337890625074</v>
      </c>
      <c r="V30" s="3">
        <f t="shared" si="5"/>
        <v>13.1769</v>
      </c>
      <c r="W30" s="3">
        <f t="shared" si="6"/>
        <v>22195.040399999998</v>
      </c>
      <c r="X30" s="20">
        <f t="shared" si="7"/>
        <v>13.53435437648114</v>
      </c>
      <c r="Y30" s="3">
        <f t="shared" si="8"/>
        <v>24.346895623518868</v>
      </c>
      <c r="Z30" s="3">
        <f t="shared" si="9"/>
        <v>-12.116035280942313</v>
      </c>
      <c r="AA30" s="3">
        <f t="shared" si="10"/>
        <v>49.997285280942322</v>
      </c>
      <c r="AB30" s="3">
        <f t="shared" si="11"/>
        <v>8.1150000000000002</v>
      </c>
      <c r="AC30" s="3">
        <f t="shared" si="12"/>
        <v>13.385</v>
      </c>
      <c r="AD30" s="3">
        <f t="shared" si="13"/>
        <v>7.1150000000000002</v>
      </c>
      <c r="AE30" s="3">
        <f t="shared" si="14"/>
        <v>14.385</v>
      </c>
    </row>
    <row r="31" spans="1:31" ht="16.5" thickBot="1" x14ac:dyDescent="0.3">
      <c r="A31" s="24">
        <f t="shared" si="0"/>
        <v>25</v>
      </c>
      <c r="B31" s="58"/>
      <c r="C31" s="61"/>
      <c r="D31" s="62"/>
      <c r="E31" s="62"/>
      <c r="F31" s="62"/>
      <c r="G31" s="72">
        <v>15</v>
      </c>
      <c r="H31" s="73">
        <v>800</v>
      </c>
      <c r="I31" s="73">
        <v>10.56</v>
      </c>
      <c r="J31" s="3">
        <f t="shared" si="1"/>
        <v>1.1760912590556813</v>
      </c>
      <c r="K31" s="3">
        <f t="shared" si="2"/>
        <v>2.9030899869919438</v>
      </c>
      <c r="P31" s="3">
        <f t="shared" si="15"/>
        <v>1.0236639181977936</v>
      </c>
      <c r="Q31" s="3">
        <f t="shared" si="4"/>
        <v>70.234875390625064</v>
      </c>
      <c r="V31" s="3">
        <f t="shared" si="5"/>
        <v>214.03690000000003</v>
      </c>
      <c r="W31" s="3">
        <f t="shared" si="6"/>
        <v>638369.04040000006</v>
      </c>
      <c r="X31" s="20">
        <f t="shared" si="7"/>
        <v>13.53435437648114</v>
      </c>
      <c r="Y31" s="3">
        <f t="shared" si="8"/>
        <v>24.346895623518868</v>
      </c>
      <c r="Z31" s="3">
        <f t="shared" si="9"/>
        <v>-12.116035280942313</v>
      </c>
      <c r="AA31" s="3">
        <f t="shared" si="10"/>
        <v>49.997285280942322</v>
      </c>
      <c r="AB31" s="3">
        <f t="shared" si="11"/>
        <v>7.9250000000000007</v>
      </c>
      <c r="AC31" s="3">
        <f t="shared" si="12"/>
        <v>13.195</v>
      </c>
      <c r="AD31" s="3">
        <f t="shared" si="13"/>
        <v>6.9250000000000007</v>
      </c>
      <c r="AE31" s="3">
        <f t="shared" si="14"/>
        <v>14.195</v>
      </c>
    </row>
    <row r="32" spans="1:31" ht="15.75" thickBot="1" x14ac:dyDescent="0.3">
      <c r="A32" s="24">
        <f t="shared" si="0"/>
        <v>26</v>
      </c>
      <c r="B32" s="58"/>
      <c r="C32" s="61"/>
      <c r="D32" s="62"/>
      <c r="E32" s="62"/>
      <c r="F32" s="62"/>
      <c r="G32" s="62">
        <v>0.56000000000000005</v>
      </c>
      <c r="H32" s="62">
        <v>1</v>
      </c>
      <c r="I32" s="61">
        <v>7.4409999999999998</v>
      </c>
      <c r="J32" s="3">
        <f t="shared" si="1"/>
        <v>-0.25181197299379954</v>
      </c>
      <c r="K32" s="3">
        <f t="shared" si="2"/>
        <v>0</v>
      </c>
      <c r="P32" s="3">
        <f t="shared" si="15"/>
        <v>0.87163130453755355</v>
      </c>
      <c r="Q32" s="3">
        <f t="shared" si="4"/>
        <v>132.24137514062511</v>
      </c>
      <c r="V32" s="3">
        <f t="shared" si="5"/>
        <v>3.6100000000000021E-2</v>
      </c>
      <c r="W32" s="3">
        <f t="shared" si="6"/>
        <v>4.0000000000000072E-4</v>
      </c>
      <c r="X32" s="20">
        <f t="shared" si="7"/>
        <v>13.53435437648114</v>
      </c>
      <c r="Y32" s="3">
        <f t="shared" si="8"/>
        <v>24.346895623518868</v>
      </c>
      <c r="Z32" s="3">
        <f t="shared" si="9"/>
        <v>-12.116035280942313</v>
      </c>
      <c r="AA32" s="3">
        <f t="shared" si="10"/>
        <v>49.997285280942322</v>
      </c>
      <c r="AB32" s="3">
        <f t="shared" si="11"/>
        <v>4.806</v>
      </c>
      <c r="AC32" s="3">
        <f t="shared" si="12"/>
        <v>10.076000000000001</v>
      </c>
      <c r="AD32" s="3">
        <f t="shared" si="13"/>
        <v>3.806</v>
      </c>
      <c r="AE32" s="3">
        <f t="shared" si="14"/>
        <v>11.076000000000001</v>
      </c>
    </row>
    <row r="33" spans="1:31" ht="15.75" thickBot="1" x14ac:dyDescent="0.3">
      <c r="A33" s="24">
        <f t="shared" si="0"/>
        <v>27</v>
      </c>
      <c r="B33" s="58"/>
      <c r="C33" s="61"/>
      <c r="D33" s="62"/>
      <c r="E33" s="62"/>
      <c r="F33" s="62"/>
      <c r="G33" s="62">
        <v>0.56000000000000005</v>
      </c>
      <c r="H33" s="62">
        <v>1</v>
      </c>
      <c r="I33" s="61">
        <v>7.4509999999999996</v>
      </c>
      <c r="J33" s="3">
        <f t="shared" si="1"/>
        <v>-0.25181197299379954</v>
      </c>
      <c r="K33" s="3">
        <f t="shared" si="2"/>
        <v>0</v>
      </c>
      <c r="P33" s="3">
        <f t="shared" si="15"/>
        <v>0.87221456339758552</v>
      </c>
      <c r="Q33" s="3">
        <f t="shared" si="4"/>
        <v>132.01148264062508</v>
      </c>
      <c r="V33" s="3">
        <f t="shared" si="5"/>
        <v>3.6100000000000021E-2</v>
      </c>
      <c r="W33" s="3">
        <f t="shared" si="6"/>
        <v>4.0000000000000072E-4</v>
      </c>
      <c r="X33" s="20">
        <f t="shared" si="7"/>
        <v>13.53435437648114</v>
      </c>
      <c r="Y33" s="3">
        <f t="shared" si="8"/>
        <v>24.346895623518868</v>
      </c>
      <c r="Z33" s="3">
        <f t="shared" si="9"/>
        <v>-12.116035280942313</v>
      </c>
      <c r="AA33" s="3">
        <f t="shared" si="10"/>
        <v>49.997285280942322</v>
      </c>
      <c r="AB33" s="3">
        <f t="shared" si="11"/>
        <v>4.8159999999999998</v>
      </c>
      <c r="AC33" s="3">
        <f t="shared" si="12"/>
        <v>10.085999999999999</v>
      </c>
      <c r="AD33" s="3">
        <f t="shared" si="13"/>
        <v>3.8159999999999998</v>
      </c>
      <c r="AE33" s="3">
        <f t="shared" si="14"/>
        <v>11.085999999999999</v>
      </c>
    </row>
    <row r="34" spans="1:31" ht="15.75" thickBot="1" x14ac:dyDescent="0.3">
      <c r="A34" s="24">
        <f t="shared" si="0"/>
        <v>28</v>
      </c>
      <c r="B34" s="58"/>
      <c r="C34" s="61"/>
      <c r="D34" s="62"/>
      <c r="E34" s="62"/>
      <c r="F34" s="62"/>
      <c r="G34" s="62">
        <v>0.56000000000000005</v>
      </c>
      <c r="H34" s="62">
        <v>1</v>
      </c>
      <c r="I34" s="61">
        <v>7.484</v>
      </c>
      <c r="J34" s="3">
        <f t="shared" si="1"/>
        <v>-0.25181197299379954</v>
      </c>
      <c r="K34" s="3">
        <f t="shared" si="2"/>
        <v>0</v>
      </c>
      <c r="P34" s="3">
        <f t="shared" si="15"/>
        <v>0.87413377882797227</v>
      </c>
      <c r="Q34" s="3">
        <f t="shared" si="4"/>
        <v>131.2542563906251</v>
      </c>
      <c r="V34" s="3">
        <f t="shared" si="5"/>
        <v>3.6100000000000021E-2</v>
      </c>
      <c r="W34" s="3">
        <f t="shared" si="6"/>
        <v>4.0000000000000072E-4</v>
      </c>
      <c r="X34" s="20">
        <f t="shared" si="7"/>
        <v>13.53435437648114</v>
      </c>
      <c r="Y34" s="3">
        <f t="shared" si="8"/>
        <v>24.346895623518868</v>
      </c>
      <c r="Z34" s="3">
        <f t="shared" si="9"/>
        <v>-12.116035280942313</v>
      </c>
      <c r="AA34" s="3">
        <f t="shared" si="10"/>
        <v>49.997285280942322</v>
      </c>
      <c r="AB34" s="3">
        <f t="shared" si="11"/>
        <v>4.8490000000000002</v>
      </c>
      <c r="AC34" s="3">
        <f t="shared" si="12"/>
        <v>10.119</v>
      </c>
      <c r="AD34" s="3">
        <f t="shared" si="13"/>
        <v>3.8490000000000002</v>
      </c>
      <c r="AE34" s="3">
        <f t="shared" si="14"/>
        <v>11.119</v>
      </c>
    </row>
    <row r="35" spans="1:31" ht="15.75" thickBot="1" x14ac:dyDescent="0.3">
      <c r="A35" s="24">
        <f t="shared" si="0"/>
        <v>29</v>
      </c>
      <c r="B35" s="58"/>
      <c r="C35" s="61"/>
      <c r="D35" s="62"/>
      <c r="E35" s="62"/>
      <c r="F35" s="62"/>
      <c r="G35" s="62">
        <v>0.03</v>
      </c>
      <c r="H35" s="62">
        <v>1</v>
      </c>
      <c r="I35" s="61">
        <v>7.7069999999999999</v>
      </c>
      <c r="J35" s="3">
        <f t="shared" si="1"/>
        <v>-1.5228787452803376</v>
      </c>
      <c r="K35" s="3">
        <f t="shared" si="2"/>
        <v>0</v>
      </c>
      <c r="P35" s="3">
        <f t="shared" si="15"/>
        <v>0.88688535898600862</v>
      </c>
      <c r="Q35" s="3">
        <f t="shared" si="4"/>
        <v>126.19433064062508</v>
      </c>
      <c r="V35" s="3">
        <f t="shared" si="5"/>
        <v>0.11559999999999998</v>
      </c>
      <c r="W35" s="3">
        <f t="shared" si="6"/>
        <v>4.0000000000000072E-4</v>
      </c>
      <c r="X35" s="20">
        <f t="shared" si="7"/>
        <v>13.53435437648114</v>
      </c>
      <c r="Y35" s="3">
        <f t="shared" si="8"/>
        <v>24.346895623518868</v>
      </c>
      <c r="Z35" s="3">
        <f t="shared" si="9"/>
        <v>-12.116035280942313</v>
      </c>
      <c r="AA35" s="3">
        <f t="shared" si="10"/>
        <v>49.997285280942322</v>
      </c>
      <c r="AB35" s="3">
        <f t="shared" si="11"/>
        <v>5.0720000000000001</v>
      </c>
      <c r="AC35" s="3">
        <f t="shared" si="12"/>
        <v>10.341999999999999</v>
      </c>
      <c r="AD35" s="3">
        <f t="shared" si="13"/>
        <v>4.0720000000000001</v>
      </c>
      <c r="AE35" s="3">
        <f t="shared" si="14"/>
        <v>11.341999999999999</v>
      </c>
    </row>
    <row r="36" spans="1:31" ht="15.75" thickBot="1" x14ac:dyDescent="0.3">
      <c r="A36" s="24">
        <f t="shared" si="0"/>
        <v>30</v>
      </c>
      <c r="C36" s="61"/>
      <c r="D36" s="62"/>
      <c r="E36" s="62"/>
      <c r="F36" s="62"/>
      <c r="G36" s="62">
        <v>0</v>
      </c>
      <c r="H36" s="62">
        <v>1</v>
      </c>
      <c r="I36" s="61">
        <v>7.9020000000000001</v>
      </c>
      <c r="J36" s="3" t="e">
        <f t="shared" si="1"/>
        <v>#NUM!</v>
      </c>
      <c r="K36" s="3">
        <f t="shared" si="2"/>
        <v>0</v>
      </c>
      <c r="P36" s="3">
        <f t="shared" si="15"/>
        <v>0.89773702534542743</v>
      </c>
      <c r="Q36" s="3">
        <f t="shared" si="4"/>
        <v>121.85124189062508</v>
      </c>
      <c r="V36" s="3">
        <f t="shared" si="5"/>
        <v>0.13689999999999999</v>
      </c>
      <c r="W36" s="3">
        <f t="shared" si="6"/>
        <v>4.0000000000000072E-4</v>
      </c>
      <c r="X36" s="20">
        <f t="shared" si="7"/>
        <v>13.53435437648114</v>
      </c>
      <c r="Y36" s="3">
        <f t="shared" si="8"/>
        <v>24.346895623518868</v>
      </c>
      <c r="Z36" s="3">
        <f t="shared" si="9"/>
        <v>-12.116035280942313</v>
      </c>
      <c r="AA36" s="3">
        <f t="shared" si="10"/>
        <v>49.997285280942322</v>
      </c>
      <c r="AB36" s="3">
        <f t="shared" si="11"/>
        <v>5.2670000000000003</v>
      </c>
      <c r="AC36" s="3">
        <f t="shared" si="12"/>
        <v>10.536999999999999</v>
      </c>
      <c r="AD36" s="3">
        <f t="shared" si="13"/>
        <v>4.2670000000000003</v>
      </c>
      <c r="AE36" s="3">
        <f t="shared" si="14"/>
        <v>11.536999999999999</v>
      </c>
    </row>
    <row r="37" spans="1:31" ht="15.75" thickBot="1" x14ac:dyDescent="0.3">
      <c r="A37" s="24">
        <f t="shared" si="0"/>
        <v>31</v>
      </c>
      <c r="C37" s="61"/>
      <c r="D37" s="62"/>
      <c r="E37" s="62"/>
      <c r="F37" s="62"/>
      <c r="G37" s="62">
        <v>0.82</v>
      </c>
      <c r="H37" s="62">
        <v>1.1200000000000001</v>
      </c>
      <c r="I37" s="61">
        <v>7.98</v>
      </c>
      <c r="J37" s="3">
        <f t="shared" si="1"/>
        <v>-8.6186147616283335E-2</v>
      </c>
      <c r="K37" s="3">
        <f t="shared" si="2"/>
        <v>4.9218022670181653E-2</v>
      </c>
      <c r="P37" s="3">
        <f t="shared" si="15"/>
        <v>0.90200289135072942</v>
      </c>
      <c r="Q37" s="3">
        <f t="shared" si="4"/>
        <v>120.13530039062509</v>
      </c>
      <c r="V37" s="3">
        <f t="shared" si="5"/>
        <v>0.20249999999999996</v>
      </c>
      <c r="W37" s="3">
        <f t="shared" si="6"/>
        <v>1.0000000000000018E-2</v>
      </c>
      <c r="X37" s="20">
        <f t="shared" si="7"/>
        <v>13.53435437648114</v>
      </c>
      <c r="Y37" s="3">
        <f t="shared" si="8"/>
        <v>24.346895623518868</v>
      </c>
      <c r="Z37" s="3">
        <f t="shared" si="9"/>
        <v>-12.116035280942313</v>
      </c>
      <c r="AA37" s="3">
        <f t="shared" si="10"/>
        <v>49.997285280942322</v>
      </c>
      <c r="AB37" s="3">
        <f t="shared" si="11"/>
        <v>5.3450000000000006</v>
      </c>
      <c r="AC37" s="3">
        <f t="shared" si="12"/>
        <v>10.615</v>
      </c>
      <c r="AD37" s="3">
        <f t="shared" si="13"/>
        <v>4.3450000000000006</v>
      </c>
      <c r="AE37" s="3">
        <f t="shared" si="14"/>
        <v>11.615</v>
      </c>
    </row>
    <row r="38" spans="1:31" ht="15.75" thickBot="1" x14ac:dyDescent="0.3">
      <c r="A38" s="24">
        <f t="shared" si="0"/>
        <v>32</v>
      </c>
      <c r="C38" s="61"/>
      <c r="D38" s="62"/>
      <c r="E38" s="62"/>
      <c r="F38" s="62"/>
      <c r="G38" s="62">
        <v>0.37</v>
      </c>
      <c r="H38" s="62">
        <v>1.02</v>
      </c>
      <c r="I38" s="61">
        <v>8.7249999999999996</v>
      </c>
      <c r="J38" s="3">
        <f t="shared" si="1"/>
        <v>-0.43179827593300502</v>
      </c>
      <c r="K38" s="3">
        <f t="shared" si="2"/>
        <v>8.6001717619175692E-3</v>
      </c>
      <c r="L38" s="3" t="e">
        <f t="shared" si="15"/>
        <v>#NUM!</v>
      </c>
      <c r="M38" s="3" t="e">
        <f t="shared" si="15"/>
        <v>#NUM!</v>
      </c>
      <c r="N38" s="3">
        <f t="shared" si="15"/>
        <v>-0.43179827593300502</v>
      </c>
      <c r="O38" s="3">
        <f t="shared" si="15"/>
        <v>8.6001717619175692E-3</v>
      </c>
      <c r="P38" s="3">
        <f t="shared" si="15"/>
        <v>0.94076543563121751</v>
      </c>
      <c r="Q38" s="3">
        <f t="shared" si="4"/>
        <v>104.3589941406251</v>
      </c>
      <c r="V38" s="3">
        <f t="shared" si="5"/>
        <v>0</v>
      </c>
      <c r="W38" s="3">
        <f>POWER((H38-$H$38),2)</f>
        <v>0</v>
      </c>
      <c r="X38" s="20">
        <f t="shared" si="7"/>
        <v>13.53435437648114</v>
      </c>
      <c r="Y38" s="3">
        <f t="shared" si="8"/>
        <v>24.346895623518868</v>
      </c>
      <c r="Z38" s="3">
        <f t="shared" si="9"/>
        <v>-12.116035280942313</v>
      </c>
      <c r="AA38" s="3">
        <f t="shared" si="10"/>
        <v>49.997285280942322</v>
      </c>
      <c r="AB38" s="3">
        <f t="shared" si="11"/>
        <v>6.09</v>
      </c>
      <c r="AC38" s="3">
        <f t="shared" si="12"/>
        <v>11.36</v>
      </c>
      <c r="AD38" s="3">
        <f t="shared" si="13"/>
        <v>5.09</v>
      </c>
      <c r="AE38" s="3">
        <f t="shared" si="14"/>
        <v>12.36</v>
      </c>
    </row>
    <row r="39" spans="1:31" x14ac:dyDescent="0.25">
      <c r="B39" s="65" t="s">
        <v>182</v>
      </c>
      <c r="C39" s="66" t="e">
        <f>AVERAGE(C7:C38)</f>
        <v>#DIV/0!</v>
      </c>
      <c r="D39" s="66" t="e">
        <f t="shared" ref="D39:P39" si="16">AVERAGE(D7:D38)</f>
        <v>#DIV/0!</v>
      </c>
      <c r="E39" s="66" t="e">
        <f t="shared" si="16"/>
        <v>#DIV/0!</v>
      </c>
      <c r="F39" s="66" t="e">
        <f t="shared" si="16"/>
        <v>#DIV/0!</v>
      </c>
      <c r="G39" s="66">
        <f t="shared" si="16"/>
        <v>18.340624999999996</v>
      </c>
      <c r="H39" s="66">
        <f t="shared" si="16"/>
        <v>304.74593750000003</v>
      </c>
      <c r="I39" s="66">
        <f t="shared" si="16"/>
        <v>18.940625000000004</v>
      </c>
      <c r="J39" s="3" t="e">
        <f t="shared" si="16"/>
        <v>#NUM!</v>
      </c>
      <c r="K39" s="3">
        <f t="shared" si="16"/>
        <v>1.8871649314862016</v>
      </c>
      <c r="L39" s="3" t="e">
        <f t="shared" si="16"/>
        <v>#NUM!</v>
      </c>
      <c r="M39" s="3" t="e">
        <f t="shared" si="16"/>
        <v>#NUM!</v>
      </c>
      <c r="N39" s="3">
        <f t="shared" si="16"/>
        <v>-0.43179827593300502</v>
      </c>
      <c r="O39" s="3">
        <f t="shared" si="16"/>
        <v>8.6001717619175692E-3</v>
      </c>
      <c r="P39" s="3">
        <f t="shared" si="16"/>
        <v>1.1897232624685126</v>
      </c>
      <c r="Q39" s="3">
        <f>SUM(Q7:Q38)</f>
        <v>7019.208903499999</v>
      </c>
      <c r="R39" s="3">
        <f>SUM(V7:W7)</f>
        <v>5072.8618000000006</v>
      </c>
      <c r="U39" s="18"/>
      <c r="V39" s="18">
        <f t="shared" ref="V39:W39" si="17">SUM(V7:V38)</f>
        <v>51565.825800000006</v>
      </c>
      <c r="W39" s="18">
        <f t="shared" si="17"/>
        <v>6697526.1247000024</v>
      </c>
      <c r="Y39" s="18"/>
    </row>
    <row r="40" spans="1:31" x14ac:dyDescent="0.25">
      <c r="I40" s="17" t="s">
        <v>45</v>
      </c>
      <c r="J40" s="15" t="s">
        <v>49</v>
      </c>
      <c r="R40" s="17" t="s">
        <v>53</v>
      </c>
      <c r="S40" s="17" t="s">
        <v>54</v>
      </c>
      <c r="Y40" s="17"/>
    </row>
    <row r="41" spans="1:31" x14ac:dyDescent="0.25">
      <c r="R41" s="18" t="s">
        <v>44</v>
      </c>
    </row>
    <row r="42" spans="1:31" x14ac:dyDescent="0.25">
      <c r="R42" s="17">
        <f>SQRT(1/30*R39)</f>
        <v>13.003668456759938</v>
      </c>
    </row>
    <row r="43" spans="1:31" ht="18.75" x14ac:dyDescent="0.3">
      <c r="R43" s="19" t="s">
        <v>56</v>
      </c>
    </row>
    <row r="44" spans="1:31" x14ac:dyDescent="0.25">
      <c r="E44" s="74" t="s">
        <v>150</v>
      </c>
      <c r="F44" s="74"/>
      <c r="G44" s="74"/>
      <c r="R44" s="17">
        <f>_xlfn.T.INV.2T(0.025,32)</f>
        <v>2.3518351803763684</v>
      </c>
    </row>
    <row r="46" spans="1:31" x14ac:dyDescent="0.25">
      <c r="E46" s="74"/>
      <c r="F46" s="74"/>
      <c r="G46" s="74"/>
    </row>
    <row r="47" spans="1:31" x14ac:dyDescent="0.25">
      <c r="E47" s="30"/>
      <c r="F47" s="30"/>
      <c r="G47" s="30"/>
      <c r="I47" s="30" t="s">
        <v>18</v>
      </c>
      <c r="J47" s="30" t="s">
        <v>19</v>
      </c>
    </row>
    <row r="48" spans="1:31" x14ac:dyDescent="0.25">
      <c r="E48" s="30"/>
      <c r="F48" s="30"/>
      <c r="G48" s="30"/>
      <c r="H48" s="3" t="s">
        <v>18</v>
      </c>
      <c r="I48" s="30">
        <v>1</v>
      </c>
      <c r="J48" s="30">
        <f>CORREL(H7:H38,I7:I38)</f>
        <v>0.86469394923119669</v>
      </c>
    </row>
    <row r="49" spans="5:10" x14ac:dyDescent="0.25">
      <c r="E49" s="30"/>
      <c r="F49" s="30"/>
      <c r="G49" s="30"/>
      <c r="H49" s="3" t="s">
        <v>19</v>
      </c>
      <c r="I49" s="30">
        <f>CORREL(I7:I38,H7:H38)</f>
        <v>0.86469394923119669</v>
      </c>
      <c r="J49" s="30">
        <v>1</v>
      </c>
    </row>
  </sheetData>
  <mergeCells count="2">
    <mergeCell ref="E44:G44"/>
    <mergeCell ref="E46:G46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75"/>
  <sheetViews>
    <sheetView topLeftCell="A40" workbookViewId="0">
      <selection activeCell="A40" sqref="A40:C75"/>
    </sheetView>
  </sheetViews>
  <sheetFormatPr defaultRowHeight="15" x14ac:dyDescent="0.25"/>
  <cols>
    <col min="13" max="13" width="15.5703125" customWidth="1"/>
    <col min="14" max="14" width="29" customWidth="1"/>
    <col min="15" max="15" width="15.85546875" customWidth="1"/>
    <col min="16" max="16" width="27.42578125" customWidth="1"/>
  </cols>
  <sheetData>
    <row r="1" spans="1:21" x14ac:dyDescent="0.25">
      <c r="A1" t="s">
        <v>0</v>
      </c>
    </row>
    <row r="7" spans="1:21" x14ac:dyDescent="0.25">
      <c r="S7" t="s">
        <v>6</v>
      </c>
    </row>
    <row r="8" spans="1:21" x14ac:dyDescent="0.25">
      <c r="N8" t="s">
        <v>12</v>
      </c>
      <c r="O8">
        <v>2.94</v>
      </c>
      <c r="S8" t="s">
        <v>1</v>
      </c>
      <c r="T8">
        <v>2.4</v>
      </c>
    </row>
    <row r="9" spans="1:21" x14ac:dyDescent="0.25">
      <c r="N9" t="s">
        <v>13</v>
      </c>
      <c r="O9">
        <v>0.91</v>
      </c>
      <c r="S9" t="s">
        <v>2</v>
      </c>
      <c r="T9">
        <v>1.05</v>
      </c>
    </row>
    <row r="10" spans="1:21" x14ac:dyDescent="0.25">
      <c r="N10" t="s">
        <v>14</v>
      </c>
      <c r="O10">
        <f>O9+0.01*T25</f>
        <v>1.0996999999999999</v>
      </c>
      <c r="S10" t="s">
        <v>3</v>
      </c>
      <c r="T10">
        <v>2.5</v>
      </c>
    </row>
    <row r="11" spans="1:21" x14ac:dyDescent="0.25">
      <c r="N11" t="s">
        <v>17</v>
      </c>
      <c r="O11">
        <f>O8*POWER(7000,O10)*1</f>
        <v>49750.980581001124</v>
      </c>
      <c r="S11" t="s">
        <v>4</v>
      </c>
      <c r="T11">
        <v>0.38</v>
      </c>
    </row>
    <row r="12" spans="1:21" x14ac:dyDescent="0.25">
      <c r="S12" t="s">
        <v>5</v>
      </c>
      <c r="T12">
        <v>7000</v>
      </c>
    </row>
    <row r="13" spans="1:21" x14ac:dyDescent="0.25">
      <c r="R13">
        <v>18.516999999999999</v>
      </c>
      <c r="S13" t="s">
        <v>7</v>
      </c>
      <c r="T13">
        <f>T8*POWER(T12,T9)</f>
        <v>26155.569687958665</v>
      </c>
      <c r="U13" t="s">
        <v>8</v>
      </c>
    </row>
    <row r="14" spans="1:21" x14ac:dyDescent="0.25">
      <c r="S14" t="s">
        <v>9</v>
      </c>
      <c r="T14">
        <v>7.5789999999999997</v>
      </c>
      <c r="U14" t="s">
        <v>10</v>
      </c>
    </row>
    <row r="15" spans="1:21" x14ac:dyDescent="0.25">
      <c r="S15" t="s">
        <v>11</v>
      </c>
      <c r="T15">
        <v>2.4430000000000001</v>
      </c>
    </row>
    <row r="18" spans="20:20" x14ac:dyDescent="0.25">
      <c r="T18" t="s">
        <v>16</v>
      </c>
    </row>
    <row r="19" spans="20:20" x14ac:dyDescent="0.25">
      <c r="T19" t="s">
        <v>15</v>
      </c>
    </row>
    <row r="20" spans="20:20" x14ac:dyDescent="0.25">
      <c r="T20">
        <v>3.72</v>
      </c>
    </row>
    <row r="21" spans="20:20" x14ac:dyDescent="0.25">
      <c r="T21">
        <v>3.04</v>
      </c>
    </row>
    <row r="22" spans="20:20" x14ac:dyDescent="0.25">
      <c r="T22">
        <v>4.24</v>
      </c>
    </row>
    <row r="23" spans="20:20" x14ac:dyDescent="0.25">
      <c r="T23">
        <v>3.29</v>
      </c>
    </row>
    <row r="24" spans="20:20" x14ac:dyDescent="0.25">
      <c r="T24">
        <v>4.68</v>
      </c>
    </row>
    <row r="25" spans="20:20" x14ac:dyDescent="0.25">
      <c r="T25">
        <f>SUM(T20:T24)</f>
        <v>18.97</v>
      </c>
    </row>
    <row r="26" spans="20:20" x14ac:dyDescent="0.25">
      <c r="T26">
        <f>T25*0.01</f>
        <v>0.18969999999999998</v>
      </c>
    </row>
    <row r="27" spans="20:20" x14ac:dyDescent="0.25">
      <c r="T27">
        <f>O9+T26</f>
        <v>1.0996999999999999</v>
      </c>
    </row>
    <row r="28" spans="20:20" x14ac:dyDescent="0.25">
      <c r="T28">
        <f>C21</f>
        <v>0</v>
      </c>
    </row>
    <row r="38" spans="1:18" x14ac:dyDescent="0.25">
      <c r="Q38" s="1" t="s">
        <v>33</v>
      </c>
    </row>
    <row r="39" spans="1:18" x14ac:dyDescent="0.25">
      <c r="Q39" t="s">
        <v>30</v>
      </c>
      <c r="R39">
        <v>34</v>
      </c>
    </row>
    <row r="40" spans="1:18" x14ac:dyDescent="0.25">
      <c r="A40" t="s">
        <v>36</v>
      </c>
      <c r="B40" t="s">
        <v>37</v>
      </c>
      <c r="C40" t="s">
        <v>38</v>
      </c>
      <c r="K40" t="s">
        <v>26</v>
      </c>
      <c r="L40" t="s">
        <v>27</v>
      </c>
      <c r="N40" t="s">
        <v>28</v>
      </c>
      <c r="O40" t="s">
        <v>29</v>
      </c>
      <c r="Q40" s="1" t="s">
        <v>1</v>
      </c>
      <c r="R40">
        <v>0.05</v>
      </c>
    </row>
    <row r="41" spans="1:18" x14ac:dyDescent="0.25">
      <c r="A41" s="3">
        <v>1091514</v>
      </c>
      <c r="L41" t="s">
        <v>25</v>
      </c>
      <c r="P41" t="s">
        <v>32</v>
      </c>
      <c r="Q41">
        <f>_xlfn.T.INV.2T(R40,Q42)</f>
        <v>2.0345152974493397</v>
      </c>
    </row>
    <row r="42" spans="1:18" x14ac:dyDescent="0.25">
      <c r="A42" s="3">
        <v>6782</v>
      </c>
      <c r="P42" t="s">
        <v>31</v>
      </c>
      <c r="Q42">
        <v>33</v>
      </c>
    </row>
    <row r="43" spans="1:18" x14ac:dyDescent="0.25">
      <c r="A43" s="3">
        <v>3574</v>
      </c>
      <c r="K43" t="s">
        <v>24</v>
      </c>
      <c r="M43" t="s">
        <v>23</v>
      </c>
      <c r="P43" t="s">
        <v>34</v>
      </c>
      <c r="R43" t="s">
        <v>35</v>
      </c>
    </row>
    <row r="44" spans="1:18" x14ac:dyDescent="0.25">
      <c r="A44" s="3">
        <v>420713</v>
      </c>
      <c r="K44" t="s">
        <v>18</v>
      </c>
      <c r="L44" t="s">
        <v>19</v>
      </c>
      <c r="M44" t="s">
        <v>22</v>
      </c>
      <c r="N44" t="s">
        <v>20</v>
      </c>
      <c r="O44" t="s">
        <v>21</v>
      </c>
    </row>
    <row r="45" spans="1:18" x14ac:dyDescent="0.25">
      <c r="A45" s="3">
        <v>33127</v>
      </c>
      <c r="K45">
        <v>70</v>
      </c>
      <c r="L45">
        <v>15000</v>
      </c>
      <c r="M45">
        <f>356+5*K45+3.5*L45</f>
        <v>53206</v>
      </c>
      <c r="N45">
        <v>53106</v>
      </c>
      <c r="O45">
        <v>59834</v>
      </c>
    </row>
    <row r="46" spans="1:18" x14ac:dyDescent="0.25">
      <c r="A46" s="3">
        <v>6982</v>
      </c>
    </row>
    <row r="47" spans="1:18" x14ac:dyDescent="0.25">
      <c r="A47" s="3">
        <v>7427</v>
      </c>
    </row>
    <row r="48" spans="1:18" x14ac:dyDescent="0.25">
      <c r="A48" s="3">
        <v>49760</v>
      </c>
    </row>
    <row r="49" spans="1:1" x14ac:dyDescent="0.25">
      <c r="A49" s="3">
        <v>74873</v>
      </c>
    </row>
    <row r="50" spans="1:1" x14ac:dyDescent="0.25">
      <c r="A50" s="3">
        <v>6208</v>
      </c>
    </row>
    <row r="51" spans="1:1" x14ac:dyDescent="0.25">
      <c r="A51" s="3">
        <v>25923</v>
      </c>
    </row>
    <row r="52" spans="1:1" x14ac:dyDescent="0.25">
      <c r="A52" s="3">
        <v>2922583</v>
      </c>
    </row>
    <row r="53" spans="1:1" x14ac:dyDescent="0.25">
      <c r="A53" s="3">
        <v>88046</v>
      </c>
    </row>
    <row r="54" spans="1:1" x14ac:dyDescent="0.25">
      <c r="A54" s="3">
        <v>206564</v>
      </c>
    </row>
    <row r="55" spans="1:1" x14ac:dyDescent="0.25">
      <c r="A55" s="3">
        <v>275079</v>
      </c>
    </row>
    <row r="56" spans="1:1" x14ac:dyDescent="0.25">
      <c r="A56" s="3">
        <v>1969630</v>
      </c>
    </row>
    <row r="57" spans="1:1" x14ac:dyDescent="0.25">
      <c r="A57" s="3">
        <v>176230</v>
      </c>
    </row>
    <row r="58" spans="1:1" x14ac:dyDescent="0.25">
      <c r="A58" s="3">
        <v>38728</v>
      </c>
    </row>
    <row r="59" spans="1:1" x14ac:dyDescent="0.25">
      <c r="A59" s="3">
        <v>47836</v>
      </c>
    </row>
    <row r="60" spans="1:1" x14ac:dyDescent="0.25">
      <c r="A60" s="3">
        <v>873242</v>
      </c>
    </row>
    <row r="61" spans="1:1" x14ac:dyDescent="0.25">
      <c r="A61" s="3">
        <v>8819493</v>
      </c>
    </row>
    <row r="62" spans="1:1" x14ac:dyDescent="0.25">
      <c r="A62" s="3">
        <v>80311</v>
      </c>
    </row>
    <row r="63" spans="1:1" x14ac:dyDescent="0.25">
      <c r="A63" s="3">
        <v>892</v>
      </c>
    </row>
    <row r="64" spans="1:1" x14ac:dyDescent="0.25">
      <c r="A64" s="3">
        <v>80504</v>
      </c>
    </row>
    <row r="65" spans="1:1" x14ac:dyDescent="0.25">
      <c r="A65" s="3">
        <v>171633</v>
      </c>
    </row>
    <row r="66" spans="1:1" x14ac:dyDescent="0.25">
      <c r="A66" s="3">
        <v>362733</v>
      </c>
    </row>
    <row r="67" spans="1:1" x14ac:dyDescent="0.25">
      <c r="A67" s="3">
        <v>188081</v>
      </c>
    </row>
    <row r="68" spans="1:1" x14ac:dyDescent="0.25">
      <c r="A68" s="3">
        <v>215498</v>
      </c>
    </row>
    <row r="69" spans="1:1" x14ac:dyDescent="0.25">
      <c r="A69" s="3">
        <v>2272926</v>
      </c>
    </row>
    <row r="70" spans="1:1" x14ac:dyDescent="0.25">
      <c r="A70" s="3">
        <v>242870</v>
      </c>
    </row>
    <row r="71" spans="1:1" x14ac:dyDescent="0.25">
      <c r="A71" s="3">
        <v>1510579</v>
      </c>
    </row>
    <row r="72" spans="1:1" x14ac:dyDescent="0.25">
      <c r="A72" s="3">
        <v>119428</v>
      </c>
    </row>
    <row r="73" spans="1:1" x14ac:dyDescent="0.25">
      <c r="A73" s="3">
        <v>57756</v>
      </c>
    </row>
    <row r="74" spans="1:1" x14ac:dyDescent="0.25">
      <c r="A74" s="3">
        <v>105183</v>
      </c>
    </row>
    <row r="75" spans="1:1" x14ac:dyDescent="0.25">
      <c r="A75" s="3">
        <v>8882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5:I31"/>
  <sheetViews>
    <sheetView workbookViewId="0">
      <selection activeCell="E7" sqref="E7:F31"/>
    </sheetView>
  </sheetViews>
  <sheetFormatPr defaultRowHeight="15" x14ac:dyDescent="0.25"/>
  <cols>
    <col min="1" max="1" width="17.140625" customWidth="1"/>
  </cols>
  <sheetData>
    <row r="5" spans="1:9" ht="57" x14ac:dyDescent="0.25">
      <c r="A5" s="27" t="s">
        <v>91</v>
      </c>
      <c r="B5" s="27" t="s">
        <v>92</v>
      </c>
      <c r="C5" s="27" t="s">
        <v>93</v>
      </c>
      <c r="D5" s="27" t="s">
        <v>94</v>
      </c>
      <c r="E5" s="27" t="s">
        <v>95</v>
      </c>
      <c r="F5" s="27" t="s">
        <v>96</v>
      </c>
      <c r="G5" s="27" t="s">
        <v>97</v>
      </c>
      <c r="H5" s="27" t="s">
        <v>98</v>
      </c>
      <c r="I5" s="28"/>
    </row>
    <row r="6" spans="1:9" x14ac:dyDescent="0.25">
      <c r="A6" s="24"/>
      <c r="B6" s="25"/>
      <c r="C6" s="25"/>
      <c r="D6" s="25"/>
      <c r="E6" s="24"/>
      <c r="F6" s="24"/>
      <c r="G6" s="24"/>
      <c r="H6" s="24"/>
      <c r="I6" s="24"/>
    </row>
    <row r="7" spans="1:9" x14ac:dyDescent="0.25">
      <c r="D7">
        <v>8</v>
      </c>
      <c r="E7" s="24" t="s">
        <v>73</v>
      </c>
      <c r="F7" s="24" t="s">
        <v>74</v>
      </c>
    </row>
    <row r="8" spans="1:9" x14ac:dyDescent="0.25">
      <c r="D8">
        <v>7</v>
      </c>
      <c r="E8" s="24" t="s">
        <v>71</v>
      </c>
      <c r="F8" s="24" t="s">
        <v>72</v>
      </c>
    </row>
    <row r="9" spans="1:9" x14ac:dyDescent="0.25">
      <c r="E9" s="24" t="s">
        <v>103</v>
      </c>
      <c r="F9" s="24" t="s">
        <v>104</v>
      </c>
    </row>
    <row r="10" spans="1:9" x14ac:dyDescent="0.25">
      <c r="D10">
        <f>D9+1</f>
        <v>1</v>
      </c>
      <c r="E10" s="24" t="s">
        <v>61</v>
      </c>
      <c r="F10" s="24" t="s">
        <v>62</v>
      </c>
    </row>
    <row r="11" spans="1:9" x14ac:dyDescent="0.25">
      <c r="E11" s="24" t="s">
        <v>63</v>
      </c>
      <c r="F11" s="24" t="s">
        <v>64</v>
      </c>
    </row>
    <row r="12" spans="1:9" x14ac:dyDescent="0.25">
      <c r="D12">
        <v>12</v>
      </c>
      <c r="E12" s="24" t="s">
        <v>77</v>
      </c>
      <c r="F12" s="24" t="s">
        <v>78</v>
      </c>
    </row>
    <row r="13" spans="1:9" x14ac:dyDescent="0.25">
      <c r="E13" s="24" t="s">
        <v>65</v>
      </c>
      <c r="F13" s="24" t="s">
        <v>66</v>
      </c>
    </row>
    <row r="14" spans="1:9" x14ac:dyDescent="0.25">
      <c r="E14" s="24" t="s">
        <v>85</v>
      </c>
      <c r="F14" s="24" t="s">
        <v>86</v>
      </c>
    </row>
    <row r="15" spans="1:9" x14ac:dyDescent="0.25">
      <c r="E15" s="24" t="s">
        <v>115</v>
      </c>
      <c r="F15" s="24" t="s">
        <v>116</v>
      </c>
    </row>
    <row r="16" spans="1:9" x14ac:dyDescent="0.25">
      <c r="D16">
        <v>2</v>
      </c>
      <c r="E16" s="24" t="s">
        <v>79</v>
      </c>
      <c r="F16" s="24" t="s">
        <v>80</v>
      </c>
    </row>
    <row r="17" spans="1:8" x14ac:dyDescent="0.25">
      <c r="D17">
        <v>3</v>
      </c>
      <c r="E17" s="24" t="s">
        <v>67</v>
      </c>
      <c r="F17" s="24" t="s">
        <v>68</v>
      </c>
    </row>
    <row r="18" spans="1:8" x14ac:dyDescent="0.25">
      <c r="D18">
        <v>10</v>
      </c>
      <c r="E18" s="24" t="s">
        <v>87</v>
      </c>
      <c r="F18" s="24" t="s">
        <v>88</v>
      </c>
    </row>
    <row r="19" spans="1:8" x14ac:dyDescent="0.25">
      <c r="D19">
        <v>4</v>
      </c>
      <c r="E19" s="24" t="s">
        <v>69</v>
      </c>
      <c r="F19" s="24" t="s">
        <v>70</v>
      </c>
    </row>
    <row r="20" spans="1:8" x14ac:dyDescent="0.25">
      <c r="D20">
        <f>D19+1</f>
        <v>5</v>
      </c>
      <c r="E20" s="24" t="s">
        <v>99</v>
      </c>
      <c r="F20" s="24" t="s">
        <v>100</v>
      </c>
    </row>
    <row r="21" spans="1:8" x14ac:dyDescent="0.25">
      <c r="A21" s="26"/>
      <c r="B21" s="26"/>
      <c r="C21" s="26"/>
      <c r="D21" s="45"/>
      <c r="E21" s="24" t="s">
        <v>75</v>
      </c>
      <c r="F21" s="24" t="s">
        <v>76</v>
      </c>
    </row>
    <row r="22" spans="1:8" x14ac:dyDescent="0.25">
      <c r="D22">
        <v>11</v>
      </c>
      <c r="E22" s="24" t="s">
        <v>101</v>
      </c>
      <c r="F22" s="24" t="s">
        <v>102</v>
      </c>
    </row>
    <row r="23" spans="1:8" x14ac:dyDescent="0.25">
      <c r="D23">
        <v>5</v>
      </c>
      <c r="E23" s="24" t="s">
        <v>59</v>
      </c>
      <c r="F23" s="24" t="s">
        <v>60</v>
      </c>
      <c r="G23" s="45"/>
      <c r="H23" s="45"/>
    </row>
    <row r="24" spans="1:8" x14ac:dyDescent="0.25">
      <c r="D24" s="44"/>
      <c r="E24" s="24" t="s">
        <v>113</v>
      </c>
      <c r="F24" s="24" t="s">
        <v>114</v>
      </c>
    </row>
    <row r="25" spans="1:8" x14ac:dyDescent="0.25">
      <c r="D25">
        <v>6</v>
      </c>
      <c r="E25" s="24" t="s">
        <v>111</v>
      </c>
      <c r="F25" s="24" t="s">
        <v>112</v>
      </c>
    </row>
    <row r="26" spans="1:8" x14ac:dyDescent="0.25">
      <c r="E26" s="24" t="s">
        <v>107</v>
      </c>
      <c r="F26" s="24" t="s">
        <v>108</v>
      </c>
      <c r="G26" s="46"/>
      <c r="H26" s="46"/>
    </row>
    <row r="27" spans="1:8" x14ac:dyDescent="0.25">
      <c r="D27">
        <v>9</v>
      </c>
      <c r="E27" s="24" t="s">
        <v>83</v>
      </c>
      <c r="F27" s="24" t="s">
        <v>84</v>
      </c>
    </row>
    <row r="28" spans="1:8" x14ac:dyDescent="0.25">
      <c r="E28" s="24" t="s">
        <v>83</v>
      </c>
      <c r="F28" s="24" t="s">
        <v>84</v>
      </c>
    </row>
    <row r="29" spans="1:8" x14ac:dyDescent="0.25">
      <c r="D29">
        <v>1</v>
      </c>
      <c r="E29" s="24" t="s">
        <v>81</v>
      </c>
      <c r="F29" s="24" t="s">
        <v>82</v>
      </c>
    </row>
    <row r="30" spans="1:8" x14ac:dyDescent="0.25">
      <c r="E30" s="24" t="s">
        <v>105</v>
      </c>
      <c r="F30" s="24" t="s">
        <v>106</v>
      </c>
    </row>
    <row r="31" spans="1:8" x14ac:dyDescent="0.25">
      <c r="E31" s="24" t="s">
        <v>109</v>
      </c>
      <c r="F31" s="24" t="s">
        <v>110</v>
      </c>
    </row>
  </sheetData>
  <sortState xmlns:xlrd2="http://schemas.microsoft.com/office/spreadsheetml/2017/richdata2" ref="D7:H31">
    <sortCondition ref="E7:E31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M60"/>
  <sheetViews>
    <sheetView topLeftCell="L7" workbookViewId="0">
      <selection activeCell="B21" sqref="B21:B30"/>
    </sheetView>
  </sheetViews>
  <sheetFormatPr defaultRowHeight="15" x14ac:dyDescent="0.25"/>
  <cols>
    <col min="5" max="5" width="14.28515625" customWidth="1"/>
    <col min="6" max="6" width="26" customWidth="1"/>
    <col min="7" max="7" width="31.42578125" customWidth="1"/>
    <col min="8" max="8" width="15" bestFit="1" customWidth="1"/>
    <col min="9" max="9" width="27.85546875" customWidth="1"/>
    <col min="10" max="10" width="34.140625" customWidth="1"/>
    <col min="11" max="11" width="38" customWidth="1"/>
    <col min="12" max="12" width="26.85546875" customWidth="1"/>
    <col min="13" max="13" width="23.85546875" customWidth="1"/>
  </cols>
  <sheetData>
    <row r="3" spans="7:11" x14ac:dyDescent="0.25">
      <c r="H3" t="s">
        <v>5</v>
      </c>
      <c r="I3" t="s">
        <v>7</v>
      </c>
      <c r="J3" t="s">
        <v>5</v>
      </c>
      <c r="K3" t="s">
        <v>7</v>
      </c>
    </row>
    <row r="4" spans="7:11" x14ac:dyDescent="0.25">
      <c r="G4">
        <v>1</v>
      </c>
      <c r="H4" s="24" t="s">
        <v>59</v>
      </c>
      <c r="I4" s="24" t="s">
        <v>60</v>
      </c>
      <c r="J4" s="24" t="s">
        <v>89</v>
      </c>
      <c r="K4" s="24" t="s">
        <v>90</v>
      </c>
    </row>
    <row r="5" spans="7:11" x14ac:dyDescent="0.25">
      <c r="G5">
        <v>2</v>
      </c>
      <c r="H5" s="24" t="s">
        <v>61</v>
      </c>
      <c r="I5" s="24" t="s">
        <v>62</v>
      </c>
    </row>
    <row r="6" spans="7:11" x14ac:dyDescent="0.25">
      <c r="G6">
        <v>3</v>
      </c>
      <c r="H6" s="24" t="s">
        <v>63</v>
      </c>
      <c r="I6" s="24" t="s">
        <v>64</v>
      </c>
    </row>
    <row r="7" spans="7:11" x14ac:dyDescent="0.25">
      <c r="G7">
        <v>4</v>
      </c>
      <c r="H7" s="24" t="s">
        <v>65</v>
      </c>
      <c r="I7" s="24" t="s">
        <v>66</v>
      </c>
    </row>
    <row r="8" spans="7:11" x14ac:dyDescent="0.25">
      <c r="G8">
        <v>5</v>
      </c>
      <c r="H8" s="24" t="s">
        <v>67</v>
      </c>
      <c r="I8" s="24" t="s">
        <v>68</v>
      </c>
    </row>
    <row r="9" spans="7:11" x14ac:dyDescent="0.25">
      <c r="G9">
        <v>6</v>
      </c>
      <c r="H9" s="24" t="s">
        <v>69</v>
      </c>
      <c r="I9" s="24" t="s">
        <v>70</v>
      </c>
    </row>
    <row r="10" spans="7:11" x14ac:dyDescent="0.25">
      <c r="G10">
        <v>7</v>
      </c>
      <c r="H10" s="24" t="s">
        <v>71</v>
      </c>
      <c r="I10" s="24" t="s">
        <v>72</v>
      </c>
    </row>
    <row r="11" spans="7:11" x14ac:dyDescent="0.25">
      <c r="G11">
        <v>8</v>
      </c>
      <c r="H11" s="24" t="s">
        <v>73</v>
      </c>
      <c r="I11" s="24" t="s">
        <v>74</v>
      </c>
    </row>
    <row r="12" spans="7:11" x14ac:dyDescent="0.25">
      <c r="G12">
        <v>9</v>
      </c>
      <c r="H12" s="24" t="s">
        <v>75</v>
      </c>
      <c r="I12" s="24" t="s">
        <v>76</v>
      </c>
    </row>
    <row r="13" spans="7:11" x14ac:dyDescent="0.25">
      <c r="G13">
        <v>10</v>
      </c>
      <c r="H13" s="24" t="s">
        <v>77</v>
      </c>
      <c r="I13" s="24" t="s">
        <v>78</v>
      </c>
    </row>
    <row r="14" spans="7:11" x14ac:dyDescent="0.25">
      <c r="G14">
        <v>11</v>
      </c>
      <c r="H14" s="24" t="s">
        <v>79</v>
      </c>
      <c r="I14" s="24" t="s">
        <v>80</v>
      </c>
    </row>
    <row r="15" spans="7:11" x14ac:dyDescent="0.25">
      <c r="G15">
        <v>12</v>
      </c>
      <c r="H15" s="24" t="s">
        <v>81</v>
      </c>
      <c r="I15" s="24" t="s">
        <v>82</v>
      </c>
      <c r="J15" s="10"/>
      <c r="K15" s="11"/>
    </row>
    <row r="16" spans="7:11" x14ac:dyDescent="0.25">
      <c r="G16">
        <v>13</v>
      </c>
      <c r="H16" s="24" t="s">
        <v>83</v>
      </c>
      <c r="I16" s="24" t="s">
        <v>84</v>
      </c>
      <c r="J16" s="10"/>
      <c r="K16" s="12"/>
    </row>
    <row r="17" spans="1:13" x14ac:dyDescent="0.25">
      <c r="G17">
        <v>14</v>
      </c>
      <c r="H17" s="24" t="s">
        <v>85</v>
      </c>
      <c r="I17" s="24" t="s">
        <v>86</v>
      </c>
      <c r="J17" s="10"/>
      <c r="K17" s="13"/>
    </row>
    <row r="18" spans="1:13" x14ac:dyDescent="0.25">
      <c r="D18" t="s">
        <v>27</v>
      </c>
      <c r="G18">
        <v>15</v>
      </c>
      <c r="H18" s="24" t="s">
        <v>87</v>
      </c>
      <c r="I18" s="24" t="s">
        <v>88</v>
      </c>
    </row>
    <row r="19" spans="1:13" x14ac:dyDescent="0.25">
      <c r="L19" s="3" t="s">
        <v>29</v>
      </c>
      <c r="M19" s="3"/>
    </row>
    <row r="20" spans="1:13" ht="15.75" thickBot="1" x14ac:dyDescent="0.3">
      <c r="A20" s="3" t="s">
        <v>36</v>
      </c>
      <c r="B20" s="3" t="s">
        <v>5</v>
      </c>
      <c r="C20" s="3" t="s">
        <v>38</v>
      </c>
      <c r="D20" t="s">
        <v>7</v>
      </c>
      <c r="E20" t="s">
        <v>57</v>
      </c>
      <c r="F20" t="s">
        <v>42</v>
      </c>
      <c r="G20" t="s">
        <v>43</v>
      </c>
      <c r="H20" t="s">
        <v>22</v>
      </c>
      <c r="I20" t="s">
        <v>50</v>
      </c>
      <c r="J20" s="3" t="s">
        <v>51</v>
      </c>
      <c r="K20" s="3" t="s">
        <v>52</v>
      </c>
      <c r="L20" s="3" t="s">
        <v>46</v>
      </c>
      <c r="M20" s="3" t="s">
        <v>47</v>
      </c>
    </row>
    <row r="21" spans="1:13" ht="19.5" thickBot="1" x14ac:dyDescent="0.3">
      <c r="A21" s="3"/>
      <c r="B21" s="2">
        <v>7.01</v>
      </c>
      <c r="C21" s="4">
        <v>560</v>
      </c>
      <c r="D21" s="22">
        <v>18.516999999999999</v>
      </c>
      <c r="E21" s="9">
        <v>1</v>
      </c>
      <c r="F21" s="14">
        <f>LOG10(B21)</f>
        <v>0.84571801796665869</v>
      </c>
      <c r="G21" s="14">
        <f t="shared" ref="G21:H36" si="0">LOG10(C21)</f>
        <v>2.7481880270062002</v>
      </c>
      <c r="H21" s="14">
        <f t="shared" si="0"/>
        <v>1.2675706265693376</v>
      </c>
      <c r="I21">
        <f t="shared" ref="I21:I54" si="1">POWER((H21-$D$55),2)</f>
        <v>467.1352437813228</v>
      </c>
      <c r="J21" s="3">
        <f>POWER((F21-$F$55),2)</f>
        <v>3.852147512685751E-2</v>
      </c>
      <c r="K21" s="3">
        <f>POWER((G21-$G$55),2)</f>
        <v>0.20447031817668035</v>
      </c>
      <c r="L21" s="20" t="e">
        <f t="shared" ref="L21:L54" si="2">$D$55-$I$60*$I$58*SQRT(1/34+J21/$J$55)</f>
        <v>#VALUE!</v>
      </c>
      <c r="M21" s="15" t="e">
        <f t="shared" ref="M21:M54" si="3">$D$55+$I$60*$I$58*SQRT(1/34+J21/$J$55)</f>
        <v>#VALUE!</v>
      </c>
    </row>
    <row r="22" spans="1:13" ht="19.5" thickBot="1" x14ac:dyDescent="0.3">
      <c r="A22" s="3"/>
      <c r="B22" s="5">
        <v>3.03</v>
      </c>
      <c r="C22" s="6">
        <v>220</v>
      </c>
      <c r="D22" s="23" t="s">
        <v>58</v>
      </c>
      <c r="E22" s="9">
        <f>E21+1</f>
        <v>2</v>
      </c>
      <c r="F22" s="14">
        <f t="shared" ref="F22:H54" si="4">LOG10(B22)</f>
        <v>0.48144262850230496</v>
      </c>
      <c r="G22" s="14">
        <f t="shared" si="0"/>
        <v>2.3424226808222062</v>
      </c>
      <c r="H22" s="14" t="e">
        <f t="shared" si="0"/>
        <v>#VALUE!</v>
      </c>
      <c r="I22" s="3" t="e">
        <f t="shared" si="1"/>
        <v>#VALUE!</v>
      </c>
      <c r="J22" s="3">
        <f t="shared" ref="J22:J54" si="5">POWER((F22-$F$55),2)</f>
        <v>0.31420988337120048</v>
      </c>
      <c r="K22" s="3">
        <f t="shared" ref="K22:K54" si="6">POWER((G22-$G$55),2)</f>
        <v>2.1546861169862543E-3</v>
      </c>
      <c r="L22" s="20" t="e">
        <f t="shared" si="2"/>
        <v>#VALUE!</v>
      </c>
      <c r="M22" s="15" t="e">
        <f t="shared" si="3"/>
        <v>#VALUE!</v>
      </c>
    </row>
    <row r="23" spans="1:13" ht="19.5" thickBot="1" x14ac:dyDescent="0.3">
      <c r="A23" s="3"/>
      <c r="B23" s="5">
        <v>3.04</v>
      </c>
      <c r="C23" s="6">
        <v>340</v>
      </c>
      <c r="D23" s="23">
        <v>12.03</v>
      </c>
      <c r="E23" s="9">
        <f t="shared" ref="E23:E54" si="7">E22+1</f>
        <v>3</v>
      </c>
      <c r="F23" s="14">
        <f t="shared" si="4"/>
        <v>0.48287358360875376</v>
      </c>
      <c r="G23" s="14">
        <f t="shared" si="0"/>
        <v>2.5314789170422549</v>
      </c>
      <c r="H23" s="14">
        <f t="shared" si="0"/>
        <v>1.0802656273398448</v>
      </c>
      <c r="I23" s="3">
        <f t="shared" si="1"/>
        <v>475.2668896165689</v>
      </c>
      <c r="J23" s="3">
        <f t="shared" si="5"/>
        <v>0.31260770362051926</v>
      </c>
      <c r="K23" s="3">
        <f t="shared" si="6"/>
        <v>5.5448396925479662E-2</v>
      </c>
      <c r="L23" s="20" t="e">
        <f t="shared" si="2"/>
        <v>#VALUE!</v>
      </c>
      <c r="M23" s="15" t="e">
        <f t="shared" si="3"/>
        <v>#VALUE!</v>
      </c>
    </row>
    <row r="24" spans="1:13" ht="19.5" thickBot="1" x14ac:dyDescent="0.3">
      <c r="A24" s="3"/>
      <c r="B24" s="5">
        <v>4</v>
      </c>
      <c r="C24" s="6">
        <v>80</v>
      </c>
      <c r="D24" s="23">
        <v>14.88</v>
      </c>
      <c r="E24" s="9">
        <f t="shared" si="7"/>
        <v>4</v>
      </c>
      <c r="F24" s="14">
        <f t="shared" si="4"/>
        <v>0.6020599913279624</v>
      </c>
      <c r="G24" s="14">
        <f t="shared" si="0"/>
        <v>1.9030899869919435</v>
      </c>
      <c r="H24" s="14">
        <f t="shared" si="0"/>
        <v>1.1726029312098598</v>
      </c>
      <c r="I24" s="3">
        <f t="shared" si="1"/>
        <v>471.24939545196378</v>
      </c>
      <c r="J24" s="3">
        <f t="shared" si="5"/>
        <v>0.19353568737710747</v>
      </c>
      <c r="K24" s="3">
        <f t="shared" si="6"/>
        <v>0.15438148774579047</v>
      </c>
      <c r="L24" s="20" t="e">
        <f t="shared" si="2"/>
        <v>#VALUE!</v>
      </c>
      <c r="M24" s="15" t="e">
        <f t="shared" si="3"/>
        <v>#VALUE!</v>
      </c>
    </row>
    <row r="25" spans="1:13" ht="19.5" thickBot="1" x14ac:dyDescent="0.3">
      <c r="A25" s="3"/>
      <c r="B25" s="5">
        <v>6</v>
      </c>
      <c r="C25" s="6">
        <v>150</v>
      </c>
      <c r="D25" s="23">
        <v>13.75</v>
      </c>
      <c r="E25" s="9">
        <f t="shared" si="7"/>
        <v>5</v>
      </c>
      <c r="F25" s="14">
        <f t="shared" si="4"/>
        <v>0.77815125038364363</v>
      </c>
      <c r="G25" s="14">
        <f t="shared" si="0"/>
        <v>2.1760912590556813</v>
      </c>
      <c r="H25" s="14">
        <f t="shared" si="0"/>
        <v>1.1383026981662814</v>
      </c>
      <c r="I25" s="3">
        <f t="shared" si="1"/>
        <v>472.73977004423159</v>
      </c>
      <c r="J25" s="3">
        <f t="shared" si="5"/>
        <v>6.9609251449849779E-2</v>
      </c>
      <c r="K25" s="3">
        <f t="shared" si="6"/>
        <v>1.4379085622179951E-2</v>
      </c>
      <c r="L25" s="20" t="e">
        <f t="shared" si="2"/>
        <v>#VALUE!</v>
      </c>
      <c r="M25" s="15" t="e">
        <f t="shared" si="3"/>
        <v>#VALUE!</v>
      </c>
    </row>
    <row r="26" spans="1:13" ht="19.5" thickBot="1" x14ac:dyDescent="0.3">
      <c r="A26" s="3"/>
      <c r="B26" s="5">
        <v>7.13</v>
      </c>
      <c r="C26" s="6">
        <v>330</v>
      </c>
      <c r="D26" s="23">
        <v>18.11</v>
      </c>
      <c r="E26" s="9">
        <f t="shared" si="7"/>
        <v>6</v>
      </c>
      <c r="F26" s="14">
        <f t="shared" si="4"/>
        <v>0.85308952985186559</v>
      </c>
      <c r="G26" s="14">
        <f t="shared" si="0"/>
        <v>2.5185139398778875</v>
      </c>
      <c r="H26" s="14">
        <f t="shared" si="0"/>
        <v>1.2579184503140584</v>
      </c>
      <c r="I26" s="3">
        <f t="shared" si="1"/>
        <v>467.55256793431579</v>
      </c>
      <c r="J26" s="3">
        <f t="shared" si="5"/>
        <v>3.568221748084973E-2</v>
      </c>
      <c r="K26" s="3">
        <f t="shared" si="6"/>
        <v>4.9510635895898179E-2</v>
      </c>
      <c r="L26" s="20" t="e">
        <f t="shared" si="2"/>
        <v>#VALUE!</v>
      </c>
      <c r="M26" s="15" t="e">
        <f t="shared" si="3"/>
        <v>#VALUE!</v>
      </c>
    </row>
    <row r="27" spans="1:13" ht="19.5" thickBot="1" x14ac:dyDescent="0.3">
      <c r="A27" s="3"/>
      <c r="B27" s="5">
        <v>16.73</v>
      </c>
      <c r="C27" s="6">
        <v>110</v>
      </c>
      <c r="D27" s="23">
        <v>86.51</v>
      </c>
      <c r="E27" s="9">
        <f t="shared" si="7"/>
        <v>7</v>
      </c>
      <c r="F27" s="14">
        <f t="shared" si="4"/>
        <v>1.2234959409623944</v>
      </c>
      <c r="G27" s="14">
        <f t="shared" si="0"/>
        <v>2.0413926851582249</v>
      </c>
      <c r="H27" s="14">
        <f t="shared" si="0"/>
        <v>1.9370663120174283</v>
      </c>
      <c r="I27" s="3">
        <f t="shared" si="1"/>
        <v>438.64343035605526</v>
      </c>
      <c r="J27" s="3">
        <f t="shared" si="5"/>
        <v>3.2945530959483077E-2</v>
      </c>
      <c r="K27" s="3">
        <f t="shared" si="6"/>
        <v>6.4826964496717251E-2</v>
      </c>
      <c r="L27" s="20" t="e">
        <f t="shared" si="2"/>
        <v>#VALUE!</v>
      </c>
      <c r="M27" s="15" t="e">
        <f t="shared" si="3"/>
        <v>#VALUE!</v>
      </c>
    </row>
    <row r="28" spans="1:13" ht="19.5" thickBot="1" x14ac:dyDescent="0.3">
      <c r="A28" s="3"/>
      <c r="B28" s="5">
        <v>30.96</v>
      </c>
      <c r="C28" s="6">
        <v>210</v>
      </c>
      <c r="D28" s="23">
        <v>17.829999999999998</v>
      </c>
      <c r="E28" s="9">
        <f t="shared" si="7"/>
        <v>8</v>
      </c>
      <c r="F28" s="14">
        <f t="shared" si="4"/>
        <v>1.4908009520108549</v>
      </c>
      <c r="G28" s="14">
        <f t="shared" si="0"/>
        <v>2.3222192947339191</v>
      </c>
      <c r="H28" s="14">
        <f t="shared" si="0"/>
        <v>1.2511513431753545</v>
      </c>
      <c r="I28" s="3">
        <f t="shared" si="1"/>
        <v>467.84526355482558</v>
      </c>
      <c r="J28" s="3">
        <f t="shared" si="5"/>
        <v>0.20143405083047874</v>
      </c>
      <c r="K28" s="3">
        <f t="shared" si="6"/>
        <v>6.8723726594188759E-4</v>
      </c>
      <c r="L28" s="20" t="e">
        <f t="shared" si="2"/>
        <v>#VALUE!</v>
      </c>
      <c r="M28" s="15" t="e">
        <f t="shared" si="3"/>
        <v>#VALUE!</v>
      </c>
    </row>
    <row r="29" spans="1:13" ht="19.5" thickBot="1" x14ac:dyDescent="0.3">
      <c r="A29" s="3"/>
      <c r="B29" s="5">
        <v>32.22</v>
      </c>
      <c r="C29" s="6">
        <v>1460</v>
      </c>
      <c r="D29" s="23">
        <v>79.239999999999995</v>
      </c>
      <c r="E29" s="9">
        <f t="shared" si="7"/>
        <v>9</v>
      </c>
      <c r="F29" s="14">
        <f t="shared" si="4"/>
        <v>1.5081255360831993</v>
      </c>
      <c r="G29" s="14">
        <f t="shared" si="0"/>
        <v>3.1643528557844371</v>
      </c>
      <c r="H29" s="14">
        <f t="shared" si="0"/>
        <v>1.8989444668665094</v>
      </c>
      <c r="I29" s="3">
        <f t="shared" si="1"/>
        <v>440.2417174550958</v>
      </c>
      <c r="J29" s="3">
        <f t="shared" si="5"/>
        <v>0.21728522550293547</v>
      </c>
      <c r="K29" s="3">
        <f t="shared" si="6"/>
        <v>0.75402958919846164</v>
      </c>
      <c r="L29" s="20" t="e">
        <f t="shared" si="2"/>
        <v>#VALUE!</v>
      </c>
      <c r="M29" s="15" t="e">
        <f t="shared" si="3"/>
        <v>#VALUE!</v>
      </c>
    </row>
    <row r="30" spans="1:13" ht="19.5" thickBot="1" x14ac:dyDescent="0.3">
      <c r="A30" s="3"/>
      <c r="B30" s="5">
        <v>55.48</v>
      </c>
      <c r="C30" s="6">
        <v>605</v>
      </c>
      <c r="D30" s="23">
        <v>21.5</v>
      </c>
      <c r="E30" s="9">
        <f t="shared" si="7"/>
        <v>10</v>
      </c>
      <c r="F30" s="14">
        <f t="shared" si="4"/>
        <v>1.7441364524012473</v>
      </c>
      <c r="G30" s="14">
        <f t="shared" si="0"/>
        <v>2.781755374652469</v>
      </c>
      <c r="H30" s="14">
        <f t="shared" si="0"/>
        <v>1.3324384599156054</v>
      </c>
      <c r="I30" s="3">
        <f t="shared" si="1"/>
        <v>464.33543421087148</v>
      </c>
      <c r="J30" s="3">
        <f t="shared" si="5"/>
        <v>0.49301399010134678</v>
      </c>
      <c r="K30" s="3">
        <f t="shared" si="6"/>
        <v>0.23595431622449284</v>
      </c>
      <c r="L30" s="20" t="e">
        <f t="shared" si="2"/>
        <v>#VALUE!</v>
      </c>
      <c r="M30" s="15" t="e">
        <f t="shared" si="3"/>
        <v>#VALUE!</v>
      </c>
    </row>
    <row r="31" spans="1:13" ht="19.5" thickBot="1" x14ac:dyDescent="0.3">
      <c r="A31" s="3"/>
      <c r="B31" s="5">
        <v>16</v>
      </c>
      <c r="C31" s="6">
        <v>688</v>
      </c>
      <c r="D31" s="23">
        <v>40.33</v>
      </c>
      <c r="E31" s="9">
        <f t="shared" si="7"/>
        <v>11</v>
      </c>
      <c r="F31" s="14">
        <f t="shared" si="4"/>
        <v>1.2041199826559248</v>
      </c>
      <c r="G31" s="14">
        <f t="shared" si="0"/>
        <v>2.8375884382355112</v>
      </c>
      <c r="H31" s="14">
        <f t="shared" si="0"/>
        <v>1.6056282220076186</v>
      </c>
      <c r="I31" s="3">
        <f t="shared" si="1"/>
        <v>452.63643833580585</v>
      </c>
      <c r="J31" s="3">
        <f t="shared" si="5"/>
        <v>2.6287135605760958E-2</v>
      </c>
      <c r="K31" s="3">
        <f t="shared" si="6"/>
        <v>0.29331361258986227</v>
      </c>
      <c r="L31" s="20" t="e">
        <f t="shared" si="2"/>
        <v>#VALUE!</v>
      </c>
      <c r="M31" s="15" t="e">
        <f t="shared" si="3"/>
        <v>#VALUE!</v>
      </c>
    </row>
    <row r="32" spans="1:13" ht="19.5" thickBot="1" x14ac:dyDescent="0.3">
      <c r="A32" s="3"/>
      <c r="B32" s="5">
        <v>10</v>
      </c>
      <c r="C32" s="6">
        <v>215</v>
      </c>
      <c r="D32" s="23">
        <v>21</v>
      </c>
      <c r="E32" s="9">
        <f t="shared" si="7"/>
        <v>12</v>
      </c>
      <c r="F32" s="14">
        <f t="shared" si="4"/>
        <v>1</v>
      </c>
      <c r="G32" s="14">
        <f t="shared" si="0"/>
        <v>2.3324384599156054</v>
      </c>
      <c r="H32" s="14">
        <f t="shared" si="0"/>
        <v>1.3222192947339193</v>
      </c>
      <c r="I32" s="3">
        <f t="shared" si="1"/>
        <v>464.77595285731064</v>
      </c>
      <c r="J32" s="3">
        <f t="shared" si="5"/>
        <v>1.7629000009893525E-3</v>
      </c>
      <c r="K32" s="3">
        <f t="shared" si="6"/>
        <v>1.32746373740524E-3</v>
      </c>
      <c r="L32" s="20" t="e">
        <f t="shared" si="2"/>
        <v>#VALUE!</v>
      </c>
      <c r="M32" s="15" t="e">
        <f t="shared" si="3"/>
        <v>#VALUE!</v>
      </c>
    </row>
    <row r="33" spans="1:13" ht="19.5" thickBot="1" x14ac:dyDescent="0.3">
      <c r="A33" s="3"/>
      <c r="B33" s="5">
        <v>4</v>
      </c>
      <c r="C33" s="6">
        <v>255</v>
      </c>
      <c r="D33" s="23">
        <v>13.5</v>
      </c>
      <c r="E33" s="9">
        <f t="shared" si="7"/>
        <v>13</v>
      </c>
      <c r="F33" s="14">
        <f t="shared" si="4"/>
        <v>0.6020599913279624</v>
      </c>
      <c r="G33" s="14">
        <f t="shared" si="0"/>
        <v>2.406540180433955</v>
      </c>
      <c r="H33" s="14">
        <f t="shared" si="0"/>
        <v>1.1303337684950061</v>
      </c>
      <c r="I33" s="3">
        <f t="shared" si="1"/>
        <v>473.08636372435365</v>
      </c>
      <c r="J33" s="3">
        <f t="shared" si="5"/>
        <v>0.19353568737710747</v>
      </c>
      <c r="K33" s="3">
        <f t="shared" si="6"/>
        <v>1.2218228581622678E-2</v>
      </c>
      <c r="L33" s="20" t="e">
        <f t="shared" si="2"/>
        <v>#VALUE!</v>
      </c>
      <c r="M33" s="15" t="e">
        <f t="shared" si="3"/>
        <v>#VALUE!</v>
      </c>
    </row>
    <row r="34" spans="1:13" ht="19.5" thickBot="1" x14ac:dyDescent="0.3">
      <c r="A34" s="3"/>
      <c r="B34" s="5">
        <v>6</v>
      </c>
      <c r="C34" s="6">
        <v>462</v>
      </c>
      <c r="D34" s="23">
        <v>19.75</v>
      </c>
      <c r="E34" s="9">
        <f t="shared" si="7"/>
        <v>14</v>
      </c>
      <c r="F34" s="14">
        <f t="shared" si="4"/>
        <v>0.77815125038364363</v>
      </c>
      <c r="G34" s="14">
        <f t="shared" si="0"/>
        <v>2.6646419755561257</v>
      </c>
      <c r="H34" s="14">
        <f t="shared" si="0"/>
        <v>1.2955670999624791</v>
      </c>
      <c r="I34" s="3">
        <f t="shared" si="1"/>
        <v>465.92583457047516</v>
      </c>
      <c r="J34" s="3">
        <f t="shared" si="5"/>
        <v>6.9609251449849779E-2</v>
      </c>
      <c r="K34" s="3">
        <f t="shared" si="6"/>
        <v>0.13589389498011076</v>
      </c>
      <c r="L34" s="20" t="e">
        <f t="shared" si="2"/>
        <v>#VALUE!</v>
      </c>
      <c r="M34" s="15" t="e">
        <f t="shared" si="3"/>
        <v>#VALUE!</v>
      </c>
    </row>
    <row r="35" spans="1:13" ht="19.5" thickBot="1" x14ac:dyDescent="0.3">
      <c r="A35" s="3"/>
      <c r="B35" s="5">
        <v>9</v>
      </c>
      <c r="C35" s="6">
        <v>448</v>
      </c>
      <c r="D35" s="23">
        <v>24</v>
      </c>
      <c r="E35" s="9">
        <f t="shared" si="7"/>
        <v>15</v>
      </c>
      <c r="F35" s="14">
        <f t="shared" si="4"/>
        <v>0.95424250943932487</v>
      </c>
      <c r="G35" s="14">
        <f t="shared" si="0"/>
        <v>2.651278013998144</v>
      </c>
      <c r="H35" s="14">
        <f t="shared" si="0"/>
        <v>1.3802112417116059</v>
      </c>
      <c r="I35" s="3">
        <f t="shared" si="1"/>
        <v>462.27885823326216</v>
      </c>
      <c r="J35" s="3">
        <f t="shared" si="5"/>
        <v>7.6990785542221689E-3</v>
      </c>
      <c r="K35" s="3">
        <f t="shared" si="6"/>
        <v>0.126219565229509</v>
      </c>
      <c r="L35" s="20" t="e">
        <f t="shared" si="2"/>
        <v>#VALUE!</v>
      </c>
      <c r="M35" s="15" t="e">
        <f t="shared" si="3"/>
        <v>#VALUE!</v>
      </c>
    </row>
    <row r="36" spans="1:13" ht="19.5" thickBot="1" x14ac:dyDescent="0.3">
      <c r="A36" s="3"/>
      <c r="B36" s="5">
        <v>10</v>
      </c>
      <c r="C36" s="6">
        <v>776</v>
      </c>
      <c r="D36" s="23">
        <v>29</v>
      </c>
      <c r="E36" s="9">
        <f t="shared" si="7"/>
        <v>16</v>
      </c>
      <c r="F36" s="14">
        <f t="shared" si="4"/>
        <v>1</v>
      </c>
      <c r="G36" s="14">
        <f t="shared" si="0"/>
        <v>2.8898617212581885</v>
      </c>
      <c r="H36" s="14">
        <f t="shared" si="0"/>
        <v>1.4623979978989561</v>
      </c>
      <c r="I36" s="3">
        <f t="shared" si="1"/>
        <v>458.75147206718867</v>
      </c>
      <c r="J36" s="3">
        <f t="shared" si="5"/>
        <v>1.7629000009893525E-3</v>
      </c>
      <c r="K36" s="3">
        <f t="shared" si="6"/>
        <v>0.35266689315132821</v>
      </c>
      <c r="L36" s="20" t="e">
        <f t="shared" si="2"/>
        <v>#VALUE!</v>
      </c>
      <c r="M36" s="15" t="e">
        <f t="shared" si="3"/>
        <v>#VALUE!</v>
      </c>
    </row>
    <row r="37" spans="1:13" ht="19.5" thickBot="1" x14ac:dyDescent="0.3">
      <c r="A37" s="3"/>
      <c r="B37" s="5">
        <v>6</v>
      </c>
      <c r="C37" s="6">
        <v>200</v>
      </c>
      <c r="D37" s="23">
        <v>15.35</v>
      </c>
      <c r="E37" s="9">
        <f t="shared" si="7"/>
        <v>17</v>
      </c>
      <c r="F37" s="14">
        <f t="shared" si="4"/>
        <v>0.77815125038364363</v>
      </c>
      <c r="G37" s="14">
        <f t="shared" si="4"/>
        <v>2.3010299956639813</v>
      </c>
      <c r="H37" s="14">
        <f t="shared" si="4"/>
        <v>1.1861083798132053</v>
      </c>
      <c r="I37" s="3">
        <f t="shared" si="1"/>
        <v>470.66321774511118</v>
      </c>
      <c r="J37" s="3">
        <f t="shared" si="5"/>
        <v>6.9609251449849779E-2</v>
      </c>
      <c r="K37" s="3">
        <f t="shared" si="6"/>
        <v>2.5259786543045826E-5</v>
      </c>
      <c r="L37" s="20" t="e">
        <f t="shared" si="2"/>
        <v>#VALUE!</v>
      </c>
      <c r="M37" s="15" t="e">
        <f t="shared" si="3"/>
        <v>#VALUE!</v>
      </c>
    </row>
    <row r="38" spans="1:13" ht="19.5" thickBot="1" x14ac:dyDescent="0.3">
      <c r="A38" s="3"/>
      <c r="B38" s="5">
        <v>7</v>
      </c>
      <c r="C38" s="6">
        <v>132</v>
      </c>
      <c r="D38" s="23">
        <v>19</v>
      </c>
      <c r="E38" s="9">
        <f t="shared" si="7"/>
        <v>18</v>
      </c>
      <c r="F38" s="14">
        <f t="shared" si="4"/>
        <v>0.84509804001425681</v>
      </c>
      <c r="G38" s="14">
        <f t="shared" si="4"/>
        <v>2.12057393120585</v>
      </c>
      <c r="H38" s="14">
        <f t="shared" si="4"/>
        <v>1.2787536009528289</v>
      </c>
      <c r="I38" s="3">
        <f t="shared" si="1"/>
        <v>466.651966617482</v>
      </c>
      <c r="J38" s="3">
        <f t="shared" si="5"/>
        <v>3.8765224262112458E-2</v>
      </c>
      <c r="K38" s="3">
        <f t="shared" si="6"/>
        <v>3.0775738562123858E-2</v>
      </c>
      <c r="L38" s="20" t="e">
        <f t="shared" si="2"/>
        <v>#VALUE!</v>
      </c>
      <c r="M38" s="15" t="e">
        <f t="shared" si="3"/>
        <v>#VALUE!</v>
      </c>
    </row>
    <row r="39" spans="1:13" ht="19.5" thickBot="1" x14ac:dyDescent="0.3">
      <c r="A39" s="3"/>
      <c r="B39" s="5">
        <v>3</v>
      </c>
      <c r="C39" s="6">
        <v>36</v>
      </c>
      <c r="D39" s="23">
        <v>9.5</v>
      </c>
      <c r="E39" s="9">
        <f t="shared" si="7"/>
        <v>19</v>
      </c>
      <c r="F39" s="14">
        <f t="shared" si="4"/>
        <v>0.47712125471966244</v>
      </c>
      <c r="G39" s="14">
        <f t="shared" si="4"/>
        <v>1.5563025007672873</v>
      </c>
      <c r="H39" s="14">
        <f t="shared" si="4"/>
        <v>0.97772360528884772</v>
      </c>
      <c r="I39" s="3">
        <f t="shared" si="1"/>
        <v>479.74836312485911</v>
      </c>
      <c r="J39" s="3">
        <f t="shared" si="5"/>
        <v>0.3190732003038993</v>
      </c>
      <c r="K39" s="3">
        <f t="shared" si="6"/>
        <v>0.54715843245938145</v>
      </c>
      <c r="L39" s="20" t="e">
        <f t="shared" si="2"/>
        <v>#VALUE!</v>
      </c>
      <c r="M39" s="15" t="e">
        <f t="shared" si="3"/>
        <v>#VALUE!</v>
      </c>
    </row>
    <row r="40" spans="1:13" ht="19.5" thickBot="1" x14ac:dyDescent="0.3">
      <c r="A40" s="3"/>
      <c r="B40" s="5">
        <v>17</v>
      </c>
      <c r="C40" s="6">
        <v>770</v>
      </c>
      <c r="D40" s="23">
        <v>35.1</v>
      </c>
      <c r="E40" s="9">
        <f t="shared" si="7"/>
        <v>20</v>
      </c>
      <c r="F40" s="14">
        <f t="shared" si="4"/>
        <v>1.2304489213782739</v>
      </c>
      <c r="G40" s="14">
        <f t="shared" si="4"/>
        <v>2.8864907251724818</v>
      </c>
      <c r="H40" s="14">
        <f t="shared" si="4"/>
        <v>1.5453071164658241</v>
      </c>
      <c r="I40" s="3">
        <f t="shared" si="1"/>
        <v>455.20677067130066</v>
      </c>
      <c r="J40" s="3">
        <f t="shared" si="5"/>
        <v>3.551793247239491E-2</v>
      </c>
      <c r="K40" s="3">
        <f t="shared" si="6"/>
        <v>0.34867447322562284</v>
      </c>
      <c r="L40" s="20" t="e">
        <f t="shared" si="2"/>
        <v>#VALUE!</v>
      </c>
      <c r="M40" s="15" t="e">
        <f t="shared" si="3"/>
        <v>#VALUE!</v>
      </c>
    </row>
    <row r="41" spans="1:13" ht="19.5" thickBot="1" x14ac:dyDescent="0.3">
      <c r="A41" s="3"/>
      <c r="B41" s="5">
        <v>10</v>
      </c>
      <c r="C41" s="6">
        <v>140</v>
      </c>
      <c r="D41" s="23">
        <v>17.899999999999999</v>
      </c>
      <c r="E41" s="9">
        <f t="shared" si="7"/>
        <v>21</v>
      </c>
      <c r="F41" s="14">
        <f t="shared" si="4"/>
        <v>1</v>
      </c>
      <c r="G41" s="14">
        <f t="shared" si="4"/>
        <v>2.1461280356782382</v>
      </c>
      <c r="H41" s="14">
        <f t="shared" si="4"/>
        <v>1.2528530309798931</v>
      </c>
      <c r="I41" s="3">
        <f t="shared" si="1"/>
        <v>467.77165235161749</v>
      </c>
      <c r="J41" s="3">
        <f t="shared" si="5"/>
        <v>1.7629000009893525E-3</v>
      </c>
      <c r="K41" s="3">
        <f t="shared" si="6"/>
        <v>2.2462829905609008E-2</v>
      </c>
      <c r="L41" s="20" t="e">
        <f t="shared" si="2"/>
        <v>#VALUE!</v>
      </c>
      <c r="M41" s="15" t="e">
        <f t="shared" si="3"/>
        <v>#VALUE!</v>
      </c>
    </row>
    <row r="42" spans="1:13" ht="19.5" thickBot="1" x14ac:dyDescent="0.3">
      <c r="A42" s="3"/>
      <c r="B42" s="5">
        <v>26</v>
      </c>
      <c r="C42" s="6">
        <v>810</v>
      </c>
      <c r="D42" s="23">
        <v>52.32</v>
      </c>
      <c r="E42" s="9">
        <f t="shared" si="7"/>
        <v>22</v>
      </c>
      <c r="F42" s="14">
        <f t="shared" si="4"/>
        <v>1.414973347970818</v>
      </c>
      <c r="G42" s="14">
        <f t="shared" si="4"/>
        <v>2.90848501887865</v>
      </c>
      <c r="H42" s="14">
        <f t="shared" si="4"/>
        <v>1.7186677353162108</v>
      </c>
      <c r="I42" s="3">
        <f t="shared" si="1"/>
        <v>447.83932752242021</v>
      </c>
      <c r="J42" s="3">
        <f t="shared" si="5"/>
        <v>0.13911888833221914</v>
      </c>
      <c r="K42" s="3">
        <f t="shared" si="6"/>
        <v>0.37513289540567574</v>
      </c>
      <c r="L42" s="20" t="e">
        <f t="shared" si="2"/>
        <v>#VALUE!</v>
      </c>
      <c r="M42" s="15" t="e">
        <f t="shared" si="3"/>
        <v>#VALUE!</v>
      </c>
    </row>
    <row r="43" spans="1:13" ht="19.5" thickBot="1" x14ac:dyDescent="0.3">
      <c r="A43" s="3"/>
      <c r="B43" s="5">
        <v>9</v>
      </c>
      <c r="C43" s="6">
        <v>450</v>
      </c>
      <c r="D43" s="23">
        <v>18.75</v>
      </c>
      <c r="E43" s="9">
        <f t="shared" si="7"/>
        <v>23</v>
      </c>
      <c r="F43" s="14">
        <f t="shared" si="4"/>
        <v>0.95424250943932487</v>
      </c>
      <c r="G43" s="14">
        <f t="shared" si="4"/>
        <v>2.6532125137753435</v>
      </c>
      <c r="H43" s="14">
        <f t="shared" si="4"/>
        <v>1.2730012720637376</v>
      </c>
      <c r="I43" s="3">
        <f t="shared" si="1"/>
        <v>466.90052480534155</v>
      </c>
      <c r="J43" s="3">
        <f t="shared" si="5"/>
        <v>7.6990785542221689E-3</v>
      </c>
      <c r="K43" s="3">
        <f t="shared" si="6"/>
        <v>0.12759786219516778</v>
      </c>
      <c r="L43" s="20" t="e">
        <f t="shared" si="2"/>
        <v>#VALUE!</v>
      </c>
      <c r="M43" s="15" t="e">
        <f t="shared" si="3"/>
        <v>#VALUE!</v>
      </c>
    </row>
    <row r="44" spans="1:13" ht="19.5" thickBot="1" x14ac:dyDescent="0.3">
      <c r="A44" s="3"/>
      <c r="B44" s="5">
        <v>8</v>
      </c>
      <c r="C44" s="6">
        <v>635</v>
      </c>
      <c r="D44" s="23">
        <v>19.829999999999998</v>
      </c>
      <c r="E44" s="9">
        <f t="shared" si="7"/>
        <v>24</v>
      </c>
      <c r="F44" s="14">
        <f t="shared" si="4"/>
        <v>0.90308998699194354</v>
      </c>
      <c r="G44" s="14">
        <f t="shared" si="4"/>
        <v>2.8027737252919755</v>
      </c>
      <c r="H44" s="14">
        <f t="shared" si="4"/>
        <v>1.2973227142053025</v>
      </c>
      <c r="I44" s="3">
        <f t="shared" si="1"/>
        <v>465.85004667886858</v>
      </c>
      <c r="J44" s="3">
        <f t="shared" si="5"/>
        <v>1.929235320197769E-2</v>
      </c>
      <c r="K44" s="3">
        <f t="shared" si="6"/>
        <v>0.25681546918283155</v>
      </c>
      <c r="L44" s="20" t="e">
        <f t="shared" si="2"/>
        <v>#VALUE!</v>
      </c>
      <c r="M44" s="15" t="e">
        <f t="shared" si="3"/>
        <v>#VALUE!</v>
      </c>
    </row>
    <row r="45" spans="1:13" ht="19.5" thickBot="1" x14ac:dyDescent="0.3">
      <c r="A45" s="3"/>
      <c r="B45" s="5">
        <v>4</v>
      </c>
      <c r="C45" s="6">
        <v>150</v>
      </c>
      <c r="D45" s="23">
        <v>10.75</v>
      </c>
      <c r="E45" s="9">
        <f t="shared" si="7"/>
        <v>25</v>
      </c>
      <c r="F45" s="14">
        <f t="shared" si="4"/>
        <v>0.6020599913279624</v>
      </c>
      <c r="G45" s="14">
        <f t="shared" si="4"/>
        <v>2.1760912590556813</v>
      </c>
      <c r="H45" s="14">
        <f t="shared" si="4"/>
        <v>1.0314084642516241</v>
      </c>
      <c r="I45" s="3">
        <f t="shared" si="1"/>
        <v>477.39950921252699</v>
      </c>
      <c r="J45" s="3">
        <f t="shared" si="5"/>
        <v>0.19353568737710747</v>
      </c>
      <c r="K45" s="3">
        <f t="shared" si="6"/>
        <v>1.4379085622179951E-2</v>
      </c>
      <c r="L45" s="20" t="e">
        <f t="shared" si="2"/>
        <v>#VALUE!</v>
      </c>
      <c r="M45" s="15" t="e">
        <f t="shared" si="3"/>
        <v>#VALUE!</v>
      </c>
    </row>
    <row r="46" spans="1:13" ht="18.75" x14ac:dyDescent="0.25">
      <c r="A46" s="3"/>
      <c r="B46" s="3">
        <v>5</v>
      </c>
      <c r="C46" s="3">
        <f t="shared" ref="C46:C53" si="8">D46*4</f>
        <v>62.4</v>
      </c>
      <c r="D46" s="15">
        <v>15.6</v>
      </c>
      <c r="E46" s="9">
        <f t="shared" si="7"/>
        <v>26</v>
      </c>
      <c r="F46" s="14">
        <f t="shared" si="4"/>
        <v>0.69897000433601886</v>
      </c>
      <c r="G46" s="14">
        <f t="shared" si="4"/>
        <v>1.7951845896824239</v>
      </c>
      <c r="H46" s="14">
        <f t="shared" si="4"/>
        <v>1.1931245983544616</v>
      </c>
      <c r="I46" s="3">
        <f t="shared" si="1"/>
        <v>470.35883642163657</v>
      </c>
      <c r="J46" s="3">
        <f t="shared" si="5"/>
        <v>0.11766059258489595</v>
      </c>
      <c r="K46" s="3">
        <f t="shared" si="6"/>
        <v>0.25082016603908969</v>
      </c>
      <c r="L46" s="20" t="e">
        <f t="shared" si="2"/>
        <v>#VALUE!</v>
      </c>
      <c r="M46" s="15" t="e">
        <f t="shared" si="3"/>
        <v>#VALUE!</v>
      </c>
    </row>
    <row r="47" spans="1:13" ht="18.75" x14ac:dyDescent="0.25">
      <c r="A47" s="3"/>
      <c r="B47" s="3">
        <v>11</v>
      </c>
      <c r="C47" s="3">
        <f t="shared" si="8"/>
        <v>56.36</v>
      </c>
      <c r="D47" s="15">
        <v>14.09</v>
      </c>
      <c r="E47" s="9">
        <f t="shared" si="7"/>
        <v>27</v>
      </c>
      <c r="F47" s="14">
        <f t="shared" si="4"/>
        <v>1.0413926851582251</v>
      </c>
      <c r="G47" s="14">
        <f t="shared" si="4"/>
        <v>1.7509709844373189</v>
      </c>
      <c r="H47" s="14">
        <f t="shared" si="4"/>
        <v>1.1489109931093564</v>
      </c>
      <c r="I47" s="3">
        <f t="shared" si="1"/>
        <v>472.27857918455084</v>
      </c>
      <c r="J47" s="3">
        <f t="shared" si="5"/>
        <v>3.530945244581553E-7</v>
      </c>
      <c r="K47" s="3">
        <f t="shared" si="6"/>
        <v>0.2970610797827738</v>
      </c>
      <c r="L47" s="20" t="e">
        <f t="shared" si="2"/>
        <v>#VALUE!</v>
      </c>
      <c r="M47" s="15" t="e">
        <f t="shared" si="3"/>
        <v>#VALUE!</v>
      </c>
    </row>
    <row r="48" spans="1:13" ht="18.75" x14ac:dyDescent="0.25">
      <c r="A48" s="3"/>
      <c r="B48" s="3">
        <v>5</v>
      </c>
      <c r="C48" s="3">
        <f t="shared" si="8"/>
        <v>51.36</v>
      </c>
      <c r="D48" s="15">
        <v>12.84</v>
      </c>
      <c r="E48" s="9">
        <f t="shared" si="7"/>
        <v>28</v>
      </c>
      <c r="F48" s="14">
        <f t="shared" si="4"/>
        <v>0.69897000433601886</v>
      </c>
      <c r="G48" s="14">
        <f t="shared" si="4"/>
        <v>1.7106250150607969</v>
      </c>
      <c r="H48" s="14">
        <f t="shared" si="4"/>
        <v>1.1085650237328344</v>
      </c>
      <c r="I48" s="3">
        <f t="shared" si="1"/>
        <v>474.03380188374632</v>
      </c>
      <c r="J48" s="3">
        <f t="shared" si="5"/>
        <v>0.11766059258489595</v>
      </c>
      <c r="K48" s="3">
        <f t="shared" si="6"/>
        <v>0.34266865452812911</v>
      </c>
      <c r="L48" s="20" t="e">
        <f t="shared" si="2"/>
        <v>#VALUE!</v>
      </c>
      <c r="M48" s="15" t="e">
        <f t="shared" si="3"/>
        <v>#VALUE!</v>
      </c>
    </row>
    <row r="49" spans="1:13" ht="18.75" x14ac:dyDescent="0.25">
      <c r="A49" s="3"/>
      <c r="B49" s="3">
        <v>3</v>
      </c>
      <c r="C49" s="3">
        <f t="shared" si="8"/>
        <v>127.36</v>
      </c>
      <c r="D49" s="15">
        <v>31.84</v>
      </c>
      <c r="E49" s="9">
        <f t="shared" si="7"/>
        <v>29</v>
      </c>
      <c r="F49" s="14">
        <f t="shared" si="4"/>
        <v>0.47712125471966244</v>
      </c>
      <c r="G49" s="14">
        <f t="shared" si="4"/>
        <v>2.1050330503935939</v>
      </c>
      <c r="H49" s="14">
        <f t="shared" si="4"/>
        <v>1.5029730590656314</v>
      </c>
      <c r="I49" s="3">
        <f t="shared" si="1"/>
        <v>457.01500577717081</v>
      </c>
      <c r="J49" s="3">
        <f t="shared" si="5"/>
        <v>0.3190732003038993</v>
      </c>
      <c r="K49" s="3">
        <f t="shared" si="6"/>
        <v>3.6469935734116686E-2</v>
      </c>
      <c r="L49" s="20" t="e">
        <f t="shared" si="2"/>
        <v>#VALUE!</v>
      </c>
      <c r="M49" s="15" t="e">
        <f t="shared" si="3"/>
        <v>#VALUE!</v>
      </c>
    </row>
    <row r="50" spans="1:13" ht="18.75" x14ac:dyDescent="0.25">
      <c r="A50" s="3"/>
      <c r="B50" s="3">
        <v>4</v>
      </c>
      <c r="C50" s="3">
        <f t="shared" si="8"/>
        <v>115.092</v>
      </c>
      <c r="D50" s="15">
        <v>28.773</v>
      </c>
      <c r="E50" s="9">
        <f t="shared" si="7"/>
        <v>30</v>
      </c>
      <c r="F50" s="14">
        <f t="shared" si="4"/>
        <v>0.6020599913279624</v>
      </c>
      <c r="G50" s="14">
        <f t="shared" si="4"/>
        <v>2.0610451370389753</v>
      </c>
      <c r="H50" s="14">
        <f t="shared" si="4"/>
        <v>1.4589851457110128</v>
      </c>
      <c r="I50" s="3">
        <f t="shared" si="1"/>
        <v>458.89767995713595</v>
      </c>
      <c r="J50" s="3">
        <f t="shared" si="5"/>
        <v>0.19353568737710747</v>
      </c>
      <c r="K50" s="3">
        <f t="shared" si="6"/>
        <v>5.5205706827676677E-2</v>
      </c>
      <c r="L50" s="20" t="e">
        <f t="shared" si="2"/>
        <v>#VALUE!</v>
      </c>
      <c r="M50" s="15" t="e">
        <f t="shared" si="3"/>
        <v>#VALUE!</v>
      </c>
    </row>
    <row r="51" spans="1:13" ht="18.75" x14ac:dyDescent="0.25">
      <c r="A51" s="3"/>
      <c r="B51" s="3">
        <v>6</v>
      </c>
      <c r="C51" s="3">
        <f t="shared" si="8"/>
        <v>14.884</v>
      </c>
      <c r="D51" s="15">
        <v>3.7210000000000001</v>
      </c>
      <c r="E51" s="9">
        <f t="shared" si="7"/>
        <v>31</v>
      </c>
      <c r="F51" s="14">
        <f t="shared" si="4"/>
        <v>0.77815125038364363</v>
      </c>
      <c r="G51" s="14">
        <f t="shared" si="4"/>
        <v>1.1727196613494966</v>
      </c>
      <c r="H51" s="14">
        <f t="shared" si="4"/>
        <v>0.57065967002153406</v>
      </c>
      <c r="I51" s="3">
        <f t="shared" si="1"/>
        <v>497.74603616146248</v>
      </c>
      <c r="J51" s="3">
        <f t="shared" si="5"/>
        <v>6.9609251449849779E-2</v>
      </c>
      <c r="K51" s="3">
        <f t="shared" si="6"/>
        <v>1.261767894507003</v>
      </c>
      <c r="L51" s="20" t="e">
        <f t="shared" si="2"/>
        <v>#VALUE!</v>
      </c>
      <c r="M51" s="15" t="e">
        <f t="shared" si="3"/>
        <v>#VALUE!</v>
      </c>
    </row>
    <row r="52" spans="1:13" ht="18.75" x14ac:dyDescent="0.25">
      <c r="A52" s="3"/>
      <c r="B52" s="3">
        <v>214</v>
      </c>
      <c r="C52" s="3">
        <f t="shared" si="8"/>
        <v>139.66800000000001</v>
      </c>
      <c r="D52" s="15">
        <v>34.917000000000002</v>
      </c>
      <c r="E52" s="9">
        <f t="shared" si="7"/>
        <v>32</v>
      </c>
      <c r="F52" s="14">
        <f t="shared" si="4"/>
        <v>2.330413773349191</v>
      </c>
      <c r="G52" s="14">
        <f t="shared" si="4"/>
        <v>2.1450969142362166</v>
      </c>
      <c r="H52" s="14">
        <f t="shared" si="4"/>
        <v>1.5430369229082543</v>
      </c>
      <c r="I52" s="3">
        <f t="shared" si="1"/>
        <v>455.30364759597728</v>
      </c>
      <c r="J52" s="3">
        <f t="shared" si="5"/>
        <v>1.6600438009295455</v>
      </c>
      <c r="K52" s="3">
        <f t="shared" si="6"/>
        <v>2.2772973931487278E-2</v>
      </c>
      <c r="L52" s="20" t="e">
        <f t="shared" si="2"/>
        <v>#VALUE!</v>
      </c>
      <c r="M52" s="15" t="e">
        <f t="shared" si="3"/>
        <v>#VALUE!</v>
      </c>
    </row>
    <row r="53" spans="1:13" ht="18.75" x14ac:dyDescent="0.25">
      <c r="A53" s="3"/>
      <c r="B53" s="3">
        <v>68</v>
      </c>
      <c r="C53" s="3">
        <f t="shared" si="8"/>
        <v>17.5</v>
      </c>
      <c r="D53" s="15">
        <v>4.375</v>
      </c>
      <c r="E53" s="9">
        <f t="shared" si="7"/>
        <v>33</v>
      </c>
      <c r="F53" s="14">
        <f t="shared" si="4"/>
        <v>1.8325089127062364</v>
      </c>
      <c r="G53" s="14">
        <f t="shared" si="4"/>
        <v>1.2430380486862944</v>
      </c>
      <c r="H53" s="14">
        <f t="shared" si="4"/>
        <v>0.64097805735833202</v>
      </c>
      <c r="I53" s="3">
        <f t="shared" si="1"/>
        <v>494.61334307668466</v>
      </c>
      <c r="J53" s="3">
        <f t="shared" si="5"/>
        <v>0.62492504825440476</v>
      </c>
      <c r="K53" s="3">
        <f t="shared" si="6"/>
        <v>1.10873747184085</v>
      </c>
      <c r="L53" s="20" t="e">
        <f t="shared" si="2"/>
        <v>#VALUE!</v>
      </c>
      <c r="M53" s="15" t="e">
        <f t="shared" si="3"/>
        <v>#VALUE!</v>
      </c>
    </row>
    <row r="54" spans="1:13" ht="18.75" x14ac:dyDescent="0.25">
      <c r="A54" s="3"/>
      <c r="B54" s="7">
        <v>1638</v>
      </c>
      <c r="C54" s="7">
        <v>165</v>
      </c>
      <c r="D54" s="21">
        <v>3.347</v>
      </c>
      <c r="E54" s="9">
        <f t="shared" si="7"/>
        <v>34</v>
      </c>
      <c r="F54" s="14">
        <f t="shared" si="4"/>
        <v>3.2143138974243999</v>
      </c>
      <c r="G54" s="14">
        <f t="shared" si="4"/>
        <v>2.2174839442139063</v>
      </c>
      <c r="H54" s="14">
        <f t="shared" si="4"/>
        <v>0.52465571235777708</v>
      </c>
      <c r="I54" s="3">
        <f t="shared" si="1"/>
        <v>499.80086960513131</v>
      </c>
      <c r="J54" s="3">
        <f t="shared" si="5"/>
        <v>4.7190045718712321</v>
      </c>
      <c r="K54" s="3">
        <f t="shared" si="6"/>
        <v>6.1654123756356653E-3</v>
      </c>
      <c r="L54" s="20" t="e">
        <f t="shared" si="2"/>
        <v>#VALUE!</v>
      </c>
      <c r="M54" s="15" t="e">
        <f t="shared" si="3"/>
        <v>#VALUE!</v>
      </c>
    </row>
    <row r="55" spans="1:13" ht="18.75" x14ac:dyDescent="0.25">
      <c r="A55" s="3"/>
      <c r="B55" s="3"/>
      <c r="C55" s="3"/>
      <c r="D55" s="16">
        <f>SUM(D21:D54)/34</f>
        <v>22.880882352941185</v>
      </c>
      <c r="E55" s="9"/>
      <c r="F55" s="15">
        <f>SUM(F21:F54)/34</f>
        <v>1.0419869027315585</v>
      </c>
      <c r="G55" s="15">
        <f>SUM(G21:G54)/34</f>
        <v>2.2960040841503306</v>
      </c>
      <c r="I55" s="18" t="e">
        <f>SUM(I21:I54)</f>
        <v>#VALUE!</v>
      </c>
      <c r="J55" s="18">
        <f t="shared" ref="J55:K55" si="9">SUM(J21:J54)</f>
        <v>10.855389583214675</v>
      </c>
      <c r="K55" s="18">
        <f t="shared" si="9"/>
        <v>7.5621737178503627</v>
      </c>
      <c r="L55" s="3"/>
      <c r="M55" s="3"/>
    </row>
    <row r="56" spans="1:13" x14ac:dyDescent="0.25">
      <c r="D56" s="17" t="s">
        <v>45</v>
      </c>
      <c r="F56" s="15" t="s">
        <v>48</v>
      </c>
      <c r="G56" s="15" t="s">
        <v>49</v>
      </c>
      <c r="I56" s="17" t="s">
        <v>53</v>
      </c>
      <c r="J56" s="17" t="s">
        <v>54</v>
      </c>
      <c r="K56" s="17" t="s">
        <v>55</v>
      </c>
    </row>
    <row r="57" spans="1:13" x14ac:dyDescent="0.25">
      <c r="I57" s="18" t="s">
        <v>44</v>
      </c>
    </row>
    <row r="58" spans="1:13" x14ac:dyDescent="0.25">
      <c r="I58" s="17" t="e">
        <f>SQRT(1/32*I55)</f>
        <v>#VALUE!</v>
      </c>
    </row>
    <row r="59" spans="1:13" ht="18.75" x14ac:dyDescent="0.3">
      <c r="I59" s="19" t="s">
        <v>56</v>
      </c>
    </row>
    <row r="60" spans="1:13" x14ac:dyDescent="0.25">
      <c r="I60" s="17">
        <f>_xlfn.T.INV.2T(0.025,32)</f>
        <v>2.3518351803763684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U81"/>
  <sheetViews>
    <sheetView topLeftCell="B19" workbookViewId="0">
      <selection activeCell="R23" sqref="R23"/>
    </sheetView>
  </sheetViews>
  <sheetFormatPr defaultRowHeight="15" x14ac:dyDescent="0.25"/>
  <cols>
    <col min="1" max="1" width="31.28515625" customWidth="1"/>
    <col min="2" max="2" width="33.28515625" customWidth="1"/>
    <col min="3" max="3" width="26.85546875" customWidth="1"/>
    <col min="9" max="9" width="9.7109375" bestFit="1" customWidth="1"/>
    <col min="15" max="15" width="19.42578125" customWidth="1"/>
    <col min="16" max="16" width="18.28515625" customWidth="1"/>
    <col min="17" max="17" width="23.5703125" customWidth="1"/>
    <col min="18" max="18" width="24.5703125" customWidth="1"/>
    <col min="19" max="19" width="17.7109375" customWidth="1"/>
    <col min="20" max="21" width="20.5703125" customWidth="1"/>
  </cols>
  <sheetData>
    <row r="1" spans="7:12" x14ac:dyDescent="0.25">
      <c r="G1" t="s">
        <v>152</v>
      </c>
    </row>
    <row r="2" spans="7:12" x14ac:dyDescent="0.25">
      <c r="G2" t="s">
        <v>22</v>
      </c>
    </row>
    <row r="3" spans="7:12" x14ac:dyDescent="0.25">
      <c r="G3" t="s">
        <v>1</v>
      </c>
    </row>
    <row r="4" spans="7:12" x14ac:dyDescent="0.25">
      <c r="G4" t="s">
        <v>2</v>
      </c>
    </row>
    <row r="14" spans="7:12" x14ac:dyDescent="0.25">
      <c r="H14" t="s">
        <v>155</v>
      </c>
      <c r="L14" s="3" t="s">
        <v>156</v>
      </c>
    </row>
    <row r="16" spans="7:12" x14ac:dyDescent="0.25">
      <c r="H16" s="31"/>
      <c r="I16" s="31"/>
    </row>
    <row r="17" spans="1:21" x14ac:dyDescent="0.25">
      <c r="H17" s="40" t="s">
        <v>154</v>
      </c>
      <c r="I17" s="41">
        <v>3.4786000000000001</v>
      </c>
      <c r="J17" s="42">
        <f>SUMXMY2(H23:H56,J23:J56)</f>
        <v>10213.559824999998</v>
      </c>
      <c r="K17" s="42"/>
      <c r="L17" s="42">
        <v>0.19500000000000001</v>
      </c>
      <c r="N17" t="s">
        <v>159</v>
      </c>
    </row>
    <row r="18" spans="1:21" x14ac:dyDescent="0.25">
      <c r="H18" s="40" t="s">
        <v>148</v>
      </c>
      <c r="I18" s="41">
        <v>-0.1</v>
      </c>
      <c r="J18" s="42"/>
      <c r="K18" s="42"/>
      <c r="L18" s="42">
        <v>0.35599999999999998</v>
      </c>
    </row>
    <row r="19" spans="1:21" x14ac:dyDescent="0.25">
      <c r="H19" s="40" t="s">
        <v>149</v>
      </c>
      <c r="I19" s="41">
        <v>-4.0000000000000001E-3</v>
      </c>
      <c r="J19" s="42"/>
      <c r="K19" s="42"/>
      <c r="L19" s="42">
        <v>0.28000000000000003</v>
      </c>
    </row>
    <row r="20" spans="1:21" x14ac:dyDescent="0.25">
      <c r="E20" t="s">
        <v>40</v>
      </c>
      <c r="F20" t="s">
        <v>41</v>
      </c>
    </row>
    <row r="21" spans="1:21" x14ac:dyDescent="0.25">
      <c r="B21" t="s">
        <v>5</v>
      </c>
      <c r="D21" t="s">
        <v>39</v>
      </c>
      <c r="J21" t="s">
        <v>137</v>
      </c>
      <c r="L21" t="s">
        <v>141</v>
      </c>
      <c r="M21" t="s">
        <v>142</v>
      </c>
      <c r="N21" t="s">
        <v>143</v>
      </c>
    </row>
    <row r="22" spans="1:21" ht="18.75" x14ac:dyDescent="0.25">
      <c r="A22">
        <v>1</v>
      </c>
      <c r="B22" s="24" t="s">
        <v>62</v>
      </c>
      <c r="C22" s="29">
        <v>560</v>
      </c>
      <c r="D22" s="24" t="s">
        <v>61</v>
      </c>
      <c r="H22" s="3" t="s">
        <v>153</v>
      </c>
      <c r="I22" s="3" t="s">
        <v>38</v>
      </c>
      <c r="J22" s="3" t="s">
        <v>7</v>
      </c>
      <c r="K22" s="3" t="s">
        <v>57</v>
      </c>
      <c r="L22" s="3" t="s">
        <v>138</v>
      </c>
      <c r="M22" s="3" t="s">
        <v>139</v>
      </c>
      <c r="N22" s="3" t="s">
        <v>140</v>
      </c>
      <c r="O22" s="3" t="s">
        <v>50</v>
      </c>
      <c r="P22" s="3" t="s">
        <v>51</v>
      </c>
      <c r="Q22" s="3" t="s">
        <v>52</v>
      </c>
      <c r="R22" s="3" t="s">
        <v>46</v>
      </c>
      <c r="S22" t="s">
        <v>47</v>
      </c>
      <c r="T22" t="s">
        <v>157</v>
      </c>
      <c r="U22" t="s">
        <v>158</v>
      </c>
    </row>
    <row r="23" spans="1:21" ht="18.75" x14ac:dyDescent="0.25">
      <c r="A23">
        <f>A22+1</f>
        <v>2</v>
      </c>
      <c r="B23" s="24" t="s">
        <v>64</v>
      </c>
      <c r="C23" s="29">
        <v>220</v>
      </c>
      <c r="D23" s="24" t="s">
        <v>63</v>
      </c>
      <c r="G23" s="8">
        <v>1</v>
      </c>
      <c r="H23" s="35">
        <v>3.03</v>
      </c>
      <c r="I23" s="36">
        <v>28</v>
      </c>
      <c r="J23" s="37">
        <v>7.6859999999999999</v>
      </c>
      <c r="K23" s="43">
        <f>$L$17+$L$18*H23+$L$19*I23</f>
        <v>9.1136800000000004</v>
      </c>
      <c r="L23" s="14">
        <f>LOG10(H23)</f>
        <v>0.48144262850230496</v>
      </c>
      <c r="M23" s="14">
        <f t="shared" ref="M23:N38" si="0">LOG10(I23)</f>
        <v>1.4471580313422192</v>
      </c>
      <c r="N23" s="14">
        <f t="shared" si="0"/>
        <v>0.88570038012832997</v>
      </c>
      <c r="O23" s="3">
        <f>POWER((N23-$J$55),2)</f>
        <v>0.46689837051676869</v>
      </c>
      <c r="P23" s="3">
        <f>POWER((L23-$F$55),2)</f>
        <v>0.23178700453920842</v>
      </c>
      <c r="Q23" s="3">
        <f>POWER((M23-$M$55),2)</f>
        <v>0.42181790087927679</v>
      </c>
      <c r="R23" s="20">
        <f>$J$57-$O$62*$O$60*SQRT(1/34+P23/$L$57)</f>
        <v>16.253385176225589</v>
      </c>
      <c r="S23">
        <f>$J$57+$O$62*$O$60*SQRT(1/34+P23/$L$57)</f>
        <v>17.677732470833231</v>
      </c>
      <c r="T23">
        <f>$J$57-$O$62*$O$60*SQRT(1+1/34+P23/$L$57)</f>
        <v>15.432861897617473</v>
      </c>
      <c r="U23">
        <f>$J$57+$O$62*$O$60*SQRT(1+1/34+P23/$L$57)</f>
        <v>18.498255749441348</v>
      </c>
    </row>
    <row r="24" spans="1:21" ht="18.75" x14ac:dyDescent="0.25">
      <c r="A24" s="3">
        <f t="shared" ref="A24:A55" si="1">A23+1</f>
        <v>3</v>
      </c>
      <c r="B24" s="24" t="s">
        <v>66</v>
      </c>
      <c r="C24" s="29">
        <v>340</v>
      </c>
      <c r="D24" s="24" t="s">
        <v>65</v>
      </c>
      <c r="G24" s="8">
        <f t="shared" ref="G24:G56" si="2">G23+1</f>
        <v>2</v>
      </c>
      <c r="H24" s="35">
        <v>3.04</v>
      </c>
      <c r="I24" s="36">
        <v>32</v>
      </c>
      <c r="J24" s="37">
        <v>7.7130000000000001</v>
      </c>
      <c r="K24" s="43">
        <f t="shared" ref="K24:K56" si="3">$L$17+$L$18*H24+$L$19*I24</f>
        <v>10.23724</v>
      </c>
      <c r="L24" s="14">
        <f t="shared" ref="L24:N56" si="4">LOG10(H24)</f>
        <v>0.48287358360875376</v>
      </c>
      <c r="M24" s="14">
        <f t="shared" si="0"/>
        <v>1.505149978319906</v>
      </c>
      <c r="N24" s="14">
        <f t="shared" si="0"/>
        <v>0.88722333136252307</v>
      </c>
      <c r="O24" s="3">
        <f t="shared" ref="O24:O56" si="5">POWER((N24-$J$55),2)</f>
        <v>0.46481942589841596</v>
      </c>
      <c r="P24" s="3">
        <f t="shared" ref="P24:P56" si="6">POWER((L24-$F$55),2)</f>
        <v>0.23316689774716012</v>
      </c>
      <c r="Q24" s="3">
        <f t="shared" ref="Q24:Q55" si="7">POWER((M24-$M$55),2)</f>
        <v>0.50050961750422207</v>
      </c>
      <c r="R24" s="20">
        <f t="shared" ref="R24:R32" si="8">$J$57-$O$62*$O$60*SQRT(1/34+P24/$L$57)</f>
        <v>16.251494236750052</v>
      </c>
      <c r="S24" s="3">
        <f t="shared" ref="S24:S56" si="9">$J$57+$O$62*$O$60*SQRT(1/34+P24/$L$57)</f>
        <v>17.679623410308768</v>
      </c>
      <c r="T24" s="3">
        <f t="shared" ref="T24:T56" si="10">$J$57-$O$62*$O$60*SQRT(1+1/34+P24/$L$57)</f>
        <v>15.431982351070912</v>
      </c>
      <c r="U24" s="3">
        <f t="shared" ref="U24:U56" si="11">$J$57+$O$62*$O$60*SQRT(1+1/34+P24/$L$57)</f>
        <v>18.499135295987905</v>
      </c>
    </row>
    <row r="25" spans="1:21" ht="18.75" x14ac:dyDescent="0.25">
      <c r="A25" s="3">
        <f t="shared" si="1"/>
        <v>4</v>
      </c>
      <c r="B25" s="24" t="s">
        <v>68</v>
      </c>
      <c r="C25" s="29">
        <v>80</v>
      </c>
      <c r="D25" s="24" t="s">
        <v>67</v>
      </c>
      <c r="G25" s="8">
        <f t="shared" si="2"/>
        <v>3</v>
      </c>
      <c r="H25" s="35">
        <v>4</v>
      </c>
      <c r="I25" s="36">
        <v>34</v>
      </c>
      <c r="J25" s="37">
        <v>10.289</v>
      </c>
      <c r="K25" s="43">
        <f t="shared" si="3"/>
        <v>11.139000000000001</v>
      </c>
      <c r="L25" s="14">
        <f t="shared" si="4"/>
        <v>0.6020599913279624</v>
      </c>
      <c r="M25" s="14">
        <f t="shared" si="0"/>
        <v>1.5314789170422551</v>
      </c>
      <c r="N25" s="14">
        <f t="shared" si="0"/>
        <v>1.0123731672224898</v>
      </c>
      <c r="O25" s="3">
        <f t="shared" si="5"/>
        <v>0.30983343096792221</v>
      </c>
      <c r="P25" s="3">
        <f t="shared" si="6"/>
        <v>0.36247623315782618</v>
      </c>
      <c r="Q25" s="3">
        <f t="shared" si="7"/>
        <v>0.53845654338625104</v>
      </c>
      <c r="R25" s="20">
        <f t="shared" si="8"/>
        <v>16.092279562517223</v>
      </c>
      <c r="S25" s="3">
        <f t="shared" si="9"/>
        <v>17.838838084541596</v>
      </c>
      <c r="T25" s="3">
        <f t="shared" si="10"/>
        <v>15.351686080559922</v>
      </c>
      <c r="U25" s="3">
        <f t="shared" si="11"/>
        <v>18.579431566498897</v>
      </c>
    </row>
    <row r="26" spans="1:21" ht="18.75" x14ac:dyDescent="0.25">
      <c r="A26" s="3">
        <f t="shared" si="1"/>
        <v>5</v>
      </c>
      <c r="B26" s="24" t="s">
        <v>70</v>
      </c>
      <c r="C26" s="29">
        <v>150</v>
      </c>
      <c r="D26" s="24" t="s">
        <v>69</v>
      </c>
      <c r="G26" s="8">
        <f t="shared" si="2"/>
        <v>4</v>
      </c>
      <c r="H26" s="35">
        <v>6.01</v>
      </c>
      <c r="I26" s="36">
        <v>80</v>
      </c>
      <c r="J26" s="37">
        <v>15.776999999999999</v>
      </c>
      <c r="K26" s="43">
        <f t="shared" si="3"/>
        <v>24.734560000000002</v>
      </c>
      <c r="L26" s="14">
        <f t="shared" si="4"/>
        <v>0.77887447200273952</v>
      </c>
      <c r="M26" s="14">
        <f t="shared" si="0"/>
        <v>1.9030899869919435</v>
      </c>
      <c r="N26" s="14">
        <f t="shared" si="0"/>
        <v>1.1980244255331198</v>
      </c>
      <c r="O26" s="3">
        <f t="shared" si="5"/>
        <v>0.13762287685103172</v>
      </c>
      <c r="P26" s="3">
        <f t="shared" si="6"/>
        <v>0.60664544313754631</v>
      </c>
      <c r="Q26" s="3">
        <f t="shared" si="7"/>
        <v>1.2219247507816617</v>
      </c>
      <c r="R26" s="20">
        <f t="shared" si="8"/>
        <v>15.852081024816918</v>
      </c>
      <c r="S26" s="3">
        <f t="shared" si="9"/>
        <v>18.079036622241901</v>
      </c>
      <c r="T26" s="3">
        <f t="shared" si="10"/>
        <v>15.210052807871392</v>
      </c>
      <c r="U26" s="3">
        <f t="shared" si="11"/>
        <v>18.721064839187427</v>
      </c>
    </row>
    <row r="27" spans="1:21" ht="18.75" x14ac:dyDescent="0.25">
      <c r="A27" s="3">
        <f t="shared" si="1"/>
        <v>6</v>
      </c>
      <c r="B27" s="24" t="s">
        <v>72</v>
      </c>
      <c r="C27" s="29">
        <v>330</v>
      </c>
      <c r="D27" s="24" t="s">
        <v>71</v>
      </c>
      <c r="G27" s="8">
        <f t="shared" si="2"/>
        <v>5</v>
      </c>
      <c r="H27" s="35">
        <v>6.0960000000000001</v>
      </c>
      <c r="I27" s="36">
        <v>65</v>
      </c>
      <c r="J27" s="37">
        <v>16.013999999999999</v>
      </c>
      <c r="K27" s="43">
        <f t="shared" si="3"/>
        <v>20.565176000000001</v>
      </c>
      <c r="L27" s="14">
        <f t="shared" si="4"/>
        <v>0.78504495833154408</v>
      </c>
      <c r="M27" s="14">
        <f t="shared" si="0"/>
        <v>1.8129133566428555</v>
      </c>
      <c r="N27" s="14">
        <f t="shared" si="0"/>
        <v>1.2044998241711513</v>
      </c>
      <c r="O27" s="3">
        <f t="shared" si="5"/>
        <v>0.13286037817926158</v>
      </c>
      <c r="P27" s="3">
        <f t="shared" si="6"/>
        <v>0.61629558660177575</v>
      </c>
      <c r="Q27" s="3">
        <f t="shared" si="7"/>
        <v>1.0306928092019243</v>
      </c>
      <c r="R27" s="20">
        <f t="shared" si="8"/>
        <v>15.843643712471716</v>
      </c>
      <c r="S27" s="3">
        <f t="shared" si="9"/>
        <v>18.087473934587102</v>
      </c>
      <c r="T27" s="3">
        <f t="shared" si="10"/>
        <v>15.204689129541388</v>
      </c>
      <c r="U27" s="3">
        <f t="shared" si="11"/>
        <v>18.72642851751743</v>
      </c>
    </row>
    <row r="28" spans="1:21" ht="18.75" x14ac:dyDescent="0.25">
      <c r="A28" s="3">
        <f t="shared" si="1"/>
        <v>7</v>
      </c>
      <c r="B28" s="24" t="s">
        <v>74</v>
      </c>
      <c r="C28" s="29">
        <v>110</v>
      </c>
      <c r="D28" s="24" t="s">
        <v>73</v>
      </c>
      <c r="G28" s="8">
        <f t="shared" si="2"/>
        <v>6</v>
      </c>
      <c r="H28" s="35">
        <v>1.9890000000000001</v>
      </c>
      <c r="I28" s="36">
        <v>23</v>
      </c>
      <c r="J28" s="37">
        <v>4.9409999999999998</v>
      </c>
      <c r="K28" s="43">
        <f t="shared" si="3"/>
        <v>7.3430840000000002</v>
      </c>
      <c r="L28" s="14">
        <f t="shared" si="4"/>
        <v>0.29863478312443559</v>
      </c>
      <c r="M28" s="14">
        <f t="shared" si="0"/>
        <v>1.3617278360175928</v>
      </c>
      <c r="N28" s="14">
        <f t="shared" si="0"/>
        <v>0.69381485388941677</v>
      </c>
      <c r="O28" s="3">
        <f t="shared" si="5"/>
        <v>0.76594903997260277</v>
      </c>
      <c r="P28" s="3">
        <f t="shared" si="6"/>
        <v>8.9182733691778676E-2</v>
      </c>
      <c r="Q28" s="3">
        <f t="shared" si="7"/>
        <v>0.31814665045994761</v>
      </c>
      <c r="R28" s="20">
        <f t="shared" si="8"/>
        <v>16.487564467935456</v>
      </c>
      <c r="S28" s="3">
        <f t="shared" si="9"/>
        <v>17.443553179123363</v>
      </c>
      <c r="T28" s="3">
        <f t="shared" si="10"/>
        <v>15.526653973733723</v>
      </c>
      <c r="U28" s="3">
        <f t="shared" si="11"/>
        <v>18.404463673325097</v>
      </c>
    </row>
    <row r="29" spans="1:21" ht="18.75" x14ac:dyDescent="0.25">
      <c r="A29" s="3">
        <f t="shared" si="1"/>
        <v>8</v>
      </c>
      <c r="B29" s="24" t="s">
        <v>76</v>
      </c>
      <c r="C29" s="29">
        <v>210</v>
      </c>
      <c r="D29" s="24" t="s">
        <v>75</v>
      </c>
      <c r="G29" s="8">
        <f t="shared" si="2"/>
        <v>7</v>
      </c>
      <c r="H29" s="35">
        <v>1.673</v>
      </c>
      <c r="I29" s="36">
        <v>11</v>
      </c>
      <c r="J29" s="37">
        <v>4.12</v>
      </c>
      <c r="K29" s="43">
        <f t="shared" si="3"/>
        <v>3.8705880000000001</v>
      </c>
      <c r="L29" s="14">
        <f t="shared" si="4"/>
        <v>0.22349594096239453</v>
      </c>
      <c r="M29" s="14">
        <f t="shared" si="0"/>
        <v>1.0413926851582251</v>
      </c>
      <c r="N29" s="14">
        <f t="shared" si="0"/>
        <v>0.61489721603313463</v>
      </c>
      <c r="O29" s="3">
        <f t="shared" si="5"/>
        <v>0.91031212237332293</v>
      </c>
      <c r="P29" s="3">
        <f t="shared" si="6"/>
        <v>4.9950435626666144E-2</v>
      </c>
      <c r="Q29" s="3">
        <f t="shared" si="7"/>
        <v>5.9394442363664375E-2</v>
      </c>
      <c r="R29" s="20">
        <f t="shared" si="8"/>
        <v>16.5759422186634</v>
      </c>
      <c r="S29" s="3">
        <f t="shared" si="9"/>
        <v>17.35517542839542</v>
      </c>
      <c r="T29" s="3">
        <f t="shared" si="10"/>
        <v>15.553549736599305</v>
      </c>
      <c r="U29" s="3">
        <f t="shared" si="11"/>
        <v>18.377567910459515</v>
      </c>
    </row>
    <row r="30" spans="1:21" ht="18.75" x14ac:dyDescent="0.25">
      <c r="A30" s="3">
        <f t="shared" si="1"/>
        <v>9</v>
      </c>
      <c r="B30" s="24" t="s">
        <v>78</v>
      </c>
      <c r="C30" s="29">
        <v>1460</v>
      </c>
      <c r="D30" s="24" t="s">
        <v>77</v>
      </c>
      <c r="G30" s="8">
        <f t="shared" si="2"/>
        <v>8</v>
      </c>
      <c r="H30" s="35">
        <v>6.94</v>
      </c>
      <c r="I30" s="36">
        <v>74</v>
      </c>
      <c r="J30" s="37">
        <v>18.350000000000001</v>
      </c>
      <c r="K30" s="43">
        <f t="shared" si="3"/>
        <v>23.385640000000002</v>
      </c>
      <c r="L30" s="14">
        <f t="shared" si="4"/>
        <v>0.84135947045485493</v>
      </c>
      <c r="M30" s="14">
        <f t="shared" si="0"/>
        <v>1.8692317197309762</v>
      </c>
      <c r="N30" s="14">
        <f t="shared" si="0"/>
        <v>1.2636360685881083</v>
      </c>
      <c r="O30" s="3">
        <f t="shared" si="5"/>
        <v>9.3247130607326478E-2</v>
      </c>
      <c r="P30" s="3">
        <f t="shared" si="6"/>
        <v>0.70788575852407387</v>
      </c>
      <c r="Q30" s="3">
        <f t="shared" si="7"/>
        <v>1.1482167982408116</v>
      </c>
      <c r="R30" s="20">
        <f t="shared" si="8"/>
        <v>15.766516794066943</v>
      </c>
      <c r="S30" s="3">
        <f t="shared" si="9"/>
        <v>18.164600852991875</v>
      </c>
      <c r="T30" s="3">
        <f t="shared" si="10"/>
        <v>15.154572807237914</v>
      </c>
      <c r="U30" s="3">
        <f t="shared" si="11"/>
        <v>18.776544839820907</v>
      </c>
    </row>
    <row r="31" spans="1:21" ht="18.75" x14ac:dyDescent="0.25">
      <c r="A31" s="3">
        <f t="shared" si="1"/>
        <v>10</v>
      </c>
      <c r="B31" s="24" t="s">
        <v>80</v>
      </c>
      <c r="C31" s="29">
        <v>605</v>
      </c>
      <c r="D31" s="24" t="s">
        <v>79</v>
      </c>
      <c r="G31" s="8">
        <f t="shared" si="2"/>
        <v>9</v>
      </c>
      <c r="H31" s="35">
        <v>3.0960000000000001</v>
      </c>
      <c r="I31" s="36">
        <v>1460</v>
      </c>
      <c r="J31" s="37">
        <v>7.8620000000000001</v>
      </c>
      <c r="K31" s="43">
        <f t="shared" si="3"/>
        <v>410.09717599999999</v>
      </c>
      <c r="L31" s="14">
        <f t="shared" si="4"/>
        <v>0.490800952010855</v>
      </c>
      <c r="M31" s="14">
        <f t="shared" si="0"/>
        <v>3.1643528557844371</v>
      </c>
      <c r="N31" s="14">
        <f t="shared" si="0"/>
        <v>0.89553303948407037</v>
      </c>
      <c r="O31" s="3">
        <f t="shared" si="5"/>
        <v>0.45355774690656464</v>
      </c>
      <c r="P31" s="3">
        <f t="shared" si="6"/>
        <v>0.24088557449476158</v>
      </c>
      <c r="Q31" s="3">
        <f t="shared" si="7"/>
        <v>5.6011265143486249</v>
      </c>
      <c r="R31" s="20">
        <f t="shared" si="8"/>
        <v>16.241007934975563</v>
      </c>
      <c r="S31" s="3">
        <f t="shared" si="9"/>
        <v>17.690109712083256</v>
      </c>
      <c r="T31" s="3">
        <f t="shared" si="10"/>
        <v>15.427071724821708</v>
      </c>
      <c r="U31" s="3">
        <f t="shared" si="11"/>
        <v>18.504045922237111</v>
      </c>
    </row>
    <row r="32" spans="1:21" ht="18.75" x14ac:dyDescent="0.25">
      <c r="A32" s="3">
        <f t="shared" si="1"/>
        <v>11</v>
      </c>
      <c r="B32" s="24" t="s">
        <v>82</v>
      </c>
      <c r="C32" s="29">
        <v>688</v>
      </c>
      <c r="D32" s="24" t="s">
        <v>81</v>
      </c>
      <c r="G32" s="8">
        <f t="shared" si="2"/>
        <v>10</v>
      </c>
      <c r="H32" s="35">
        <v>5.0110000000000001</v>
      </c>
      <c r="I32" s="36">
        <v>605</v>
      </c>
      <c r="J32" s="37">
        <v>13.036</v>
      </c>
      <c r="K32" s="43">
        <f t="shared" si="3"/>
        <v>171.378916</v>
      </c>
      <c r="L32" s="14">
        <f t="shared" si="4"/>
        <v>0.69992440274247669</v>
      </c>
      <c r="M32" s="14">
        <f t="shared" si="0"/>
        <v>2.781755374652469</v>
      </c>
      <c r="N32" s="14">
        <f t="shared" si="0"/>
        <v>1.1151443517931066</v>
      </c>
      <c r="O32" s="3">
        <f t="shared" si="5"/>
        <v>0.20598494940929937</v>
      </c>
      <c r="P32" s="3">
        <f t="shared" si="6"/>
        <v>0.48989416955441273</v>
      </c>
      <c r="Q32" s="3">
        <f t="shared" si="7"/>
        <v>3.9365434461261932</v>
      </c>
      <c r="R32" s="20">
        <f t="shared" si="8"/>
        <v>15.959751456578051</v>
      </c>
      <c r="S32" s="3">
        <f t="shared" si="9"/>
        <v>17.971366190480769</v>
      </c>
      <c r="T32" s="3">
        <f t="shared" si="10"/>
        <v>15.276293592075362</v>
      </c>
      <c r="U32" s="3">
        <f t="shared" si="11"/>
        <v>18.654824054983457</v>
      </c>
    </row>
    <row r="33" spans="1:21" ht="18.75" x14ac:dyDescent="0.25">
      <c r="A33" s="3">
        <f t="shared" si="1"/>
        <v>12</v>
      </c>
      <c r="B33" s="24" t="s">
        <v>84</v>
      </c>
      <c r="C33" s="29">
        <v>215</v>
      </c>
      <c r="D33" s="24" t="s">
        <v>83</v>
      </c>
      <c r="G33" s="8">
        <f t="shared" si="2"/>
        <v>11</v>
      </c>
      <c r="H33" s="35">
        <v>15.08</v>
      </c>
      <c r="I33" s="36">
        <v>688</v>
      </c>
      <c r="J33" s="37">
        <v>41.451000000000001</v>
      </c>
      <c r="K33" s="43">
        <f t="shared" si="3"/>
        <v>198.20348000000001</v>
      </c>
      <c r="L33" s="14">
        <f t="shared" si="4"/>
        <v>1.1784013415337553</v>
      </c>
      <c r="M33" s="14">
        <f t="shared" si="0"/>
        <v>2.8375884382355112</v>
      </c>
      <c r="N33" s="14">
        <f t="shared" si="0"/>
        <v>1.6175350123107366</v>
      </c>
      <c r="O33" s="3">
        <f t="shared" si="5"/>
        <v>2.3556474200033578E-3</v>
      </c>
      <c r="P33" s="3">
        <f t="shared" si="6"/>
        <v>1.3886297217285541</v>
      </c>
      <c r="Q33" s="3">
        <f t="shared" si="7"/>
        <v>4.1612144624777194</v>
      </c>
      <c r="R33" s="20">
        <f t="shared" ref="R33:R56" si="12">$J$57-$O$62*$O$60*SQRT(1/34+P33/$L$57)</f>
        <v>15.301773744153985</v>
      </c>
      <c r="S33" s="3">
        <f t="shared" si="9"/>
        <v>18.629343902904836</v>
      </c>
      <c r="T33" s="3">
        <f t="shared" si="10"/>
        <v>14.818432988107052</v>
      </c>
      <c r="U33" s="3">
        <f t="shared" si="11"/>
        <v>19.112684658951768</v>
      </c>
    </row>
    <row r="34" spans="1:21" ht="18.75" x14ac:dyDescent="0.25">
      <c r="A34" s="3">
        <f t="shared" si="1"/>
        <v>13</v>
      </c>
      <c r="B34" s="24" t="s">
        <v>86</v>
      </c>
      <c r="C34" s="29">
        <v>255</v>
      </c>
      <c r="D34" s="24" t="s">
        <v>85</v>
      </c>
      <c r="G34" s="8">
        <f t="shared" si="2"/>
        <v>12</v>
      </c>
      <c r="H34" s="35">
        <v>10.38</v>
      </c>
      <c r="I34" s="36">
        <v>215</v>
      </c>
      <c r="J34" s="37">
        <v>28.004000000000001</v>
      </c>
      <c r="K34" s="43">
        <f t="shared" si="3"/>
        <v>64.090280000000007</v>
      </c>
      <c r="L34" s="14">
        <f t="shared" si="4"/>
        <v>1.0161973535124391</v>
      </c>
      <c r="M34" s="14">
        <f t="shared" si="0"/>
        <v>2.3324384599156054</v>
      </c>
      <c r="N34" s="14">
        <f t="shared" si="0"/>
        <v>1.4472200689799082</v>
      </c>
      <c r="O34" s="3">
        <f t="shared" si="5"/>
        <v>1.483035159925831E-2</v>
      </c>
      <c r="P34" s="3">
        <f t="shared" si="6"/>
        <v>1.0326570612856851</v>
      </c>
      <c r="Q34" s="3">
        <f t="shared" si="7"/>
        <v>2.3554745215201938</v>
      </c>
      <c r="R34" s="20">
        <f t="shared" si="12"/>
        <v>15.525957987745857</v>
      </c>
      <c r="S34" s="3">
        <f t="shared" si="9"/>
        <v>18.405159659312964</v>
      </c>
      <c r="T34" s="3">
        <f t="shared" si="10"/>
        <v>14.98706972091232</v>
      </c>
      <c r="U34" s="3">
        <f t="shared" si="11"/>
        <v>18.944047926146499</v>
      </c>
    </row>
    <row r="35" spans="1:21" ht="18.75" x14ac:dyDescent="0.25">
      <c r="A35" s="3">
        <f t="shared" si="1"/>
        <v>14</v>
      </c>
      <c r="B35" s="24" t="s">
        <v>88</v>
      </c>
      <c r="C35" s="29">
        <v>462</v>
      </c>
      <c r="D35" s="24" t="s">
        <v>87</v>
      </c>
      <c r="G35" s="8">
        <f t="shared" si="2"/>
        <v>13</v>
      </c>
      <c r="H35" s="35">
        <v>4.0069999999999997</v>
      </c>
      <c r="I35" s="36">
        <v>255</v>
      </c>
      <c r="J35" s="37">
        <v>10.308</v>
      </c>
      <c r="K35" s="43">
        <f t="shared" si="3"/>
        <v>73.021492000000009</v>
      </c>
      <c r="L35" s="14">
        <f t="shared" si="4"/>
        <v>0.60281934243269975</v>
      </c>
      <c r="M35" s="14">
        <f t="shared" si="0"/>
        <v>2.406540180433955</v>
      </c>
      <c r="N35" s="14">
        <f t="shared" si="0"/>
        <v>1.0131744098788671</v>
      </c>
      <c r="O35" s="3">
        <f t="shared" si="5"/>
        <v>0.30894208663350559</v>
      </c>
      <c r="P35" s="3">
        <f t="shared" si="6"/>
        <v>0.3633911596109925</v>
      </c>
      <c r="Q35" s="3">
        <f t="shared" si="7"/>
        <v>2.5884216364591639</v>
      </c>
      <c r="R35" s="20">
        <f t="shared" si="12"/>
        <v>16.091256333354124</v>
      </c>
      <c r="S35" s="3">
        <f t="shared" si="9"/>
        <v>17.839861313704695</v>
      </c>
      <c r="T35" s="3">
        <f t="shared" si="10"/>
        <v>15.351132173875552</v>
      </c>
      <c r="U35" s="3">
        <f t="shared" si="11"/>
        <v>18.579985473183267</v>
      </c>
    </row>
    <row r="36" spans="1:21" ht="18.75" x14ac:dyDescent="0.25">
      <c r="A36" s="3">
        <f t="shared" si="1"/>
        <v>15</v>
      </c>
      <c r="B36" s="24" t="s">
        <v>84</v>
      </c>
      <c r="C36" s="29">
        <v>448</v>
      </c>
      <c r="D36" s="24" t="s">
        <v>83</v>
      </c>
      <c r="G36" s="8">
        <f t="shared" si="2"/>
        <v>14</v>
      </c>
      <c r="H36" s="35">
        <v>6.0229999999999997</v>
      </c>
      <c r="I36" s="36">
        <v>462</v>
      </c>
      <c r="J36" s="37">
        <v>15.813000000000001</v>
      </c>
      <c r="K36" s="43">
        <f t="shared" si="3"/>
        <v>131.69918800000002</v>
      </c>
      <c r="L36" s="14">
        <f t="shared" si="4"/>
        <v>0.77981286317058041</v>
      </c>
      <c r="M36" s="14">
        <f t="shared" si="0"/>
        <v>2.6646419755561257</v>
      </c>
      <c r="N36" s="14">
        <f t="shared" si="0"/>
        <v>1.1990142709346199</v>
      </c>
      <c r="O36" s="3">
        <f t="shared" si="5"/>
        <v>0.13688943971204084</v>
      </c>
      <c r="P36" s="3">
        <f t="shared" si="6"/>
        <v>0.60810810156629835</v>
      </c>
      <c r="Q36" s="3">
        <f t="shared" si="7"/>
        <v>3.4855360594320093</v>
      </c>
      <c r="R36" s="20">
        <f t="shared" si="12"/>
        <v>15.850798087423371</v>
      </c>
      <c r="S36" s="3">
        <f t="shared" si="9"/>
        <v>18.080319559635448</v>
      </c>
      <c r="T36" s="3">
        <f t="shared" si="10"/>
        <v>15.209238789609181</v>
      </c>
      <c r="U36" s="3">
        <f t="shared" si="11"/>
        <v>18.721878857449639</v>
      </c>
    </row>
    <row r="37" spans="1:21" ht="18.75" x14ac:dyDescent="0.25">
      <c r="A37" s="3">
        <f t="shared" si="1"/>
        <v>16</v>
      </c>
      <c r="B37" s="24" t="s">
        <v>100</v>
      </c>
      <c r="C37" s="29">
        <v>776</v>
      </c>
      <c r="D37" s="24" t="s">
        <v>99</v>
      </c>
      <c r="G37" s="8">
        <f t="shared" si="2"/>
        <v>15</v>
      </c>
      <c r="H37" s="35">
        <v>10.38</v>
      </c>
      <c r="I37" s="36">
        <v>448</v>
      </c>
      <c r="J37" s="37">
        <v>28.004000000000001</v>
      </c>
      <c r="K37" s="43">
        <f t="shared" si="3"/>
        <v>129.33028000000002</v>
      </c>
      <c r="L37" s="14">
        <f t="shared" si="4"/>
        <v>1.0161973535124391</v>
      </c>
      <c r="M37" s="14">
        <f t="shared" si="0"/>
        <v>2.651278013998144</v>
      </c>
      <c r="N37" s="14">
        <f t="shared" si="0"/>
        <v>1.4472200689799082</v>
      </c>
      <c r="O37" s="3">
        <f t="shared" si="5"/>
        <v>1.483035159925831E-2</v>
      </c>
      <c r="P37" s="3">
        <f t="shared" si="6"/>
        <v>1.0326570612856851</v>
      </c>
      <c r="Q37" s="3">
        <f t="shared" si="7"/>
        <v>3.4358147172016209</v>
      </c>
      <c r="R37" s="20">
        <f t="shared" si="12"/>
        <v>15.525957987745857</v>
      </c>
      <c r="S37" s="3">
        <f t="shared" si="9"/>
        <v>18.405159659312964</v>
      </c>
      <c r="T37" s="3">
        <f t="shared" si="10"/>
        <v>14.98706972091232</v>
      </c>
      <c r="U37" s="3">
        <f t="shared" si="11"/>
        <v>18.944047926146499</v>
      </c>
    </row>
    <row r="38" spans="1:21" ht="18.75" x14ac:dyDescent="0.25">
      <c r="A38" s="3">
        <f t="shared" si="1"/>
        <v>17</v>
      </c>
      <c r="B38" s="24" t="s">
        <v>102</v>
      </c>
      <c r="C38" s="29">
        <v>200</v>
      </c>
      <c r="D38" s="24" t="s">
        <v>101</v>
      </c>
      <c r="G38" s="8">
        <f t="shared" si="2"/>
        <v>16</v>
      </c>
      <c r="H38" s="35">
        <v>6.125</v>
      </c>
      <c r="I38" s="36">
        <v>776</v>
      </c>
      <c r="J38" s="37">
        <v>16.094000000000001</v>
      </c>
      <c r="K38" s="43">
        <f t="shared" si="3"/>
        <v>219.65550000000002</v>
      </c>
      <c r="L38" s="14">
        <f t="shared" si="4"/>
        <v>0.78710609303657009</v>
      </c>
      <c r="M38" s="14">
        <f t="shared" si="0"/>
        <v>2.8898617212581885</v>
      </c>
      <c r="N38" s="14">
        <f t="shared" si="0"/>
        <v>1.2066639969909361</v>
      </c>
      <c r="O38" s="3">
        <f t="shared" si="5"/>
        <v>0.13128737907658436</v>
      </c>
      <c r="P38" s="3">
        <f t="shared" si="6"/>
        <v>0.61953600169529377</v>
      </c>
      <c r="Q38" s="3">
        <f t="shared" si="7"/>
        <v>4.3772120740248806</v>
      </c>
      <c r="R38" s="20">
        <f t="shared" si="12"/>
        <v>15.840824747952819</v>
      </c>
      <c r="S38" s="3">
        <f t="shared" si="9"/>
        <v>18.090292899106</v>
      </c>
      <c r="T38" s="3">
        <f t="shared" si="10"/>
        <v>15.202891724060823</v>
      </c>
      <c r="U38" s="3">
        <f t="shared" si="11"/>
        <v>18.728225922997996</v>
      </c>
    </row>
    <row r="39" spans="1:21" ht="18.75" x14ac:dyDescent="0.25">
      <c r="A39" s="3">
        <f t="shared" si="1"/>
        <v>18</v>
      </c>
      <c r="B39" s="24" t="s">
        <v>104</v>
      </c>
      <c r="C39" s="29">
        <v>132</v>
      </c>
      <c r="D39" s="24" t="s">
        <v>103</v>
      </c>
      <c r="G39" s="8">
        <f t="shared" si="2"/>
        <v>17</v>
      </c>
      <c r="H39" s="35">
        <v>6.9980000000000002</v>
      </c>
      <c r="I39" s="36">
        <v>200</v>
      </c>
      <c r="J39" s="37">
        <v>18.510999999999999</v>
      </c>
      <c r="K39" s="43">
        <f t="shared" si="3"/>
        <v>58.686288000000005</v>
      </c>
      <c r="L39" s="14">
        <f t="shared" si="4"/>
        <v>0.8449739381468877</v>
      </c>
      <c r="M39" s="14">
        <f t="shared" si="4"/>
        <v>2.3010299956639813</v>
      </c>
      <c r="N39" s="14">
        <f t="shared" si="4"/>
        <v>1.267429880814005</v>
      </c>
      <c r="O39" s="3">
        <f t="shared" si="5"/>
        <v>9.0944536785855207E-2</v>
      </c>
      <c r="P39" s="3">
        <f t="shared" si="6"/>
        <v>0.71398095614746038</v>
      </c>
      <c r="Q39" s="3">
        <f t="shared" si="7"/>
        <v>2.2600523850629046</v>
      </c>
      <c r="R39" s="20">
        <f t="shared" si="12"/>
        <v>15.761559430619295</v>
      </c>
      <c r="S39" s="3">
        <f t="shared" si="9"/>
        <v>18.169558216439526</v>
      </c>
      <c r="T39" s="3">
        <f t="shared" si="10"/>
        <v>15.151286765398712</v>
      </c>
      <c r="U39" s="3">
        <f t="shared" si="11"/>
        <v>18.779830881660107</v>
      </c>
    </row>
    <row r="40" spans="1:21" ht="18.75" x14ac:dyDescent="0.25">
      <c r="A40" s="3">
        <f t="shared" si="1"/>
        <v>19</v>
      </c>
      <c r="B40" s="24" t="s">
        <v>106</v>
      </c>
      <c r="C40" s="29">
        <v>36</v>
      </c>
      <c r="D40" s="24" t="s">
        <v>105</v>
      </c>
      <c r="G40" s="8">
        <f t="shared" si="2"/>
        <v>18</v>
      </c>
      <c r="H40" s="35">
        <v>2.9860000000000002</v>
      </c>
      <c r="I40" s="36">
        <v>132</v>
      </c>
      <c r="J40" s="37">
        <v>7.569</v>
      </c>
      <c r="K40" s="43">
        <f t="shared" si="3"/>
        <v>38.218015999999999</v>
      </c>
      <c r="L40" s="14">
        <f t="shared" si="4"/>
        <v>0.47508980338900664</v>
      </c>
      <c r="M40" s="14">
        <f t="shared" si="4"/>
        <v>2.12057393120585</v>
      </c>
      <c r="N40" s="14">
        <f t="shared" si="4"/>
        <v>0.87903850523723703</v>
      </c>
      <c r="O40" s="3">
        <f t="shared" si="5"/>
        <v>0.4760468642552661</v>
      </c>
      <c r="P40" s="3">
        <f t="shared" si="6"/>
        <v>0.22571032128420498</v>
      </c>
      <c r="Q40" s="3">
        <f t="shared" si="7"/>
        <v>1.7500405880676648</v>
      </c>
      <c r="R40" s="20">
        <f t="shared" si="12"/>
        <v>16.261772819418319</v>
      </c>
      <c r="S40" s="3">
        <f t="shared" si="9"/>
        <v>17.669344827640501</v>
      </c>
      <c r="T40" s="3">
        <f t="shared" si="10"/>
        <v>15.436741207733292</v>
      </c>
      <c r="U40" s="3">
        <f t="shared" si="11"/>
        <v>18.494376439325528</v>
      </c>
    </row>
    <row r="41" spans="1:21" ht="18.75" x14ac:dyDescent="0.25">
      <c r="A41" s="3">
        <f t="shared" si="1"/>
        <v>20</v>
      </c>
      <c r="B41" s="24" t="s">
        <v>108</v>
      </c>
      <c r="C41" s="29">
        <v>770</v>
      </c>
      <c r="D41" s="24" t="s">
        <v>107</v>
      </c>
      <c r="G41" s="8">
        <f t="shared" si="2"/>
        <v>19</v>
      </c>
      <c r="H41" s="35">
        <v>17.024999999999999</v>
      </c>
      <c r="I41" s="36">
        <v>36</v>
      </c>
      <c r="J41" s="37">
        <v>47.082000000000001</v>
      </c>
      <c r="K41" s="43">
        <f t="shared" si="3"/>
        <v>16.335900000000002</v>
      </c>
      <c r="L41" s="14">
        <f t="shared" si="4"/>
        <v>1.2310871205848228</v>
      </c>
      <c r="M41" s="14">
        <f t="shared" si="4"/>
        <v>1.5563025007672873</v>
      </c>
      <c r="N41" s="14">
        <f t="shared" si="4"/>
        <v>1.6728549029928736</v>
      </c>
      <c r="O41" s="3">
        <f t="shared" si="5"/>
        <v>1.0785840875659206E-2</v>
      </c>
      <c r="P41" s="3">
        <f t="shared" si="6"/>
        <v>1.5155754984698302</v>
      </c>
      <c r="Q41" s="3">
        <f t="shared" si="7"/>
        <v>0.57550364569406598</v>
      </c>
      <c r="R41" s="20">
        <f t="shared" si="12"/>
        <v>15.228811930532959</v>
      </c>
      <c r="S41" s="3">
        <f t="shared" si="9"/>
        <v>18.70230571652586</v>
      </c>
      <c r="T41" s="3">
        <f t="shared" si="10"/>
        <v>14.761413108491791</v>
      </c>
      <c r="U41" s="3">
        <f t="shared" si="11"/>
        <v>19.169704538567029</v>
      </c>
    </row>
    <row r="42" spans="1:21" ht="18.75" x14ac:dyDescent="0.25">
      <c r="A42" s="3">
        <f t="shared" si="1"/>
        <v>21</v>
      </c>
      <c r="B42" s="24" t="s">
        <v>110</v>
      </c>
      <c r="C42" s="29">
        <v>140</v>
      </c>
      <c r="D42" s="24" t="s">
        <v>109</v>
      </c>
      <c r="G42" s="8">
        <f t="shared" si="2"/>
        <v>20</v>
      </c>
      <c r="H42" s="35">
        <v>10.205</v>
      </c>
      <c r="I42" s="36">
        <v>770</v>
      </c>
      <c r="J42" s="37">
        <v>27.507999999999999</v>
      </c>
      <c r="K42" s="43">
        <f t="shared" si="3"/>
        <v>219.42798000000002</v>
      </c>
      <c r="L42" s="14">
        <f t="shared" si="4"/>
        <v>1.0088130090520893</v>
      </c>
      <c r="M42" s="14">
        <f t="shared" si="4"/>
        <v>2.8864907251724818</v>
      </c>
      <c r="N42" s="14">
        <f t="shared" si="4"/>
        <v>1.4394590156699849</v>
      </c>
      <c r="O42" s="3">
        <f t="shared" si="5"/>
        <v>1.6780866621189203E-2</v>
      </c>
      <c r="P42" s="3">
        <f t="shared" si="6"/>
        <v>1.0177036872327307</v>
      </c>
      <c r="Q42" s="3">
        <f t="shared" si="7"/>
        <v>4.3631179846407671</v>
      </c>
      <c r="R42" s="20">
        <f t="shared" si="12"/>
        <v>15.536144619301403</v>
      </c>
      <c r="S42" s="3">
        <f t="shared" si="9"/>
        <v>18.394973027757416</v>
      </c>
      <c r="T42" s="3">
        <f t="shared" si="10"/>
        <v>14.994469396325595</v>
      </c>
      <c r="U42" s="3">
        <f t="shared" si="11"/>
        <v>18.936648250733224</v>
      </c>
    </row>
    <row r="43" spans="1:21" ht="18.75" x14ac:dyDescent="0.25">
      <c r="A43" s="3">
        <f t="shared" si="1"/>
        <v>22</v>
      </c>
      <c r="B43" s="24" t="s">
        <v>112</v>
      </c>
      <c r="C43" s="29">
        <v>810</v>
      </c>
      <c r="D43" s="24" t="s">
        <v>111</v>
      </c>
      <c r="G43" s="8">
        <f t="shared" si="2"/>
        <v>21</v>
      </c>
      <c r="H43" s="35">
        <v>25.588999999999999</v>
      </c>
      <c r="I43" s="36">
        <v>140</v>
      </c>
      <c r="J43" s="37">
        <v>72.221999999999994</v>
      </c>
      <c r="K43" s="43">
        <f t="shared" si="3"/>
        <v>48.504684000000005</v>
      </c>
      <c r="L43" s="14">
        <f t="shared" si="4"/>
        <v>1.4080533142979805</v>
      </c>
      <c r="M43" s="14">
        <f t="shared" si="4"/>
        <v>2.1461280356782382</v>
      </c>
      <c r="N43" s="14">
        <f t="shared" si="4"/>
        <v>1.8586695109107614</v>
      </c>
      <c r="O43" s="3">
        <f t="shared" si="5"/>
        <v>8.3908425551279739E-2</v>
      </c>
      <c r="P43" s="3">
        <f t="shared" si="6"/>
        <v>1.9826141359055276</v>
      </c>
      <c r="Q43" s="3">
        <f t="shared" si="7"/>
        <v>1.8183041897726517</v>
      </c>
      <c r="R43" s="20">
        <f t="shared" si="12"/>
        <v>14.983364906717117</v>
      </c>
      <c r="S43" s="3">
        <f t="shared" si="9"/>
        <v>18.947752740341702</v>
      </c>
      <c r="T43" s="3">
        <f t="shared" si="10"/>
        <v>14.563255494090445</v>
      </c>
      <c r="U43" s="3">
        <f t="shared" si="11"/>
        <v>19.367862152968375</v>
      </c>
    </row>
    <row r="44" spans="1:21" ht="18.75" x14ac:dyDescent="0.25">
      <c r="A44" s="3">
        <f t="shared" si="1"/>
        <v>23</v>
      </c>
      <c r="B44" s="24" t="s">
        <v>114</v>
      </c>
      <c r="C44" s="29">
        <v>450</v>
      </c>
      <c r="D44" s="24" t="s">
        <v>113</v>
      </c>
      <c r="G44" s="8">
        <f t="shared" si="2"/>
        <v>22</v>
      </c>
      <c r="H44" s="35">
        <v>8.798</v>
      </c>
      <c r="I44" s="36">
        <v>810</v>
      </c>
      <c r="J44" s="37">
        <v>23.54</v>
      </c>
      <c r="K44" s="43">
        <f t="shared" si="3"/>
        <v>230.12708800000001</v>
      </c>
      <c r="L44" s="14">
        <f t="shared" si="4"/>
        <v>0.94438395764084415</v>
      </c>
      <c r="M44" s="14">
        <f t="shared" si="4"/>
        <v>2.90848501887865</v>
      </c>
      <c r="N44" s="14">
        <f t="shared" si="4"/>
        <v>1.3718064585074159</v>
      </c>
      <c r="O44" s="3">
        <f t="shared" si="5"/>
        <v>3.8885292806387473E-2</v>
      </c>
      <c r="P44" s="3">
        <f t="shared" si="6"/>
        <v>0.89186105944938376</v>
      </c>
      <c r="Q44" s="3">
        <f t="shared" si="7"/>
        <v>4.4554854376657147</v>
      </c>
      <c r="R44" s="20">
        <f t="shared" si="12"/>
        <v>15.624935075019525</v>
      </c>
      <c r="S44" s="3">
        <f t="shared" si="9"/>
        <v>18.306182572039294</v>
      </c>
      <c r="T44" s="3">
        <f t="shared" si="10"/>
        <v>15.057879448515212</v>
      </c>
      <c r="U44" s="3">
        <f t="shared" si="11"/>
        <v>18.873238198543607</v>
      </c>
    </row>
    <row r="45" spans="1:21" ht="18.75" x14ac:dyDescent="0.25">
      <c r="A45" s="3">
        <f t="shared" si="1"/>
        <v>24</v>
      </c>
      <c r="B45" s="24" t="s">
        <v>116</v>
      </c>
      <c r="C45" s="29">
        <v>635</v>
      </c>
      <c r="D45" s="24" t="s">
        <v>115</v>
      </c>
      <c r="G45" s="8">
        <f t="shared" si="2"/>
        <v>23</v>
      </c>
      <c r="H45" s="35">
        <v>8.0069999999999997</v>
      </c>
      <c r="I45" s="36">
        <v>450</v>
      </c>
      <c r="J45" s="37">
        <v>21.323</v>
      </c>
      <c r="K45" s="43">
        <f t="shared" si="3"/>
        <v>129.04549200000002</v>
      </c>
      <c r="L45" s="14">
        <f t="shared" si="4"/>
        <v>0.90346982850717006</v>
      </c>
      <c r="M45" s="14">
        <f t="shared" si="4"/>
        <v>2.6532125137753435</v>
      </c>
      <c r="N45" s="14">
        <f t="shared" si="4"/>
        <v>1.3288483069111963</v>
      </c>
      <c r="O45" s="3">
        <f t="shared" si="5"/>
        <v>5.767283569341896E-2</v>
      </c>
      <c r="P45" s="3">
        <f t="shared" si="6"/>
        <v>0.81625773102277532</v>
      </c>
      <c r="Q45" s="3">
        <f t="shared" si="7"/>
        <v>3.4429900180260185</v>
      </c>
      <c r="R45" s="20">
        <f t="shared" si="12"/>
        <v>15.681226613784265</v>
      </c>
      <c r="S45" s="3">
        <f t="shared" si="9"/>
        <v>18.249891033274555</v>
      </c>
      <c r="T45" s="3">
        <f t="shared" si="10"/>
        <v>15.097009175333056</v>
      </c>
      <c r="U45" s="3">
        <f t="shared" si="11"/>
        <v>18.834108471725763</v>
      </c>
    </row>
    <row r="46" spans="1:21" ht="18.75" x14ac:dyDescent="0.25">
      <c r="A46" s="3">
        <f t="shared" si="1"/>
        <v>25</v>
      </c>
      <c r="B46" s="24" t="s">
        <v>117</v>
      </c>
      <c r="C46" s="29">
        <v>150</v>
      </c>
      <c r="D46" s="24" t="s">
        <v>118</v>
      </c>
      <c r="G46" s="8">
        <f t="shared" si="2"/>
        <v>24</v>
      </c>
      <c r="H46" s="35">
        <v>4.0220000000000002</v>
      </c>
      <c r="I46" s="36">
        <v>635</v>
      </c>
      <c r="J46" s="37">
        <v>10.348000000000001</v>
      </c>
      <c r="K46" s="43">
        <f t="shared" si="3"/>
        <v>179.42683200000002</v>
      </c>
      <c r="L46" s="14">
        <f t="shared" si="4"/>
        <v>0.60444206626072317</v>
      </c>
      <c r="M46" s="14">
        <f t="shared" si="4"/>
        <v>2.8027737252919755</v>
      </c>
      <c r="N46" s="14">
        <f t="shared" si="4"/>
        <v>1.0148564200445058</v>
      </c>
      <c r="O46" s="3">
        <f t="shared" si="5"/>
        <v>0.3070751072058911</v>
      </c>
      <c r="P46" s="3">
        <f t="shared" si="6"/>
        <v>0.36535021146553243</v>
      </c>
      <c r="Q46" s="3">
        <f t="shared" si="7"/>
        <v>4.0203890776549702</v>
      </c>
      <c r="R46" s="20">
        <f t="shared" si="12"/>
        <v>16.08906939961166</v>
      </c>
      <c r="S46" s="3">
        <f t="shared" si="9"/>
        <v>17.84204824744716</v>
      </c>
      <c r="T46" s="3">
        <f t="shared" si="10"/>
        <v>15.349946780672109</v>
      </c>
      <c r="U46" s="3">
        <f t="shared" si="11"/>
        <v>18.58117086638671</v>
      </c>
    </row>
    <row r="47" spans="1:21" ht="18.75" x14ac:dyDescent="0.25">
      <c r="A47" s="3">
        <f t="shared" si="1"/>
        <v>26</v>
      </c>
      <c r="B47" s="24" t="s">
        <v>119</v>
      </c>
      <c r="D47" s="24" t="s">
        <v>120</v>
      </c>
      <c r="G47" s="8">
        <f t="shared" si="2"/>
        <v>25</v>
      </c>
      <c r="H47" s="35">
        <v>15.714</v>
      </c>
      <c r="I47" s="36">
        <v>150</v>
      </c>
      <c r="J47" s="37">
        <v>5.9870000000000001</v>
      </c>
      <c r="K47" s="43">
        <f t="shared" si="3"/>
        <v>47.789184000000006</v>
      </c>
      <c r="L47" s="14">
        <f t="shared" si="4"/>
        <v>1.1962867488088758</v>
      </c>
      <c r="M47" s="14">
        <f t="shared" si="4"/>
        <v>2.1760912590556813</v>
      </c>
      <c r="N47" s="14">
        <f t="shared" si="4"/>
        <v>0.77720925814568487</v>
      </c>
      <c r="O47" s="3">
        <f t="shared" si="5"/>
        <v>0.62693257888620668</v>
      </c>
      <c r="P47" s="3">
        <f t="shared" si="6"/>
        <v>1.4311019853757101</v>
      </c>
      <c r="Q47" s="3">
        <f t="shared" si="7"/>
        <v>1.9000095080605999</v>
      </c>
      <c r="R47" s="20">
        <f t="shared" si="12"/>
        <v>15.277011921207427</v>
      </c>
      <c r="S47" s="3">
        <f t="shared" si="9"/>
        <v>18.654105725851391</v>
      </c>
      <c r="T47" s="3">
        <f t="shared" si="10"/>
        <v>14.799188771085221</v>
      </c>
      <c r="U47" s="3">
        <f t="shared" si="11"/>
        <v>19.1319288759736</v>
      </c>
    </row>
    <row r="48" spans="1:21" ht="18.75" x14ac:dyDescent="0.25">
      <c r="A48" s="3">
        <f t="shared" si="1"/>
        <v>27</v>
      </c>
      <c r="B48" s="24" t="s">
        <v>121</v>
      </c>
      <c r="D48" s="24" t="s">
        <v>122</v>
      </c>
      <c r="G48" s="8">
        <f t="shared" si="2"/>
        <v>26</v>
      </c>
      <c r="H48" s="35">
        <v>27.678000000000001</v>
      </c>
      <c r="I48" s="38">
        <f t="shared" ref="I48:I55" si="13">J48*4</f>
        <v>41.06</v>
      </c>
      <c r="J48" s="37">
        <v>10.265000000000001</v>
      </c>
      <c r="K48" s="43">
        <f t="shared" si="3"/>
        <v>21.545168000000004</v>
      </c>
      <c r="L48" s="14">
        <f t="shared" si="4"/>
        <v>1.4421347049919104</v>
      </c>
      <c r="M48" s="14">
        <f t="shared" si="4"/>
        <v>1.6134189450345731</v>
      </c>
      <c r="N48" s="14">
        <f t="shared" si="4"/>
        <v>1.0113589537066108</v>
      </c>
      <c r="O48" s="3">
        <f t="shared" si="5"/>
        <v>0.3109635365111858</v>
      </c>
      <c r="P48" s="3">
        <f t="shared" si="6"/>
        <v>2.0797525073421044</v>
      </c>
      <c r="Q48" s="3">
        <f t="shared" si="7"/>
        <v>0.66542523820596489</v>
      </c>
      <c r="R48" s="20">
        <f t="shared" si="12"/>
        <v>14.936040490048565</v>
      </c>
      <c r="S48" s="3">
        <f t="shared" si="9"/>
        <v>18.995077157010254</v>
      </c>
      <c r="T48" s="3">
        <f t="shared" si="10"/>
        <v>14.524060671017159</v>
      </c>
      <c r="U48" s="3">
        <f t="shared" si="11"/>
        <v>19.407056976041659</v>
      </c>
    </row>
    <row r="49" spans="1:21" ht="18.75" x14ac:dyDescent="0.25">
      <c r="A49" s="3">
        <f t="shared" si="1"/>
        <v>28</v>
      </c>
      <c r="B49" s="24" t="s">
        <v>123</v>
      </c>
      <c r="D49" s="24" t="s">
        <v>124</v>
      </c>
      <c r="G49" s="8">
        <f t="shared" si="2"/>
        <v>27</v>
      </c>
      <c r="H49" s="35">
        <v>14.619</v>
      </c>
      <c r="I49" s="38">
        <f t="shared" si="13"/>
        <v>22.356000000000002</v>
      </c>
      <c r="J49" s="37">
        <v>5.5890000000000004</v>
      </c>
      <c r="K49" s="43">
        <f t="shared" si="3"/>
        <v>11.659044000000002</v>
      </c>
      <c r="L49" s="14">
        <f t="shared" si="4"/>
        <v>1.164917666100957</v>
      </c>
      <c r="M49" s="14">
        <f t="shared" si="4"/>
        <v>1.3493941009438675</v>
      </c>
      <c r="N49" s="14">
        <f t="shared" si="4"/>
        <v>0.74733410961590507</v>
      </c>
      <c r="O49" s="3">
        <f t="shared" si="5"/>
        <v>0.67513483542068742</v>
      </c>
      <c r="P49" s="3">
        <f t="shared" si="6"/>
        <v>1.3570331687941009</v>
      </c>
      <c r="Q49" s="3">
        <f t="shared" si="7"/>
        <v>0.30438521072104396</v>
      </c>
      <c r="R49" s="20">
        <f t="shared" si="12"/>
        <v>15.320436653111869</v>
      </c>
      <c r="S49" s="3">
        <f t="shared" si="9"/>
        <v>18.61068099394695</v>
      </c>
      <c r="T49" s="3">
        <f t="shared" si="10"/>
        <v>14.83286205221259</v>
      </c>
      <c r="U49" s="3">
        <f t="shared" si="11"/>
        <v>19.098255594846229</v>
      </c>
    </row>
    <row r="50" spans="1:21" ht="18.75" x14ac:dyDescent="0.25">
      <c r="A50" s="3">
        <f>A49+1</f>
        <v>29</v>
      </c>
      <c r="B50" s="24" t="s">
        <v>125</v>
      </c>
      <c r="D50" s="24" t="s">
        <v>126</v>
      </c>
      <c r="G50" s="8">
        <f t="shared" si="2"/>
        <v>28</v>
      </c>
      <c r="H50" s="35">
        <v>18.672000000000001</v>
      </c>
      <c r="I50" s="38">
        <f t="shared" si="13"/>
        <v>28.224</v>
      </c>
      <c r="J50" s="37">
        <v>7.056</v>
      </c>
      <c r="K50" s="43">
        <f t="shared" si="3"/>
        <v>14.744952000000001</v>
      </c>
      <c r="L50" s="14">
        <f t="shared" si="4"/>
        <v>1.2711908387012949</v>
      </c>
      <c r="M50" s="14">
        <f t="shared" si="4"/>
        <v>1.4506185634517257</v>
      </c>
      <c r="N50" s="14">
        <f t="shared" si="4"/>
        <v>0.84855857212376329</v>
      </c>
      <c r="O50" s="3">
        <f t="shared" si="5"/>
        <v>0.51903585100035077</v>
      </c>
      <c r="P50" s="3">
        <f t="shared" si="6"/>
        <v>1.6159261483981016</v>
      </c>
      <c r="Q50" s="3">
        <f t="shared" si="7"/>
        <v>0.42632493501278085</v>
      </c>
      <c r="R50" s="20">
        <f t="shared" si="12"/>
        <v>15.173236323189421</v>
      </c>
      <c r="S50" s="3">
        <f t="shared" si="9"/>
        <v>18.757881323869398</v>
      </c>
      <c r="T50" s="3">
        <f t="shared" si="10"/>
        <v>14.717362099928279</v>
      </c>
      <c r="U50" s="3">
        <f t="shared" si="11"/>
        <v>19.213755547130539</v>
      </c>
    </row>
    <row r="51" spans="1:21" ht="18.75" x14ac:dyDescent="0.25">
      <c r="A51" s="3">
        <f t="shared" si="1"/>
        <v>30</v>
      </c>
      <c r="B51" s="24" t="s">
        <v>127</v>
      </c>
      <c r="D51" s="24" t="s">
        <v>128</v>
      </c>
      <c r="G51" s="8">
        <f t="shared" si="2"/>
        <v>29</v>
      </c>
      <c r="H51" s="35">
        <v>48.91</v>
      </c>
      <c r="I51" s="38">
        <f t="shared" si="13"/>
        <v>70.616</v>
      </c>
      <c r="J51" s="37">
        <v>17.654</v>
      </c>
      <c r="K51" s="43">
        <f t="shared" si="3"/>
        <v>37.379440000000002</v>
      </c>
      <c r="L51" s="14">
        <f t="shared" si="4"/>
        <v>1.6893976628212823</v>
      </c>
      <c r="M51" s="14">
        <f t="shared" si="4"/>
        <v>1.8489031135792819</v>
      </c>
      <c r="N51" s="14">
        <f t="shared" si="4"/>
        <v>1.2468431222513197</v>
      </c>
      <c r="O51" s="3">
        <f t="shared" si="5"/>
        <v>0.10378505388077813</v>
      </c>
      <c r="P51" s="3">
        <f t="shared" si="6"/>
        <v>2.854064463146011</v>
      </c>
      <c r="Q51" s="3">
        <f t="shared" si="7"/>
        <v>1.1050638640311772</v>
      </c>
      <c r="R51" s="20">
        <f t="shared" si="12"/>
        <v>14.592312631395684</v>
      </c>
      <c r="S51" s="3">
        <f t="shared" si="9"/>
        <v>19.338805015663137</v>
      </c>
      <c r="T51" s="3">
        <f t="shared" si="10"/>
        <v>14.231648427912337</v>
      </c>
      <c r="U51" s="3">
        <f t="shared" si="11"/>
        <v>19.699469219146483</v>
      </c>
    </row>
    <row r="52" spans="1:21" ht="18.75" x14ac:dyDescent="0.25">
      <c r="A52" s="3">
        <f t="shared" si="1"/>
        <v>31</v>
      </c>
      <c r="B52" s="24" t="s">
        <v>129</v>
      </c>
      <c r="D52" s="24" t="s">
        <v>130</v>
      </c>
      <c r="G52" s="8">
        <f t="shared" si="2"/>
        <v>30</v>
      </c>
      <c r="H52" s="35">
        <v>46.115000000000002</v>
      </c>
      <c r="I52" s="38">
        <f t="shared" si="13"/>
        <v>66.768000000000001</v>
      </c>
      <c r="J52" s="37">
        <v>16.692</v>
      </c>
      <c r="K52" s="43">
        <f t="shared" si="3"/>
        <v>35.306980000000003</v>
      </c>
      <c r="L52" s="14">
        <f t="shared" si="4"/>
        <v>1.663842212973794</v>
      </c>
      <c r="M52" s="14">
        <f t="shared" si="4"/>
        <v>1.8245683673676336</v>
      </c>
      <c r="N52" s="14">
        <f t="shared" si="4"/>
        <v>1.2225083760396713</v>
      </c>
      <c r="O52" s="3">
        <f t="shared" si="5"/>
        <v>0.12005644547466578</v>
      </c>
      <c r="P52" s="3">
        <f t="shared" si="6"/>
        <v>2.7683709096735321</v>
      </c>
      <c r="Q52" s="3">
        <f t="shared" si="7"/>
        <v>1.0544936913836396</v>
      </c>
      <c r="R52" s="20">
        <f t="shared" si="12"/>
        <v>14.627864691820447</v>
      </c>
      <c r="S52" s="3">
        <f t="shared" si="9"/>
        <v>19.303252955238371</v>
      </c>
      <c r="T52" s="3">
        <f t="shared" si="10"/>
        <v>14.262452755278961</v>
      </c>
      <c r="U52" s="3">
        <f t="shared" si="11"/>
        <v>19.668664891779859</v>
      </c>
    </row>
    <row r="53" spans="1:21" ht="18.75" x14ac:dyDescent="0.25">
      <c r="A53" s="3">
        <f t="shared" si="1"/>
        <v>32</v>
      </c>
      <c r="B53" s="24" t="s">
        <v>131</v>
      </c>
      <c r="D53" s="24" t="s">
        <v>132</v>
      </c>
      <c r="G53" s="8">
        <f t="shared" si="2"/>
        <v>31</v>
      </c>
      <c r="H53" s="35">
        <v>54.463000000000001</v>
      </c>
      <c r="I53" s="38">
        <f t="shared" si="13"/>
        <v>78.231999999999999</v>
      </c>
      <c r="J53" s="37">
        <v>19.558</v>
      </c>
      <c r="K53" s="43">
        <f t="shared" si="3"/>
        <v>41.488788</v>
      </c>
      <c r="L53" s="14">
        <f t="shared" si="4"/>
        <v>1.7361015600219685</v>
      </c>
      <c r="M53" s="14">
        <f t="shared" si="4"/>
        <v>1.8933844331203824</v>
      </c>
      <c r="N53" s="14">
        <f t="shared" si="4"/>
        <v>1.2913244417924199</v>
      </c>
      <c r="O53" s="3">
        <f t="shared" si="5"/>
        <v>7.7103715625891175E-2</v>
      </c>
      <c r="P53" s="3">
        <f t="shared" si="6"/>
        <v>3.0140486267107125</v>
      </c>
      <c r="Q53" s="3">
        <f t="shared" si="7"/>
        <v>1.2005617731697409</v>
      </c>
      <c r="R53" s="20">
        <f t="shared" si="12"/>
        <v>14.527326206805002</v>
      </c>
      <c r="S53" s="3">
        <f t="shared" si="9"/>
        <v>19.403791440253819</v>
      </c>
      <c r="T53" s="3">
        <f t="shared" si="10"/>
        <v>14.175048680913076</v>
      </c>
      <c r="U53" s="3">
        <f t="shared" si="11"/>
        <v>19.756068966145744</v>
      </c>
    </row>
    <row r="54" spans="1:21" ht="18.75" x14ac:dyDescent="0.25">
      <c r="A54" s="3">
        <f t="shared" si="1"/>
        <v>33</v>
      </c>
      <c r="B54" s="24" t="s">
        <v>135</v>
      </c>
      <c r="D54" s="24" t="s">
        <v>136</v>
      </c>
      <c r="G54" s="8">
        <f t="shared" si="2"/>
        <v>32</v>
      </c>
      <c r="H54" s="35">
        <v>25.68</v>
      </c>
      <c r="I54" s="38">
        <f t="shared" si="13"/>
        <v>38.231999999999999</v>
      </c>
      <c r="J54" s="37">
        <v>9.5579999999999998</v>
      </c>
      <c r="K54" s="43">
        <f t="shared" si="3"/>
        <v>20.04204</v>
      </c>
      <c r="L54" s="14">
        <f t="shared" si="4"/>
        <v>1.4095950193968156</v>
      </c>
      <c r="M54" s="14">
        <f t="shared" si="4"/>
        <v>1.5824270175127375</v>
      </c>
      <c r="N54" s="14">
        <f t="shared" si="4"/>
        <v>0.98036702618477511</v>
      </c>
      <c r="O54" s="3">
        <f t="shared" si="5"/>
        <v>0.34648877786255516</v>
      </c>
      <c r="P54" s="3">
        <f t="shared" si="6"/>
        <v>1.986958118708309</v>
      </c>
      <c r="Q54" s="3">
        <f t="shared" si="7"/>
        <v>0.61582327517232305</v>
      </c>
      <c r="R54" s="20">
        <f t="shared" si="12"/>
        <v>14.981224473068394</v>
      </c>
      <c r="S54" s="3">
        <f t="shared" si="9"/>
        <v>18.949893173990425</v>
      </c>
      <c r="T54" s="3">
        <f t="shared" si="10"/>
        <v>14.561489070546894</v>
      </c>
      <c r="U54" s="3">
        <f t="shared" si="11"/>
        <v>19.369628576511925</v>
      </c>
    </row>
    <row r="55" spans="1:21" ht="18.75" x14ac:dyDescent="0.25">
      <c r="A55" s="3">
        <f t="shared" si="1"/>
        <v>34</v>
      </c>
      <c r="B55" s="24" t="s">
        <v>133</v>
      </c>
      <c r="D55" s="24" t="s">
        <v>134</v>
      </c>
      <c r="G55" s="8">
        <f t="shared" si="2"/>
        <v>33</v>
      </c>
      <c r="H55" s="35">
        <v>3.851</v>
      </c>
      <c r="I55" s="38">
        <f t="shared" si="13"/>
        <v>6.2759999999999998</v>
      </c>
      <c r="J55" s="37">
        <v>1.569</v>
      </c>
      <c r="K55" s="43">
        <f t="shared" si="3"/>
        <v>3.3232360000000001</v>
      </c>
      <c r="L55" s="14">
        <f t="shared" si="4"/>
        <v>0.5855735186227311</v>
      </c>
      <c r="M55" s="14">
        <f t="shared" si="4"/>
        <v>0.79768293491489906</v>
      </c>
      <c r="N55" s="14">
        <f t="shared" si="4"/>
        <v>0.19562294358693666</v>
      </c>
      <c r="O55" s="3">
        <f t="shared" si="5"/>
        <v>1.88616453908181</v>
      </c>
      <c r="P55" s="3">
        <f t="shared" si="6"/>
        <v>0.34289634571220601</v>
      </c>
      <c r="Q55" s="3">
        <f t="shared" si="7"/>
        <v>0</v>
      </c>
      <c r="R55" s="20">
        <f t="shared" si="12"/>
        <v>16.114471996865316</v>
      </c>
      <c r="S55" s="3">
        <f t="shared" si="9"/>
        <v>17.816645650193504</v>
      </c>
      <c r="T55" s="3">
        <f t="shared" si="10"/>
        <v>15.363585868293576</v>
      </c>
      <c r="U55" s="3">
        <f t="shared" si="11"/>
        <v>18.567531778765243</v>
      </c>
    </row>
    <row r="56" spans="1:21" ht="18.75" x14ac:dyDescent="0.25">
      <c r="A56" s="3"/>
      <c r="G56" s="8">
        <f t="shared" si="2"/>
        <v>34</v>
      </c>
      <c r="H56" s="35">
        <v>25.053999999999998</v>
      </c>
      <c r="I56" s="39">
        <v>165</v>
      </c>
      <c r="J56" s="37">
        <v>9.3360000000000003</v>
      </c>
      <c r="K56" s="43">
        <f t="shared" si="3"/>
        <v>55.314224000000003</v>
      </c>
      <c r="L56" s="14">
        <f t="shared" si="4"/>
        <v>1.3988770730873179</v>
      </c>
      <c r="M56" s="14">
        <f t="shared" si="4"/>
        <v>2.2174839442139063</v>
      </c>
      <c r="N56" s="14">
        <f t="shared" si="4"/>
        <v>0.97016084303731376</v>
      </c>
      <c r="O56" s="3">
        <f t="shared" si="5"/>
        <v>0.35860833591178071</v>
      </c>
      <c r="P56" s="3">
        <f t="shared" si="6"/>
        <v>1.9568570656093414</v>
      </c>
      <c r="Q56" s="3">
        <f>POWER((M56-$M$55),2)</f>
        <v>2.0158349060064795</v>
      </c>
      <c r="R56" s="20">
        <f t="shared" si="12"/>
        <v>14.996104112945284</v>
      </c>
      <c r="S56" s="3">
        <f t="shared" si="9"/>
        <v>18.935013534113533</v>
      </c>
      <c r="T56" s="3">
        <f t="shared" si="10"/>
        <v>14.573756068319884</v>
      </c>
      <c r="U56" s="3">
        <f t="shared" si="11"/>
        <v>19.357361578738935</v>
      </c>
    </row>
    <row r="57" spans="1:21" ht="18.75" x14ac:dyDescent="0.25">
      <c r="H57" s="3"/>
      <c r="I57" s="3"/>
      <c r="J57" s="34">
        <f>AVERAGE(J23:J56)</f>
        <v>16.96555882352941</v>
      </c>
      <c r="K57" s="34">
        <f t="shared" ref="K57:N57" si="14">AVERAGE(K23:K56)</f>
        <v>79.889135764705912</v>
      </c>
      <c r="L57" s="34">
        <f t="shared" si="14"/>
        <v>0.94244928157862584</v>
      </c>
      <c r="M57" s="34">
        <f t="shared" si="14"/>
        <v>2.0685167251973211</v>
      </c>
      <c r="N57" s="34">
        <f t="shared" si="14"/>
        <v>1.1125272098192001</v>
      </c>
      <c r="O57" s="18">
        <f>SUM(O23:O56)</f>
        <v>10.656594167174026</v>
      </c>
      <c r="P57" s="18">
        <f t="shared" ref="P57:Q57" si="15">SUM(P23:P56)</f>
        <v>35.609211884695291</v>
      </c>
      <c r="Q57" s="18">
        <f t="shared" si="15"/>
        <v>67.154308672756656</v>
      </c>
      <c r="R57" s="3"/>
    </row>
    <row r="58" spans="1:21" x14ac:dyDescent="0.25">
      <c r="H58" s="3"/>
      <c r="I58" s="3"/>
      <c r="J58" s="17" t="s">
        <v>45</v>
      </c>
      <c r="K58" s="3"/>
      <c r="L58" s="15" t="s">
        <v>48</v>
      </c>
      <c r="M58" s="15" t="s">
        <v>49</v>
      </c>
      <c r="N58" s="3"/>
      <c r="O58" s="17" t="s">
        <v>53</v>
      </c>
      <c r="P58" s="17" t="s">
        <v>54</v>
      </c>
      <c r="Q58" s="17" t="s">
        <v>55</v>
      </c>
      <c r="R58" s="3"/>
    </row>
    <row r="59" spans="1:21" x14ac:dyDescent="0.25">
      <c r="H59" s="3"/>
      <c r="I59" s="3" t="s">
        <v>162</v>
      </c>
      <c r="J59" s="3">
        <f>SUM(J23:J56)/34</f>
        <v>16.96555882352941</v>
      </c>
      <c r="K59" s="3"/>
      <c r="L59" s="3"/>
      <c r="M59" s="3"/>
      <c r="N59" s="3"/>
      <c r="O59" s="18" t="s">
        <v>44</v>
      </c>
      <c r="P59" s="3"/>
      <c r="Q59" s="3"/>
      <c r="R59" s="3"/>
    </row>
    <row r="60" spans="1:21" x14ac:dyDescent="0.25">
      <c r="H60" s="3"/>
      <c r="I60" s="3" t="s">
        <v>161</v>
      </c>
      <c r="J60" s="3">
        <f>GEOMEAN(J23:J56)</f>
        <v>12.957678786203923</v>
      </c>
      <c r="K60" s="3"/>
      <c r="L60" s="3"/>
      <c r="M60" s="3"/>
      <c r="N60" s="3"/>
      <c r="O60" s="17">
        <f>SQRT(1/32*O57)</f>
        <v>0.57707760979281486</v>
      </c>
      <c r="P60" s="3"/>
      <c r="Q60" s="3"/>
      <c r="R60" s="3"/>
    </row>
    <row r="61" spans="1:21" ht="18.75" x14ac:dyDescent="0.3">
      <c r="H61" s="3"/>
      <c r="I61" s="3" t="s">
        <v>160</v>
      </c>
      <c r="J61" s="3">
        <f>AVEDEV(J23:J56)</f>
        <v>9.3894290657439434</v>
      </c>
      <c r="K61" s="3"/>
      <c r="L61" s="3"/>
      <c r="M61" s="3"/>
      <c r="N61" s="3"/>
      <c r="O61" s="19" t="s">
        <v>56</v>
      </c>
      <c r="P61" s="3"/>
      <c r="Q61" s="3"/>
      <c r="R61" s="3"/>
    </row>
    <row r="62" spans="1:21" x14ac:dyDescent="0.25">
      <c r="E62" s="74"/>
      <c r="F62" s="74"/>
      <c r="G62" s="74"/>
      <c r="H62" s="74" t="s">
        <v>150</v>
      </c>
      <c r="I62" s="74"/>
      <c r="J62" s="74"/>
      <c r="K62" s="3"/>
      <c r="L62" s="3"/>
      <c r="M62" s="3"/>
      <c r="N62" s="3"/>
      <c r="O62" s="17">
        <f>_xlfn.T.INV.2T(0.025,32)</f>
        <v>2.3518351803763684</v>
      </c>
      <c r="P62" s="3"/>
      <c r="Q62" s="3"/>
      <c r="R62" s="3"/>
    </row>
    <row r="63" spans="1:21" x14ac:dyDescent="0.25">
      <c r="E63" s="30"/>
      <c r="F63" s="30"/>
      <c r="G63" s="30"/>
      <c r="I63" s="30" t="s">
        <v>18</v>
      </c>
      <c r="J63" s="30" t="s">
        <v>19</v>
      </c>
    </row>
    <row r="64" spans="1:21" x14ac:dyDescent="0.25">
      <c r="E64" s="30"/>
      <c r="F64" s="30"/>
      <c r="G64" s="30"/>
      <c r="H64" t="s">
        <v>18</v>
      </c>
      <c r="I64" s="30">
        <v>1</v>
      </c>
      <c r="J64" s="30">
        <f>CORREL(H23:H56,I23:I56)</f>
        <v>-0.26292171642581885</v>
      </c>
    </row>
    <row r="65" spans="5:10" x14ac:dyDescent="0.25">
      <c r="E65" s="30"/>
      <c r="F65" s="30"/>
      <c r="G65" s="30"/>
      <c r="H65" t="s">
        <v>19</v>
      </c>
      <c r="I65" s="30">
        <f>CORREL(I23:I56,H23:H56)</f>
        <v>-0.26292171642581885</v>
      </c>
      <c r="J65" s="30">
        <v>1</v>
      </c>
    </row>
    <row r="66" spans="5:10" x14ac:dyDescent="0.25">
      <c r="E66" s="31"/>
      <c r="F66" s="31"/>
      <c r="G66" s="31"/>
      <c r="H66" s="31"/>
      <c r="I66" s="31"/>
      <c r="J66" s="31"/>
    </row>
    <row r="67" spans="5:10" x14ac:dyDescent="0.25">
      <c r="E67" s="74"/>
      <c r="F67" s="74"/>
      <c r="G67" s="74"/>
      <c r="H67" s="74" t="s">
        <v>151</v>
      </c>
      <c r="I67" s="74"/>
      <c r="J67" s="74"/>
    </row>
    <row r="68" spans="5:10" x14ac:dyDescent="0.25">
      <c r="E68" s="30"/>
      <c r="F68" s="30"/>
      <c r="G68" s="30"/>
      <c r="H68" s="30"/>
      <c r="I68" s="30"/>
      <c r="J68" s="30"/>
    </row>
    <row r="69" spans="5:10" x14ac:dyDescent="0.25">
      <c r="E69" s="30"/>
      <c r="F69" s="30"/>
      <c r="G69" s="30"/>
      <c r="H69" s="30"/>
      <c r="I69" s="30"/>
      <c r="J69" s="30"/>
    </row>
    <row r="70" spans="5:10" x14ac:dyDescent="0.25">
      <c r="E70" s="30"/>
      <c r="F70" s="30"/>
      <c r="G70" s="30"/>
      <c r="H70" s="30"/>
      <c r="I70" s="30"/>
      <c r="J70" s="30"/>
    </row>
    <row r="71" spans="5:10" x14ac:dyDescent="0.25">
      <c r="E71" s="31"/>
      <c r="F71" s="31"/>
      <c r="G71" s="31"/>
      <c r="H71" s="31"/>
      <c r="I71" s="31"/>
      <c r="J71" s="31"/>
    </row>
    <row r="72" spans="5:10" x14ac:dyDescent="0.25">
      <c r="E72" s="32" t="s">
        <v>144</v>
      </c>
      <c r="F72" s="31"/>
      <c r="G72" s="31"/>
      <c r="H72" s="32"/>
      <c r="I72" s="31"/>
      <c r="J72" s="31"/>
    </row>
    <row r="73" spans="5:10" x14ac:dyDescent="0.25">
      <c r="E73" s="30" t="e">
        <f t="array" ref="E73:E75">MMULT(TRANSPOSE(#REF!),#REF!)</f>
        <v>#REF!</v>
      </c>
      <c r="F73" s="31"/>
      <c r="G73" s="31"/>
      <c r="H73" s="30"/>
      <c r="I73" s="31"/>
      <c r="J73" s="31"/>
    </row>
    <row r="74" spans="5:10" x14ac:dyDescent="0.25">
      <c r="E74" s="30" t="e">
        <v>#REF!</v>
      </c>
      <c r="F74" s="31"/>
      <c r="G74" s="31"/>
      <c r="H74" s="30"/>
      <c r="I74" s="31"/>
      <c r="J74" s="31"/>
    </row>
    <row r="75" spans="5:10" x14ac:dyDescent="0.25">
      <c r="E75" s="30" t="e">
        <v>#REF!</v>
      </c>
      <c r="F75" s="31"/>
      <c r="G75" s="31"/>
      <c r="H75" s="30"/>
      <c r="I75" s="31"/>
      <c r="J75" s="31"/>
    </row>
    <row r="76" spans="5:10" x14ac:dyDescent="0.25">
      <c r="H76" s="31"/>
      <c r="I76" s="31"/>
      <c r="J76" s="31"/>
    </row>
    <row r="77" spans="5:10" x14ac:dyDescent="0.25">
      <c r="H77" s="33" t="s">
        <v>145</v>
      </c>
      <c r="I77" s="31"/>
      <c r="J77" s="31"/>
    </row>
    <row r="78" spans="5:10" x14ac:dyDescent="0.25">
      <c r="H78" s="31" t="s">
        <v>146</v>
      </c>
      <c r="I78" s="31"/>
      <c r="J78" s="31"/>
    </row>
    <row r="79" spans="5:10" x14ac:dyDescent="0.25">
      <c r="H79" s="30" t="s">
        <v>147</v>
      </c>
      <c r="I79" s="30" t="e">
        <f t="array" ref="I79:I81">MMULT(H68:J70,H73:H75)</f>
        <v>#VALUE!</v>
      </c>
      <c r="J79" s="30">
        <v>0</v>
      </c>
    </row>
    <row r="80" spans="5:10" x14ac:dyDescent="0.25">
      <c r="H80" s="30" t="s">
        <v>148</v>
      </c>
      <c r="I80" s="30" t="e">
        <v>#VALUE!</v>
      </c>
      <c r="J80" s="30">
        <v>0</v>
      </c>
    </row>
    <row r="81" spans="8:10" x14ac:dyDescent="0.25">
      <c r="H81" s="30" t="s">
        <v>149</v>
      </c>
      <c r="I81" s="30" t="e">
        <v>#VALUE!</v>
      </c>
      <c r="J81" s="30">
        <v>0</v>
      </c>
    </row>
  </sheetData>
  <mergeCells count="4">
    <mergeCell ref="H62:J62"/>
    <mergeCell ref="H67:J67"/>
    <mergeCell ref="E62:G62"/>
    <mergeCell ref="E67:G67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E49"/>
  <sheetViews>
    <sheetView tabSelected="1" topLeftCell="G22" zoomScaleNormal="100" workbookViewId="0">
      <selection activeCell="M53" sqref="M53"/>
    </sheetView>
  </sheetViews>
  <sheetFormatPr defaultRowHeight="15" x14ac:dyDescent="0.25"/>
  <cols>
    <col min="7" max="7" width="9.28515625" customWidth="1"/>
    <col min="15" max="15" width="7.140625" customWidth="1"/>
    <col min="16" max="16" width="15.140625" customWidth="1"/>
    <col min="17" max="17" width="24" customWidth="1"/>
    <col min="18" max="18" width="22.5703125" customWidth="1"/>
    <col min="19" max="19" width="33" customWidth="1"/>
    <col min="20" max="20" width="27.140625" customWidth="1"/>
    <col min="21" max="21" width="18.5703125" customWidth="1"/>
    <col min="22" max="22" width="20.7109375" customWidth="1"/>
    <col min="23" max="23" width="20.42578125" customWidth="1"/>
    <col min="24" max="24" width="20" customWidth="1"/>
    <col min="25" max="25" width="17" customWidth="1"/>
    <col min="26" max="26" width="16.5703125" customWidth="1"/>
    <col min="27" max="27" width="19.140625" customWidth="1"/>
    <col min="28" max="28" width="27.85546875" customWidth="1"/>
    <col min="29" max="29" width="13" customWidth="1"/>
    <col min="31" max="31" width="12.140625" customWidth="1"/>
  </cols>
  <sheetData>
    <row r="1" spans="1:31" ht="18.75" x14ac:dyDescent="0.3">
      <c r="A1" s="50" t="s">
        <v>166</v>
      </c>
      <c r="B1" s="3"/>
      <c r="C1" s="3"/>
      <c r="D1" s="3"/>
      <c r="E1" s="3"/>
      <c r="F1" s="3"/>
      <c r="G1" s="3"/>
      <c r="H1" s="51"/>
      <c r="I1" s="52"/>
      <c r="J1" s="18"/>
      <c r="K1" s="18"/>
      <c r="L1" s="18"/>
      <c r="M1" s="3"/>
      <c r="N1" s="3"/>
      <c r="O1" s="3"/>
      <c r="P1" s="3"/>
      <c r="Q1" s="3"/>
      <c r="R1" s="3"/>
      <c r="S1" s="3"/>
      <c r="T1" s="3"/>
      <c r="U1" s="3"/>
    </row>
    <row r="2" spans="1:31" ht="18.75" x14ac:dyDescent="0.3">
      <c r="A2" s="55"/>
      <c r="B2" s="42" t="s">
        <v>173</v>
      </c>
      <c r="C2" s="42" t="s">
        <v>172</v>
      </c>
      <c r="D2" s="42" t="s">
        <v>174</v>
      </c>
      <c r="E2" s="42" t="s">
        <v>163</v>
      </c>
      <c r="F2" s="42" t="s">
        <v>171</v>
      </c>
      <c r="G2" s="41" t="s">
        <v>164</v>
      </c>
      <c r="H2" s="41"/>
      <c r="I2" s="53"/>
      <c r="J2" s="54"/>
      <c r="K2" s="54"/>
      <c r="L2" s="49"/>
      <c r="M2" s="3"/>
      <c r="N2" s="3"/>
      <c r="O2" s="3"/>
      <c r="P2" s="3"/>
      <c r="Q2" s="3"/>
      <c r="R2" s="3"/>
      <c r="S2" s="3"/>
      <c r="T2" s="3"/>
      <c r="U2" s="3"/>
    </row>
    <row r="3" spans="1:31" x14ac:dyDescent="0.25">
      <c r="A3" s="42" t="s">
        <v>147</v>
      </c>
      <c r="B3" s="42" t="s">
        <v>148</v>
      </c>
      <c r="C3" s="42" t="s">
        <v>149</v>
      </c>
      <c r="D3" s="42" t="s">
        <v>167</v>
      </c>
      <c r="E3" s="42" t="s">
        <v>168</v>
      </c>
      <c r="F3" s="42" t="s">
        <v>169</v>
      </c>
      <c r="G3" s="42" t="s">
        <v>170</v>
      </c>
      <c r="H3" s="41"/>
      <c r="I3" s="53"/>
      <c r="J3" s="54"/>
      <c r="K3" s="54"/>
      <c r="L3" s="54"/>
      <c r="M3" s="3"/>
      <c r="N3" s="3"/>
      <c r="O3" s="3"/>
      <c r="P3" s="3"/>
      <c r="Q3" s="3"/>
      <c r="R3" s="3"/>
      <c r="S3" s="3"/>
      <c r="T3" s="3"/>
      <c r="U3" s="3"/>
    </row>
    <row r="4" spans="1:31" ht="15.75" thickBot="1" x14ac:dyDescent="0.3">
      <c r="A4" s="42">
        <v>-12.9</v>
      </c>
      <c r="B4" s="42">
        <v>-13.8</v>
      </c>
      <c r="C4" s="42">
        <v>-1.0900000000000001</v>
      </c>
      <c r="D4" s="42">
        <v>5.8</v>
      </c>
      <c r="E4" s="42">
        <v>2.1000000000000001E-2</v>
      </c>
      <c r="F4" s="56">
        <v>3.5000000000000003E-2</v>
      </c>
      <c r="G4" s="42">
        <v>3.4000000000000002E-2</v>
      </c>
      <c r="H4" s="42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</row>
    <row r="5" spans="1:31" ht="15.75" customHeight="1" x14ac:dyDescent="0.25">
      <c r="A5" s="3"/>
      <c r="B5" s="42"/>
      <c r="C5" s="42"/>
      <c r="D5" s="42"/>
      <c r="E5" s="42"/>
      <c r="F5" s="42"/>
      <c r="G5" s="41"/>
      <c r="I5" s="47" t="s">
        <v>165</v>
      </c>
      <c r="M5" s="3"/>
      <c r="N5" s="3"/>
      <c r="O5" s="3"/>
      <c r="P5" s="3"/>
      <c r="Q5" s="3"/>
      <c r="R5" s="3"/>
      <c r="S5" s="3"/>
      <c r="T5" s="3"/>
      <c r="U5" s="3"/>
    </row>
    <row r="6" spans="1:31" ht="16.5" thickBot="1" x14ac:dyDescent="0.3">
      <c r="A6" s="24"/>
      <c r="C6" s="42" t="s">
        <v>173</v>
      </c>
      <c r="D6" s="42" t="s">
        <v>172</v>
      </c>
      <c r="E6" s="42" t="s">
        <v>174</v>
      </c>
      <c r="F6" s="42" t="s">
        <v>163</v>
      </c>
      <c r="G6" s="42" t="s">
        <v>171</v>
      </c>
      <c r="H6" s="41" t="s">
        <v>164</v>
      </c>
      <c r="I6" s="48" t="s">
        <v>22</v>
      </c>
      <c r="J6" s="63" t="s">
        <v>175</v>
      </c>
      <c r="K6" s="64" t="s">
        <v>176</v>
      </c>
      <c r="L6" s="64" t="s">
        <v>177</v>
      </c>
      <c r="M6" s="64" t="s">
        <v>178</v>
      </c>
      <c r="N6" s="64" t="s">
        <v>179</v>
      </c>
      <c r="O6" s="64" t="s">
        <v>180</v>
      </c>
      <c r="P6" s="64" t="s">
        <v>181</v>
      </c>
      <c r="Q6" s="3" t="s">
        <v>50</v>
      </c>
      <c r="R6" s="3" t="s">
        <v>51</v>
      </c>
      <c r="S6" s="3" t="s">
        <v>52</v>
      </c>
      <c r="T6" s="3" t="s">
        <v>183</v>
      </c>
      <c r="U6" s="3" t="s">
        <v>184</v>
      </c>
      <c r="V6" s="3" t="s">
        <v>185</v>
      </c>
      <c r="W6" s="3" t="s">
        <v>186</v>
      </c>
      <c r="X6" s="15" t="s">
        <v>46</v>
      </c>
      <c r="Y6" s="15" t="s">
        <v>47</v>
      </c>
      <c r="Z6" s="15" t="s">
        <v>157</v>
      </c>
      <c r="AA6" s="15" t="s">
        <v>158</v>
      </c>
      <c r="AB6" s="3" t="s">
        <v>46</v>
      </c>
      <c r="AC6" s="3" t="s">
        <v>47</v>
      </c>
    </row>
    <row r="7" spans="1:31" ht="18.75" customHeight="1" thickBot="1" x14ac:dyDescent="0.3">
      <c r="A7" s="24">
        <v>1</v>
      </c>
      <c r="B7" s="57"/>
      <c r="C7" s="59">
        <v>5</v>
      </c>
      <c r="D7" s="60">
        <v>7.2</v>
      </c>
      <c r="E7" s="60">
        <v>7.2</v>
      </c>
      <c r="F7" s="60">
        <v>0.8</v>
      </c>
      <c r="G7" s="60">
        <v>0.6</v>
      </c>
      <c r="H7" s="60">
        <v>1</v>
      </c>
      <c r="I7" s="59">
        <v>6.1820000000000004</v>
      </c>
      <c r="J7">
        <f>LOG10(C7)</f>
        <v>0.69897000433601886</v>
      </c>
      <c r="K7" s="3">
        <f t="shared" ref="K7:O22" si="0">LOG10(D7)</f>
        <v>0.85733249643126852</v>
      </c>
      <c r="L7" s="3">
        <f t="shared" si="0"/>
        <v>0.85733249643126852</v>
      </c>
      <c r="M7" s="3">
        <f t="shared" si="0"/>
        <v>-9.6910013008056392E-2</v>
      </c>
      <c r="N7" s="3">
        <f t="shared" si="0"/>
        <v>-0.22184874961635639</v>
      </c>
      <c r="O7" s="3">
        <f t="shared" si="0"/>
        <v>0</v>
      </c>
      <c r="P7" s="3">
        <f>LOG10(I7)</f>
        <v>0.7911290007272862</v>
      </c>
      <c r="Q7" s="3">
        <f>POWER((I7-P7),2)</f>
        <v>29.061490130799591</v>
      </c>
      <c r="R7" s="3">
        <f>POWER((J7-$J$39),2)</f>
        <v>0.27706761958917486</v>
      </c>
      <c r="S7" s="3">
        <f>POWER((K7-$K$39),2)</f>
        <v>7.5052455127451859E-2</v>
      </c>
      <c r="T7" s="3">
        <f>POWER((L7-$L$39),2)</f>
        <v>4.1336761172610884E-2</v>
      </c>
      <c r="U7" s="3">
        <f>POWER((M7-$M$39),2)</f>
        <v>2.3720692887668329E-4</v>
      </c>
      <c r="V7" s="3">
        <f>POWER((N7-$N$39),2)</f>
        <v>4.4047542854280114E-2</v>
      </c>
      <c r="W7" s="3">
        <f>POWER((O7-$O$39),2)</f>
        <v>1.143145356365798E-4</v>
      </c>
      <c r="X7" s="20">
        <f>$I$39-$R$46*$R$44*SQRT(1/32+R7/$R$41)</f>
        <v>6.8825016202290907</v>
      </c>
      <c r="Y7" s="15">
        <f t="shared" ref="Y7:Y39" si="1">$I$39+$R$46*$R$44*SQRT(1/32+R7/$R$41)</f>
        <v>7.3455608797709075</v>
      </c>
      <c r="Z7" s="15">
        <f t="shared" ref="Z7:Z39" si="2">$I$39-$R$46*$R$44*SQRT(1+1/32+R7/$R$41)</f>
        <v>6.7475153828211623</v>
      </c>
      <c r="AA7" s="15">
        <f t="shared" ref="AA7:AA39" si="3">$I$39+$R$46*$R$44*SQRT(1+1/32+R7/$R$41)</f>
        <v>7.480547117178836</v>
      </c>
      <c r="AB7">
        <f>$I7-2.635</f>
        <v>3.5470000000000006</v>
      </c>
      <c r="AC7" s="3">
        <f>$I7+2.635</f>
        <v>8.8170000000000002</v>
      </c>
      <c r="AD7">
        <f>AB7-1</f>
        <v>2.5470000000000006</v>
      </c>
      <c r="AE7">
        <f>AC7+1</f>
        <v>9.8170000000000002</v>
      </c>
    </row>
    <row r="8" spans="1:31" ht="15.75" thickBot="1" x14ac:dyDescent="0.3">
      <c r="A8" s="24">
        <f t="shared" ref="A8:A38" si="4">A7+1</f>
        <v>2</v>
      </c>
      <c r="B8" s="58"/>
      <c r="C8" s="61">
        <v>8</v>
      </c>
      <c r="D8" s="62">
        <v>2.75</v>
      </c>
      <c r="E8" s="62">
        <v>3.5</v>
      </c>
      <c r="F8" s="62">
        <v>1.25</v>
      </c>
      <c r="G8" s="62">
        <v>0.13</v>
      </c>
      <c r="H8" s="62">
        <v>1</v>
      </c>
      <c r="I8" s="61">
        <v>6.1820000000000004</v>
      </c>
      <c r="J8" s="3">
        <f t="shared" ref="J8:N38" si="5">LOG10(C8)</f>
        <v>0.90308998699194354</v>
      </c>
      <c r="K8" s="3">
        <f t="shared" si="0"/>
        <v>0.43933269383026263</v>
      </c>
      <c r="L8" s="3">
        <f t="shared" si="0"/>
        <v>0.54406804435027567</v>
      </c>
      <c r="M8" s="3">
        <f t="shared" si="0"/>
        <v>9.691001300805642E-2</v>
      </c>
      <c r="N8" s="3">
        <f t="shared" si="0"/>
        <v>-0.88605664769316317</v>
      </c>
      <c r="O8" s="3">
        <f t="shared" ref="O8:O38" si="6">LOG10(H8)</f>
        <v>0</v>
      </c>
      <c r="P8" s="3">
        <f t="shared" ref="P8:P38" si="7">LOG10(I8)</f>
        <v>0.7911290007272862</v>
      </c>
      <c r="Q8" s="3">
        <f>POWER((I8-P8),2)</f>
        <v>29.061490130799591</v>
      </c>
      <c r="R8" s="3">
        <f t="shared" ref="R8:R38" si="8">POWER((J8-$J$39),2)</f>
        <v>0.10384644668118606</v>
      </c>
      <c r="S8" s="3">
        <f t="shared" ref="S8:S38" si="9">POWER((K8-$K$39),2)</f>
        <v>2.0748319896382785E-2</v>
      </c>
      <c r="T8" s="3">
        <f t="shared" ref="T8:T38" si="10">POWER((L8-$L$39),2)</f>
        <v>1.208900534042579E-2</v>
      </c>
      <c r="U8" s="3">
        <f t="shared" ref="U8:U38" si="11">POWER((M8-$M$39),2)</f>
        <v>3.183316200816963E-2</v>
      </c>
      <c r="V8" s="3">
        <f t="shared" ref="V8:V38" si="12">POWER((N8-$N$39),2)</f>
        <v>0.2064183233295219</v>
      </c>
      <c r="W8" s="3">
        <f t="shared" ref="W8:W38" si="13">POWER((O8-$O$39),2)</f>
        <v>1.143145356365798E-4</v>
      </c>
      <c r="X8" s="20">
        <f t="shared" ref="X8:X38" si="14">$I$39-$R$46*$R$44*SQRT(1/32+R8/$R$41)</f>
        <v>6.9668272554635458</v>
      </c>
      <c r="Y8" s="15">
        <f t="shared" si="1"/>
        <v>7.2612352445364525</v>
      </c>
      <c r="Z8" s="15">
        <f t="shared" si="2"/>
        <v>6.794036050911811</v>
      </c>
      <c r="AA8" s="15">
        <f t="shared" si="3"/>
        <v>7.4340264490881873</v>
      </c>
      <c r="AB8" s="3">
        <f t="shared" ref="AB8:AB38" si="15">$I8-2.635</f>
        <v>3.5470000000000006</v>
      </c>
      <c r="AC8" s="3">
        <f t="shared" ref="AC8:AC38" si="16">$I8+2.635</f>
        <v>8.8170000000000002</v>
      </c>
      <c r="AD8" s="3">
        <f t="shared" ref="AD8:AD38" si="17">AB8-1</f>
        <v>2.5470000000000006</v>
      </c>
      <c r="AE8" s="3">
        <f t="shared" ref="AE8:AE38" si="18">AC8+1</f>
        <v>9.8170000000000002</v>
      </c>
    </row>
    <row r="9" spans="1:31" ht="15.75" thickBot="1" x14ac:dyDescent="0.3">
      <c r="A9" s="24">
        <f t="shared" si="4"/>
        <v>3</v>
      </c>
      <c r="B9" s="58"/>
      <c r="C9" s="61">
        <v>9</v>
      </c>
      <c r="D9" s="62">
        <v>3</v>
      </c>
      <c r="E9" s="62">
        <v>5.56</v>
      </c>
      <c r="F9" s="62">
        <v>1.89</v>
      </c>
      <c r="G9" s="62">
        <v>0.56000000000000005</v>
      </c>
      <c r="H9" s="62">
        <v>1</v>
      </c>
      <c r="I9" s="61">
        <v>6.3140000000000001</v>
      </c>
      <c r="J9" s="3">
        <f t="shared" si="5"/>
        <v>0.95424250943932487</v>
      </c>
      <c r="K9" s="3">
        <f t="shared" si="0"/>
        <v>0.47712125471966244</v>
      </c>
      <c r="L9" s="3">
        <f t="shared" si="0"/>
        <v>0.74507479158205747</v>
      </c>
      <c r="M9" s="3">
        <f t="shared" si="0"/>
        <v>0.27646180417324412</v>
      </c>
      <c r="N9" s="3">
        <f t="shared" si="0"/>
        <v>-0.25181197299379954</v>
      </c>
      <c r="O9" s="3">
        <f t="shared" si="6"/>
        <v>0</v>
      </c>
      <c r="P9" s="3">
        <f t="shared" si="7"/>
        <v>0.80030457755619855</v>
      </c>
      <c r="Q9" s="3">
        <f t="shared" ref="Q8:Q39" si="19">POWER((I9-P9),2)</f>
        <v>30.400837211477725</v>
      </c>
      <c r="R9" s="3">
        <f t="shared" si="8"/>
        <v>7.349500679858563E-2</v>
      </c>
      <c r="S9" s="3">
        <f t="shared" si="9"/>
        <v>1.1289957180261019E-2</v>
      </c>
      <c r="T9" s="3">
        <f t="shared" si="10"/>
        <v>8.291328864091542E-3</v>
      </c>
      <c r="U9" s="3">
        <f t="shared" si="11"/>
        <v>0.12814273109422875</v>
      </c>
      <c r="V9" s="3">
        <f t="shared" si="12"/>
        <v>3.2368270709322973E-2</v>
      </c>
      <c r="W9" s="3">
        <f t="shared" si="13"/>
        <v>1.143145356365798E-4</v>
      </c>
      <c r="X9" s="20">
        <f t="shared" si="14"/>
        <v>6.9872515513716982</v>
      </c>
      <c r="Y9" s="15">
        <f t="shared" si="1"/>
        <v>7.2408109486283001</v>
      </c>
      <c r="Z9" s="15">
        <f t="shared" si="2"/>
        <v>6.8029026537310546</v>
      </c>
      <c r="AA9" s="15">
        <f t="shared" si="3"/>
        <v>7.4251598462689437</v>
      </c>
      <c r="AB9" s="3">
        <f t="shared" si="15"/>
        <v>3.6790000000000003</v>
      </c>
      <c r="AC9" s="3">
        <f t="shared" si="16"/>
        <v>8.9489999999999998</v>
      </c>
      <c r="AD9" s="3">
        <f t="shared" si="17"/>
        <v>2.6790000000000003</v>
      </c>
      <c r="AE9" s="3">
        <f t="shared" si="18"/>
        <v>9.9489999999999998</v>
      </c>
    </row>
    <row r="10" spans="1:31" ht="15.75" thickBot="1" x14ac:dyDescent="0.3">
      <c r="A10" s="24">
        <f t="shared" si="4"/>
        <v>4</v>
      </c>
      <c r="B10" s="58"/>
      <c r="C10" s="61">
        <v>9</v>
      </c>
      <c r="D10" s="62">
        <v>3</v>
      </c>
      <c r="E10" s="62">
        <v>5.78</v>
      </c>
      <c r="F10" s="62">
        <v>2.11</v>
      </c>
      <c r="G10" s="62">
        <v>0.56000000000000005</v>
      </c>
      <c r="H10" s="62">
        <v>1</v>
      </c>
      <c r="I10" s="61">
        <v>6.3579999999999997</v>
      </c>
      <c r="J10" s="3">
        <f t="shared" si="5"/>
        <v>0.95424250943932487</v>
      </c>
      <c r="K10" s="3">
        <f t="shared" si="0"/>
        <v>0.47712125471966244</v>
      </c>
      <c r="L10" s="3">
        <f t="shared" si="0"/>
        <v>0.76192783842052902</v>
      </c>
      <c r="M10" s="3">
        <f t="shared" si="0"/>
        <v>0.32428245529769262</v>
      </c>
      <c r="N10" s="3">
        <f t="shared" si="0"/>
        <v>-0.25181197299379954</v>
      </c>
      <c r="O10" s="3">
        <f t="shared" si="6"/>
        <v>0</v>
      </c>
      <c r="P10" s="3">
        <f t="shared" si="7"/>
        <v>0.80332052357875405</v>
      </c>
      <c r="Q10" s="3">
        <f t="shared" si="19"/>
        <v>30.854464085775405</v>
      </c>
      <c r="R10" s="3">
        <f t="shared" si="8"/>
        <v>7.349500679858563E-2</v>
      </c>
      <c r="S10" s="3">
        <f t="shared" si="9"/>
        <v>1.1289957180261019E-2</v>
      </c>
      <c r="T10" s="3">
        <f t="shared" si="10"/>
        <v>1.1644520868565289E-2</v>
      </c>
      <c r="U10" s="3">
        <f t="shared" si="11"/>
        <v>0.16466629081373854</v>
      </c>
      <c r="V10" s="3">
        <f t="shared" si="12"/>
        <v>3.2368270709322973E-2</v>
      </c>
      <c r="W10" s="3">
        <f t="shared" si="13"/>
        <v>1.143145356365798E-4</v>
      </c>
      <c r="X10" s="20">
        <f t="shared" si="14"/>
        <v>6.9872515513716982</v>
      </c>
      <c r="Y10" s="15">
        <f t="shared" si="1"/>
        <v>7.2408109486283001</v>
      </c>
      <c r="Z10" s="15">
        <f t="shared" si="2"/>
        <v>6.8029026537310546</v>
      </c>
      <c r="AA10" s="15">
        <f t="shared" si="3"/>
        <v>7.4251598462689437</v>
      </c>
      <c r="AB10" s="3">
        <f t="shared" si="15"/>
        <v>3.7229999999999999</v>
      </c>
      <c r="AC10" s="3">
        <f t="shared" si="16"/>
        <v>8.9929999999999986</v>
      </c>
      <c r="AD10" s="3">
        <f t="shared" si="17"/>
        <v>2.7229999999999999</v>
      </c>
      <c r="AE10" s="3">
        <f t="shared" si="18"/>
        <v>9.9929999999999986</v>
      </c>
    </row>
    <row r="11" spans="1:31" ht="15.75" thickBot="1" x14ac:dyDescent="0.3">
      <c r="A11" s="24">
        <f t="shared" si="4"/>
        <v>5</v>
      </c>
      <c r="B11" s="58"/>
      <c r="C11" s="61">
        <v>9</v>
      </c>
      <c r="D11" s="62">
        <v>3.11</v>
      </c>
      <c r="E11" s="62">
        <v>5.78</v>
      </c>
      <c r="F11" s="62">
        <v>2.11</v>
      </c>
      <c r="G11" s="62">
        <v>0.56000000000000005</v>
      </c>
      <c r="H11" s="62">
        <v>1</v>
      </c>
      <c r="I11" s="61">
        <v>6.4820000000000002</v>
      </c>
      <c r="J11" s="3">
        <f t="shared" si="5"/>
        <v>0.95424250943932487</v>
      </c>
      <c r="K11" s="3">
        <f t="shared" si="0"/>
        <v>0.4927603890268375</v>
      </c>
      <c r="L11" s="3">
        <f t="shared" si="0"/>
        <v>0.76192783842052902</v>
      </c>
      <c r="M11" s="3">
        <f t="shared" si="0"/>
        <v>0.32428245529769262</v>
      </c>
      <c r="N11" s="3">
        <f t="shared" si="0"/>
        <v>-0.25181197299379954</v>
      </c>
      <c r="O11" s="3">
        <f t="shared" si="6"/>
        <v>0</v>
      </c>
      <c r="P11" s="3">
        <f t="shared" si="7"/>
        <v>0.81170902669619116</v>
      </c>
      <c r="Q11" s="3">
        <f t="shared" si="19"/>
        <v>32.152199721930657</v>
      </c>
      <c r="R11" s="3">
        <f t="shared" si="8"/>
        <v>7.349500679858563E-2</v>
      </c>
      <c r="S11" s="3">
        <f t="shared" si="9"/>
        <v>8.211091974828404E-3</v>
      </c>
      <c r="T11" s="3">
        <f t="shared" si="10"/>
        <v>1.1644520868565289E-2</v>
      </c>
      <c r="U11" s="3">
        <f t="shared" si="11"/>
        <v>0.16466629081373854</v>
      </c>
      <c r="V11" s="3">
        <f t="shared" si="12"/>
        <v>3.2368270709322973E-2</v>
      </c>
      <c r="W11" s="3">
        <f t="shared" si="13"/>
        <v>1.143145356365798E-4</v>
      </c>
      <c r="X11" s="20">
        <f t="shared" si="14"/>
        <v>6.9872515513716982</v>
      </c>
      <c r="Y11" s="15">
        <f t="shared" si="1"/>
        <v>7.2408109486283001</v>
      </c>
      <c r="Z11" s="15">
        <f t="shared" si="2"/>
        <v>6.8029026537310546</v>
      </c>
      <c r="AA11" s="15">
        <f t="shared" si="3"/>
        <v>7.4251598462689437</v>
      </c>
      <c r="AB11" s="3">
        <f t="shared" si="15"/>
        <v>3.8470000000000004</v>
      </c>
      <c r="AC11" s="3">
        <f t="shared" si="16"/>
        <v>9.1170000000000009</v>
      </c>
      <c r="AD11" s="3">
        <f t="shared" si="17"/>
        <v>2.8470000000000004</v>
      </c>
      <c r="AE11" s="3">
        <f t="shared" si="18"/>
        <v>10.117000000000001</v>
      </c>
    </row>
    <row r="12" spans="1:31" ht="15.75" thickBot="1" x14ac:dyDescent="0.3">
      <c r="A12" s="24">
        <f t="shared" si="4"/>
        <v>6</v>
      </c>
      <c r="B12" s="58"/>
      <c r="C12" s="61">
        <v>10</v>
      </c>
      <c r="D12" s="62">
        <v>3.3</v>
      </c>
      <c r="E12" s="62">
        <v>5.5</v>
      </c>
      <c r="F12" s="62">
        <v>1.1000000000000001</v>
      </c>
      <c r="G12" s="62">
        <v>0.9</v>
      </c>
      <c r="H12" s="62">
        <v>1.1000000000000001</v>
      </c>
      <c r="I12" s="61">
        <v>6.5830000000000002</v>
      </c>
      <c r="J12" s="3">
        <f t="shared" si="5"/>
        <v>1</v>
      </c>
      <c r="K12" s="3">
        <f t="shared" si="0"/>
        <v>0.51851393987788741</v>
      </c>
      <c r="L12" s="3">
        <f t="shared" si="0"/>
        <v>0.74036268949424389</v>
      </c>
      <c r="M12" s="3">
        <f t="shared" si="0"/>
        <v>4.1392685158225077E-2</v>
      </c>
      <c r="N12" s="3">
        <f t="shared" si="0"/>
        <v>-4.5757490560675115E-2</v>
      </c>
      <c r="O12" s="3">
        <f t="shared" si="6"/>
        <v>4.1392685158225077E-2</v>
      </c>
      <c r="P12" s="3">
        <f t="shared" si="7"/>
        <v>0.81842385509207882</v>
      </c>
      <c r="Q12" s="3">
        <f t="shared" si="19"/>
        <v>33.230338130441467</v>
      </c>
      <c r="R12" s="3">
        <f t="shared" si="8"/>
        <v>5.0779077656280133E-2</v>
      </c>
      <c r="S12" s="3">
        <f t="shared" si="9"/>
        <v>4.2070174277141319E-3</v>
      </c>
      <c r="T12" s="3">
        <f t="shared" si="10"/>
        <v>7.4553955144282067E-3</v>
      </c>
      <c r="U12" s="3">
        <f t="shared" si="11"/>
        <v>1.5104698712362426E-2</v>
      </c>
      <c r="V12" s="3">
        <f t="shared" si="12"/>
        <v>0.14897000320487569</v>
      </c>
      <c r="W12" s="3">
        <f t="shared" si="13"/>
        <v>9.4254449767478313E-4</v>
      </c>
      <c r="X12" s="20">
        <f t="shared" si="14"/>
        <v>7.0050132038567607</v>
      </c>
      <c r="Y12" s="15">
        <f t="shared" si="1"/>
        <v>7.2230492961432375</v>
      </c>
      <c r="Z12" s="15">
        <f t="shared" si="2"/>
        <v>6.809707662651121</v>
      </c>
      <c r="AA12" s="15">
        <f t="shared" si="3"/>
        <v>7.4183548373488772</v>
      </c>
      <c r="AB12" s="3">
        <f t="shared" si="15"/>
        <v>3.9480000000000004</v>
      </c>
      <c r="AC12" s="3">
        <f t="shared" si="16"/>
        <v>9.218</v>
      </c>
      <c r="AD12" s="3">
        <f t="shared" si="17"/>
        <v>2.9480000000000004</v>
      </c>
      <c r="AE12" s="3">
        <f t="shared" si="18"/>
        <v>10.218</v>
      </c>
    </row>
    <row r="13" spans="1:31" ht="15.75" thickBot="1" x14ac:dyDescent="0.3">
      <c r="A13" s="24">
        <f t="shared" si="4"/>
        <v>7</v>
      </c>
      <c r="B13" s="58"/>
      <c r="C13" s="61">
        <v>8</v>
      </c>
      <c r="D13" s="62">
        <v>4.38</v>
      </c>
      <c r="E13" s="62">
        <v>4.5</v>
      </c>
      <c r="F13" s="62">
        <v>1.38</v>
      </c>
      <c r="G13" s="62">
        <v>0.25</v>
      </c>
      <c r="H13" s="62">
        <v>1</v>
      </c>
      <c r="I13" s="61">
        <v>6.6050000000000004</v>
      </c>
      <c r="J13" s="3">
        <f t="shared" si="5"/>
        <v>0.90308998699194354</v>
      </c>
      <c r="K13" s="3">
        <f t="shared" si="0"/>
        <v>0.64147411050409953</v>
      </c>
      <c r="L13" s="3">
        <f t="shared" si="0"/>
        <v>0.65321251377534373</v>
      </c>
      <c r="M13" s="3">
        <f t="shared" si="0"/>
        <v>0.13987908640123647</v>
      </c>
      <c r="N13" s="3">
        <f t="shared" si="0"/>
        <v>-0.6020599913279624</v>
      </c>
      <c r="O13" s="3">
        <f t="shared" si="6"/>
        <v>0</v>
      </c>
      <c r="P13" s="3">
        <f t="shared" si="7"/>
        <v>0.819872821950546</v>
      </c>
      <c r="Q13" s="3">
        <f t="shared" si="19"/>
        <v>33.467696466206441</v>
      </c>
      <c r="R13" s="3">
        <f t="shared" si="8"/>
        <v>0.10384644668118606</v>
      </c>
      <c r="S13" s="3">
        <f t="shared" si="9"/>
        <v>3.3754526214607103E-3</v>
      </c>
      <c r="T13" s="3">
        <f t="shared" si="10"/>
        <v>6.4890031722776751E-7</v>
      </c>
      <c r="U13" s="3">
        <f t="shared" si="11"/>
        <v>4.9012458727382385E-2</v>
      </c>
      <c r="V13" s="3">
        <f t="shared" si="12"/>
        <v>2.9014413140939062E-2</v>
      </c>
      <c r="W13" s="3">
        <f t="shared" si="13"/>
        <v>1.143145356365798E-4</v>
      </c>
      <c r="X13" s="20">
        <f t="shared" si="14"/>
        <v>6.9668272554635458</v>
      </c>
      <c r="Y13" s="15">
        <f t="shared" si="1"/>
        <v>7.2612352445364525</v>
      </c>
      <c r="Z13" s="15">
        <f t="shared" si="2"/>
        <v>6.794036050911811</v>
      </c>
      <c r="AA13" s="15">
        <f t="shared" si="3"/>
        <v>7.4340264490881873</v>
      </c>
      <c r="AB13" s="3">
        <f t="shared" si="15"/>
        <v>3.9700000000000006</v>
      </c>
      <c r="AC13" s="3">
        <f t="shared" si="16"/>
        <v>9.24</v>
      </c>
      <c r="AD13" s="3">
        <f t="shared" si="17"/>
        <v>2.9700000000000006</v>
      </c>
      <c r="AE13" s="3">
        <f t="shared" si="18"/>
        <v>10.24</v>
      </c>
    </row>
    <row r="14" spans="1:31" ht="15.75" thickBot="1" x14ac:dyDescent="0.3">
      <c r="A14" s="24">
        <f t="shared" si="4"/>
        <v>8</v>
      </c>
      <c r="B14" s="58"/>
      <c r="C14" s="61">
        <v>11</v>
      </c>
      <c r="D14" s="62">
        <v>3.55</v>
      </c>
      <c r="E14" s="62">
        <v>7.27</v>
      </c>
      <c r="F14" s="62">
        <v>0.82</v>
      </c>
      <c r="G14" s="62">
        <v>0.73</v>
      </c>
      <c r="H14" s="62">
        <v>1</v>
      </c>
      <c r="I14" s="61">
        <v>6.7489999999999997</v>
      </c>
      <c r="J14" s="3">
        <f t="shared" si="5"/>
        <v>1.0413926851582251</v>
      </c>
      <c r="K14" s="3">
        <f t="shared" si="0"/>
        <v>0.5502283530550941</v>
      </c>
      <c r="L14" s="3">
        <f t="shared" si="0"/>
        <v>0.86153441085903781</v>
      </c>
      <c r="M14" s="3">
        <f t="shared" si="0"/>
        <v>-8.6186147616283335E-2</v>
      </c>
      <c r="N14" s="3">
        <f t="shared" si="0"/>
        <v>-0.13667713987954411</v>
      </c>
      <c r="O14" s="3">
        <f t="shared" si="6"/>
        <v>0</v>
      </c>
      <c r="P14" s="3">
        <f t="shared" si="7"/>
        <v>0.82923942814138896</v>
      </c>
      <c r="Q14" s="3">
        <f t="shared" si="19"/>
        <v>35.043565228131783</v>
      </c>
      <c r="R14" s="3">
        <f t="shared" si="8"/>
        <v>3.3837399974581121E-2</v>
      </c>
      <c r="S14" s="3">
        <f t="shared" si="9"/>
        <v>1.098731023413397E-3</v>
      </c>
      <c r="T14" s="3">
        <f t="shared" si="10"/>
        <v>4.3063037008064055E-2</v>
      </c>
      <c r="U14" s="3">
        <f t="shared" si="11"/>
        <v>2.188048621438495E-5</v>
      </c>
      <c r="V14" s="3">
        <f t="shared" si="12"/>
        <v>8.7052540196669484E-2</v>
      </c>
      <c r="W14" s="3">
        <f t="shared" si="13"/>
        <v>1.143145356365798E-4</v>
      </c>
      <c r="X14" s="20">
        <f t="shared" si="14"/>
        <v>7.0204290008051498</v>
      </c>
      <c r="Y14" s="15">
        <f t="shared" si="1"/>
        <v>7.2076334991948485</v>
      </c>
      <c r="Z14" s="15">
        <f t="shared" si="2"/>
        <v>6.8148836401376842</v>
      </c>
      <c r="AA14" s="15">
        <f t="shared" si="3"/>
        <v>7.4131788598623141</v>
      </c>
      <c r="AB14" s="3">
        <f t="shared" si="15"/>
        <v>4.1139999999999999</v>
      </c>
      <c r="AC14" s="3">
        <f t="shared" si="16"/>
        <v>9.3840000000000003</v>
      </c>
      <c r="AD14" s="3">
        <f t="shared" si="17"/>
        <v>3.1139999999999999</v>
      </c>
      <c r="AE14" s="3">
        <f t="shared" si="18"/>
        <v>10.384</v>
      </c>
    </row>
    <row r="15" spans="1:31" ht="15.75" thickBot="1" x14ac:dyDescent="0.3">
      <c r="A15" s="24">
        <f t="shared" si="4"/>
        <v>9</v>
      </c>
      <c r="B15" s="58"/>
      <c r="C15" s="61">
        <v>19</v>
      </c>
      <c r="D15" s="62">
        <v>4.95</v>
      </c>
      <c r="E15" s="62">
        <v>3.42</v>
      </c>
      <c r="F15" s="62">
        <v>0.89</v>
      </c>
      <c r="G15" s="62">
        <v>0.37</v>
      </c>
      <c r="H15" s="62">
        <v>1.1100000000000001</v>
      </c>
      <c r="I15" s="61">
        <v>6.8630000000000004</v>
      </c>
      <c r="J15" s="3">
        <f t="shared" si="5"/>
        <v>1.2787536009528289</v>
      </c>
      <c r="K15" s="3">
        <f t="shared" si="0"/>
        <v>0.69460519893356876</v>
      </c>
      <c r="L15" s="3">
        <f t="shared" si="0"/>
        <v>0.53402610605613499</v>
      </c>
      <c r="M15" s="3">
        <f t="shared" si="0"/>
        <v>-5.0609993355087209E-2</v>
      </c>
      <c r="N15" s="3">
        <f t="shared" si="0"/>
        <v>-0.43179827593300502</v>
      </c>
      <c r="O15" s="3">
        <f t="shared" si="6"/>
        <v>4.5322978786657475E-2</v>
      </c>
      <c r="P15" s="3">
        <f t="shared" si="7"/>
        <v>0.83651399889067146</v>
      </c>
      <c r="Q15" s="3">
        <f t="shared" si="19"/>
        <v>36.318533521566707</v>
      </c>
      <c r="R15" s="3">
        <f t="shared" si="8"/>
        <v>2.8527847308022882E-3</v>
      </c>
      <c r="S15" s="3">
        <f t="shared" si="9"/>
        <v>1.2372053734001597E-2</v>
      </c>
      <c r="T15" s="3">
        <f t="shared" si="10"/>
        <v>1.4398068355432019E-2</v>
      </c>
      <c r="U15" s="3">
        <f t="shared" si="11"/>
        <v>9.5471705898671167E-4</v>
      </c>
      <c r="V15" s="3">
        <f t="shared" si="12"/>
        <v>5.5445070038652374E-9</v>
      </c>
      <c r="W15" s="3">
        <f t="shared" si="13"/>
        <v>1.1993187112990546E-3</v>
      </c>
      <c r="X15" s="20">
        <f t="shared" si="14"/>
        <v>7.0588160538695783</v>
      </c>
      <c r="Y15" s="15">
        <f t="shared" si="1"/>
        <v>7.1692464461304199</v>
      </c>
      <c r="Z15" s="15">
        <f t="shared" si="2"/>
        <v>6.8245893226368031</v>
      </c>
      <c r="AA15" s="15">
        <f t="shared" si="3"/>
        <v>7.4034731773631952</v>
      </c>
      <c r="AB15" s="3">
        <f t="shared" si="15"/>
        <v>4.2280000000000006</v>
      </c>
      <c r="AC15" s="3">
        <f t="shared" si="16"/>
        <v>9.4980000000000011</v>
      </c>
      <c r="AD15" s="3">
        <f t="shared" si="17"/>
        <v>3.2280000000000006</v>
      </c>
      <c r="AE15" s="3">
        <f t="shared" si="18"/>
        <v>10.498000000000001</v>
      </c>
    </row>
    <row r="16" spans="1:31" ht="15.75" thickBot="1" x14ac:dyDescent="0.3">
      <c r="A16" s="24">
        <f t="shared" si="4"/>
        <v>10</v>
      </c>
      <c r="B16" s="58"/>
      <c r="C16" s="61">
        <v>10</v>
      </c>
      <c r="D16" s="62">
        <v>4.3</v>
      </c>
      <c r="E16" s="62">
        <v>5.7</v>
      </c>
      <c r="F16" s="62">
        <v>2.1</v>
      </c>
      <c r="G16" s="62">
        <v>0.4</v>
      </c>
      <c r="H16" s="62">
        <v>1</v>
      </c>
      <c r="I16" s="61">
        <v>6.8789999999999996</v>
      </c>
      <c r="J16" s="3">
        <f t="shared" si="5"/>
        <v>1</v>
      </c>
      <c r="K16" s="3">
        <f t="shared" si="0"/>
        <v>0.63346845557958653</v>
      </c>
      <c r="L16" s="3">
        <f t="shared" si="0"/>
        <v>0.75587485567249146</v>
      </c>
      <c r="M16" s="3">
        <f t="shared" si="0"/>
        <v>0.3222192947339193</v>
      </c>
      <c r="N16" s="3">
        <f t="shared" si="0"/>
        <v>-0.3979400086720376</v>
      </c>
      <c r="O16" s="3">
        <f t="shared" si="6"/>
        <v>0</v>
      </c>
      <c r="P16" s="3">
        <f t="shared" si="7"/>
        <v>0.83752530944960124</v>
      </c>
      <c r="Q16" s="3">
        <f t="shared" si="19"/>
        <v>36.499416436561027</v>
      </c>
      <c r="R16" s="3">
        <f t="shared" si="8"/>
        <v>5.0779077656280133E-2</v>
      </c>
      <c r="S16" s="3">
        <f t="shared" si="9"/>
        <v>2.5093077155958544E-3</v>
      </c>
      <c r="T16" s="3">
        <f t="shared" si="10"/>
        <v>1.0374807381381778E-2</v>
      </c>
      <c r="U16" s="3">
        <f t="shared" si="11"/>
        <v>0.16299612369670052</v>
      </c>
      <c r="V16" s="3">
        <f t="shared" si="12"/>
        <v>1.1413455353146361E-3</v>
      </c>
      <c r="W16" s="3">
        <f t="shared" si="13"/>
        <v>1.143145356365798E-4</v>
      </c>
      <c r="X16" s="20">
        <f t="shared" si="14"/>
        <v>7.0050132038567607</v>
      </c>
      <c r="Y16" s="15">
        <f t="shared" si="1"/>
        <v>7.2230492961432375</v>
      </c>
      <c r="Z16" s="15">
        <f t="shared" si="2"/>
        <v>6.809707662651121</v>
      </c>
      <c r="AA16" s="15">
        <f t="shared" si="3"/>
        <v>7.4183548373488772</v>
      </c>
      <c r="AB16" s="3">
        <f t="shared" si="15"/>
        <v>4.2439999999999998</v>
      </c>
      <c r="AC16" s="3">
        <f t="shared" si="16"/>
        <v>9.5139999999999993</v>
      </c>
      <c r="AD16" s="3">
        <f t="shared" si="17"/>
        <v>3.2439999999999998</v>
      </c>
      <c r="AE16" s="3">
        <f t="shared" si="18"/>
        <v>10.513999999999999</v>
      </c>
    </row>
    <row r="17" spans="1:31" ht="15.75" thickBot="1" x14ac:dyDescent="0.3">
      <c r="A17" s="24">
        <f t="shared" si="4"/>
        <v>11</v>
      </c>
      <c r="B17" s="58"/>
      <c r="C17" s="61">
        <v>22</v>
      </c>
      <c r="D17" s="62">
        <v>1.91</v>
      </c>
      <c r="E17" s="62">
        <v>3</v>
      </c>
      <c r="F17" s="62">
        <v>0.41</v>
      </c>
      <c r="G17" s="62">
        <v>0.23</v>
      </c>
      <c r="H17" s="62">
        <v>1.05</v>
      </c>
      <c r="I17" s="61">
        <v>6.9480000000000004</v>
      </c>
      <c r="J17" s="3">
        <f t="shared" si="5"/>
        <v>1.3424226808222062</v>
      </c>
      <c r="K17" s="3">
        <f t="shared" si="0"/>
        <v>0.28103336724772754</v>
      </c>
      <c r="L17" s="3">
        <f t="shared" si="0"/>
        <v>0.47712125471966244</v>
      </c>
      <c r="M17" s="3">
        <f t="shared" si="0"/>
        <v>-0.38721614328026455</v>
      </c>
      <c r="N17" s="3">
        <f t="shared" si="0"/>
        <v>-0.63827216398240705</v>
      </c>
      <c r="O17" s="3">
        <f t="shared" si="6"/>
        <v>2.1189299069938092E-2</v>
      </c>
      <c r="P17" s="3">
        <f t="shared" si="7"/>
        <v>0.84185980977506103</v>
      </c>
      <c r="Q17" s="3">
        <f t="shared" si="19"/>
        <v>37.284948022680261</v>
      </c>
      <c r="R17" s="3">
        <f t="shared" si="8"/>
        <v>1.3707854288001484E-2</v>
      </c>
      <c r="S17" s="3">
        <f t="shared" si="9"/>
        <v>9.141074401053878E-2</v>
      </c>
      <c r="T17" s="3">
        <f t="shared" si="10"/>
        <v>3.1292478751532779E-2</v>
      </c>
      <c r="U17" s="3">
        <f t="shared" si="11"/>
        <v>9.3457169629605333E-2</v>
      </c>
      <c r="V17" s="3">
        <f t="shared" si="12"/>
        <v>4.266222067945076E-2</v>
      </c>
      <c r="W17" s="3">
        <f t="shared" si="13"/>
        <v>1.1019753738899945E-4</v>
      </c>
      <c r="X17" s="20">
        <f t="shared" si="14"/>
        <v>7.0429673530597823</v>
      </c>
      <c r="Y17" s="15">
        <f t="shared" si="1"/>
        <v>7.185095146940216</v>
      </c>
      <c r="Z17" s="15">
        <f t="shared" si="2"/>
        <v>6.8211524544542472</v>
      </c>
      <c r="AA17" s="15">
        <f t="shared" si="3"/>
        <v>7.4069100455457511</v>
      </c>
      <c r="AB17" s="3">
        <f t="shared" si="15"/>
        <v>4.3130000000000006</v>
      </c>
      <c r="AC17" s="3">
        <f t="shared" si="16"/>
        <v>9.5830000000000002</v>
      </c>
      <c r="AD17" s="3">
        <f t="shared" si="17"/>
        <v>3.3130000000000006</v>
      </c>
      <c r="AE17" s="3">
        <f t="shared" si="18"/>
        <v>10.583</v>
      </c>
    </row>
    <row r="18" spans="1:31" ht="15.75" thickBot="1" x14ac:dyDescent="0.3">
      <c r="A18" s="24">
        <f t="shared" si="4"/>
        <v>12</v>
      </c>
      <c r="B18" s="58"/>
      <c r="C18" s="61">
        <v>7</v>
      </c>
      <c r="D18" s="62">
        <v>8</v>
      </c>
      <c r="E18" s="62">
        <v>7.14</v>
      </c>
      <c r="F18" s="62">
        <v>0.71</v>
      </c>
      <c r="G18" s="62">
        <v>0.43</v>
      </c>
      <c r="H18" s="62">
        <v>1</v>
      </c>
      <c r="I18" s="61">
        <v>6.9720000000000004</v>
      </c>
      <c r="J18" s="3">
        <f t="shared" si="5"/>
        <v>0.84509804001425681</v>
      </c>
      <c r="K18" s="3">
        <f t="shared" si="0"/>
        <v>0.90308998699194354</v>
      </c>
      <c r="L18" s="3">
        <f t="shared" si="0"/>
        <v>0.85369821177617433</v>
      </c>
      <c r="M18" s="3">
        <f t="shared" si="0"/>
        <v>-0.14874165128092473</v>
      </c>
      <c r="N18" s="3">
        <f t="shared" si="0"/>
        <v>-0.36653154442041347</v>
      </c>
      <c r="O18" s="3">
        <f t="shared" si="6"/>
        <v>0</v>
      </c>
      <c r="P18" s="3">
        <f t="shared" si="7"/>
        <v>0.84335737843795555</v>
      </c>
      <c r="Q18" s="3">
        <f t="shared" si="19"/>
        <v>37.56026038282689</v>
      </c>
      <c r="R18" s="3">
        <f t="shared" si="8"/>
        <v>0.14458557151828394</v>
      </c>
      <c r="S18" s="3">
        <f t="shared" si="9"/>
        <v>0.10221737563884589</v>
      </c>
      <c r="T18" s="3">
        <f t="shared" si="10"/>
        <v>3.9872164104738823E-2</v>
      </c>
      <c r="U18" s="3">
        <f t="shared" si="11"/>
        <v>4.520298054006E-3</v>
      </c>
      <c r="V18" s="3">
        <f t="shared" si="12"/>
        <v>4.2500320763798529E-3</v>
      </c>
      <c r="W18" s="3">
        <f t="shared" si="13"/>
        <v>1.143145356365798E-4</v>
      </c>
      <c r="X18" s="20">
        <f t="shared" si="14"/>
        <v>6.9432093326453259</v>
      </c>
      <c r="Y18" s="15">
        <f t="shared" si="1"/>
        <v>7.2848531673546724</v>
      </c>
      <c r="Z18" s="15">
        <f t="shared" si="2"/>
        <v>6.7825074365555835</v>
      </c>
      <c r="AA18" s="15">
        <f t="shared" si="3"/>
        <v>7.4455550634444148</v>
      </c>
      <c r="AB18" s="3">
        <f t="shared" si="15"/>
        <v>4.3370000000000006</v>
      </c>
      <c r="AC18" s="3">
        <f t="shared" si="16"/>
        <v>9.6069999999999993</v>
      </c>
      <c r="AD18" s="3">
        <f t="shared" si="17"/>
        <v>3.3370000000000006</v>
      </c>
      <c r="AE18" s="3">
        <f t="shared" si="18"/>
        <v>10.606999999999999</v>
      </c>
    </row>
    <row r="19" spans="1:31" ht="15.75" thickBot="1" x14ac:dyDescent="0.3">
      <c r="A19" s="24">
        <f t="shared" si="4"/>
        <v>13</v>
      </c>
      <c r="B19" s="58"/>
      <c r="C19" s="61">
        <v>25</v>
      </c>
      <c r="D19" s="62">
        <v>2.68</v>
      </c>
      <c r="E19" s="62">
        <v>2.6</v>
      </c>
      <c r="F19" s="62">
        <v>0.44</v>
      </c>
      <c r="G19" s="62">
        <v>0.32</v>
      </c>
      <c r="H19" s="62">
        <v>1.04</v>
      </c>
      <c r="I19" s="61">
        <v>7.0069999999999997</v>
      </c>
      <c r="J19" s="3">
        <f t="shared" si="5"/>
        <v>1.3979400086720377</v>
      </c>
      <c r="K19" s="3">
        <f t="shared" si="0"/>
        <v>0.42813479402878885</v>
      </c>
      <c r="L19" s="3">
        <f t="shared" si="0"/>
        <v>0.41497334797081797</v>
      </c>
      <c r="M19" s="3">
        <f t="shared" si="0"/>
        <v>-0.35654732351381258</v>
      </c>
      <c r="N19" s="3">
        <f t="shared" si="0"/>
        <v>-0.49485002168009401</v>
      </c>
      <c r="O19" s="3">
        <f t="shared" si="6"/>
        <v>1.703333929878037E-2</v>
      </c>
      <c r="P19" s="3">
        <f t="shared" si="7"/>
        <v>0.84553211749357549</v>
      </c>
      <c r="Q19" s="3">
        <f t="shared" si="19"/>
        <v>37.963686467158205</v>
      </c>
      <c r="R19" s="3">
        <f t="shared" si="8"/>
        <v>2.9790026111059052E-2</v>
      </c>
      <c r="S19" s="3">
        <f t="shared" si="9"/>
        <v>2.4099665891394853E-2</v>
      </c>
      <c r="T19" s="3">
        <f t="shared" si="10"/>
        <v>5.7142373042578666E-2</v>
      </c>
      <c r="U19" s="3">
        <f t="shared" si="11"/>
        <v>7.5646360260455695E-2</v>
      </c>
      <c r="V19" s="3">
        <f t="shared" si="12"/>
        <v>3.9849180346385954E-3</v>
      </c>
      <c r="W19" s="3">
        <f t="shared" si="13"/>
        <v>4.021515128509683E-5</v>
      </c>
      <c r="X19" s="20">
        <f t="shared" si="14"/>
        <v>7.0245038080561049</v>
      </c>
      <c r="Y19" s="15">
        <f t="shared" si="1"/>
        <v>7.2035586919438934</v>
      </c>
      <c r="Z19" s="15">
        <f t="shared" si="2"/>
        <v>6.816133491879838</v>
      </c>
      <c r="AA19" s="15">
        <f t="shared" si="3"/>
        <v>7.4119290081201603</v>
      </c>
      <c r="AB19" s="3">
        <f t="shared" si="15"/>
        <v>4.3719999999999999</v>
      </c>
      <c r="AC19" s="3">
        <f t="shared" si="16"/>
        <v>9.6419999999999995</v>
      </c>
      <c r="AD19" s="3">
        <f t="shared" si="17"/>
        <v>3.3719999999999999</v>
      </c>
      <c r="AE19" s="3">
        <f t="shared" si="18"/>
        <v>10.641999999999999</v>
      </c>
    </row>
    <row r="20" spans="1:31" ht="15.75" thickBot="1" x14ac:dyDescent="0.3">
      <c r="A20" s="24">
        <f t="shared" si="4"/>
        <v>14</v>
      </c>
      <c r="B20" s="58"/>
      <c r="C20" s="61">
        <v>10</v>
      </c>
      <c r="D20" s="62">
        <v>4.3</v>
      </c>
      <c r="E20" s="62">
        <v>6.9</v>
      </c>
      <c r="F20" s="62">
        <v>0.6</v>
      </c>
      <c r="G20" s="62">
        <v>0.4</v>
      </c>
      <c r="H20" s="62">
        <v>1</v>
      </c>
      <c r="I20" s="61">
        <v>7.0149999999999997</v>
      </c>
      <c r="J20" s="3">
        <f t="shared" si="5"/>
        <v>1</v>
      </c>
      <c r="K20" s="3">
        <f t="shared" si="0"/>
        <v>0.63346845557958653</v>
      </c>
      <c r="L20" s="3">
        <f t="shared" si="0"/>
        <v>0.83884909073725533</v>
      </c>
      <c r="M20" s="3">
        <f t="shared" si="0"/>
        <v>-0.22184874961635639</v>
      </c>
      <c r="N20" s="3">
        <f t="shared" si="0"/>
        <v>-0.3979400086720376</v>
      </c>
      <c r="O20" s="3">
        <f t="shared" si="6"/>
        <v>0</v>
      </c>
      <c r="P20" s="3">
        <f t="shared" si="7"/>
        <v>0.84602767536437873</v>
      </c>
      <c r="Q20" s="3">
        <f t="shared" si="19"/>
        <v>38.056219542120218</v>
      </c>
      <c r="R20" s="3">
        <f t="shared" si="8"/>
        <v>5.0779077656280133E-2</v>
      </c>
      <c r="S20" s="3">
        <f t="shared" si="9"/>
        <v>2.5093077155958544E-3</v>
      </c>
      <c r="T20" s="3">
        <f t="shared" si="10"/>
        <v>3.4162510933618863E-2</v>
      </c>
      <c r="U20" s="3">
        <f t="shared" si="11"/>
        <v>1.9695388632374893E-2</v>
      </c>
      <c r="V20" s="3">
        <f t="shared" si="12"/>
        <v>1.1413455353146361E-3</v>
      </c>
      <c r="W20" s="3">
        <f t="shared" si="13"/>
        <v>1.143145356365798E-4</v>
      </c>
      <c r="X20" s="20">
        <f t="shared" si="14"/>
        <v>7.0050132038567607</v>
      </c>
      <c r="Y20" s="15">
        <f t="shared" si="1"/>
        <v>7.2230492961432375</v>
      </c>
      <c r="Z20" s="15">
        <f t="shared" si="2"/>
        <v>6.809707662651121</v>
      </c>
      <c r="AA20" s="15">
        <f t="shared" si="3"/>
        <v>7.4183548373488772</v>
      </c>
      <c r="AB20" s="3">
        <f t="shared" si="15"/>
        <v>4.38</v>
      </c>
      <c r="AC20" s="3">
        <f t="shared" si="16"/>
        <v>9.6499999999999986</v>
      </c>
      <c r="AD20" s="3">
        <f t="shared" si="17"/>
        <v>3.38</v>
      </c>
      <c r="AE20" s="3">
        <f t="shared" si="18"/>
        <v>10.649999999999999</v>
      </c>
    </row>
    <row r="21" spans="1:31" ht="15.75" thickBot="1" x14ac:dyDescent="0.3">
      <c r="A21" s="24">
        <f t="shared" si="4"/>
        <v>15</v>
      </c>
      <c r="B21" s="58"/>
      <c r="C21" s="61">
        <v>9</v>
      </c>
      <c r="D21" s="62">
        <v>4.4400000000000004</v>
      </c>
      <c r="E21" s="62">
        <v>3.33</v>
      </c>
      <c r="F21" s="62">
        <v>0.67</v>
      </c>
      <c r="G21" s="62">
        <v>0.44</v>
      </c>
      <c r="H21" s="62">
        <v>1</v>
      </c>
      <c r="I21" s="61">
        <v>7.1070000000000002</v>
      </c>
      <c r="J21" s="3">
        <f t="shared" si="5"/>
        <v>0.95424250943932487</v>
      </c>
      <c r="K21" s="3">
        <f t="shared" si="0"/>
        <v>0.64738297011461987</v>
      </c>
      <c r="L21" s="3">
        <f t="shared" si="0"/>
        <v>0.52244423350631986</v>
      </c>
      <c r="M21" s="3">
        <f t="shared" si="0"/>
        <v>-0.17392519729917355</v>
      </c>
      <c r="N21" s="3">
        <f t="shared" si="0"/>
        <v>-0.35654732351381258</v>
      </c>
      <c r="O21" s="3">
        <f t="shared" si="6"/>
        <v>0</v>
      </c>
      <c r="P21" s="3">
        <f t="shared" si="7"/>
        <v>0.85168631544242757</v>
      </c>
      <c r="Q21" s="3">
        <f t="shared" si="19"/>
        <v>39.128949292213235</v>
      </c>
      <c r="R21" s="3">
        <f t="shared" si="8"/>
        <v>7.349500679858563E-2</v>
      </c>
      <c r="S21" s="3">
        <f t="shared" si="9"/>
        <v>4.0969607242732752E-3</v>
      </c>
      <c r="T21" s="3">
        <f t="shared" si="10"/>
        <v>1.7311671099051924E-2</v>
      </c>
      <c r="U21" s="3">
        <f t="shared" si="11"/>
        <v>8.5408478954838753E-3</v>
      </c>
      <c r="V21" s="3">
        <f t="shared" si="12"/>
        <v>5.6515047949784207E-3</v>
      </c>
      <c r="W21" s="3">
        <f t="shared" si="13"/>
        <v>1.143145356365798E-4</v>
      </c>
      <c r="X21" s="20">
        <f t="shared" si="14"/>
        <v>6.9872515513716982</v>
      </c>
      <c r="Y21" s="15">
        <f t="shared" si="1"/>
        <v>7.2408109486283001</v>
      </c>
      <c r="Z21" s="15">
        <f t="shared" si="2"/>
        <v>6.8029026537310546</v>
      </c>
      <c r="AA21" s="15">
        <f t="shared" si="3"/>
        <v>7.4251598462689437</v>
      </c>
      <c r="AB21" s="3">
        <f t="shared" si="15"/>
        <v>4.4720000000000004</v>
      </c>
      <c r="AC21" s="3">
        <f t="shared" si="16"/>
        <v>9.7420000000000009</v>
      </c>
      <c r="AD21" s="3">
        <f t="shared" si="17"/>
        <v>3.4720000000000004</v>
      </c>
      <c r="AE21" s="3">
        <f t="shared" si="18"/>
        <v>10.742000000000001</v>
      </c>
    </row>
    <row r="22" spans="1:31" ht="15.75" thickBot="1" x14ac:dyDescent="0.3">
      <c r="A22" s="24">
        <f t="shared" si="4"/>
        <v>16</v>
      </c>
      <c r="B22" s="58"/>
      <c r="C22" s="61">
        <v>12</v>
      </c>
      <c r="D22" s="62">
        <v>6.33</v>
      </c>
      <c r="E22" s="62">
        <v>4.67</v>
      </c>
      <c r="F22" s="62">
        <v>1.08</v>
      </c>
      <c r="G22" s="62">
        <v>0.33</v>
      </c>
      <c r="H22" s="62">
        <v>1</v>
      </c>
      <c r="I22" s="61">
        <v>7.1239999999999997</v>
      </c>
      <c r="J22" s="3">
        <f t="shared" si="5"/>
        <v>1.0791812460476249</v>
      </c>
      <c r="K22" s="3">
        <f t="shared" si="0"/>
        <v>0.80140371001735511</v>
      </c>
      <c r="L22" s="3">
        <f t="shared" si="0"/>
        <v>0.66931688056611216</v>
      </c>
      <c r="M22" s="3">
        <f t="shared" si="0"/>
        <v>3.342375548694973E-2</v>
      </c>
      <c r="N22" s="3">
        <f t="shared" si="0"/>
        <v>-0.48148606012211248</v>
      </c>
      <c r="O22" s="3">
        <f t="shared" si="6"/>
        <v>0</v>
      </c>
      <c r="P22" s="3">
        <f t="shared" si="7"/>
        <v>0.85272391079120591</v>
      </c>
      <c r="Q22" s="3">
        <f t="shared" si="19"/>
        <v>39.328903787081941</v>
      </c>
      <c r="R22" s="3">
        <f t="shared" si="8"/>
        <v>2.1363005362005225E-2</v>
      </c>
      <c r="S22" s="3">
        <f t="shared" si="9"/>
        <v>4.7536315670566993E-2</v>
      </c>
      <c r="T22" s="3">
        <f t="shared" si="10"/>
        <v>2.3405399433217751E-4</v>
      </c>
      <c r="U22" s="3">
        <f t="shared" si="11"/>
        <v>1.3209420919028504E-2</v>
      </c>
      <c r="V22" s="3">
        <f t="shared" si="12"/>
        <v>2.476281090691178E-3</v>
      </c>
      <c r="W22" s="3">
        <f t="shared" si="13"/>
        <v>1.143145356365798E-4</v>
      </c>
      <c r="X22" s="20">
        <f t="shared" si="14"/>
        <v>7.0336480118264433</v>
      </c>
      <c r="Y22" s="15">
        <f t="shared" si="1"/>
        <v>7.194414488173555</v>
      </c>
      <c r="Z22" s="15">
        <f t="shared" si="2"/>
        <v>6.8187527773487284</v>
      </c>
      <c r="AA22" s="15">
        <f t="shared" si="3"/>
        <v>7.4093097226512699</v>
      </c>
      <c r="AB22" s="3">
        <f t="shared" si="15"/>
        <v>4.4889999999999999</v>
      </c>
      <c r="AC22" s="3">
        <f t="shared" si="16"/>
        <v>9.7590000000000003</v>
      </c>
      <c r="AD22" s="3">
        <f t="shared" si="17"/>
        <v>3.4889999999999999</v>
      </c>
      <c r="AE22" s="3">
        <f t="shared" si="18"/>
        <v>10.759</v>
      </c>
    </row>
    <row r="23" spans="1:31" ht="15.75" thickBot="1" x14ac:dyDescent="0.3">
      <c r="A23" s="24">
        <f t="shared" si="4"/>
        <v>17</v>
      </c>
      <c r="B23" s="58"/>
      <c r="C23" s="61">
        <v>11</v>
      </c>
      <c r="D23" s="62">
        <v>5.27</v>
      </c>
      <c r="E23" s="62">
        <v>7.18</v>
      </c>
      <c r="F23" s="62">
        <v>1</v>
      </c>
      <c r="G23" s="62">
        <v>0.64</v>
      </c>
      <c r="H23" s="62">
        <v>1.0900000000000001</v>
      </c>
      <c r="I23" s="61">
        <v>7.1529999999999996</v>
      </c>
      <c r="J23" s="3">
        <f t="shared" si="5"/>
        <v>1.0413926851582251</v>
      </c>
      <c r="K23" s="3">
        <f t="shared" si="5"/>
        <v>0.72181061521254652</v>
      </c>
      <c r="L23" s="3">
        <f t="shared" si="5"/>
        <v>0.85612444424230028</v>
      </c>
      <c r="M23" s="3">
        <f t="shared" si="5"/>
        <v>0</v>
      </c>
      <c r="N23" s="3">
        <f t="shared" si="5"/>
        <v>-0.19382002601611281</v>
      </c>
      <c r="O23" s="3">
        <f t="shared" si="6"/>
        <v>3.7426497940623665E-2</v>
      </c>
      <c r="P23" s="3">
        <f t="shared" si="7"/>
        <v>0.85448822504443034</v>
      </c>
      <c r="Q23" s="3">
        <f t="shared" si="19"/>
        <v>39.671250579253957</v>
      </c>
      <c r="R23" s="3">
        <f t="shared" si="8"/>
        <v>3.3837399974581121E-2</v>
      </c>
      <c r="S23" s="3">
        <f t="shared" si="9"/>
        <v>1.9164290843081834E-2</v>
      </c>
      <c r="T23" s="3">
        <f t="shared" si="10"/>
        <v>4.0846991656140079E-2</v>
      </c>
      <c r="U23" s="3">
        <f t="shared" si="11"/>
        <v>6.6436338473014906E-3</v>
      </c>
      <c r="V23" s="3">
        <f t="shared" si="12"/>
        <v>5.6598212568600287E-2</v>
      </c>
      <c r="W23" s="3">
        <f t="shared" si="13"/>
        <v>7.1474420301004574E-4</v>
      </c>
      <c r="X23" s="20">
        <f t="shared" si="14"/>
        <v>7.0204290008051498</v>
      </c>
      <c r="Y23" s="15">
        <f t="shared" si="1"/>
        <v>7.2076334991948485</v>
      </c>
      <c r="Z23" s="15">
        <f t="shared" si="2"/>
        <v>6.8148836401376842</v>
      </c>
      <c r="AA23" s="15">
        <f t="shared" si="3"/>
        <v>7.4131788598623141</v>
      </c>
      <c r="AB23" s="3">
        <f t="shared" si="15"/>
        <v>4.5179999999999998</v>
      </c>
      <c r="AC23" s="3">
        <f t="shared" si="16"/>
        <v>9.7880000000000003</v>
      </c>
      <c r="AD23" s="3">
        <f t="shared" si="17"/>
        <v>3.5179999999999998</v>
      </c>
      <c r="AE23" s="3">
        <f t="shared" si="18"/>
        <v>10.788</v>
      </c>
    </row>
    <row r="24" spans="1:31" ht="15.75" thickBot="1" x14ac:dyDescent="0.3">
      <c r="A24" s="24">
        <f t="shared" si="4"/>
        <v>18</v>
      </c>
      <c r="B24" s="58"/>
      <c r="C24" s="61">
        <v>23</v>
      </c>
      <c r="D24" s="62">
        <v>3.65</v>
      </c>
      <c r="E24" s="62">
        <v>2.87</v>
      </c>
      <c r="F24" s="62">
        <v>0.43</v>
      </c>
      <c r="G24" s="62">
        <v>0.35</v>
      </c>
      <c r="H24" s="62">
        <v>1.04</v>
      </c>
      <c r="I24" s="61">
        <v>7.1689999999999996</v>
      </c>
      <c r="J24" s="3">
        <f t="shared" si="5"/>
        <v>1.3617278360175928</v>
      </c>
      <c r="K24" s="3">
        <f t="shared" si="5"/>
        <v>0.56229286445647475</v>
      </c>
      <c r="L24" s="3">
        <f t="shared" si="5"/>
        <v>0.45788189673399232</v>
      </c>
      <c r="M24" s="3">
        <f t="shared" si="5"/>
        <v>-0.36653154442041347</v>
      </c>
      <c r="N24" s="3">
        <f t="shared" si="5"/>
        <v>-0.45593195564972439</v>
      </c>
      <c r="O24" s="3">
        <f t="shared" si="6"/>
        <v>1.703333929878037E-2</v>
      </c>
      <c r="P24" s="3">
        <f t="shared" si="7"/>
        <v>0.85545858038603606</v>
      </c>
      <c r="Q24" s="3">
        <f t="shared" si="19"/>
        <v>39.860805257181106</v>
      </c>
      <c r="R24" s="3">
        <f t="shared" si="8"/>
        <v>1.8601059532893243E-2</v>
      </c>
      <c r="S24" s="3">
        <f t="shared" si="9"/>
        <v>4.4447604130530999E-4</v>
      </c>
      <c r="T24" s="3">
        <f t="shared" si="10"/>
        <v>3.8469393468697446E-2</v>
      </c>
      <c r="U24" s="3">
        <f t="shared" si="11"/>
        <v>8.1238141882568685E-2</v>
      </c>
      <c r="V24" s="3">
        <f t="shared" si="12"/>
        <v>5.860340985747775E-4</v>
      </c>
      <c r="W24" s="3">
        <f t="shared" si="13"/>
        <v>4.021515128509683E-5</v>
      </c>
      <c r="X24" s="20">
        <f t="shared" si="14"/>
        <v>7.0368804730560797</v>
      </c>
      <c r="Y24" s="15">
        <f t="shared" si="1"/>
        <v>7.1911820269439186</v>
      </c>
      <c r="Z24" s="15">
        <f t="shared" si="2"/>
        <v>6.819616315230971</v>
      </c>
      <c r="AA24" s="15">
        <f t="shared" si="3"/>
        <v>7.4084461847690273</v>
      </c>
      <c r="AB24" s="3">
        <f t="shared" si="15"/>
        <v>4.5339999999999998</v>
      </c>
      <c r="AC24" s="3">
        <f t="shared" si="16"/>
        <v>9.8039999999999985</v>
      </c>
      <c r="AD24" s="3">
        <f t="shared" si="17"/>
        <v>3.5339999999999998</v>
      </c>
      <c r="AE24" s="3">
        <f t="shared" si="18"/>
        <v>10.803999999999998</v>
      </c>
    </row>
    <row r="25" spans="1:31" ht="15.75" thickBot="1" x14ac:dyDescent="0.3">
      <c r="A25" s="24">
        <f t="shared" si="4"/>
        <v>19</v>
      </c>
      <c r="B25" s="58"/>
      <c r="C25" s="61">
        <v>27</v>
      </c>
      <c r="D25" s="62">
        <v>2.04</v>
      </c>
      <c r="E25" s="62">
        <v>3.07</v>
      </c>
      <c r="F25" s="62">
        <v>0.59</v>
      </c>
      <c r="G25" s="62">
        <v>0.19</v>
      </c>
      <c r="H25" s="62">
        <v>1.04</v>
      </c>
      <c r="I25" s="61">
        <v>7.2190000000000003</v>
      </c>
      <c r="J25" s="3">
        <f t="shared" si="5"/>
        <v>1.4313637641589874</v>
      </c>
      <c r="K25" s="3">
        <f t="shared" si="5"/>
        <v>0.30963016742589877</v>
      </c>
      <c r="L25" s="3">
        <f t="shared" si="5"/>
        <v>0.48713837547718647</v>
      </c>
      <c r="M25" s="3">
        <f t="shared" si="5"/>
        <v>-0.22914798835785583</v>
      </c>
      <c r="N25" s="3">
        <f t="shared" si="5"/>
        <v>-0.72124639904717103</v>
      </c>
      <c r="O25" s="3">
        <f t="shared" si="6"/>
        <v>1.703333929878037E-2</v>
      </c>
      <c r="P25" s="3">
        <f t="shared" si="7"/>
        <v>0.8584770418133405</v>
      </c>
      <c r="Q25" s="3">
        <f t="shared" si="19"/>
        <v>40.456252301619585</v>
      </c>
      <c r="R25" s="3">
        <f t="shared" si="8"/>
        <v>4.244491181853393E-2</v>
      </c>
      <c r="S25" s="3">
        <f t="shared" si="9"/>
        <v>7.4936487887158329E-2</v>
      </c>
      <c r="T25" s="3">
        <f t="shared" si="10"/>
        <v>2.7848828194327012E-2</v>
      </c>
      <c r="U25" s="3">
        <f t="shared" si="11"/>
        <v>2.1797421647035495E-2</v>
      </c>
      <c r="V25" s="3">
        <f t="shared" si="12"/>
        <v>8.3823326970645207E-2</v>
      </c>
      <c r="W25" s="3">
        <f t="shared" si="13"/>
        <v>4.021515128509683E-5</v>
      </c>
      <c r="X25" s="20">
        <f t="shared" si="14"/>
        <v>7.0123043791545046</v>
      </c>
      <c r="Y25" s="15">
        <f t="shared" si="1"/>
        <v>7.2157581208454937</v>
      </c>
      <c r="Z25" s="15">
        <f t="shared" si="2"/>
        <v>6.8122428014403882</v>
      </c>
      <c r="AA25" s="15">
        <f t="shared" si="3"/>
        <v>7.4158196985596101</v>
      </c>
      <c r="AB25" s="3">
        <f t="shared" si="15"/>
        <v>4.5840000000000005</v>
      </c>
      <c r="AC25" s="3">
        <f t="shared" si="16"/>
        <v>9.8539999999999992</v>
      </c>
      <c r="AD25" s="3">
        <f t="shared" si="17"/>
        <v>3.5840000000000005</v>
      </c>
      <c r="AE25" s="3">
        <f t="shared" si="18"/>
        <v>10.853999999999999</v>
      </c>
    </row>
    <row r="26" spans="1:31" ht="15.75" thickBot="1" x14ac:dyDescent="0.3">
      <c r="A26" s="24">
        <f t="shared" si="4"/>
        <v>20</v>
      </c>
      <c r="B26" s="58"/>
      <c r="C26" s="61">
        <v>35</v>
      </c>
      <c r="D26" s="62">
        <v>2.69</v>
      </c>
      <c r="E26" s="62">
        <v>2.2599999999999998</v>
      </c>
      <c r="F26" s="62">
        <v>0.26</v>
      </c>
      <c r="G26" s="62">
        <v>0.17</v>
      </c>
      <c r="H26" s="62">
        <v>1.06</v>
      </c>
      <c r="I26" s="61">
        <v>7.2690000000000001</v>
      </c>
      <c r="J26" s="3">
        <f t="shared" si="5"/>
        <v>1.5440680443502757</v>
      </c>
      <c r="K26" s="3">
        <f t="shared" si="5"/>
        <v>0.42975228000240795</v>
      </c>
      <c r="L26" s="3">
        <f t="shared" si="5"/>
        <v>0.35410843914740087</v>
      </c>
      <c r="M26" s="3">
        <f t="shared" si="5"/>
        <v>-0.58502665202918203</v>
      </c>
      <c r="N26" s="3">
        <f t="shared" si="5"/>
        <v>-0.769551078621726</v>
      </c>
      <c r="O26" s="3">
        <f t="shared" si="6"/>
        <v>2.5305865264770262E-2</v>
      </c>
      <c r="P26" s="3">
        <f t="shared" si="7"/>
        <v>0.86147466885716861</v>
      </c>
      <c r="Q26" s="3">
        <f t="shared" si="19"/>
        <v>41.05638086923706</v>
      </c>
      <c r="R26" s="3">
        <f t="shared" si="8"/>
        <v>0.10158620550343193</v>
      </c>
      <c r="S26" s="3">
        <f t="shared" si="9"/>
        <v>2.3600082936942872E-2</v>
      </c>
      <c r="T26" s="3">
        <f t="shared" si="10"/>
        <v>8.9945779040747284E-2</v>
      </c>
      <c r="U26" s="3">
        <f t="shared" si="11"/>
        <v>0.25353054007873987</v>
      </c>
      <c r="V26" s="3">
        <f t="shared" si="12"/>
        <v>0.11412726039303843</v>
      </c>
      <c r="W26" s="3">
        <f t="shared" si="13"/>
        <v>2.135709740970093E-4</v>
      </c>
      <c r="X26" s="20">
        <f t="shared" si="14"/>
        <v>6.9682495873051709</v>
      </c>
      <c r="Y26" s="15">
        <f t="shared" si="1"/>
        <v>7.2598129126948274</v>
      </c>
      <c r="Z26" s="15">
        <f t="shared" si="2"/>
        <v>6.794687853935403</v>
      </c>
      <c r="AA26" s="15">
        <f t="shared" si="3"/>
        <v>7.4333746460645953</v>
      </c>
      <c r="AB26" s="3">
        <f t="shared" si="15"/>
        <v>4.6340000000000003</v>
      </c>
      <c r="AC26" s="3">
        <f t="shared" si="16"/>
        <v>9.9039999999999999</v>
      </c>
      <c r="AD26" s="3">
        <f t="shared" si="17"/>
        <v>3.6340000000000003</v>
      </c>
      <c r="AE26" s="3">
        <f t="shared" si="18"/>
        <v>10.904</v>
      </c>
    </row>
    <row r="27" spans="1:31" ht="15.75" thickBot="1" x14ac:dyDescent="0.3">
      <c r="A27" s="24">
        <f t="shared" si="4"/>
        <v>21</v>
      </c>
      <c r="B27" s="58"/>
      <c r="C27" s="61">
        <v>12</v>
      </c>
      <c r="D27" s="62">
        <v>7.33</v>
      </c>
      <c r="E27" s="62">
        <v>6.67</v>
      </c>
      <c r="F27" s="62">
        <v>0.5</v>
      </c>
      <c r="G27" s="62">
        <v>0.42</v>
      </c>
      <c r="H27" s="62">
        <v>1</v>
      </c>
      <c r="I27" s="61">
        <v>7.2919999999999998</v>
      </c>
      <c r="J27" s="3">
        <f t="shared" si="5"/>
        <v>1.0791812460476249</v>
      </c>
      <c r="K27" s="3">
        <f t="shared" si="5"/>
        <v>0.86510397464112798</v>
      </c>
      <c r="L27" s="3">
        <f t="shared" si="5"/>
        <v>0.82412583391654892</v>
      </c>
      <c r="M27" s="3">
        <f t="shared" si="5"/>
        <v>-0.3010299956639812</v>
      </c>
      <c r="N27" s="3">
        <f t="shared" si="5"/>
        <v>-0.37675070960209955</v>
      </c>
      <c r="O27" s="3">
        <f t="shared" si="6"/>
        <v>0</v>
      </c>
      <c r="P27" s="3">
        <f t="shared" si="7"/>
        <v>0.86284665998293864</v>
      </c>
      <c r="Q27" s="3">
        <f t="shared" si="19"/>
        <v>41.334012669452534</v>
      </c>
      <c r="R27" s="3">
        <f t="shared" si="8"/>
        <v>2.1363005362005225E-2</v>
      </c>
      <c r="S27" s="3">
        <f t="shared" si="9"/>
        <v>7.9370953203041772E-2</v>
      </c>
      <c r="T27" s="3">
        <f t="shared" si="10"/>
        <v>2.893665567659412E-2</v>
      </c>
      <c r="U27" s="3">
        <f t="shared" si="11"/>
        <v>4.8189691704242386E-2</v>
      </c>
      <c r="V27" s="3">
        <f t="shared" si="12"/>
        <v>3.0220422606399701E-3</v>
      </c>
      <c r="W27" s="3">
        <f t="shared" si="13"/>
        <v>1.143145356365798E-4</v>
      </c>
      <c r="X27" s="20">
        <f t="shared" si="14"/>
        <v>7.0336480118264433</v>
      </c>
      <c r="Y27" s="15">
        <f t="shared" si="1"/>
        <v>7.194414488173555</v>
      </c>
      <c r="Z27" s="15">
        <f t="shared" si="2"/>
        <v>6.8187527773487284</v>
      </c>
      <c r="AA27" s="15">
        <f t="shared" si="3"/>
        <v>7.4093097226512699</v>
      </c>
      <c r="AB27" s="3">
        <f t="shared" si="15"/>
        <v>4.657</v>
      </c>
      <c r="AC27" s="3">
        <f t="shared" si="16"/>
        <v>9.9269999999999996</v>
      </c>
      <c r="AD27" s="3">
        <f t="shared" si="17"/>
        <v>3.657</v>
      </c>
      <c r="AE27" s="3">
        <f t="shared" si="18"/>
        <v>10.927</v>
      </c>
    </row>
    <row r="28" spans="1:31" ht="15.75" thickBot="1" x14ac:dyDescent="0.3">
      <c r="A28" s="24">
        <f t="shared" si="4"/>
        <v>22</v>
      </c>
      <c r="B28" s="58"/>
      <c r="C28" s="61">
        <v>19</v>
      </c>
      <c r="D28" s="62">
        <v>5.74</v>
      </c>
      <c r="E28" s="62">
        <v>5.47</v>
      </c>
      <c r="F28" s="62">
        <v>0.79</v>
      </c>
      <c r="G28" s="62">
        <v>0.26</v>
      </c>
      <c r="H28" s="62">
        <v>1</v>
      </c>
      <c r="I28" s="61">
        <v>7.3010000000000002</v>
      </c>
      <c r="J28" s="3">
        <f t="shared" si="5"/>
        <v>1.2787536009528289</v>
      </c>
      <c r="K28" s="3">
        <f t="shared" si="5"/>
        <v>0.75891189239797352</v>
      </c>
      <c r="L28" s="3">
        <f t="shared" si="5"/>
        <v>0.73798732633343078</v>
      </c>
      <c r="M28" s="3">
        <f t="shared" si="5"/>
        <v>-0.10237290870955855</v>
      </c>
      <c r="N28" s="3">
        <f t="shared" si="5"/>
        <v>-0.58502665202918203</v>
      </c>
      <c r="O28" s="3">
        <f t="shared" si="6"/>
        <v>0</v>
      </c>
      <c r="P28" s="3">
        <f t="shared" si="7"/>
        <v>0.86338234844078776</v>
      </c>
      <c r="Q28" s="3">
        <f t="shared" si="19"/>
        <v>41.442921027666749</v>
      </c>
      <c r="R28" s="3">
        <f t="shared" si="8"/>
        <v>2.8527847308022882E-3</v>
      </c>
      <c r="S28" s="3">
        <f t="shared" si="9"/>
        <v>3.0813037380050364E-2</v>
      </c>
      <c r="T28" s="3">
        <f t="shared" si="10"/>
        <v>7.0508381475216722E-3</v>
      </c>
      <c r="U28" s="3">
        <f t="shared" si="11"/>
        <v>4.3532399234906088E-4</v>
      </c>
      <c r="V28" s="3">
        <f t="shared" si="12"/>
        <v>2.3501759998613758E-2</v>
      </c>
      <c r="W28" s="3">
        <f t="shared" si="13"/>
        <v>1.143145356365798E-4</v>
      </c>
      <c r="X28" s="20">
        <f t="shared" si="14"/>
        <v>7.0588160538695783</v>
      </c>
      <c r="Y28" s="15">
        <f t="shared" si="1"/>
        <v>7.1692464461304199</v>
      </c>
      <c r="Z28" s="15">
        <f t="shared" si="2"/>
        <v>6.8245893226368031</v>
      </c>
      <c r="AA28" s="15">
        <f t="shared" si="3"/>
        <v>7.4034731773631952</v>
      </c>
      <c r="AB28" s="3">
        <f t="shared" si="15"/>
        <v>4.6660000000000004</v>
      </c>
      <c r="AC28" s="3">
        <f t="shared" si="16"/>
        <v>9.9359999999999999</v>
      </c>
      <c r="AD28" s="3">
        <f t="shared" si="17"/>
        <v>3.6660000000000004</v>
      </c>
      <c r="AE28" s="3">
        <f t="shared" si="18"/>
        <v>10.936</v>
      </c>
    </row>
    <row r="29" spans="1:31" ht="15.75" thickBot="1" x14ac:dyDescent="0.3">
      <c r="A29" s="24">
        <f t="shared" si="4"/>
        <v>23</v>
      </c>
      <c r="B29" s="58"/>
      <c r="C29" s="61">
        <v>21</v>
      </c>
      <c r="D29" s="62">
        <v>2.1</v>
      </c>
      <c r="E29" s="62">
        <v>3.67</v>
      </c>
      <c r="F29" s="62">
        <v>0.67</v>
      </c>
      <c r="G29" s="62">
        <v>0.24</v>
      </c>
      <c r="H29" s="62">
        <v>1.05</v>
      </c>
      <c r="I29" s="61">
        <v>7.375</v>
      </c>
      <c r="J29" s="3">
        <f t="shared" si="5"/>
        <v>1.3222192947339193</v>
      </c>
      <c r="K29" s="3">
        <f t="shared" si="5"/>
        <v>0.3222192947339193</v>
      </c>
      <c r="L29" s="3">
        <f t="shared" si="5"/>
        <v>0.56466606425208932</v>
      </c>
      <c r="M29" s="3">
        <f t="shared" si="5"/>
        <v>-0.17392519729917355</v>
      </c>
      <c r="N29" s="3">
        <f t="shared" si="5"/>
        <v>-0.61978875828839397</v>
      </c>
      <c r="O29" s="3">
        <f t="shared" si="6"/>
        <v>2.1189299069938092E-2</v>
      </c>
      <c r="P29" s="3">
        <f t="shared" si="7"/>
        <v>0.86776202465020058</v>
      </c>
      <c r="Q29" s="3">
        <f t="shared" si="19"/>
        <v>42.344146067834551</v>
      </c>
      <c r="R29" s="3">
        <f t="shared" si="8"/>
        <v>9.385184142631604E-3</v>
      </c>
      <c r="S29" s="3">
        <f t="shared" si="9"/>
        <v>6.8202545213882221E-2</v>
      </c>
      <c r="T29" s="3">
        <f t="shared" si="10"/>
        <v>7.9837786557674824E-3</v>
      </c>
      <c r="U29" s="3">
        <f t="shared" si="11"/>
        <v>8.5408478954838753E-3</v>
      </c>
      <c r="V29" s="3">
        <f t="shared" si="12"/>
        <v>3.536842308717985E-2</v>
      </c>
      <c r="W29" s="3">
        <f t="shared" si="13"/>
        <v>1.1019753738899945E-4</v>
      </c>
      <c r="X29" s="20">
        <f t="shared" si="14"/>
        <v>7.0488154343107228</v>
      </c>
      <c r="Y29" s="15">
        <f t="shared" si="1"/>
        <v>7.1792470656892755</v>
      </c>
      <c r="Z29" s="15">
        <f t="shared" si="2"/>
        <v>6.8225162177151812</v>
      </c>
      <c r="AA29" s="15">
        <f t="shared" si="3"/>
        <v>7.405546282284817</v>
      </c>
      <c r="AB29" s="3">
        <f t="shared" si="15"/>
        <v>4.74</v>
      </c>
      <c r="AC29" s="3">
        <f t="shared" si="16"/>
        <v>10.01</v>
      </c>
      <c r="AD29" s="3">
        <f t="shared" si="17"/>
        <v>3.74</v>
      </c>
      <c r="AE29" s="3">
        <f t="shared" si="18"/>
        <v>11.01</v>
      </c>
    </row>
    <row r="30" spans="1:31" ht="15.75" thickBot="1" x14ac:dyDescent="0.3">
      <c r="A30" s="24">
        <f t="shared" si="4"/>
        <v>24</v>
      </c>
      <c r="B30" s="58"/>
      <c r="C30" s="61">
        <v>20</v>
      </c>
      <c r="D30" s="62">
        <v>4.2</v>
      </c>
      <c r="E30" s="62">
        <v>5.7</v>
      </c>
      <c r="F30" s="62">
        <v>2.7</v>
      </c>
      <c r="G30" s="62">
        <v>0.25</v>
      </c>
      <c r="H30" s="62">
        <v>1.1000000000000001</v>
      </c>
      <c r="I30" s="61">
        <v>7.383</v>
      </c>
      <c r="J30" s="3">
        <f t="shared" si="5"/>
        <v>1.3010299956639813</v>
      </c>
      <c r="K30" s="3">
        <f t="shared" si="5"/>
        <v>0.62324929039790045</v>
      </c>
      <c r="L30" s="3">
        <f t="shared" si="5"/>
        <v>0.75587485567249146</v>
      </c>
      <c r="M30" s="3">
        <f t="shared" si="5"/>
        <v>0.43136376415898736</v>
      </c>
      <c r="N30" s="3">
        <f t="shared" si="5"/>
        <v>-0.6020599913279624</v>
      </c>
      <c r="O30" s="3">
        <f t="shared" si="6"/>
        <v>4.1392685158225077E-2</v>
      </c>
      <c r="P30" s="3">
        <f t="shared" si="7"/>
        <v>0.86823286842246494</v>
      </c>
      <c r="Q30" s="3">
        <f t="shared" si="19"/>
        <v>42.442190778682992</v>
      </c>
      <c r="R30" s="3">
        <f t="shared" si="8"/>
        <v>5.7286523022984344E-3</v>
      </c>
      <c r="S30" s="3">
        <f t="shared" si="9"/>
        <v>1.5899219601321006E-3</v>
      </c>
      <c r="T30" s="3">
        <f t="shared" si="10"/>
        <v>1.0374807381381778E-2</v>
      </c>
      <c r="U30" s="3">
        <f t="shared" si="11"/>
        <v>0.26303794848974965</v>
      </c>
      <c r="V30" s="3">
        <f t="shared" si="12"/>
        <v>2.9014413140939062E-2</v>
      </c>
      <c r="W30" s="3">
        <f t="shared" si="13"/>
        <v>9.4254449767478313E-4</v>
      </c>
      <c r="X30" s="20">
        <f t="shared" si="14"/>
        <v>7.0542069711441275</v>
      </c>
      <c r="Y30" s="15">
        <f t="shared" si="1"/>
        <v>7.1738555288558707</v>
      </c>
      <c r="Z30" s="15">
        <f t="shared" si="2"/>
        <v>6.8236748211532694</v>
      </c>
      <c r="AA30" s="15">
        <f t="shared" si="3"/>
        <v>7.4043876788467289</v>
      </c>
      <c r="AB30" s="3">
        <f t="shared" si="15"/>
        <v>4.7480000000000002</v>
      </c>
      <c r="AC30" s="3">
        <f t="shared" si="16"/>
        <v>10.018000000000001</v>
      </c>
      <c r="AD30" s="3">
        <f t="shared" si="17"/>
        <v>3.7480000000000002</v>
      </c>
      <c r="AE30" s="3">
        <f t="shared" si="18"/>
        <v>11.018000000000001</v>
      </c>
    </row>
    <row r="31" spans="1:31" ht="15.75" thickBot="1" x14ac:dyDescent="0.3">
      <c r="A31" s="24">
        <f t="shared" si="4"/>
        <v>25</v>
      </c>
      <c r="B31" s="58"/>
      <c r="C31" s="61">
        <v>24</v>
      </c>
      <c r="D31" s="62">
        <v>9.17</v>
      </c>
      <c r="E31" s="62">
        <v>3.38</v>
      </c>
      <c r="F31" s="62">
        <v>0.46</v>
      </c>
      <c r="G31" s="62">
        <v>0.33</v>
      </c>
      <c r="H31" s="62">
        <v>1</v>
      </c>
      <c r="I31" s="61">
        <v>7.4279999999999999</v>
      </c>
      <c r="J31" s="3">
        <f t="shared" si="5"/>
        <v>1.3802112417116059</v>
      </c>
      <c r="K31" s="3">
        <f t="shared" si="5"/>
        <v>0.96236933567002114</v>
      </c>
      <c r="L31" s="3">
        <f t="shared" si="5"/>
        <v>0.52891670027765469</v>
      </c>
      <c r="M31" s="3">
        <f t="shared" si="5"/>
        <v>-0.33724216831842591</v>
      </c>
      <c r="N31" s="3">
        <f t="shared" si="5"/>
        <v>-0.48148606012211248</v>
      </c>
      <c r="O31" s="3">
        <f t="shared" si="6"/>
        <v>0</v>
      </c>
      <c r="P31" s="3">
        <f t="shared" si="7"/>
        <v>0.87087189506774276</v>
      </c>
      <c r="Q31" s="3">
        <f t="shared" si="19"/>
        <v>42.995928984492494</v>
      </c>
      <c r="R31" s="3">
        <f t="shared" si="8"/>
        <v>2.3984440316793768E-2</v>
      </c>
      <c r="S31" s="3">
        <f t="shared" si="9"/>
        <v>0.14363635408404821</v>
      </c>
      <c r="T31" s="3">
        <f t="shared" si="10"/>
        <v>1.5650349520618789E-2</v>
      </c>
      <c r="U31" s="3">
        <f t="shared" si="11"/>
        <v>6.5399714523640962E-2</v>
      </c>
      <c r="V31" s="3">
        <f t="shared" si="12"/>
        <v>2.476281090691178E-3</v>
      </c>
      <c r="W31" s="3">
        <f t="shared" si="13"/>
        <v>1.143145356365798E-4</v>
      </c>
      <c r="X31" s="20">
        <f t="shared" si="14"/>
        <v>7.0306958946513332</v>
      </c>
      <c r="Y31" s="15">
        <f t="shared" si="1"/>
        <v>7.1973666053486651</v>
      </c>
      <c r="Z31" s="15">
        <f t="shared" si="2"/>
        <v>6.8179355004812168</v>
      </c>
      <c r="AA31" s="15">
        <f t="shared" si="3"/>
        <v>7.4101269995187815</v>
      </c>
      <c r="AB31" s="3">
        <f t="shared" si="15"/>
        <v>4.7930000000000001</v>
      </c>
      <c r="AC31" s="3">
        <f t="shared" si="16"/>
        <v>10.062999999999999</v>
      </c>
      <c r="AD31" s="3">
        <f t="shared" si="17"/>
        <v>3.7930000000000001</v>
      </c>
      <c r="AE31" s="3">
        <f t="shared" si="18"/>
        <v>11.062999999999999</v>
      </c>
    </row>
    <row r="32" spans="1:31" ht="15.75" thickBot="1" x14ac:dyDescent="0.3">
      <c r="A32" s="24">
        <f t="shared" si="4"/>
        <v>26</v>
      </c>
      <c r="B32" s="58"/>
      <c r="C32" s="61">
        <v>27</v>
      </c>
      <c r="D32" s="62">
        <v>3</v>
      </c>
      <c r="E32" s="62">
        <v>5.56</v>
      </c>
      <c r="F32" s="62">
        <v>1.89</v>
      </c>
      <c r="G32" s="62">
        <v>0.56000000000000005</v>
      </c>
      <c r="H32" s="62">
        <v>1</v>
      </c>
      <c r="I32" s="61">
        <v>7.4409999999999998</v>
      </c>
      <c r="J32" s="3">
        <f t="shared" si="5"/>
        <v>1.4313637641589874</v>
      </c>
      <c r="K32" s="3">
        <f t="shared" si="5"/>
        <v>0.47712125471966244</v>
      </c>
      <c r="L32" s="3">
        <f t="shared" si="5"/>
        <v>0.74507479158205747</v>
      </c>
      <c r="M32" s="3">
        <f t="shared" si="5"/>
        <v>0.27646180417324412</v>
      </c>
      <c r="N32" s="3">
        <f t="shared" si="5"/>
        <v>-0.25181197299379954</v>
      </c>
      <c r="O32" s="3">
        <f t="shared" si="6"/>
        <v>0</v>
      </c>
      <c r="P32" s="3">
        <f t="shared" si="7"/>
        <v>0.87163130453755355</v>
      </c>
      <c r="Q32" s="3">
        <f t="shared" si="19"/>
        <v>43.156605056921968</v>
      </c>
      <c r="R32" s="3">
        <f t="shared" si="8"/>
        <v>4.244491181853393E-2</v>
      </c>
      <c r="S32" s="3">
        <f t="shared" si="9"/>
        <v>1.1289957180261019E-2</v>
      </c>
      <c r="T32" s="3">
        <f t="shared" si="10"/>
        <v>8.291328864091542E-3</v>
      </c>
      <c r="U32" s="3">
        <f t="shared" si="11"/>
        <v>0.12814273109422875</v>
      </c>
      <c r="V32" s="3">
        <f t="shared" si="12"/>
        <v>3.2368270709322973E-2</v>
      </c>
      <c r="W32" s="3">
        <f t="shared" si="13"/>
        <v>1.143145356365798E-4</v>
      </c>
      <c r="X32" s="20">
        <f t="shared" si="14"/>
        <v>7.0123043791545046</v>
      </c>
      <c r="Y32" s="15">
        <f t="shared" si="1"/>
        <v>7.2157581208454937</v>
      </c>
      <c r="Z32" s="15">
        <f t="shared" si="2"/>
        <v>6.8122428014403882</v>
      </c>
      <c r="AA32" s="15">
        <f t="shared" si="3"/>
        <v>7.4158196985596101</v>
      </c>
      <c r="AB32" s="3">
        <f t="shared" si="15"/>
        <v>4.806</v>
      </c>
      <c r="AC32" s="3">
        <f t="shared" si="16"/>
        <v>10.076000000000001</v>
      </c>
      <c r="AD32" s="3">
        <f t="shared" si="17"/>
        <v>3.806</v>
      </c>
      <c r="AE32" s="3">
        <f t="shared" si="18"/>
        <v>11.076000000000001</v>
      </c>
    </row>
    <row r="33" spans="1:31" ht="15.75" thickBot="1" x14ac:dyDescent="0.3">
      <c r="A33" s="24">
        <f t="shared" si="4"/>
        <v>27</v>
      </c>
      <c r="B33" s="58"/>
      <c r="C33" s="61">
        <v>27</v>
      </c>
      <c r="D33" s="62">
        <v>3</v>
      </c>
      <c r="E33" s="62">
        <v>5.78</v>
      </c>
      <c r="F33" s="62">
        <v>2.11</v>
      </c>
      <c r="G33" s="62">
        <v>0.56000000000000005</v>
      </c>
      <c r="H33" s="62">
        <v>1</v>
      </c>
      <c r="I33" s="61">
        <v>7.4509999999999996</v>
      </c>
      <c r="J33" s="3">
        <f t="shared" si="5"/>
        <v>1.4313637641589874</v>
      </c>
      <c r="K33" s="3">
        <f t="shared" si="5"/>
        <v>0.47712125471966244</v>
      </c>
      <c r="L33" s="3">
        <f t="shared" si="5"/>
        <v>0.76192783842052902</v>
      </c>
      <c r="M33" s="3">
        <f t="shared" si="5"/>
        <v>0.32428245529769262</v>
      </c>
      <c r="N33" s="3">
        <f t="shared" si="5"/>
        <v>-0.25181197299379954</v>
      </c>
      <c r="O33" s="3">
        <f t="shared" si="6"/>
        <v>0</v>
      </c>
      <c r="P33" s="3">
        <f t="shared" si="7"/>
        <v>0.87221456339758552</v>
      </c>
      <c r="Q33" s="3">
        <f t="shared" si="19"/>
        <v>43.280417820852023</v>
      </c>
      <c r="R33" s="3">
        <f t="shared" si="8"/>
        <v>4.244491181853393E-2</v>
      </c>
      <c r="S33" s="3">
        <f t="shared" si="9"/>
        <v>1.1289957180261019E-2</v>
      </c>
      <c r="T33" s="3">
        <f t="shared" si="10"/>
        <v>1.1644520868565289E-2</v>
      </c>
      <c r="U33" s="3">
        <f t="shared" si="11"/>
        <v>0.16466629081373854</v>
      </c>
      <c r="V33" s="3">
        <f t="shared" si="12"/>
        <v>3.2368270709322973E-2</v>
      </c>
      <c r="W33" s="3">
        <f t="shared" si="13"/>
        <v>1.143145356365798E-4</v>
      </c>
      <c r="X33" s="20">
        <f t="shared" si="14"/>
        <v>7.0123043791545046</v>
      </c>
      <c r="Y33" s="15">
        <f t="shared" si="1"/>
        <v>7.2157581208454937</v>
      </c>
      <c r="Z33" s="15">
        <f t="shared" si="2"/>
        <v>6.8122428014403882</v>
      </c>
      <c r="AA33" s="15">
        <f t="shared" si="3"/>
        <v>7.4158196985596101</v>
      </c>
      <c r="AB33" s="3">
        <f t="shared" si="15"/>
        <v>4.8159999999999998</v>
      </c>
      <c r="AC33" s="3">
        <f t="shared" si="16"/>
        <v>10.085999999999999</v>
      </c>
      <c r="AD33" s="3">
        <f t="shared" si="17"/>
        <v>3.8159999999999998</v>
      </c>
      <c r="AE33" s="3">
        <f t="shared" si="18"/>
        <v>11.085999999999999</v>
      </c>
    </row>
    <row r="34" spans="1:31" ht="15.75" thickBot="1" x14ac:dyDescent="0.3">
      <c r="A34" s="24">
        <f t="shared" si="4"/>
        <v>28</v>
      </c>
      <c r="B34" s="58"/>
      <c r="C34" s="61">
        <v>27</v>
      </c>
      <c r="D34" s="62">
        <v>3</v>
      </c>
      <c r="E34" s="62">
        <v>5.78</v>
      </c>
      <c r="F34" s="62">
        <v>2.11</v>
      </c>
      <c r="G34" s="62">
        <v>0.56000000000000005</v>
      </c>
      <c r="H34" s="62">
        <v>1</v>
      </c>
      <c r="I34" s="61">
        <v>7.484</v>
      </c>
      <c r="J34" s="3">
        <f t="shared" si="5"/>
        <v>1.4313637641589874</v>
      </c>
      <c r="K34" s="3">
        <f t="shared" si="5"/>
        <v>0.47712125471966244</v>
      </c>
      <c r="L34" s="3">
        <f t="shared" si="5"/>
        <v>0.76192783842052902</v>
      </c>
      <c r="M34" s="3">
        <f t="shared" si="5"/>
        <v>0.32428245529769262</v>
      </c>
      <c r="N34" s="3">
        <f t="shared" si="5"/>
        <v>-0.25181197299379954</v>
      </c>
      <c r="O34" s="3">
        <f t="shared" si="6"/>
        <v>0</v>
      </c>
      <c r="P34" s="3">
        <f t="shared" si="7"/>
        <v>0.87413377882797227</v>
      </c>
      <c r="Q34" s="3">
        <f t="shared" si="19"/>
        <v>43.690331461790983</v>
      </c>
      <c r="R34" s="3">
        <f t="shared" si="8"/>
        <v>4.244491181853393E-2</v>
      </c>
      <c r="S34" s="3">
        <f t="shared" si="9"/>
        <v>1.1289957180261019E-2</v>
      </c>
      <c r="T34" s="3">
        <f t="shared" si="10"/>
        <v>1.1644520868565289E-2</v>
      </c>
      <c r="U34" s="3">
        <f t="shared" si="11"/>
        <v>0.16466629081373854</v>
      </c>
      <c r="V34" s="3">
        <f t="shared" si="12"/>
        <v>3.2368270709322973E-2</v>
      </c>
      <c r="W34" s="3">
        <f t="shared" si="13"/>
        <v>1.143145356365798E-4</v>
      </c>
      <c r="X34" s="20">
        <f t="shared" si="14"/>
        <v>7.0123043791545046</v>
      </c>
      <c r="Y34" s="15">
        <f t="shared" si="1"/>
        <v>7.2157581208454937</v>
      </c>
      <c r="Z34" s="15">
        <f t="shared" si="2"/>
        <v>6.8122428014403882</v>
      </c>
      <c r="AA34" s="15">
        <f t="shared" si="3"/>
        <v>7.4158196985596101</v>
      </c>
      <c r="AB34" s="3">
        <f t="shared" si="15"/>
        <v>4.8490000000000002</v>
      </c>
      <c r="AC34" s="3">
        <f t="shared" si="16"/>
        <v>10.119</v>
      </c>
      <c r="AD34" s="3">
        <f t="shared" si="17"/>
        <v>3.8490000000000002</v>
      </c>
      <c r="AE34" s="3">
        <f t="shared" si="18"/>
        <v>11.119</v>
      </c>
    </row>
    <row r="35" spans="1:31" ht="15.75" thickBot="1" x14ac:dyDescent="0.3">
      <c r="A35" s="24">
        <f t="shared" si="4"/>
        <v>29</v>
      </c>
      <c r="B35" s="58"/>
      <c r="C35" s="61">
        <v>32</v>
      </c>
      <c r="D35" s="62">
        <v>3.44</v>
      </c>
      <c r="E35" s="62">
        <v>3.25</v>
      </c>
      <c r="F35" s="62">
        <v>0.34</v>
      </c>
      <c r="G35" s="62">
        <v>0.03</v>
      </c>
      <c r="H35" s="62">
        <v>1</v>
      </c>
      <c r="I35" s="61">
        <v>7.7069999999999999</v>
      </c>
      <c r="J35" s="3">
        <f t="shared" si="5"/>
        <v>1.505149978319906</v>
      </c>
      <c r="K35" s="3">
        <f t="shared" si="5"/>
        <v>0.53655844257153007</v>
      </c>
      <c r="L35" s="3">
        <f t="shared" si="5"/>
        <v>0.51188336097887432</v>
      </c>
      <c r="M35" s="3">
        <f t="shared" si="5"/>
        <v>-0.46852108295774486</v>
      </c>
      <c r="N35" s="3">
        <f t="shared" si="5"/>
        <v>-1.5228787452803376</v>
      </c>
      <c r="O35" s="3">
        <f t="shared" si="6"/>
        <v>0</v>
      </c>
      <c r="P35" s="3">
        <f t="shared" si="7"/>
        <v>0.88688535898600862</v>
      </c>
      <c r="Q35" s="3">
        <f t="shared" si="19"/>
        <v>46.513963716573407</v>
      </c>
      <c r="R35" s="3">
        <f t="shared" si="8"/>
        <v>7.8292429369689401E-2</v>
      </c>
      <c r="S35" s="3">
        <f t="shared" si="9"/>
        <v>2.1918335793579841E-3</v>
      </c>
      <c r="T35" s="3">
        <f t="shared" si="10"/>
        <v>2.0202271888966776E-2</v>
      </c>
      <c r="U35" s="3">
        <f t="shared" si="11"/>
        <v>0.14977874755789791</v>
      </c>
      <c r="V35" s="3">
        <f t="shared" si="12"/>
        <v>1.1906190829955323</v>
      </c>
      <c r="W35" s="3">
        <f t="shared" si="13"/>
        <v>1.143145356365798E-4</v>
      </c>
      <c r="X35" s="20">
        <f t="shared" si="14"/>
        <v>6.9838099100600521</v>
      </c>
      <c r="Y35" s="15">
        <f t="shared" si="1"/>
        <v>7.2442525899399461</v>
      </c>
      <c r="Z35" s="15">
        <f t="shared" si="2"/>
        <v>6.8014844394135592</v>
      </c>
      <c r="AA35" s="15">
        <f t="shared" si="3"/>
        <v>7.4265780605864391</v>
      </c>
      <c r="AB35" s="3">
        <f t="shared" si="15"/>
        <v>5.0720000000000001</v>
      </c>
      <c r="AC35" s="3">
        <f t="shared" si="16"/>
        <v>10.341999999999999</v>
      </c>
      <c r="AD35" s="3">
        <f t="shared" si="17"/>
        <v>4.0720000000000001</v>
      </c>
      <c r="AE35" s="3">
        <f t="shared" si="18"/>
        <v>11.341999999999999</v>
      </c>
    </row>
    <row r="36" spans="1:31" ht="15.75" thickBot="1" x14ac:dyDescent="0.3">
      <c r="A36" s="24">
        <f t="shared" si="4"/>
        <v>30</v>
      </c>
      <c r="B36" s="3"/>
      <c r="C36" s="61">
        <v>30</v>
      </c>
      <c r="D36" s="62">
        <v>3.2</v>
      </c>
      <c r="E36" s="62">
        <v>3.37</v>
      </c>
      <c r="F36" s="62">
        <v>7.0000000000000007E-2</v>
      </c>
      <c r="G36" s="62">
        <v>0</v>
      </c>
      <c r="H36" s="62">
        <v>1</v>
      </c>
      <c r="I36" s="61">
        <v>7.9020000000000001</v>
      </c>
      <c r="J36" s="3">
        <f t="shared" si="5"/>
        <v>1.4771212547196624</v>
      </c>
      <c r="K36" s="3">
        <f t="shared" si="5"/>
        <v>0.50514997831990605</v>
      </c>
      <c r="L36" s="3">
        <f t="shared" si="5"/>
        <v>0.52762990087133865</v>
      </c>
      <c r="M36" s="3">
        <f t="shared" si="5"/>
        <v>-1.1549019599857431</v>
      </c>
      <c r="N36" s="3">
        <f>0</f>
        <v>0</v>
      </c>
      <c r="O36" s="3">
        <f t="shared" si="6"/>
        <v>0</v>
      </c>
      <c r="P36" s="3">
        <f t="shared" si="7"/>
        <v>0.89773702534542743</v>
      </c>
      <c r="Q36" s="3">
        <f t="shared" si="19"/>
        <v>49.059699818116925</v>
      </c>
      <c r="R36" s="3">
        <f t="shared" si="8"/>
        <v>6.3392725294493232E-2</v>
      </c>
      <c r="S36" s="3">
        <f t="shared" si="9"/>
        <v>6.1192267501135539E-3</v>
      </c>
      <c r="T36" s="3">
        <f t="shared" si="10"/>
        <v>1.5973966077137768E-2</v>
      </c>
      <c r="U36" s="3">
        <f t="shared" si="11"/>
        <v>1.1521735426561834</v>
      </c>
      <c r="V36" s="3">
        <f t="shared" si="12"/>
        <v>0.18638545199484202</v>
      </c>
      <c r="W36" s="3">
        <f t="shared" si="13"/>
        <v>1.143145356365798E-4</v>
      </c>
      <c r="X36" s="20">
        <f t="shared" si="14"/>
        <v>6.9948233447521284</v>
      </c>
      <c r="Y36" s="15">
        <f t="shared" si="1"/>
        <v>7.2332391552478699</v>
      </c>
      <c r="Z36" s="15">
        <f t="shared" si="2"/>
        <v>6.8059104358611515</v>
      </c>
      <c r="AA36" s="15">
        <f t="shared" si="3"/>
        <v>7.4221520641388468</v>
      </c>
      <c r="AB36" s="3">
        <f t="shared" si="15"/>
        <v>5.2670000000000003</v>
      </c>
      <c r="AC36" s="3">
        <f t="shared" si="16"/>
        <v>10.536999999999999</v>
      </c>
      <c r="AD36" s="3">
        <f t="shared" si="17"/>
        <v>4.2670000000000003</v>
      </c>
      <c r="AE36" s="3">
        <f t="shared" si="18"/>
        <v>11.536999999999999</v>
      </c>
    </row>
    <row r="37" spans="1:31" ht="15.75" thickBot="1" x14ac:dyDescent="0.3">
      <c r="A37" s="24">
        <f t="shared" si="4"/>
        <v>31</v>
      </c>
      <c r="B37" s="3"/>
      <c r="C37" s="61">
        <v>66</v>
      </c>
      <c r="D37" s="62">
        <v>2.2999999999999998</v>
      </c>
      <c r="E37" s="62">
        <v>3.45</v>
      </c>
      <c r="F37" s="62">
        <v>0.79</v>
      </c>
      <c r="G37" s="62">
        <v>0.82</v>
      </c>
      <c r="H37" s="62">
        <v>1.1200000000000001</v>
      </c>
      <c r="I37" s="61">
        <v>7.98</v>
      </c>
      <c r="J37" s="3">
        <f t="shared" si="5"/>
        <v>1.8195439355418688</v>
      </c>
      <c r="K37" s="3">
        <f t="shared" si="5"/>
        <v>0.36172783601759284</v>
      </c>
      <c r="L37" s="3">
        <f t="shared" si="5"/>
        <v>0.53781909507327419</v>
      </c>
      <c r="M37" s="3">
        <f t="shared" si="5"/>
        <v>-0.10237290870955855</v>
      </c>
      <c r="N37" s="3">
        <f t="shared" si="5"/>
        <v>-8.6186147616283335E-2</v>
      </c>
      <c r="O37" s="3">
        <f t="shared" si="6"/>
        <v>4.9218022670181653E-2</v>
      </c>
      <c r="P37" s="3">
        <f t="shared" si="7"/>
        <v>0.90200289135072942</v>
      </c>
      <c r="Q37" s="3">
        <f t="shared" si="19"/>
        <v>50.098043070047439</v>
      </c>
      <c r="R37" s="3">
        <f t="shared" si="8"/>
        <v>0.35307578016293784</v>
      </c>
      <c r="S37" s="3">
        <f t="shared" si="9"/>
        <v>4.9127671387552994E-2</v>
      </c>
      <c r="T37" s="3">
        <f t="shared" si="10"/>
        <v>1.3502198814939021E-2</v>
      </c>
      <c r="U37" s="3">
        <f t="shared" si="11"/>
        <v>4.3532399234906088E-4</v>
      </c>
      <c r="V37" s="3">
        <f t="shared" si="12"/>
        <v>0.11939627922616736</v>
      </c>
      <c r="W37" s="3">
        <f t="shared" si="13"/>
        <v>1.4842700191772683E-3</v>
      </c>
      <c r="X37" s="20">
        <f t="shared" si="14"/>
        <v>6.8539934320177327</v>
      </c>
      <c r="Y37" s="15">
        <f t="shared" si="1"/>
        <v>7.3740690679822656</v>
      </c>
      <c r="Z37" s="15">
        <f t="shared" si="2"/>
        <v>6.7288720904140185</v>
      </c>
      <c r="AA37" s="15">
        <f t="shared" si="3"/>
        <v>7.4991904095859798</v>
      </c>
      <c r="AB37" s="3">
        <f t="shared" si="15"/>
        <v>5.3450000000000006</v>
      </c>
      <c r="AC37" s="3">
        <f t="shared" si="16"/>
        <v>10.615</v>
      </c>
      <c r="AD37" s="3">
        <f t="shared" si="17"/>
        <v>4.3450000000000006</v>
      </c>
      <c r="AE37" s="3">
        <f t="shared" si="18"/>
        <v>11.615</v>
      </c>
    </row>
    <row r="38" spans="1:31" ht="15.75" thickBot="1" x14ac:dyDescent="0.3">
      <c r="A38" s="24">
        <f t="shared" si="4"/>
        <v>32</v>
      </c>
      <c r="B38" s="3"/>
      <c r="C38" s="61">
        <v>117</v>
      </c>
      <c r="D38" s="62">
        <v>6.33</v>
      </c>
      <c r="E38" s="62">
        <v>3.34</v>
      </c>
      <c r="F38" s="62">
        <v>0.66</v>
      </c>
      <c r="G38" s="62">
        <v>0.37</v>
      </c>
      <c r="H38" s="62">
        <v>1.02</v>
      </c>
      <c r="I38" s="61">
        <v>8.7249999999999996</v>
      </c>
      <c r="J38" s="3">
        <f t="shared" si="5"/>
        <v>2.0681858617461617</v>
      </c>
      <c r="K38" s="3">
        <f t="shared" si="5"/>
        <v>0.80140371001735511</v>
      </c>
      <c r="L38" s="3">
        <f t="shared" si="5"/>
        <v>0.52374646681156445</v>
      </c>
      <c r="M38" s="3">
        <f t="shared" si="5"/>
        <v>-0.18045606445813131</v>
      </c>
      <c r="N38" s="3">
        <f t="shared" si="5"/>
        <v>-0.43179827593300502</v>
      </c>
      <c r="O38" s="3">
        <f t="shared" si="6"/>
        <v>8.6001717619175692E-3</v>
      </c>
      <c r="P38" s="3">
        <f t="shared" si="7"/>
        <v>0.94076543563121751</v>
      </c>
      <c r="Q38" s="3">
        <f t="shared" si="19"/>
        <v>60.594307753113647</v>
      </c>
      <c r="R38" s="3">
        <f t="shared" si="8"/>
        <v>0.71038554827669331</v>
      </c>
      <c r="S38" s="3">
        <f t="shared" si="9"/>
        <v>4.7536315670566993E-2</v>
      </c>
      <c r="T38" s="3">
        <f t="shared" si="10"/>
        <v>1.6970687279833682E-2</v>
      </c>
      <c r="U38" s="3">
        <f t="shared" si="11"/>
        <v>9.7906226062043321E-3</v>
      </c>
      <c r="V38" s="3">
        <f t="shared" si="12"/>
        <v>5.5445070038652374E-9</v>
      </c>
      <c r="W38" s="3">
        <f t="shared" si="13"/>
        <v>4.3748985912128915E-6</v>
      </c>
      <c r="X38" s="20">
        <f t="shared" si="14"/>
        <v>6.7486585488564632</v>
      </c>
      <c r="Y38" s="15">
        <f t="shared" si="1"/>
        <v>7.4794039511435351</v>
      </c>
      <c r="Z38" s="15">
        <f t="shared" si="2"/>
        <v>6.6511866517027691</v>
      </c>
      <c r="AA38" s="15">
        <f t="shared" si="3"/>
        <v>7.5768758482972292</v>
      </c>
      <c r="AB38" s="3">
        <f t="shared" si="15"/>
        <v>6.09</v>
      </c>
      <c r="AC38" s="3">
        <f t="shared" si="16"/>
        <v>11.36</v>
      </c>
      <c r="AD38" s="3">
        <f t="shared" si="17"/>
        <v>5.09</v>
      </c>
      <c r="AE38" s="3">
        <f t="shared" si="18"/>
        <v>12.36</v>
      </c>
    </row>
    <row r="39" spans="1:31" ht="15.75" thickBot="1" x14ac:dyDescent="0.3">
      <c r="A39" s="3"/>
      <c r="B39" s="65" t="s">
        <v>182</v>
      </c>
      <c r="C39" s="66">
        <f>AVERAGE(C7:C38)</f>
        <v>21.90625</v>
      </c>
      <c r="D39" s="66">
        <f t="shared" ref="D39:I39" si="20">AVERAGE(D7:D38)</f>
        <v>4.1768749999999999</v>
      </c>
      <c r="E39" s="66">
        <f t="shared" si="20"/>
        <v>4.7703125000000002</v>
      </c>
      <c r="F39" s="66">
        <f t="shared" si="20"/>
        <v>1.0540624999999999</v>
      </c>
      <c r="G39" s="66">
        <f t="shared" si="20"/>
        <v>0.40500000000000003</v>
      </c>
      <c r="H39" s="66">
        <f t="shared" si="20"/>
        <v>1.025625</v>
      </c>
      <c r="I39" s="66">
        <f t="shared" si="20"/>
        <v>7.1140312499999991</v>
      </c>
      <c r="J39" s="3">
        <f t="shared" ref="J39" si="21">AVERAGE(J7:J38)</f>
        <v>1.2253421346669995</v>
      </c>
      <c r="K39" s="3">
        <f t="shared" ref="K39" si="22">AVERAGE(K7:K38)</f>
        <v>0.58337546489629977</v>
      </c>
      <c r="L39" s="3">
        <f t="shared" ref="L39" si="23">AVERAGE(L7:L38)</f>
        <v>0.65401805726717255</v>
      </c>
      <c r="M39" s="3">
        <f t="shared" ref="M39" si="24">AVERAGE(M7:M38)</f>
        <v>-8.1508489418596702E-2</v>
      </c>
      <c r="N39" s="3">
        <f t="shared" ref="N39" si="25">AVERAGE(N7:N38)</f>
        <v>-0.43172381448657893</v>
      </c>
      <c r="O39" s="3">
        <f t="shared" ref="O39:P39" si="26">AVERAGE(O7:O38)</f>
        <v>1.0691797586775565E-2</v>
      </c>
      <c r="P39" s="3">
        <f t="shared" si="26"/>
        <v>0.85089748190175662</v>
      </c>
      <c r="Q39" s="3">
        <f t="shared" si="19"/>
        <v>39.226844597092494</v>
      </c>
      <c r="R39">
        <f>SUM(R7:R38)</f>
        <v>2.76947927734285</v>
      </c>
      <c r="S39" s="18">
        <f t="shared" ref="S39:W39" si="27">SUM(S7:S38)</f>
        <v>1.0026277820106042</v>
      </c>
      <c r="T39" s="18">
        <f t="shared" si="27"/>
        <v>0.70565026260363017</v>
      </c>
      <c r="U39" s="18">
        <f t="shared" si="27"/>
        <v>3.4511718593268044</v>
      </c>
      <c r="V39" s="18">
        <f t="shared" si="27"/>
        <v>2.6159386736434707</v>
      </c>
      <c r="W39" s="18">
        <f t="shared" si="27"/>
        <v>8.1286990428890461E-3</v>
      </c>
      <c r="X39" s="20">
        <f>$I$39-$R$46*$R$44*SQRT(1/32+R39/$R$41)</f>
        <v>6.3976973247181137</v>
      </c>
      <c r="Y39" s="18">
        <f t="shared" si="1"/>
        <v>7.8303651752818846</v>
      </c>
      <c r="Z39" s="3">
        <f t="shared" si="2"/>
        <v>6.3434066955367019</v>
      </c>
      <c r="AA39" s="3" t="b">
        <f>L10=$I$39+$R$46*$R$44*SQRT(1+1/32+R39/$R$41)</f>
        <v>0</v>
      </c>
    </row>
    <row r="40" spans="1:31" x14ac:dyDescent="0.25">
      <c r="A40" s="3"/>
      <c r="B40" s="3"/>
      <c r="C40" s="3"/>
      <c r="D40" s="3"/>
      <c r="E40" s="3"/>
      <c r="F40" s="3"/>
      <c r="G40" s="17" t="s">
        <v>45</v>
      </c>
      <c r="H40" s="3"/>
      <c r="I40" s="15" t="s">
        <v>48</v>
      </c>
      <c r="J40" s="15" t="s">
        <v>49</v>
      </c>
      <c r="Q40" s="3"/>
      <c r="S40" s="68" t="s">
        <v>187</v>
      </c>
      <c r="Y40" s="17"/>
      <c r="Z40" s="3"/>
      <c r="AA40" s="3"/>
    </row>
    <row r="41" spans="1:31" ht="15.75" thickBot="1" x14ac:dyDescent="0.3">
      <c r="A41" s="3"/>
      <c r="B41" s="3"/>
      <c r="C41" s="3"/>
      <c r="D41" s="3"/>
      <c r="E41" s="3"/>
      <c r="F41" s="3"/>
      <c r="G41" s="3"/>
      <c r="H41" s="3"/>
      <c r="I41" s="3"/>
      <c r="J41" s="3"/>
      <c r="Q41" s="3"/>
      <c r="R41" s="67">
        <f>SUM(R7:W7)</f>
        <v>0.437855900208031</v>
      </c>
      <c r="S41" s="69">
        <f>SUM(R39:W39)</f>
        <v>10.552996553970249</v>
      </c>
      <c r="T41" s="3"/>
      <c r="U41" s="3"/>
      <c r="V41" s="3"/>
    </row>
    <row r="42" spans="1:31" x14ac:dyDescent="0.25">
      <c r="A42" s="3"/>
      <c r="B42" s="3"/>
      <c r="C42" s="3"/>
      <c r="D42" s="3"/>
      <c r="E42" s="3"/>
      <c r="F42" s="3"/>
      <c r="G42" s="3"/>
      <c r="H42" s="3"/>
      <c r="I42" s="3"/>
      <c r="J42" s="3"/>
      <c r="Q42" s="3"/>
      <c r="R42" s="17" t="s">
        <v>53</v>
      </c>
      <c r="S42" s="3"/>
      <c r="T42" s="3"/>
      <c r="U42" s="3"/>
      <c r="V42" s="3"/>
    </row>
    <row r="43" spans="1:31" x14ac:dyDescent="0.25">
      <c r="A43" s="3"/>
      <c r="B43" s="3"/>
      <c r="C43" s="3"/>
      <c r="D43" s="3"/>
      <c r="E43" s="3"/>
      <c r="F43" s="3"/>
      <c r="G43" s="3"/>
      <c r="H43" s="3"/>
      <c r="I43" s="3"/>
      <c r="J43" s="3"/>
      <c r="Q43" s="3"/>
      <c r="R43" s="18" t="s">
        <v>44</v>
      </c>
      <c r="S43" s="3"/>
      <c r="T43" s="3"/>
      <c r="U43" s="3"/>
      <c r="V43" s="3"/>
    </row>
    <row r="44" spans="1:31" x14ac:dyDescent="0.25">
      <c r="A44" s="3"/>
      <c r="B44" s="3"/>
      <c r="C44" s="3"/>
      <c r="D44" s="3"/>
      <c r="E44" s="74" t="s">
        <v>150</v>
      </c>
      <c r="F44" s="74"/>
      <c r="G44" s="74"/>
      <c r="H44" s="3"/>
      <c r="I44" s="3"/>
      <c r="J44" s="3"/>
      <c r="Q44" s="3"/>
      <c r="R44" s="17">
        <f>SQRT(1/30*R41)</f>
        <v>0.1208105817948123</v>
      </c>
      <c r="S44" s="3"/>
      <c r="T44" s="3"/>
      <c r="U44" s="3"/>
      <c r="V44" s="3"/>
    </row>
    <row r="45" spans="1:31" ht="18.75" x14ac:dyDescent="0.3">
      <c r="A45" s="3"/>
      <c r="B45" s="3"/>
      <c r="C45" s="3"/>
      <c r="D45" s="3"/>
      <c r="E45" s="3"/>
      <c r="F45" s="3"/>
      <c r="G45" s="3"/>
      <c r="R45" s="19" t="s">
        <v>56</v>
      </c>
      <c r="T45">
        <f>$I$39-$R$46*$R$44*SQRT(1/32+R7/$R$41)</f>
        <v>6.8825016202290907</v>
      </c>
    </row>
    <row r="46" spans="1:31" x14ac:dyDescent="0.25">
      <c r="A46" s="3"/>
      <c r="B46" s="3"/>
      <c r="C46" s="3"/>
      <c r="D46" s="3"/>
      <c r="E46" s="74"/>
      <c r="F46" s="74"/>
      <c r="G46" s="74"/>
      <c r="R46" s="17">
        <f>_xlfn.T.INV.2T(0.025,32)</f>
        <v>2.3518351803763684</v>
      </c>
      <c r="T46" s="3"/>
      <c r="U46" s="3"/>
    </row>
    <row r="47" spans="1:31" x14ac:dyDescent="0.25">
      <c r="A47" s="3"/>
      <c r="B47" s="3"/>
      <c r="C47" s="3"/>
      <c r="D47" s="3"/>
      <c r="E47" s="30"/>
      <c r="F47" s="30"/>
      <c r="G47" s="30"/>
      <c r="H47" s="3"/>
      <c r="I47" s="30" t="s">
        <v>18</v>
      </c>
      <c r="J47" s="30" t="s">
        <v>19</v>
      </c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</row>
    <row r="48" spans="1:31" x14ac:dyDescent="0.25">
      <c r="A48" s="3"/>
      <c r="B48" s="3"/>
      <c r="C48" s="3"/>
      <c r="D48" s="3"/>
      <c r="E48" s="30"/>
      <c r="F48" s="30"/>
      <c r="G48" s="30"/>
      <c r="H48" s="3" t="s">
        <v>18</v>
      </c>
      <c r="I48" s="30">
        <v>1</v>
      </c>
      <c r="J48" s="30">
        <f>CORREL(H7:H38,I7:I38)</f>
        <v>0.15420239784666126</v>
      </c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</row>
    <row r="49" spans="1:21" x14ac:dyDescent="0.25">
      <c r="A49" s="3"/>
      <c r="B49" s="3"/>
      <c r="C49" s="3"/>
      <c r="D49" s="3"/>
      <c r="E49" s="30"/>
      <c r="F49" s="30"/>
      <c r="G49" s="30"/>
      <c r="H49" s="3" t="s">
        <v>19</v>
      </c>
      <c r="I49" s="30">
        <f>CORREL(I7:I38,H7:H38)</f>
        <v>0.15420239784666126</v>
      </c>
      <c r="J49" s="30">
        <v>1</v>
      </c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</row>
  </sheetData>
  <sortState xmlns:xlrd2="http://schemas.microsoft.com/office/spreadsheetml/2017/richdata2" ref="A6:A17">
    <sortCondition descending="1" ref="A6"/>
  </sortState>
  <mergeCells count="2">
    <mergeCell ref="E46:G46"/>
    <mergeCell ref="E44:G44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E49"/>
  <sheetViews>
    <sheetView topLeftCell="C40" zoomScaleNormal="100" workbookViewId="0">
      <selection activeCell="K39" sqref="K39"/>
    </sheetView>
  </sheetViews>
  <sheetFormatPr defaultRowHeight="15" x14ac:dyDescent="0.25"/>
  <cols>
    <col min="1" max="6" width="9.140625" style="3"/>
    <col min="7" max="7" width="9.28515625" style="3" customWidth="1"/>
    <col min="8" max="14" width="9.140625" style="3"/>
    <col min="15" max="15" width="7.140625" style="3" customWidth="1"/>
    <col min="16" max="16" width="15.140625" style="3" customWidth="1"/>
    <col min="17" max="17" width="24" style="3" customWidth="1"/>
    <col min="18" max="18" width="22.5703125" style="3" customWidth="1"/>
    <col min="19" max="19" width="33" style="3" customWidth="1"/>
    <col min="20" max="20" width="27.140625" style="3" customWidth="1"/>
    <col min="21" max="21" width="18.5703125" style="3" customWidth="1"/>
    <col min="22" max="22" width="20.7109375" style="3" customWidth="1"/>
    <col min="23" max="23" width="20.42578125" style="3" customWidth="1"/>
    <col min="24" max="24" width="30.5703125" style="3" customWidth="1"/>
    <col min="25" max="26" width="23" style="3" customWidth="1"/>
    <col min="27" max="27" width="23.7109375" style="3" customWidth="1"/>
    <col min="28" max="28" width="27.85546875" style="3" customWidth="1"/>
    <col min="29" max="29" width="13" style="3" customWidth="1"/>
    <col min="30" max="30" width="9.140625" style="3"/>
    <col min="31" max="31" width="12.140625" style="3" customWidth="1"/>
    <col min="32" max="16384" width="9.140625" style="3"/>
  </cols>
  <sheetData>
    <row r="1" spans="1:31" ht="18.75" x14ac:dyDescent="0.3">
      <c r="A1" s="50" t="s">
        <v>166</v>
      </c>
      <c r="H1" s="51"/>
      <c r="I1" s="52"/>
      <c r="J1" s="18"/>
      <c r="K1" s="18"/>
      <c r="L1" s="18"/>
    </row>
    <row r="2" spans="1:31" ht="18.75" x14ac:dyDescent="0.3">
      <c r="A2" s="55"/>
      <c r="B2" s="42" t="s">
        <v>173</v>
      </c>
      <c r="C2" s="42" t="s">
        <v>172</v>
      </c>
      <c r="D2" s="42" t="s">
        <v>174</v>
      </c>
      <c r="E2" s="42" t="s">
        <v>163</v>
      </c>
      <c r="F2" s="42" t="s">
        <v>171</v>
      </c>
      <c r="G2" s="41" t="s">
        <v>164</v>
      </c>
      <c r="H2" s="41"/>
      <c r="I2" s="53"/>
      <c r="J2" s="54"/>
      <c r="K2" s="54"/>
      <c r="L2" s="49"/>
    </row>
    <row r="3" spans="1:31" x14ac:dyDescent="0.25">
      <c r="A3" s="42" t="s">
        <v>147</v>
      </c>
      <c r="B3" s="42" t="s">
        <v>148</v>
      </c>
      <c r="C3" s="42" t="s">
        <v>149</v>
      </c>
      <c r="D3" s="42" t="s">
        <v>167</v>
      </c>
      <c r="E3" s="42" t="s">
        <v>168</v>
      </c>
      <c r="F3" s="42" t="s">
        <v>169</v>
      </c>
      <c r="G3" s="42" t="s">
        <v>170</v>
      </c>
      <c r="H3" s="41"/>
      <c r="I3" s="53"/>
      <c r="J3" s="54"/>
      <c r="K3" s="54"/>
      <c r="L3" s="54"/>
    </row>
    <row r="4" spans="1:31" ht="15.75" thickBot="1" x14ac:dyDescent="0.3">
      <c r="A4" s="42">
        <v>-12.9</v>
      </c>
      <c r="B4" s="42">
        <v>-13.8</v>
      </c>
      <c r="C4" s="42">
        <v>-1.0900000000000001</v>
      </c>
      <c r="D4" s="42">
        <v>5.8</v>
      </c>
      <c r="E4" s="42">
        <v>2.1000000000000001E-2</v>
      </c>
      <c r="F4" s="56">
        <v>3.5000000000000003E-2</v>
      </c>
      <c r="G4" s="42">
        <v>3.4000000000000002E-2</v>
      </c>
      <c r="H4" s="42"/>
    </row>
    <row r="5" spans="1:31" ht="15.75" customHeight="1" x14ac:dyDescent="0.25">
      <c r="B5" s="42"/>
      <c r="C5" s="42"/>
      <c r="D5" s="42"/>
      <c r="E5" s="42"/>
      <c r="F5" s="42"/>
      <c r="G5" s="41"/>
      <c r="I5" s="47" t="s">
        <v>165</v>
      </c>
    </row>
    <row r="6" spans="1:31" ht="16.5" thickBot="1" x14ac:dyDescent="0.3">
      <c r="A6" s="24"/>
      <c r="C6" s="42" t="s">
        <v>173</v>
      </c>
      <c r="D6" s="42" t="s">
        <v>172</v>
      </c>
      <c r="E6" s="42" t="s">
        <v>174</v>
      </c>
      <c r="F6" s="42" t="s">
        <v>163</v>
      </c>
      <c r="G6" s="42" t="s">
        <v>171</v>
      </c>
      <c r="H6" s="41" t="s">
        <v>164</v>
      </c>
      <c r="I6" s="48" t="s">
        <v>22</v>
      </c>
      <c r="J6" s="63" t="s">
        <v>175</v>
      </c>
      <c r="K6" s="64" t="s">
        <v>176</v>
      </c>
      <c r="L6" s="64" t="s">
        <v>177</v>
      </c>
      <c r="M6" s="64" t="s">
        <v>178</v>
      </c>
      <c r="N6" s="64" t="s">
        <v>179</v>
      </c>
      <c r="O6" s="64" t="s">
        <v>180</v>
      </c>
      <c r="P6" s="64" t="s">
        <v>181</v>
      </c>
      <c r="Q6" s="3" t="s">
        <v>50</v>
      </c>
      <c r="R6" s="3" t="s">
        <v>51</v>
      </c>
      <c r="S6" s="3" t="s">
        <v>52</v>
      </c>
      <c r="T6" s="3" t="s">
        <v>183</v>
      </c>
      <c r="U6" s="3" t="s">
        <v>184</v>
      </c>
      <c r="V6" s="3" t="s">
        <v>185</v>
      </c>
      <c r="W6" s="3" t="s">
        <v>186</v>
      </c>
      <c r="X6" s="3" t="s">
        <v>46</v>
      </c>
      <c r="Y6" s="3" t="s">
        <v>47</v>
      </c>
      <c r="Z6" s="3" t="s">
        <v>157</v>
      </c>
      <c r="AA6" s="3" t="s">
        <v>158</v>
      </c>
      <c r="AB6" s="3" t="s">
        <v>46</v>
      </c>
      <c r="AC6" s="3" t="s">
        <v>47</v>
      </c>
    </row>
    <row r="7" spans="1:31" ht="18.75" customHeight="1" thickBot="1" x14ac:dyDescent="0.3">
      <c r="A7" s="24">
        <v>1</v>
      </c>
      <c r="B7" s="57"/>
      <c r="C7" s="59">
        <v>5</v>
      </c>
      <c r="D7" s="60">
        <v>7.2</v>
      </c>
      <c r="E7" s="60">
        <v>7.2</v>
      </c>
      <c r="F7" s="60">
        <v>0.8</v>
      </c>
      <c r="G7" s="60">
        <v>0.6</v>
      </c>
      <c r="H7" s="60">
        <v>1</v>
      </c>
      <c r="I7" s="59">
        <v>6.1820000000000004</v>
      </c>
      <c r="J7" s="3">
        <f>LOG10(C7)</f>
        <v>0.69897000433601886</v>
      </c>
      <c r="K7" s="3">
        <f t="shared" ref="K7:P22" si="0">LOG10(D7)</f>
        <v>0.85733249643126852</v>
      </c>
      <c r="L7" s="3">
        <f t="shared" si="0"/>
        <v>0.85733249643126852</v>
      </c>
      <c r="M7" s="3">
        <f t="shared" si="0"/>
        <v>-9.6910013008056392E-2</v>
      </c>
      <c r="N7" s="3">
        <f t="shared" si="0"/>
        <v>-0.22184874961635639</v>
      </c>
      <c r="O7" s="3">
        <f t="shared" si="0"/>
        <v>0</v>
      </c>
      <c r="P7" s="3">
        <f>LOG10(I7)</f>
        <v>0.7911290007272862</v>
      </c>
      <c r="Q7" s="3">
        <f>POWER((I7-$I$39),2)</f>
        <v>0.86868225097656016</v>
      </c>
      <c r="R7" s="3">
        <f>POWER(C7-$C$39,2)</f>
        <v>285.8212890625</v>
      </c>
      <c r="S7" s="3">
        <f>POWER((D7-$D$39),2)</f>
        <v>9.1392847656250016</v>
      </c>
      <c r="T7" s="3">
        <f>POWER((E7-$E$39),2)</f>
        <v>5.90338134765625</v>
      </c>
      <c r="U7" s="3">
        <f>POWER((F7-$F$38),2)</f>
        <v>1.9600000000000003E-2</v>
      </c>
      <c r="V7" s="3">
        <f>POWER((G7-$G$38),2)</f>
        <v>5.2899999999999989E-2</v>
      </c>
      <c r="W7" s="3">
        <f>POWER((H7-$H$38),2)</f>
        <v>4.0000000000000072E-4</v>
      </c>
      <c r="X7" s="20">
        <f>$I$39-$R$44*$R$42*SQRT(1/32+R7/$R$39)</f>
        <v>-4.4058106772513339</v>
      </c>
      <c r="Y7" s="3">
        <f>$I$39+$R$44*$R$42*SQRT(1/32+R7/$R$39)</f>
        <v>18.633873177251331</v>
      </c>
      <c r="Z7" s="3">
        <f>$I$39-$R$44*$R$42*SQRT(1+1/32+R7/$R$39)</f>
        <v>-44.780230341955296</v>
      </c>
      <c r="AA7" s="3">
        <f>$I$39+$R$44*$R$42*SQRT(1+1/32+R7/$R$39)</f>
        <v>59.008292841955289</v>
      </c>
      <c r="AB7" s="3">
        <f>$I7-2.635</f>
        <v>3.5470000000000006</v>
      </c>
      <c r="AC7" s="3">
        <f>$I7+2.635</f>
        <v>8.8170000000000002</v>
      </c>
      <c r="AD7" s="3">
        <f>AB7-1</f>
        <v>2.5470000000000006</v>
      </c>
      <c r="AE7" s="3">
        <f>AC7+1</f>
        <v>9.8170000000000002</v>
      </c>
    </row>
    <row r="8" spans="1:31" ht="15.75" thickBot="1" x14ac:dyDescent="0.3">
      <c r="A8" s="24">
        <f t="shared" ref="A8:A38" si="1">A7+1</f>
        <v>2</v>
      </c>
      <c r="B8" s="58"/>
      <c r="C8" s="61">
        <v>8</v>
      </c>
      <c r="D8" s="62">
        <v>2.75</v>
      </c>
      <c r="E8" s="62">
        <v>3.5</v>
      </c>
      <c r="F8" s="62">
        <v>1.25</v>
      </c>
      <c r="G8" s="62">
        <v>0.13</v>
      </c>
      <c r="H8" s="62">
        <v>1</v>
      </c>
      <c r="I8" s="61">
        <v>6.1820000000000004</v>
      </c>
      <c r="J8" s="3">
        <f t="shared" ref="J8:P38" si="2">LOG10(C8)</f>
        <v>0.90308998699194354</v>
      </c>
      <c r="K8" s="3">
        <f t="shared" si="0"/>
        <v>0.43933269383026263</v>
      </c>
      <c r="L8" s="3">
        <f t="shared" si="0"/>
        <v>0.54406804435027567</v>
      </c>
      <c r="M8" s="3">
        <f t="shared" si="0"/>
        <v>9.691001300805642E-2</v>
      </c>
      <c r="N8" s="3">
        <f t="shared" si="0"/>
        <v>-0.88605664769316317</v>
      </c>
      <c r="O8" s="3">
        <f t="shared" si="0"/>
        <v>0</v>
      </c>
      <c r="P8" s="3">
        <f t="shared" si="0"/>
        <v>0.7911290007272862</v>
      </c>
      <c r="Q8" s="3">
        <f t="shared" ref="Q8:Q38" si="3">POWER((I8-$I$39),2)</f>
        <v>0.86868225097656016</v>
      </c>
      <c r="R8" s="3">
        <f t="shared" ref="R8:R38" si="4">POWER(C8-$C$39,2)</f>
        <v>193.3837890625</v>
      </c>
      <c r="S8" s="3">
        <f t="shared" ref="S8:S38" si="5">POWER((D8-$D$39),2)</f>
        <v>2.0359722656249999</v>
      </c>
      <c r="T8" s="3">
        <f t="shared" ref="T8:T38" si="6">POWER((E8-$E$39),2)</f>
        <v>1.6136938476562503</v>
      </c>
      <c r="U8" s="3">
        <f t="shared" ref="U8:U38" si="7">POWER((F8-$F$38),2)</f>
        <v>0.34809999999999997</v>
      </c>
      <c r="V8" s="3">
        <f t="shared" ref="V8:V38" si="8">POWER((G8-$G$38),2)</f>
        <v>5.7599999999999998E-2</v>
      </c>
      <c r="W8" s="3">
        <f t="shared" ref="W8:W37" si="9">POWER((H8-$H$38),2)</f>
        <v>4.0000000000000072E-4</v>
      </c>
      <c r="X8" s="20">
        <f t="shared" ref="X8:X38" si="10">$I$39-$R$44*$R$42*SQRT(1/32+R8/$R$39)</f>
        <v>-3.6406871411873221</v>
      </c>
      <c r="Y8" s="3">
        <f t="shared" ref="Y8:Y38" si="11">$I$39+$R$44*$R$42*SQRT(1/32+R8/$R$39)</f>
        <v>17.868749641187321</v>
      </c>
      <c r="Z8" s="3">
        <f t="shared" ref="Z8:Z38" si="12">$I$39-$R$44*$R$42*SQRT(1+1/32+R8/$R$39)</f>
        <v>-44.61576283251275</v>
      </c>
      <c r="AA8" s="3">
        <f t="shared" ref="AA8:AA38" si="13">$I$39+$R$44*$R$42*SQRT(1+1/32+R8/$R$39)</f>
        <v>58.843825332512743</v>
      </c>
      <c r="AB8" s="3">
        <f t="shared" ref="AB8:AB38" si="14">$I8-2.635</f>
        <v>3.5470000000000006</v>
      </c>
      <c r="AC8" s="3">
        <f t="shared" ref="AC8:AC38" si="15">$I8+2.635</f>
        <v>8.8170000000000002</v>
      </c>
      <c r="AD8" s="3">
        <f t="shared" ref="AD8:AD38" si="16">AB8-1</f>
        <v>2.5470000000000006</v>
      </c>
      <c r="AE8" s="3">
        <f t="shared" ref="AE8:AE38" si="17">AC8+1</f>
        <v>9.8170000000000002</v>
      </c>
    </row>
    <row r="9" spans="1:31" ht="15.75" thickBot="1" x14ac:dyDescent="0.3">
      <c r="A9" s="24">
        <f t="shared" si="1"/>
        <v>3</v>
      </c>
      <c r="B9" s="58"/>
      <c r="C9" s="61">
        <v>9</v>
      </c>
      <c r="D9" s="62">
        <v>3</v>
      </c>
      <c r="E9" s="62">
        <v>5.56</v>
      </c>
      <c r="F9" s="62">
        <v>1.89</v>
      </c>
      <c r="G9" s="62">
        <v>0.56000000000000005</v>
      </c>
      <c r="H9" s="62">
        <v>1</v>
      </c>
      <c r="I9" s="61">
        <v>6.3140000000000001</v>
      </c>
      <c r="J9" s="3">
        <f t="shared" si="2"/>
        <v>0.95424250943932487</v>
      </c>
      <c r="K9" s="3">
        <f t="shared" si="0"/>
        <v>0.47712125471966244</v>
      </c>
      <c r="L9" s="3">
        <f t="shared" si="0"/>
        <v>0.74507479158205747</v>
      </c>
      <c r="M9" s="3">
        <f t="shared" si="0"/>
        <v>0.27646180417324412</v>
      </c>
      <c r="N9" s="3">
        <f t="shared" si="0"/>
        <v>-0.25181197299379954</v>
      </c>
      <c r="O9" s="3">
        <f t="shared" si="0"/>
        <v>0</v>
      </c>
      <c r="P9" s="3">
        <f t="shared" si="0"/>
        <v>0.80030457755619855</v>
      </c>
      <c r="Q9" s="3">
        <f t="shared" si="3"/>
        <v>0.64005000097656106</v>
      </c>
      <c r="R9" s="3">
        <f t="shared" si="4"/>
        <v>166.5712890625</v>
      </c>
      <c r="S9" s="3">
        <f t="shared" si="5"/>
        <v>1.3850347656249997</v>
      </c>
      <c r="T9" s="3">
        <f t="shared" si="6"/>
        <v>0.62360634765624912</v>
      </c>
      <c r="U9" s="3">
        <f t="shared" si="7"/>
        <v>1.5128999999999999</v>
      </c>
      <c r="V9" s="3">
        <f t="shared" si="8"/>
        <v>3.6100000000000021E-2</v>
      </c>
      <c r="W9" s="3">
        <f t="shared" si="9"/>
        <v>4.0000000000000072E-4</v>
      </c>
      <c r="X9" s="20">
        <f t="shared" si="10"/>
        <v>-3.4083506754066866</v>
      </c>
      <c r="Y9" s="3">
        <f t="shared" si="11"/>
        <v>17.636413175406684</v>
      </c>
      <c r="Z9" s="3">
        <f t="shared" si="12"/>
        <v>-44.567959322437837</v>
      </c>
      <c r="AA9" s="3">
        <f t="shared" si="13"/>
        <v>58.796021822437829</v>
      </c>
      <c r="AB9" s="3">
        <f t="shared" si="14"/>
        <v>3.6790000000000003</v>
      </c>
      <c r="AC9" s="3">
        <f t="shared" si="15"/>
        <v>8.9489999999999998</v>
      </c>
      <c r="AD9" s="3">
        <f t="shared" si="16"/>
        <v>2.6790000000000003</v>
      </c>
      <c r="AE9" s="3">
        <f t="shared" si="17"/>
        <v>9.9489999999999998</v>
      </c>
    </row>
    <row r="10" spans="1:31" ht="15.75" thickBot="1" x14ac:dyDescent="0.3">
      <c r="A10" s="24">
        <f t="shared" si="1"/>
        <v>4</v>
      </c>
      <c r="B10" s="58"/>
      <c r="C10" s="61">
        <v>9</v>
      </c>
      <c r="D10" s="62">
        <v>3</v>
      </c>
      <c r="E10" s="62">
        <v>5.78</v>
      </c>
      <c r="F10" s="62">
        <v>2.11</v>
      </c>
      <c r="G10" s="62">
        <v>0.56000000000000005</v>
      </c>
      <c r="H10" s="62">
        <v>1</v>
      </c>
      <c r="I10" s="61">
        <v>6.3579999999999997</v>
      </c>
      <c r="J10" s="3">
        <f t="shared" si="2"/>
        <v>0.95424250943932487</v>
      </c>
      <c r="K10" s="3">
        <f t="shared" si="0"/>
        <v>0.47712125471966244</v>
      </c>
      <c r="L10" s="3">
        <f t="shared" si="0"/>
        <v>0.76192783842052902</v>
      </c>
      <c r="M10" s="3">
        <f t="shared" si="0"/>
        <v>0.32428245529769262</v>
      </c>
      <c r="N10" s="3">
        <f t="shared" si="0"/>
        <v>-0.25181197299379954</v>
      </c>
      <c r="O10" s="3">
        <f t="shared" si="0"/>
        <v>0</v>
      </c>
      <c r="P10" s="3">
        <f t="shared" si="0"/>
        <v>0.80332052357875405</v>
      </c>
      <c r="Q10" s="3">
        <f t="shared" si="3"/>
        <v>0.57158325097656171</v>
      </c>
      <c r="R10" s="3">
        <f t="shared" si="4"/>
        <v>166.5712890625</v>
      </c>
      <c r="S10" s="3">
        <f t="shared" si="5"/>
        <v>1.3850347656249997</v>
      </c>
      <c r="T10" s="3">
        <f t="shared" si="6"/>
        <v>1.0194688476562501</v>
      </c>
      <c r="U10" s="3">
        <f t="shared" si="7"/>
        <v>2.1024999999999991</v>
      </c>
      <c r="V10" s="3">
        <f t="shared" si="8"/>
        <v>3.6100000000000021E-2</v>
      </c>
      <c r="W10" s="3">
        <f t="shared" si="9"/>
        <v>4.0000000000000072E-4</v>
      </c>
      <c r="X10" s="20">
        <f t="shared" si="10"/>
        <v>-3.4083506754066866</v>
      </c>
      <c r="Y10" s="3">
        <f t="shared" si="11"/>
        <v>17.636413175406684</v>
      </c>
      <c r="Z10" s="3">
        <f t="shared" si="12"/>
        <v>-44.567959322437837</v>
      </c>
      <c r="AA10" s="3">
        <f t="shared" si="13"/>
        <v>58.796021822437829</v>
      </c>
      <c r="AB10" s="3">
        <f t="shared" si="14"/>
        <v>3.7229999999999999</v>
      </c>
      <c r="AC10" s="3">
        <f t="shared" si="15"/>
        <v>8.9929999999999986</v>
      </c>
      <c r="AD10" s="3">
        <f t="shared" si="16"/>
        <v>2.7229999999999999</v>
      </c>
      <c r="AE10" s="3">
        <f t="shared" si="17"/>
        <v>9.9929999999999986</v>
      </c>
    </row>
    <row r="11" spans="1:31" ht="15.75" thickBot="1" x14ac:dyDescent="0.3">
      <c r="A11" s="24">
        <f t="shared" si="1"/>
        <v>5</v>
      </c>
      <c r="B11" s="58"/>
      <c r="C11" s="61">
        <v>9</v>
      </c>
      <c r="D11" s="62">
        <v>3.11</v>
      </c>
      <c r="E11" s="62">
        <v>5.78</v>
      </c>
      <c r="F11" s="62">
        <v>2.11</v>
      </c>
      <c r="G11" s="62">
        <v>0.56000000000000005</v>
      </c>
      <c r="H11" s="62">
        <v>1</v>
      </c>
      <c r="I11" s="61">
        <v>6.4820000000000002</v>
      </c>
      <c r="J11" s="3">
        <f t="shared" si="2"/>
        <v>0.95424250943932487</v>
      </c>
      <c r="K11" s="3">
        <f t="shared" si="0"/>
        <v>0.4927603890268375</v>
      </c>
      <c r="L11" s="3">
        <f t="shared" si="0"/>
        <v>0.76192783842052902</v>
      </c>
      <c r="M11" s="3">
        <f t="shared" si="0"/>
        <v>0.32428245529769262</v>
      </c>
      <c r="N11" s="3">
        <f t="shared" si="0"/>
        <v>-0.25181197299379954</v>
      </c>
      <c r="O11" s="3">
        <f t="shared" si="0"/>
        <v>0</v>
      </c>
      <c r="P11" s="3">
        <f t="shared" si="0"/>
        <v>0.81170902669619116</v>
      </c>
      <c r="Q11" s="3">
        <f t="shared" si="3"/>
        <v>0.39946350097656114</v>
      </c>
      <c r="R11" s="3">
        <f t="shared" si="4"/>
        <v>166.5712890625</v>
      </c>
      <c r="S11" s="3">
        <f t="shared" si="5"/>
        <v>1.1382222656250001</v>
      </c>
      <c r="T11" s="3">
        <f t="shared" si="6"/>
        <v>1.0194688476562501</v>
      </c>
      <c r="U11" s="3">
        <f t="shared" si="7"/>
        <v>2.1024999999999991</v>
      </c>
      <c r="V11" s="3">
        <f t="shared" si="8"/>
        <v>3.6100000000000021E-2</v>
      </c>
      <c r="W11" s="3">
        <f t="shared" si="9"/>
        <v>4.0000000000000072E-4</v>
      </c>
      <c r="X11" s="20">
        <f t="shared" si="10"/>
        <v>-3.4083506754066866</v>
      </c>
      <c r="Y11" s="3">
        <f t="shared" si="11"/>
        <v>17.636413175406684</v>
      </c>
      <c r="Z11" s="3">
        <f t="shared" si="12"/>
        <v>-44.567959322437837</v>
      </c>
      <c r="AA11" s="3">
        <f t="shared" si="13"/>
        <v>58.796021822437829</v>
      </c>
      <c r="AB11" s="3">
        <f t="shared" si="14"/>
        <v>3.8470000000000004</v>
      </c>
      <c r="AC11" s="3">
        <f t="shared" si="15"/>
        <v>9.1170000000000009</v>
      </c>
      <c r="AD11" s="3">
        <f t="shared" si="16"/>
        <v>2.8470000000000004</v>
      </c>
      <c r="AE11" s="3">
        <f t="shared" si="17"/>
        <v>10.117000000000001</v>
      </c>
    </row>
    <row r="12" spans="1:31" ht="15.75" thickBot="1" x14ac:dyDescent="0.3">
      <c r="A12" s="24">
        <f t="shared" si="1"/>
        <v>6</v>
      </c>
      <c r="B12" s="58"/>
      <c r="C12" s="61">
        <v>10</v>
      </c>
      <c r="D12" s="62">
        <v>3.3</v>
      </c>
      <c r="E12" s="62">
        <v>5.5</v>
      </c>
      <c r="F12" s="62">
        <v>1.1000000000000001</v>
      </c>
      <c r="G12" s="62">
        <v>0.9</v>
      </c>
      <c r="H12" s="62">
        <v>1.1000000000000001</v>
      </c>
      <c r="I12" s="61">
        <v>6.5830000000000002</v>
      </c>
      <c r="J12" s="3">
        <f t="shared" si="2"/>
        <v>1</v>
      </c>
      <c r="K12" s="3">
        <f t="shared" si="0"/>
        <v>0.51851393987788741</v>
      </c>
      <c r="L12" s="3">
        <f t="shared" si="0"/>
        <v>0.74036268949424389</v>
      </c>
      <c r="M12" s="3">
        <f t="shared" si="0"/>
        <v>4.1392685158225077E-2</v>
      </c>
      <c r="N12" s="3">
        <f t="shared" si="0"/>
        <v>-4.5757490560675115E-2</v>
      </c>
      <c r="O12" s="3">
        <f t="shared" si="0"/>
        <v>4.1392685158225077E-2</v>
      </c>
      <c r="P12" s="3">
        <f t="shared" si="0"/>
        <v>0.81842385509207882</v>
      </c>
      <c r="Q12" s="3">
        <f t="shared" si="3"/>
        <v>0.28199418847656138</v>
      </c>
      <c r="R12" s="3">
        <f t="shared" si="4"/>
        <v>141.7587890625</v>
      </c>
      <c r="S12" s="3">
        <f t="shared" si="5"/>
        <v>0.76890976562500013</v>
      </c>
      <c r="T12" s="3">
        <f t="shared" si="6"/>
        <v>0.53244384765624975</v>
      </c>
      <c r="U12" s="3">
        <f t="shared" si="7"/>
        <v>0.19360000000000005</v>
      </c>
      <c r="V12" s="3">
        <f t="shared" si="8"/>
        <v>0.28090000000000004</v>
      </c>
      <c r="W12" s="3">
        <f t="shared" si="9"/>
        <v>6.4000000000000116E-3</v>
      </c>
      <c r="X12" s="20">
        <f t="shared" si="10"/>
        <v>-3.1886779572369433</v>
      </c>
      <c r="Y12" s="3">
        <f t="shared" si="11"/>
        <v>17.416740457236941</v>
      </c>
      <c r="Z12" s="3">
        <f t="shared" si="12"/>
        <v>-44.523682149746058</v>
      </c>
      <c r="AA12" s="3">
        <f t="shared" si="13"/>
        <v>58.751744649746051</v>
      </c>
      <c r="AB12" s="3">
        <f t="shared" si="14"/>
        <v>3.9480000000000004</v>
      </c>
      <c r="AC12" s="3">
        <f t="shared" si="15"/>
        <v>9.218</v>
      </c>
      <c r="AD12" s="3">
        <f t="shared" si="16"/>
        <v>2.9480000000000004</v>
      </c>
      <c r="AE12" s="3">
        <f t="shared" si="17"/>
        <v>10.218</v>
      </c>
    </row>
    <row r="13" spans="1:31" ht="15.75" thickBot="1" x14ac:dyDescent="0.3">
      <c r="A13" s="24">
        <f t="shared" si="1"/>
        <v>7</v>
      </c>
      <c r="B13" s="58"/>
      <c r="C13" s="61">
        <v>8</v>
      </c>
      <c r="D13" s="62">
        <v>4.38</v>
      </c>
      <c r="E13" s="62">
        <v>4.5</v>
      </c>
      <c r="F13" s="62">
        <v>1.38</v>
      </c>
      <c r="G13" s="62">
        <v>0.25</v>
      </c>
      <c r="H13" s="62">
        <v>1</v>
      </c>
      <c r="I13" s="61">
        <v>6.6050000000000004</v>
      </c>
      <c r="J13" s="3">
        <f t="shared" si="2"/>
        <v>0.90308998699194354</v>
      </c>
      <c r="K13" s="3">
        <f t="shared" si="0"/>
        <v>0.64147411050409953</v>
      </c>
      <c r="L13" s="3">
        <f t="shared" si="0"/>
        <v>0.65321251377534373</v>
      </c>
      <c r="M13" s="3">
        <f t="shared" si="0"/>
        <v>0.13987908640123647</v>
      </c>
      <c r="N13" s="3">
        <f t="shared" si="0"/>
        <v>-0.6020599913279624</v>
      </c>
      <c r="O13" s="3">
        <f t="shared" si="0"/>
        <v>0</v>
      </c>
      <c r="P13" s="3">
        <f t="shared" si="0"/>
        <v>0.819872821950546</v>
      </c>
      <c r="Q13" s="3">
        <f t="shared" si="3"/>
        <v>0.25911281347656118</v>
      </c>
      <c r="R13" s="3">
        <f t="shared" si="4"/>
        <v>193.3837890625</v>
      </c>
      <c r="S13" s="3">
        <f t="shared" si="5"/>
        <v>4.1259765625E-2</v>
      </c>
      <c r="T13" s="3">
        <f t="shared" si="6"/>
        <v>7.3068847656250102E-2</v>
      </c>
      <c r="U13" s="3">
        <f t="shared" si="7"/>
        <v>0.51839999999999975</v>
      </c>
      <c r="V13" s="3">
        <f t="shared" si="8"/>
        <v>1.44E-2</v>
      </c>
      <c r="W13" s="3">
        <f t="shared" si="9"/>
        <v>4.0000000000000072E-4</v>
      </c>
      <c r="X13" s="20">
        <f t="shared" si="10"/>
        <v>-3.6406871411873221</v>
      </c>
      <c r="Y13" s="3">
        <f t="shared" si="11"/>
        <v>17.868749641187321</v>
      </c>
      <c r="Z13" s="3">
        <f t="shared" si="12"/>
        <v>-44.61576283251275</v>
      </c>
      <c r="AA13" s="3">
        <f t="shared" si="13"/>
        <v>58.843825332512743</v>
      </c>
      <c r="AB13" s="3">
        <f t="shared" si="14"/>
        <v>3.9700000000000006</v>
      </c>
      <c r="AC13" s="3">
        <f t="shared" si="15"/>
        <v>9.24</v>
      </c>
      <c r="AD13" s="3">
        <f t="shared" si="16"/>
        <v>2.9700000000000006</v>
      </c>
      <c r="AE13" s="3">
        <f t="shared" si="17"/>
        <v>10.24</v>
      </c>
    </row>
    <row r="14" spans="1:31" ht="15.75" thickBot="1" x14ac:dyDescent="0.3">
      <c r="A14" s="24">
        <f t="shared" si="1"/>
        <v>8</v>
      </c>
      <c r="B14" s="58"/>
      <c r="C14" s="61">
        <v>11</v>
      </c>
      <c r="D14" s="62">
        <v>3.55</v>
      </c>
      <c r="E14" s="62">
        <v>7.27</v>
      </c>
      <c r="F14" s="62">
        <v>0.82</v>
      </c>
      <c r="G14" s="62">
        <v>0.73</v>
      </c>
      <c r="H14" s="62">
        <v>1</v>
      </c>
      <c r="I14" s="61">
        <v>6.7489999999999997</v>
      </c>
      <c r="J14" s="3">
        <f t="shared" si="2"/>
        <v>1.0413926851582251</v>
      </c>
      <c r="K14" s="3">
        <f t="shared" si="0"/>
        <v>0.5502283530550941</v>
      </c>
      <c r="L14" s="3">
        <f t="shared" si="0"/>
        <v>0.86153441085903781</v>
      </c>
      <c r="M14" s="3">
        <f t="shared" si="0"/>
        <v>-8.6186147616283335E-2</v>
      </c>
      <c r="N14" s="3">
        <f t="shared" si="0"/>
        <v>-0.13667713987954411</v>
      </c>
      <c r="O14" s="3">
        <f t="shared" si="0"/>
        <v>0</v>
      </c>
      <c r="P14" s="3">
        <f t="shared" si="0"/>
        <v>0.82923942814138896</v>
      </c>
      <c r="Q14" s="3">
        <f t="shared" si="3"/>
        <v>0.13324781347656212</v>
      </c>
      <c r="R14" s="3">
        <f t="shared" si="4"/>
        <v>118.9462890625</v>
      </c>
      <c r="S14" s="3">
        <f t="shared" si="5"/>
        <v>0.39297226562500009</v>
      </c>
      <c r="T14" s="3">
        <f t="shared" si="6"/>
        <v>6.2484375976562472</v>
      </c>
      <c r="U14" s="3">
        <f t="shared" si="7"/>
        <v>2.5599999999999973E-2</v>
      </c>
      <c r="V14" s="3">
        <f t="shared" si="8"/>
        <v>0.12959999999999999</v>
      </c>
      <c r="W14" s="3">
        <f t="shared" si="9"/>
        <v>4.0000000000000072E-4</v>
      </c>
      <c r="X14" s="20">
        <f t="shared" si="10"/>
        <v>-2.9824956057074372</v>
      </c>
      <c r="Y14" s="3">
        <f t="shared" si="11"/>
        <v>17.210558105707435</v>
      </c>
      <c r="Z14" s="3">
        <f t="shared" si="12"/>
        <v>-44.482940392659899</v>
      </c>
      <c r="AA14" s="3">
        <f t="shared" si="13"/>
        <v>58.711002892659891</v>
      </c>
      <c r="AB14" s="3">
        <f t="shared" si="14"/>
        <v>4.1139999999999999</v>
      </c>
      <c r="AC14" s="3">
        <f t="shared" si="15"/>
        <v>9.3840000000000003</v>
      </c>
      <c r="AD14" s="3">
        <f t="shared" si="16"/>
        <v>3.1139999999999999</v>
      </c>
      <c r="AE14" s="3">
        <f t="shared" si="17"/>
        <v>10.384</v>
      </c>
    </row>
    <row r="15" spans="1:31" ht="15.75" thickBot="1" x14ac:dyDescent="0.3">
      <c r="A15" s="24">
        <f t="shared" si="1"/>
        <v>9</v>
      </c>
      <c r="B15" s="58"/>
      <c r="C15" s="61">
        <v>19</v>
      </c>
      <c r="D15" s="62">
        <v>4.95</v>
      </c>
      <c r="E15" s="62">
        <v>3.42</v>
      </c>
      <c r="F15" s="62">
        <v>0.89</v>
      </c>
      <c r="G15" s="62">
        <v>0.37</v>
      </c>
      <c r="H15" s="62">
        <v>1.1100000000000001</v>
      </c>
      <c r="I15" s="61">
        <v>6.8630000000000004</v>
      </c>
      <c r="J15" s="3">
        <f t="shared" si="2"/>
        <v>1.2787536009528289</v>
      </c>
      <c r="K15" s="3">
        <f t="shared" si="0"/>
        <v>0.69460519893356876</v>
      </c>
      <c r="L15" s="3">
        <f t="shared" si="0"/>
        <v>0.53402610605613499</v>
      </c>
      <c r="M15" s="3">
        <f t="shared" si="0"/>
        <v>-5.0609993355087209E-2</v>
      </c>
      <c r="N15" s="3">
        <f t="shared" si="0"/>
        <v>-0.43179827593300502</v>
      </c>
      <c r="O15" s="3">
        <f t="shared" si="0"/>
        <v>4.5322978786657475E-2</v>
      </c>
      <c r="P15" s="3">
        <f t="shared" si="0"/>
        <v>0.83651399889067146</v>
      </c>
      <c r="Q15" s="3">
        <f t="shared" si="3"/>
        <v>6.3016688476561847E-2</v>
      </c>
      <c r="R15" s="3">
        <f t="shared" si="4"/>
        <v>8.4462890625</v>
      </c>
      <c r="S15" s="3">
        <f t="shared" si="5"/>
        <v>0.59772226562500042</v>
      </c>
      <c r="T15" s="3">
        <f t="shared" si="6"/>
        <v>1.8233438476562507</v>
      </c>
      <c r="U15" s="3">
        <f t="shared" si="7"/>
        <v>5.2899999999999989E-2</v>
      </c>
      <c r="V15" s="3">
        <f t="shared" si="8"/>
        <v>0</v>
      </c>
      <c r="W15" s="3">
        <f t="shared" si="9"/>
        <v>8.1000000000000152E-3</v>
      </c>
      <c r="X15" s="20">
        <f t="shared" si="10"/>
        <v>-1.9174062755929659</v>
      </c>
      <c r="Y15" s="3">
        <f t="shared" si="11"/>
        <v>16.145468775592963</v>
      </c>
      <c r="Z15" s="3">
        <f t="shared" si="12"/>
        <v>-44.285136952648145</v>
      </c>
      <c r="AA15" s="3">
        <f t="shared" si="13"/>
        <v>58.513199452648138</v>
      </c>
      <c r="AB15" s="3">
        <f t="shared" si="14"/>
        <v>4.2280000000000006</v>
      </c>
      <c r="AC15" s="3">
        <f t="shared" si="15"/>
        <v>9.4980000000000011</v>
      </c>
      <c r="AD15" s="3">
        <f t="shared" si="16"/>
        <v>3.2280000000000006</v>
      </c>
      <c r="AE15" s="3">
        <f t="shared" si="17"/>
        <v>10.498000000000001</v>
      </c>
    </row>
    <row r="16" spans="1:31" ht="15.75" thickBot="1" x14ac:dyDescent="0.3">
      <c r="A16" s="24">
        <f t="shared" si="1"/>
        <v>10</v>
      </c>
      <c r="B16" s="58"/>
      <c r="C16" s="61">
        <v>10</v>
      </c>
      <c r="D16" s="62">
        <v>4.3</v>
      </c>
      <c r="E16" s="62">
        <v>5.7</v>
      </c>
      <c r="F16" s="62">
        <v>2.1</v>
      </c>
      <c r="G16" s="62">
        <v>0.4</v>
      </c>
      <c r="H16" s="62">
        <v>1</v>
      </c>
      <c r="I16" s="61">
        <v>6.8789999999999996</v>
      </c>
      <c r="J16" s="3">
        <f t="shared" si="2"/>
        <v>1</v>
      </c>
      <c r="K16" s="3">
        <f t="shared" si="0"/>
        <v>0.63346845557958653</v>
      </c>
      <c r="L16" s="3">
        <f t="shared" si="0"/>
        <v>0.75587485567249146</v>
      </c>
      <c r="M16" s="3">
        <f t="shared" si="0"/>
        <v>0.3222192947339193</v>
      </c>
      <c r="N16" s="3">
        <f t="shared" si="0"/>
        <v>-0.3979400086720376</v>
      </c>
      <c r="O16" s="3">
        <f t="shared" si="0"/>
        <v>0</v>
      </c>
      <c r="P16" s="3">
        <f t="shared" si="0"/>
        <v>0.83752530944960124</v>
      </c>
      <c r="Q16" s="3">
        <f t="shared" si="3"/>
        <v>5.5239688476562306E-2</v>
      </c>
      <c r="R16" s="3">
        <f t="shared" si="4"/>
        <v>141.7587890625</v>
      </c>
      <c r="S16" s="3">
        <f t="shared" si="5"/>
        <v>1.5159765624999983E-2</v>
      </c>
      <c r="T16" s="3">
        <f t="shared" si="6"/>
        <v>0.86431884765625</v>
      </c>
      <c r="U16" s="3">
        <f t="shared" si="7"/>
        <v>2.0735999999999999</v>
      </c>
      <c r="V16" s="3">
        <f t="shared" si="8"/>
        <v>9.000000000000016E-4</v>
      </c>
      <c r="W16" s="3">
        <f t="shared" si="9"/>
        <v>4.0000000000000072E-4</v>
      </c>
      <c r="X16" s="20">
        <f t="shared" si="10"/>
        <v>-3.1886779572369433</v>
      </c>
      <c r="Y16" s="3">
        <f t="shared" si="11"/>
        <v>17.416740457236941</v>
      </c>
      <c r="Z16" s="3">
        <f t="shared" si="12"/>
        <v>-44.523682149746058</v>
      </c>
      <c r="AA16" s="3">
        <f t="shared" si="13"/>
        <v>58.751744649746051</v>
      </c>
      <c r="AB16" s="3">
        <f t="shared" si="14"/>
        <v>4.2439999999999998</v>
      </c>
      <c r="AC16" s="3">
        <f t="shared" si="15"/>
        <v>9.5139999999999993</v>
      </c>
      <c r="AD16" s="3">
        <f t="shared" si="16"/>
        <v>3.2439999999999998</v>
      </c>
      <c r="AE16" s="3">
        <f t="shared" si="17"/>
        <v>10.513999999999999</v>
      </c>
    </row>
    <row r="17" spans="1:31" ht="15.75" thickBot="1" x14ac:dyDescent="0.3">
      <c r="A17" s="24">
        <f t="shared" si="1"/>
        <v>11</v>
      </c>
      <c r="B17" s="58"/>
      <c r="C17" s="61">
        <v>22</v>
      </c>
      <c r="D17" s="62">
        <v>1.91</v>
      </c>
      <c r="E17" s="62">
        <v>3</v>
      </c>
      <c r="F17" s="62">
        <v>0.41</v>
      </c>
      <c r="G17" s="62">
        <v>0.23</v>
      </c>
      <c r="H17" s="62">
        <v>1.05</v>
      </c>
      <c r="I17" s="61">
        <v>6.9480000000000004</v>
      </c>
      <c r="J17" s="3">
        <f t="shared" si="2"/>
        <v>1.3424226808222062</v>
      </c>
      <c r="K17" s="3">
        <f t="shared" si="0"/>
        <v>0.28103336724772754</v>
      </c>
      <c r="L17" s="3">
        <f t="shared" si="0"/>
        <v>0.47712125471966244</v>
      </c>
      <c r="M17" s="3">
        <f t="shared" si="0"/>
        <v>-0.38721614328026455</v>
      </c>
      <c r="N17" s="3">
        <f t="shared" si="0"/>
        <v>-0.63827216398240705</v>
      </c>
      <c r="O17" s="3">
        <f t="shared" si="0"/>
        <v>2.1189299069938092E-2</v>
      </c>
      <c r="P17" s="3">
        <f t="shared" si="0"/>
        <v>0.84185980977506103</v>
      </c>
      <c r="Q17" s="3">
        <f t="shared" si="3"/>
        <v>2.7566375976562082E-2</v>
      </c>
      <c r="R17" s="3">
        <f t="shared" si="4"/>
        <v>8.7890625E-3</v>
      </c>
      <c r="S17" s="3">
        <f t="shared" si="5"/>
        <v>5.1387222656249989</v>
      </c>
      <c r="T17" s="3">
        <f t="shared" si="6"/>
        <v>3.1340063476562507</v>
      </c>
      <c r="U17" s="3">
        <f t="shared" si="7"/>
        <v>6.2500000000000028E-2</v>
      </c>
      <c r="V17" s="3">
        <f t="shared" si="8"/>
        <v>1.9599999999999996E-2</v>
      </c>
      <c r="W17" s="3">
        <f t="shared" si="9"/>
        <v>9.000000000000016E-4</v>
      </c>
      <c r="X17" s="20">
        <f t="shared" si="10"/>
        <v>-1.8308686279981066</v>
      </c>
      <c r="Y17" s="3">
        <f t="shared" si="11"/>
        <v>16.058931127998104</v>
      </c>
      <c r="Z17" s="3">
        <f t="shared" si="12"/>
        <v>-44.270001892337504</v>
      </c>
      <c r="AA17" s="3">
        <f t="shared" si="13"/>
        <v>58.498064392337497</v>
      </c>
      <c r="AB17" s="3">
        <f t="shared" si="14"/>
        <v>4.3130000000000006</v>
      </c>
      <c r="AC17" s="3">
        <f t="shared" si="15"/>
        <v>9.5830000000000002</v>
      </c>
      <c r="AD17" s="3">
        <f t="shared" si="16"/>
        <v>3.3130000000000006</v>
      </c>
      <c r="AE17" s="3">
        <f t="shared" si="17"/>
        <v>10.583</v>
      </c>
    </row>
    <row r="18" spans="1:31" ht="15.75" thickBot="1" x14ac:dyDescent="0.3">
      <c r="A18" s="24">
        <f t="shared" si="1"/>
        <v>12</v>
      </c>
      <c r="B18" s="58"/>
      <c r="C18" s="61">
        <v>7</v>
      </c>
      <c r="D18" s="62">
        <v>8</v>
      </c>
      <c r="E18" s="62">
        <v>7.14</v>
      </c>
      <c r="F18" s="62">
        <v>0.71</v>
      </c>
      <c r="G18" s="62">
        <v>0.43</v>
      </c>
      <c r="H18" s="62">
        <v>1</v>
      </c>
      <c r="I18" s="61">
        <v>6.9720000000000004</v>
      </c>
      <c r="J18" s="3">
        <f t="shared" si="2"/>
        <v>0.84509804001425681</v>
      </c>
      <c r="K18" s="3">
        <f t="shared" si="0"/>
        <v>0.90308998699194354</v>
      </c>
      <c r="L18" s="3">
        <f t="shared" si="0"/>
        <v>0.85369821177617433</v>
      </c>
      <c r="M18" s="3">
        <f t="shared" si="0"/>
        <v>-0.14874165128092473</v>
      </c>
      <c r="N18" s="3">
        <f t="shared" si="0"/>
        <v>-0.36653154442041347</v>
      </c>
      <c r="O18" s="3">
        <f t="shared" si="0"/>
        <v>0</v>
      </c>
      <c r="P18" s="3">
        <f t="shared" si="0"/>
        <v>0.84335737843795555</v>
      </c>
      <c r="Q18" s="3">
        <f t="shared" si="3"/>
        <v>2.0172875976562137E-2</v>
      </c>
      <c r="R18" s="3">
        <f t="shared" si="4"/>
        <v>222.1962890625</v>
      </c>
      <c r="S18" s="3">
        <f t="shared" si="5"/>
        <v>14.616284765625</v>
      </c>
      <c r="T18" s="3">
        <f t="shared" si="6"/>
        <v>5.6154188476562474</v>
      </c>
      <c r="U18" s="3">
        <f t="shared" si="7"/>
        <v>2.4999999999999935E-3</v>
      </c>
      <c r="V18" s="3">
        <f t="shared" si="8"/>
        <v>3.5999999999999999E-3</v>
      </c>
      <c r="W18" s="3">
        <f t="shared" si="9"/>
        <v>4.0000000000000072E-4</v>
      </c>
      <c r="X18" s="20">
        <f t="shared" si="10"/>
        <v>-3.8848848728612611</v>
      </c>
      <c r="Y18" s="3">
        <f t="shared" si="11"/>
        <v>18.11294737286126</v>
      </c>
      <c r="Z18" s="3">
        <f t="shared" si="12"/>
        <v>-44.667082913594101</v>
      </c>
      <c r="AA18" s="3">
        <f t="shared" si="13"/>
        <v>58.895145413594093</v>
      </c>
      <c r="AB18" s="3">
        <f t="shared" si="14"/>
        <v>4.3370000000000006</v>
      </c>
      <c r="AC18" s="3">
        <f t="shared" si="15"/>
        <v>9.6069999999999993</v>
      </c>
      <c r="AD18" s="3">
        <f t="shared" si="16"/>
        <v>3.3370000000000006</v>
      </c>
      <c r="AE18" s="3">
        <f t="shared" si="17"/>
        <v>10.606999999999999</v>
      </c>
    </row>
    <row r="19" spans="1:31" ht="15.75" thickBot="1" x14ac:dyDescent="0.3">
      <c r="A19" s="24">
        <f t="shared" si="1"/>
        <v>13</v>
      </c>
      <c r="B19" s="58"/>
      <c r="C19" s="61">
        <v>25</v>
      </c>
      <c r="D19" s="62">
        <v>2.68</v>
      </c>
      <c r="E19" s="62">
        <v>2.6</v>
      </c>
      <c r="F19" s="62">
        <v>0.44</v>
      </c>
      <c r="G19" s="62">
        <v>0.32</v>
      </c>
      <c r="H19" s="62">
        <v>1.04</v>
      </c>
      <c r="I19" s="61">
        <v>7.0069999999999997</v>
      </c>
      <c r="J19" s="3">
        <f t="shared" si="2"/>
        <v>1.3979400086720377</v>
      </c>
      <c r="K19" s="3">
        <f t="shared" si="0"/>
        <v>0.42813479402878885</v>
      </c>
      <c r="L19" s="3">
        <f t="shared" si="0"/>
        <v>0.41497334797081797</v>
      </c>
      <c r="M19" s="3">
        <f t="shared" si="0"/>
        <v>-0.35654732351381258</v>
      </c>
      <c r="N19" s="3">
        <f t="shared" si="0"/>
        <v>-0.49485002168009401</v>
      </c>
      <c r="O19" s="3">
        <f t="shared" si="0"/>
        <v>1.703333929878037E-2</v>
      </c>
      <c r="P19" s="3">
        <f t="shared" si="0"/>
        <v>0.84553211749357549</v>
      </c>
      <c r="Q19" s="3">
        <f t="shared" si="3"/>
        <v>1.1455688476562385E-2</v>
      </c>
      <c r="R19" s="3">
        <f t="shared" si="4"/>
        <v>9.5712890625</v>
      </c>
      <c r="S19" s="3">
        <f t="shared" si="5"/>
        <v>2.2406347656249994</v>
      </c>
      <c r="T19" s="3">
        <f t="shared" si="6"/>
        <v>4.7102563476562507</v>
      </c>
      <c r="U19" s="3">
        <f t="shared" si="7"/>
        <v>4.8400000000000012E-2</v>
      </c>
      <c r="V19" s="3">
        <f t="shared" si="8"/>
        <v>2.4999999999999988E-3</v>
      </c>
      <c r="W19" s="3">
        <f t="shared" si="9"/>
        <v>4.0000000000000072E-4</v>
      </c>
      <c r="X19" s="20">
        <f t="shared" si="10"/>
        <v>-1.9288820585265105</v>
      </c>
      <c r="Y19" s="3">
        <f t="shared" si="11"/>
        <v>16.156944558526508</v>
      </c>
      <c r="Z19" s="3">
        <f t="shared" si="12"/>
        <v>-44.287154623975262</v>
      </c>
      <c r="AA19" s="3">
        <f t="shared" si="13"/>
        <v>58.515217123975255</v>
      </c>
      <c r="AB19" s="3">
        <f t="shared" si="14"/>
        <v>4.3719999999999999</v>
      </c>
      <c r="AC19" s="3">
        <f t="shared" si="15"/>
        <v>9.6419999999999995</v>
      </c>
      <c r="AD19" s="3">
        <f t="shared" si="16"/>
        <v>3.3719999999999999</v>
      </c>
      <c r="AE19" s="3">
        <f t="shared" si="17"/>
        <v>10.641999999999999</v>
      </c>
    </row>
    <row r="20" spans="1:31" ht="15.75" thickBot="1" x14ac:dyDescent="0.3">
      <c r="A20" s="24">
        <f t="shared" si="1"/>
        <v>14</v>
      </c>
      <c r="B20" s="58"/>
      <c r="C20" s="61">
        <v>10</v>
      </c>
      <c r="D20" s="62">
        <v>4.3</v>
      </c>
      <c r="E20" s="62">
        <v>6.9</v>
      </c>
      <c r="F20" s="62">
        <v>0.6</v>
      </c>
      <c r="G20" s="62">
        <v>0.4</v>
      </c>
      <c r="H20" s="62">
        <v>1</v>
      </c>
      <c r="I20" s="61">
        <v>7.0149999999999997</v>
      </c>
      <c r="J20" s="3">
        <f t="shared" si="2"/>
        <v>1</v>
      </c>
      <c r="K20" s="3">
        <f t="shared" si="0"/>
        <v>0.63346845557958653</v>
      </c>
      <c r="L20" s="3">
        <f t="shared" si="0"/>
        <v>0.83884909073725533</v>
      </c>
      <c r="M20" s="3">
        <f t="shared" si="0"/>
        <v>-0.22184874961635639</v>
      </c>
      <c r="N20" s="3">
        <f t="shared" si="0"/>
        <v>-0.3979400086720376</v>
      </c>
      <c r="O20" s="3">
        <f t="shared" si="0"/>
        <v>0</v>
      </c>
      <c r="P20" s="3">
        <f t="shared" si="0"/>
        <v>0.84602767536437873</v>
      </c>
      <c r="Q20" s="3">
        <f t="shared" si="3"/>
        <v>9.8071884765623934E-3</v>
      </c>
      <c r="R20" s="3">
        <f t="shared" si="4"/>
        <v>141.7587890625</v>
      </c>
      <c r="S20" s="3">
        <f t="shared" si="5"/>
        <v>1.5159765624999983E-2</v>
      </c>
      <c r="T20" s="3">
        <f t="shared" si="6"/>
        <v>4.5355688476562506</v>
      </c>
      <c r="U20" s="3">
        <f t="shared" si="7"/>
        <v>3.6000000000000064E-3</v>
      </c>
      <c r="V20" s="3">
        <f t="shared" si="8"/>
        <v>9.000000000000016E-4</v>
      </c>
      <c r="W20" s="3">
        <f t="shared" si="9"/>
        <v>4.0000000000000072E-4</v>
      </c>
      <c r="X20" s="20">
        <f t="shared" si="10"/>
        <v>-3.1886779572369433</v>
      </c>
      <c r="Y20" s="3">
        <f t="shared" si="11"/>
        <v>17.416740457236941</v>
      </c>
      <c r="Z20" s="3">
        <f t="shared" si="12"/>
        <v>-44.523682149746058</v>
      </c>
      <c r="AA20" s="3">
        <f t="shared" si="13"/>
        <v>58.751744649746051</v>
      </c>
      <c r="AB20" s="3">
        <f t="shared" si="14"/>
        <v>4.38</v>
      </c>
      <c r="AC20" s="3">
        <f t="shared" si="15"/>
        <v>9.6499999999999986</v>
      </c>
      <c r="AD20" s="3">
        <f t="shared" si="16"/>
        <v>3.38</v>
      </c>
      <c r="AE20" s="3">
        <f t="shared" si="17"/>
        <v>10.649999999999999</v>
      </c>
    </row>
    <row r="21" spans="1:31" ht="15.75" thickBot="1" x14ac:dyDescent="0.3">
      <c r="A21" s="24">
        <f t="shared" si="1"/>
        <v>15</v>
      </c>
      <c r="B21" s="58"/>
      <c r="C21" s="61">
        <v>9</v>
      </c>
      <c r="D21" s="62">
        <v>4.4400000000000004</v>
      </c>
      <c r="E21" s="62">
        <v>3.33</v>
      </c>
      <c r="F21" s="62">
        <v>0.67</v>
      </c>
      <c r="G21" s="62">
        <v>0.44</v>
      </c>
      <c r="H21" s="62">
        <v>1</v>
      </c>
      <c r="I21" s="61">
        <v>7.1070000000000002</v>
      </c>
      <c r="J21" s="3">
        <f t="shared" si="2"/>
        <v>0.95424250943932487</v>
      </c>
      <c r="K21" s="3">
        <f t="shared" si="0"/>
        <v>0.64738297011461987</v>
      </c>
      <c r="L21" s="3">
        <f t="shared" si="0"/>
        <v>0.52244423350631986</v>
      </c>
      <c r="M21" s="3">
        <f t="shared" si="0"/>
        <v>-0.17392519729917355</v>
      </c>
      <c r="N21" s="3">
        <f t="shared" si="0"/>
        <v>-0.35654732351381258</v>
      </c>
      <c r="O21" s="3">
        <f t="shared" si="0"/>
        <v>0</v>
      </c>
      <c r="P21" s="3">
        <f t="shared" si="0"/>
        <v>0.85168631544242757</v>
      </c>
      <c r="Q21" s="3">
        <f t="shared" si="3"/>
        <v>4.9438476562485014E-5</v>
      </c>
      <c r="R21" s="3">
        <f t="shared" si="4"/>
        <v>166.5712890625</v>
      </c>
      <c r="S21" s="3">
        <f t="shared" si="5"/>
        <v>6.9234765625000264E-2</v>
      </c>
      <c r="T21" s="3">
        <f t="shared" si="6"/>
        <v>2.0745000976562502</v>
      </c>
      <c r="U21" s="3">
        <f t="shared" si="7"/>
        <v>1.0000000000000018E-4</v>
      </c>
      <c r="V21" s="3">
        <f t="shared" si="8"/>
        <v>4.9000000000000007E-3</v>
      </c>
      <c r="W21" s="3">
        <f t="shared" si="9"/>
        <v>4.0000000000000072E-4</v>
      </c>
      <c r="X21" s="20">
        <f t="shared" si="10"/>
        <v>-3.4083506754066866</v>
      </c>
      <c r="Y21" s="3">
        <f t="shared" si="11"/>
        <v>17.636413175406684</v>
      </c>
      <c r="Z21" s="3">
        <f t="shared" si="12"/>
        <v>-44.567959322437837</v>
      </c>
      <c r="AA21" s="3">
        <f t="shared" si="13"/>
        <v>58.796021822437829</v>
      </c>
      <c r="AB21" s="3">
        <f t="shared" si="14"/>
        <v>4.4720000000000004</v>
      </c>
      <c r="AC21" s="3">
        <f t="shared" si="15"/>
        <v>9.7420000000000009</v>
      </c>
      <c r="AD21" s="3">
        <f t="shared" si="16"/>
        <v>3.4720000000000004</v>
      </c>
      <c r="AE21" s="3">
        <f t="shared" si="17"/>
        <v>10.742000000000001</v>
      </c>
    </row>
    <row r="22" spans="1:31" ht="15.75" thickBot="1" x14ac:dyDescent="0.3">
      <c r="A22" s="24">
        <f t="shared" si="1"/>
        <v>16</v>
      </c>
      <c r="B22" s="58"/>
      <c r="C22" s="61">
        <v>12</v>
      </c>
      <c r="D22" s="62">
        <v>6.33</v>
      </c>
      <c r="E22" s="62">
        <v>4.67</v>
      </c>
      <c r="F22" s="62">
        <v>1.08</v>
      </c>
      <c r="G22" s="62">
        <v>0.33</v>
      </c>
      <c r="H22" s="62">
        <v>1</v>
      </c>
      <c r="I22" s="61">
        <v>7.1239999999999997</v>
      </c>
      <c r="J22" s="3">
        <f t="shared" si="2"/>
        <v>1.0791812460476249</v>
      </c>
      <c r="K22" s="3">
        <f t="shared" si="0"/>
        <v>0.80140371001735511</v>
      </c>
      <c r="L22" s="3">
        <f t="shared" si="0"/>
        <v>0.66931688056611216</v>
      </c>
      <c r="M22" s="3">
        <f t="shared" si="0"/>
        <v>3.342375548694973E-2</v>
      </c>
      <c r="N22" s="3">
        <f t="shared" si="0"/>
        <v>-0.48148606012211248</v>
      </c>
      <c r="O22" s="3">
        <f t="shared" si="0"/>
        <v>0</v>
      </c>
      <c r="P22" s="3">
        <f t="shared" si="0"/>
        <v>0.85272391079120591</v>
      </c>
      <c r="Q22" s="3">
        <f t="shared" si="3"/>
        <v>9.937597656251048E-5</v>
      </c>
      <c r="R22" s="3">
        <f t="shared" si="4"/>
        <v>98.1337890625</v>
      </c>
      <c r="S22" s="3">
        <f t="shared" si="5"/>
        <v>4.6359472656250009</v>
      </c>
      <c r="T22" s="3">
        <f t="shared" si="6"/>
        <v>1.006259765625005E-2</v>
      </c>
      <c r="U22" s="3">
        <f t="shared" si="7"/>
        <v>0.17640000000000003</v>
      </c>
      <c r="V22" s="3">
        <f t="shared" si="8"/>
        <v>1.5999999999999983E-3</v>
      </c>
      <c r="W22" s="3">
        <f t="shared" si="9"/>
        <v>4.0000000000000072E-4</v>
      </c>
      <c r="X22" s="20">
        <f t="shared" si="10"/>
        <v>-2.7906461299824086</v>
      </c>
      <c r="Y22" s="3">
        <f t="shared" si="11"/>
        <v>17.018708629982406</v>
      </c>
      <c r="Z22" s="3">
        <f t="shared" si="12"/>
        <v>-44.445742432076649</v>
      </c>
      <c r="AA22" s="3">
        <f t="shared" si="13"/>
        <v>58.673804932076642</v>
      </c>
      <c r="AB22" s="3">
        <f t="shared" si="14"/>
        <v>4.4889999999999999</v>
      </c>
      <c r="AC22" s="3">
        <f t="shared" si="15"/>
        <v>9.7590000000000003</v>
      </c>
      <c r="AD22" s="3">
        <f t="shared" si="16"/>
        <v>3.4889999999999999</v>
      </c>
      <c r="AE22" s="3">
        <f t="shared" si="17"/>
        <v>10.759</v>
      </c>
    </row>
    <row r="23" spans="1:31" ht="15.75" thickBot="1" x14ac:dyDescent="0.3">
      <c r="A23" s="24">
        <f t="shared" si="1"/>
        <v>17</v>
      </c>
      <c r="B23" s="58"/>
      <c r="C23" s="61">
        <v>11</v>
      </c>
      <c r="D23" s="62">
        <v>5.27</v>
      </c>
      <c r="E23" s="62">
        <v>7.18</v>
      </c>
      <c r="F23" s="62">
        <v>1</v>
      </c>
      <c r="G23" s="62">
        <v>0.64</v>
      </c>
      <c r="H23" s="62">
        <v>1.0900000000000001</v>
      </c>
      <c r="I23" s="61">
        <v>7.1529999999999996</v>
      </c>
      <c r="J23" s="3">
        <f t="shared" si="2"/>
        <v>1.0413926851582251</v>
      </c>
      <c r="K23" s="3">
        <f t="shared" si="2"/>
        <v>0.72181061521254652</v>
      </c>
      <c r="L23" s="3">
        <f t="shared" si="2"/>
        <v>0.85612444424230028</v>
      </c>
      <c r="M23" s="3">
        <f t="shared" si="2"/>
        <v>0</v>
      </c>
      <c r="N23" s="3">
        <f t="shared" si="2"/>
        <v>-0.19382002601611281</v>
      </c>
      <c r="O23" s="3">
        <f t="shared" si="2"/>
        <v>3.7426497940623665E-2</v>
      </c>
      <c r="P23" s="3">
        <f t="shared" si="2"/>
        <v>0.85448822504443034</v>
      </c>
      <c r="Q23" s="3">
        <f t="shared" si="3"/>
        <v>1.5185634765625343E-3</v>
      </c>
      <c r="R23" s="3">
        <f t="shared" si="4"/>
        <v>118.9462890625</v>
      </c>
      <c r="S23" s="3">
        <f t="shared" si="5"/>
        <v>1.1949222656249994</v>
      </c>
      <c r="T23" s="3">
        <f t="shared" si="6"/>
        <v>5.8065938476562478</v>
      </c>
      <c r="U23" s="3">
        <f t="shared" si="7"/>
        <v>0.11559999999999998</v>
      </c>
      <c r="V23" s="3">
        <f t="shared" si="8"/>
        <v>7.2900000000000006E-2</v>
      </c>
      <c r="W23" s="3">
        <f t="shared" si="9"/>
        <v>4.9000000000000085E-3</v>
      </c>
      <c r="X23" s="20">
        <f t="shared" si="10"/>
        <v>-2.9824956057074372</v>
      </c>
      <c r="Y23" s="3">
        <f t="shared" si="11"/>
        <v>17.210558105707435</v>
      </c>
      <c r="Z23" s="3">
        <f t="shared" si="12"/>
        <v>-44.482940392659899</v>
      </c>
      <c r="AA23" s="3">
        <f t="shared" si="13"/>
        <v>58.711002892659891</v>
      </c>
      <c r="AB23" s="3">
        <f t="shared" si="14"/>
        <v>4.5179999999999998</v>
      </c>
      <c r="AC23" s="3">
        <f t="shared" si="15"/>
        <v>9.7880000000000003</v>
      </c>
      <c r="AD23" s="3">
        <f t="shared" si="16"/>
        <v>3.5179999999999998</v>
      </c>
      <c r="AE23" s="3">
        <f t="shared" si="17"/>
        <v>10.788</v>
      </c>
    </row>
    <row r="24" spans="1:31" ht="15.75" thickBot="1" x14ac:dyDescent="0.3">
      <c r="A24" s="24">
        <f t="shared" si="1"/>
        <v>18</v>
      </c>
      <c r="B24" s="58"/>
      <c r="C24" s="61">
        <v>23</v>
      </c>
      <c r="D24" s="62">
        <v>3.65</v>
      </c>
      <c r="E24" s="62">
        <v>2.87</v>
      </c>
      <c r="F24" s="62">
        <v>0.43</v>
      </c>
      <c r="G24" s="62">
        <v>0.35</v>
      </c>
      <c r="H24" s="62">
        <v>1.04</v>
      </c>
      <c r="I24" s="61">
        <v>7.1689999999999996</v>
      </c>
      <c r="J24" s="3">
        <f t="shared" si="2"/>
        <v>1.3617278360175928</v>
      </c>
      <c r="K24" s="3">
        <f t="shared" si="2"/>
        <v>0.56229286445647475</v>
      </c>
      <c r="L24" s="3">
        <f t="shared" si="2"/>
        <v>0.45788189673399232</v>
      </c>
      <c r="M24" s="3">
        <f t="shared" si="2"/>
        <v>-0.36653154442041347</v>
      </c>
      <c r="N24" s="3">
        <f t="shared" si="2"/>
        <v>-0.45593195564972439</v>
      </c>
      <c r="O24" s="3">
        <f t="shared" si="2"/>
        <v>1.703333929878037E-2</v>
      </c>
      <c r="P24" s="3">
        <f t="shared" si="2"/>
        <v>0.85545858038603606</v>
      </c>
      <c r="Q24" s="3">
        <f t="shared" si="3"/>
        <v>3.02156347656255E-3</v>
      </c>
      <c r="R24" s="3">
        <f t="shared" si="4"/>
        <v>1.1962890625</v>
      </c>
      <c r="S24" s="3">
        <f t="shared" si="5"/>
        <v>0.27759726562499998</v>
      </c>
      <c r="T24" s="3">
        <f t="shared" si="6"/>
        <v>3.6111875976562504</v>
      </c>
      <c r="U24" s="3">
        <f t="shared" si="7"/>
        <v>5.2900000000000016E-2</v>
      </c>
      <c r="V24" s="3">
        <f t="shared" si="8"/>
        <v>4.0000000000000072E-4</v>
      </c>
      <c r="W24" s="3">
        <f t="shared" si="9"/>
        <v>4.0000000000000072E-4</v>
      </c>
      <c r="X24" s="20">
        <f t="shared" si="10"/>
        <v>-1.8430985547461587</v>
      </c>
      <c r="Y24" s="3">
        <f t="shared" si="11"/>
        <v>16.071161054746156</v>
      </c>
      <c r="Z24" s="3">
        <f t="shared" si="12"/>
        <v>-44.272132281484822</v>
      </c>
      <c r="AA24" s="3">
        <f t="shared" si="13"/>
        <v>58.500194781484815</v>
      </c>
      <c r="AB24" s="3">
        <f t="shared" si="14"/>
        <v>4.5339999999999998</v>
      </c>
      <c r="AC24" s="3">
        <f t="shared" si="15"/>
        <v>9.8039999999999985</v>
      </c>
      <c r="AD24" s="3">
        <f t="shared" si="16"/>
        <v>3.5339999999999998</v>
      </c>
      <c r="AE24" s="3">
        <f t="shared" si="17"/>
        <v>10.803999999999998</v>
      </c>
    </row>
    <row r="25" spans="1:31" ht="15.75" thickBot="1" x14ac:dyDescent="0.3">
      <c r="A25" s="24">
        <f t="shared" si="1"/>
        <v>19</v>
      </c>
      <c r="B25" s="58"/>
      <c r="C25" s="61">
        <v>27</v>
      </c>
      <c r="D25" s="62">
        <v>2.04</v>
      </c>
      <c r="E25" s="62">
        <v>3.07</v>
      </c>
      <c r="F25" s="62">
        <v>0.59</v>
      </c>
      <c r="G25" s="62">
        <v>0.19</v>
      </c>
      <c r="H25" s="62">
        <v>1.04</v>
      </c>
      <c r="I25" s="61">
        <v>7.2190000000000003</v>
      </c>
      <c r="J25" s="3">
        <f t="shared" si="2"/>
        <v>1.4313637641589874</v>
      </c>
      <c r="K25" s="3">
        <f t="shared" si="2"/>
        <v>0.30963016742589877</v>
      </c>
      <c r="L25" s="3">
        <f t="shared" si="2"/>
        <v>0.48713837547718647</v>
      </c>
      <c r="M25" s="3">
        <f t="shared" si="2"/>
        <v>-0.22914798835785583</v>
      </c>
      <c r="N25" s="3">
        <f t="shared" si="2"/>
        <v>-0.72124639904717103</v>
      </c>
      <c r="O25" s="3">
        <f t="shared" si="2"/>
        <v>1.703333929878037E-2</v>
      </c>
      <c r="P25" s="3">
        <f t="shared" si="2"/>
        <v>0.8584770418133405</v>
      </c>
      <c r="Q25" s="3">
        <f t="shared" si="3"/>
        <v>1.1018438476562744E-2</v>
      </c>
      <c r="R25" s="3">
        <f t="shared" si="4"/>
        <v>25.9462890625</v>
      </c>
      <c r="S25" s="3">
        <f t="shared" si="5"/>
        <v>4.5662347656249995</v>
      </c>
      <c r="T25" s="3">
        <f t="shared" si="6"/>
        <v>2.891062597656251</v>
      </c>
      <c r="U25" s="3">
        <f t="shared" si="7"/>
        <v>4.9000000000000085E-3</v>
      </c>
      <c r="V25" s="3">
        <f t="shared" si="8"/>
        <v>3.2399999999999998E-2</v>
      </c>
      <c r="W25" s="3">
        <f t="shared" si="9"/>
        <v>4.0000000000000072E-4</v>
      </c>
      <c r="X25" s="20">
        <f t="shared" si="10"/>
        <v>-2.0942995178149841</v>
      </c>
      <c r="Y25" s="3">
        <f t="shared" si="11"/>
        <v>16.322362017814982</v>
      </c>
      <c r="Z25" s="3">
        <f t="shared" si="12"/>
        <v>-44.316513989914732</v>
      </c>
      <c r="AA25" s="3">
        <f t="shared" si="13"/>
        <v>58.544576489914725</v>
      </c>
      <c r="AB25" s="3">
        <f t="shared" si="14"/>
        <v>4.5840000000000005</v>
      </c>
      <c r="AC25" s="3">
        <f t="shared" si="15"/>
        <v>9.8539999999999992</v>
      </c>
      <c r="AD25" s="3">
        <f t="shared" si="16"/>
        <v>3.5840000000000005</v>
      </c>
      <c r="AE25" s="3">
        <f t="shared" si="17"/>
        <v>10.853999999999999</v>
      </c>
    </row>
    <row r="26" spans="1:31" ht="15.75" thickBot="1" x14ac:dyDescent="0.3">
      <c r="A26" s="24">
        <f t="shared" si="1"/>
        <v>20</v>
      </c>
      <c r="B26" s="58"/>
      <c r="C26" s="61">
        <v>35</v>
      </c>
      <c r="D26" s="62">
        <v>2.69</v>
      </c>
      <c r="E26" s="62">
        <v>2.2599999999999998</v>
      </c>
      <c r="F26" s="62">
        <v>0.26</v>
      </c>
      <c r="G26" s="62">
        <v>0.17</v>
      </c>
      <c r="H26" s="62">
        <v>1.06</v>
      </c>
      <c r="I26" s="61">
        <v>7.2690000000000001</v>
      </c>
      <c r="J26" s="3">
        <f t="shared" si="2"/>
        <v>1.5440680443502757</v>
      </c>
      <c r="K26" s="3">
        <f t="shared" si="2"/>
        <v>0.42975228000240795</v>
      </c>
      <c r="L26" s="3">
        <f t="shared" si="2"/>
        <v>0.35410843914740087</v>
      </c>
      <c r="M26" s="3">
        <f t="shared" si="2"/>
        <v>-0.58502665202918203</v>
      </c>
      <c r="N26" s="3">
        <f t="shared" si="2"/>
        <v>-0.769551078621726</v>
      </c>
      <c r="O26" s="3">
        <f t="shared" si="2"/>
        <v>2.5305865264770262E-2</v>
      </c>
      <c r="P26" s="3">
        <f t="shared" si="2"/>
        <v>0.86147466885716861</v>
      </c>
      <c r="Q26" s="3">
        <f t="shared" si="3"/>
        <v>2.4015313476562807E-2</v>
      </c>
      <c r="R26" s="3">
        <f t="shared" si="4"/>
        <v>171.4462890625</v>
      </c>
      <c r="S26" s="3">
        <f t="shared" si="5"/>
        <v>2.2107972656249997</v>
      </c>
      <c r="T26" s="3">
        <f t="shared" si="6"/>
        <v>6.3016688476562521</v>
      </c>
      <c r="U26" s="3">
        <f t="shared" si="7"/>
        <v>0.16000000000000003</v>
      </c>
      <c r="V26" s="3">
        <f t="shared" si="8"/>
        <v>3.9999999999999994E-2</v>
      </c>
      <c r="W26" s="3">
        <f t="shared" si="9"/>
        <v>1.6000000000000029E-3</v>
      </c>
      <c r="X26" s="20">
        <f t="shared" si="10"/>
        <v>-3.4509737097915201</v>
      </c>
      <c r="Y26" s="3">
        <f t="shared" si="11"/>
        <v>17.679036209791519</v>
      </c>
      <c r="Z26" s="3">
        <f t="shared" si="12"/>
        <v>-44.576654157971205</v>
      </c>
      <c r="AA26" s="3">
        <f t="shared" si="13"/>
        <v>58.804716657971198</v>
      </c>
      <c r="AB26" s="3">
        <f t="shared" si="14"/>
        <v>4.6340000000000003</v>
      </c>
      <c r="AC26" s="3">
        <f t="shared" si="15"/>
        <v>9.9039999999999999</v>
      </c>
      <c r="AD26" s="3">
        <f t="shared" si="16"/>
        <v>3.6340000000000003</v>
      </c>
      <c r="AE26" s="3">
        <f t="shared" si="17"/>
        <v>10.904</v>
      </c>
    </row>
    <row r="27" spans="1:31" ht="15.75" thickBot="1" x14ac:dyDescent="0.3">
      <c r="A27" s="24">
        <f t="shared" si="1"/>
        <v>21</v>
      </c>
      <c r="B27" s="58"/>
      <c r="C27" s="61">
        <v>12</v>
      </c>
      <c r="D27" s="62">
        <v>7.33</v>
      </c>
      <c r="E27" s="62">
        <v>6.67</v>
      </c>
      <c r="F27" s="62">
        <v>0.5</v>
      </c>
      <c r="G27" s="62">
        <v>0.42</v>
      </c>
      <c r="H27" s="62">
        <v>1</v>
      </c>
      <c r="I27" s="61">
        <v>7.2919999999999998</v>
      </c>
      <c r="J27" s="3">
        <f t="shared" si="2"/>
        <v>1.0791812460476249</v>
      </c>
      <c r="K27" s="3">
        <f t="shared" si="2"/>
        <v>0.86510397464112798</v>
      </c>
      <c r="L27" s="3">
        <f t="shared" si="2"/>
        <v>0.82412583391654892</v>
      </c>
      <c r="M27" s="3">
        <f t="shared" si="2"/>
        <v>-0.3010299956639812</v>
      </c>
      <c r="N27" s="3">
        <f t="shared" si="2"/>
        <v>-0.37675070960209955</v>
      </c>
      <c r="O27" s="3">
        <f t="shared" si="2"/>
        <v>0</v>
      </c>
      <c r="P27" s="3">
        <f t="shared" si="2"/>
        <v>0.86284665998293864</v>
      </c>
      <c r="Q27" s="3">
        <f t="shared" si="3"/>
        <v>3.1672875976562744E-2</v>
      </c>
      <c r="R27" s="3">
        <f t="shared" si="4"/>
        <v>98.1337890625</v>
      </c>
      <c r="S27" s="3">
        <f t="shared" si="5"/>
        <v>9.9421972656250013</v>
      </c>
      <c r="T27" s="3">
        <f t="shared" si="6"/>
        <v>3.6088125976562488</v>
      </c>
      <c r="U27" s="3">
        <f t="shared" si="7"/>
        <v>2.5600000000000012E-2</v>
      </c>
      <c r="V27" s="3">
        <f t="shared" si="8"/>
        <v>2.4999999999999988E-3</v>
      </c>
      <c r="W27" s="3">
        <f t="shared" si="9"/>
        <v>4.0000000000000072E-4</v>
      </c>
      <c r="X27" s="20">
        <f t="shared" si="10"/>
        <v>-2.7906461299824086</v>
      </c>
      <c r="Y27" s="3">
        <f t="shared" si="11"/>
        <v>17.018708629982406</v>
      </c>
      <c r="Z27" s="3">
        <f t="shared" si="12"/>
        <v>-44.445742432076649</v>
      </c>
      <c r="AA27" s="3">
        <f t="shared" si="13"/>
        <v>58.673804932076642</v>
      </c>
      <c r="AB27" s="3">
        <f t="shared" si="14"/>
        <v>4.657</v>
      </c>
      <c r="AC27" s="3">
        <f t="shared" si="15"/>
        <v>9.9269999999999996</v>
      </c>
      <c r="AD27" s="3">
        <f t="shared" si="16"/>
        <v>3.657</v>
      </c>
      <c r="AE27" s="3">
        <f t="shared" si="17"/>
        <v>10.927</v>
      </c>
    </row>
    <row r="28" spans="1:31" ht="15.75" thickBot="1" x14ac:dyDescent="0.3">
      <c r="A28" s="24">
        <f t="shared" si="1"/>
        <v>22</v>
      </c>
      <c r="B28" s="58"/>
      <c r="C28" s="61">
        <v>19</v>
      </c>
      <c r="D28" s="62">
        <v>5.74</v>
      </c>
      <c r="E28" s="62">
        <v>5.47</v>
      </c>
      <c r="F28" s="62">
        <v>0.79</v>
      </c>
      <c r="G28" s="62">
        <v>0.26</v>
      </c>
      <c r="H28" s="62">
        <v>1</v>
      </c>
      <c r="I28" s="61">
        <v>7.3010000000000002</v>
      </c>
      <c r="J28" s="3">
        <f t="shared" si="2"/>
        <v>1.2787536009528289</v>
      </c>
      <c r="K28" s="3">
        <f t="shared" si="2"/>
        <v>0.75891189239797352</v>
      </c>
      <c r="L28" s="3">
        <f t="shared" si="2"/>
        <v>0.73798732633343078</v>
      </c>
      <c r="M28" s="3">
        <f t="shared" si="2"/>
        <v>-0.10237290870955855</v>
      </c>
      <c r="N28" s="3">
        <f t="shared" si="2"/>
        <v>-0.58502665202918203</v>
      </c>
      <c r="O28" s="3">
        <f t="shared" si="2"/>
        <v>0</v>
      </c>
      <c r="P28" s="3">
        <f t="shared" si="2"/>
        <v>0.86338234844078776</v>
      </c>
      <c r="Q28" s="3">
        <f t="shared" si="3"/>
        <v>3.4957313476562883E-2</v>
      </c>
      <c r="R28" s="3">
        <f t="shared" si="4"/>
        <v>8.4462890625</v>
      </c>
      <c r="S28" s="3">
        <f t="shared" si="5"/>
        <v>2.4433597656250008</v>
      </c>
      <c r="T28" s="3">
        <f t="shared" si="6"/>
        <v>0.48956259765624938</v>
      </c>
      <c r="U28" s="3">
        <f t="shared" si="7"/>
        <v>1.6900000000000002E-2</v>
      </c>
      <c r="V28" s="3">
        <f t="shared" si="8"/>
        <v>1.2099999999999998E-2</v>
      </c>
      <c r="W28" s="3">
        <f t="shared" si="9"/>
        <v>4.0000000000000072E-4</v>
      </c>
      <c r="X28" s="20">
        <f t="shared" si="10"/>
        <v>-1.9174062755929659</v>
      </c>
      <c r="Y28" s="3">
        <f t="shared" si="11"/>
        <v>16.145468775592963</v>
      </c>
      <c r="Z28" s="3">
        <f t="shared" si="12"/>
        <v>-44.285136952648145</v>
      </c>
      <c r="AA28" s="3">
        <f t="shared" si="13"/>
        <v>58.513199452648138</v>
      </c>
      <c r="AB28" s="3">
        <f t="shared" si="14"/>
        <v>4.6660000000000004</v>
      </c>
      <c r="AC28" s="3">
        <f t="shared" si="15"/>
        <v>9.9359999999999999</v>
      </c>
      <c r="AD28" s="3">
        <f t="shared" si="16"/>
        <v>3.6660000000000004</v>
      </c>
      <c r="AE28" s="3">
        <f t="shared" si="17"/>
        <v>10.936</v>
      </c>
    </row>
    <row r="29" spans="1:31" ht="15.75" thickBot="1" x14ac:dyDescent="0.3">
      <c r="A29" s="24">
        <f t="shared" si="1"/>
        <v>23</v>
      </c>
      <c r="B29" s="58"/>
      <c r="C29" s="61">
        <v>21</v>
      </c>
      <c r="D29" s="62">
        <v>2.1</v>
      </c>
      <c r="E29" s="62">
        <v>3.67</v>
      </c>
      <c r="F29" s="62">
        <v>0.67</v>
      </c>
      <c r="G29" s="62">
        <v>0.24</v>
      </c>
      <c r="H29" s="62">
        <v>1.05</v>
      </c>
      <c r="I29" s="61">
        <v>7.375</v>
      </c>
      <c r="J29" s="3">
        <f t="shared" si="2"/>
        <v>1.3222192947339193</v>
      </c>
      <c r="K29" s="3">
        <f t="shared" si="2"/>
        <v>0.3222192947339193</v>
      </c>
      <c r="L29" s="3">
        <f t="shared" si="2"/>
        <v>0.56466606425208932</v>
      </c>
      <c r="M29" s="3">
        <f t="shared" si="2"/>
        <v>-0.17392519729917355</v>
      </c>
      <c r="N29" s="3">
        <f t="shared" si="2"/>
        <v>-0.61978875828839397</v>
      </c>
      <c r="O29" s="3">
        <f t="shared" si="2"/>
        <v>2.1189299069938092E-2</v>
      </c>
      <c r="P29" s="3">
        <f t="shared" si="2"/>
        <v>0.86776202465020058</v>
      </c>
      <c r="Q29" s="3">
        <f t="shared" si="3"/>
        <v>6.8104688476562952E-2</v>
      </c>
      <c r="R29" s="3">
        <f t="shared" si="4"/>
        <v>0.8212890625</v>
      </c>
      <c r="S29" s="3">
        <f t="shared" si="5"/>
        <v>4.313409765624999</v>
      </c>
      <c r="T29" s="3">
        <f t="shared" si="6"/>
        <v>1.2106875976562506</v>
      </c>
      <c r="U29" s="3">
        <f t="shared" si="7"/>
        <v>1.0000000000000018E-4</v>
      </c>
      <c r="V29" s="3">
        <f t="shared" si="8"/>
        <v>1.6900000000000002E-2</v>
      </c>
      <c r="W29" s="3">
        <f t="shared" si="9"/>
        <v>9.000000000000016E-4</v>
      </c>
      <c r="X29" s="20">
        <f t="shared" si="10"/>
        <v>-1.8392382773920035</v>
      </c>
      <c r="Y29" s="3">
        <f t="shared" si="11"/>
        <v>16.067300777392003</v>
      </c>
      <c r="Z29" s="3">
        <f t="shared" si="12"/>
        <v>-44.271459536559149</v>
      </c>
      <c r="AA29" s="3">
        <f t="shared" si="13"/>
        <v>58.499522036559142</v>
      </c>
      <c r="AB29" s="3">
        <f t="shared" si="14"/>
        <v>4.74</v>
      </c>
      <c r="AC29" s="3">
        <f t="shared" si="15"/>
        <v>10.01</v>
      </c>
      <c r="AD29" s="3">
        <f t="shared" si="16"/>
        <v>3.74</v>
      </c>
      <c r="AE29" s="3">
        <f t="shared" si="17"/>
        <v>11.01</v>
      </c>
    </row>
    <row r="30" spans="1:31" ht="15.75" thickBot="1" x14ac:dyDescent="0.3">
      <c r="A30" s="24">
        <f t="shared" si="1"/>
        <v>24</v>
      </c>
      <c r="B30" s="58"/>
      <c r="C30" s="61">
        <v>20</v>
      </c>
      <c r="D30" s="62">
        <v>4.2</v>
      </c>
      <c r="E30" s="62">
        <v>5.7</v>
      </c>
      <c r="F30" s="62">
        <v>2.7</v>
      </c>
      <c r="G30" s="62">
        <v>0.25</v>
      </c>
      <c r="H30" s="62">
        <v>1.1000000000000001</v>
      </c>
      <c r="I30" s="61">
        <v>7.383</v>
      </c>
      <c r="J30" s="3">
        <f t="shared" si="2"/>
        <v>1.3010299956639813</v>
      </c>
      <c r="K30" s="3">
        <f t="shared" si="2"/>
        <v>0.62324929039790045</v>
      </c>
      <c r="L30" s="3">
        <f t="shared" si="2"/>
        <v>0.75587485567249146</v>
      </c>
      <c r="M30" s="3">
        <f t="shared" si="2"/>
        <v>0.43136376415898736</v>
      </c>
      <c r="N30" s="3">
        <f t="shared" si="2"/>
        <v>-0.6020599913279624</v>
      </c>
      <c r="O30" s="3">
        <f t="shared" si="2"/>
        <v>4.1392685158225077E-2</v>
      </c>
      <c r="P30" s="3">
        <f t="shared" si="2"/>
        <v>0.86823286842246494</v>
      </c>
      <c r="Q30" s="3">
        <f t="shared" si="3"/>
        <v>7.2344188476562959E-2</v>
      </c>
      <c r="R30" s="3">
        <f t="shared" si="4"/>
        <v>3.6337890625</v>
      </c>
      <c r="S30" s="3">
        <f t="shared" si="5"/>
        <v>5.347656250000131E-4</v>
      </c>
      <c r="T30" s="3">
        <f t="shared" si="6"/>
        <v>0.86431884765625</v>
      </c>
      <c r="U30" s="3">
        <f t="shared" si="7"/>
        <v>4.1616</v>
      </c>
      <c r="V30" s="3">
        <f t="shared" si="8"/>
        <v>1.44E-2</v>
      </c>
      <c r="W30" s="3">
        <f t="shared" si="9"/>
        <v>6.4000000000000116E-3</v>
      </c>
      <c r="X30" s="20">
        <f t="shared" si="10"/>
        <v>-1.8681499186927679</v>
      </c>
      <c r="Y30" s="3">
        <f t="shared" si="11"/>
        <v>16.096212418692765</v>
      </c>
      <c r="Z30" s="3">
        <f t="shared" si="12"/>
        <v>-44.276504908836166</v>
      </c>
      <c r="AA30" s="3">
        <f t="shared" si="13"/>
        <v>58.504567408836159</v>
      </c>
      <c r="AB30" s="3">
        <f t="shared" si="14"/>
        <v>4.7480000000000002</v>
      </c>
      <c r="AC30" s="3">
        <f t="shared" si="15"/>
        <v>10.018000000000001</v>
      </c>
      <c r="AD30" s="3">
        <f t="shared" si="16"/>
        <v>3.7480000000000002</v>
      </c>
      <c r="AE30" s="3">
        <f t="shared" si="17"/>
        <v>11.018000000000001</v>
      </c>
    </row>
    <row r="31" spans="1:31" ht="15.75" thickBot="1" x14ac:dyDescent="0.3">
      <c r="A31" s="24">
        <f t="shared" si="1"/>
        <v>25</v>
      </c>
      <c r="B31" s="58"/>
      <c r="C31" s="61">
        <v>24</v>
      </c>
      <c r="D31" s="62">
        <v>9.17</v>
      </c>
      <c r="E31" s="62">
        <v>3.38</v>
      </c>
      <c r="F31" s="62">
        <v>0.46</v>
      </c>
      <c r="G31" s="62">
        <v>0.33</v>
      </c>
      <c r="H31" s="62">
        <v>1</v>
      </c>
      <c r="I31" s="61">
        <v>7.4279999999999999</v>
      </c>
      <c r="J31" s="3">
        <f t="shared" si="2"/>
        <v>1.3802112417116059</v>
      </c>
      <c r="K31" s="3">
        <f t="shared" si="2"/>
        <v>0.96236933567002114</v>
      </c>
      <c r="L31" s="3">
        <f t="shared" si="2"/>
        <v>0.52891670027765469</v>
      </c>
      <c r="M31" s="3">
        <f t="shared" si="2"/>
        <v>-0.33724216831842591</v>
      </c>
      <c r="N31" s="3">
        <f t="shared" si="2"/>
        <v>-0.48148606012211248</v>
      </c>
      <c r="O31" s="3">
        <f t="shared" si="2"/>
        <v>0</v>
      </c>
      <c r="P31" s="3">
        <f t="shared" si="2"/>
        <v>0.87087189506774276</v>
      </c>
      <c r="Q31" s="3">
        <f t="shared" si="3"/>
        <v>9.8576375976563005E-2</v>
      </c>
      <c r="R31" s="3">
        <f t="shared" si="4"/>
        <v>4.3837890625</v>
      </c>
      <c r="S31" s="3">
        <f t="shared" si="5"/>
        <v>24.931297265625002</v>
      </c>
      <c r="T31" s="3">
        <f t="shared" si="6"/>
        <v>1.9329688476562508</v>
      </c>
      <c r="U31" s="3">
        <f t="shared" si="7"/>
        <v>4.0000000000000008E-2</v>
      </c>
      <c r="V31" s="3">
        <f t="shared" si="8"/>
        <v>1.5999999999999983E-3</v>
      </c>
      <c r="W31" s="3">
        <f t="shared" si="9"/>
        <v>4.0000000000000072E-4</v>
      </c>
      <c r="X31" s="20">
        <f t="shared" si="10"/>
        <v>-1.875843986348408</v>
      </c>
      <c r="Y31" s="3">
        <f t="shared" si="11"/>
        <v>16.103906486348407</v>
      </c>
      <c r="Z31" s="3">
        <f t="shared" si="12"/>
        <v>-44.27785025778816</v>
      </c>
      <c r="AA31" s="3">
        <f t="shared" si="13"/>
        <v>58.505912757788153</v>
      </c>
      <c r="AB31" s="3">
        <f t="shared" si="14"/>
        <v>4.7930000000000001</v>
      </c>
      <c r="AC31" s="3">
        <f t="shared" si="15"/>
        <v>10.062999999999999</v>
      </c>
      <c r="AD31" s="3">
        <f t="shared" si="16"/>
        <v>3.7930000000000001</v>
      </c>
      <c r="AE31" s="3">
        <f t="shared" si="17"/>
        <v>11.062999999999999</v>
      </c>
    </row>
    <row r="32" spans="1:31" ht="15.75" thickBot="1" x14ac:dyDescent="0.3">
      <c r="A32" s="24">
        <f t="shared" si="1"/>
        <v>26</v>
      </c>
      <c r="B32" s="58"/>
      <c r="C32" s="61">
        <v>27</v>
      </c>
      <c r="D32" s="62">
        <v>3</v>
      </c>
      <c r="E32" s="62">
        <v>5.56</v>
      </c>
      <c r="F32" s="62">
        <v>1.89</v>
      </c>
      <c r="G32" s="62">
        <v>0.56000000000000005</v>
      </c>
      <c r="H32" s="62">
        <v>1</v>
      </c>
      <c r="I32" s="61">
        <v>7.4409999999999998</v>
      </c>
      <c r="J32" s="3">
        <f t="shared" si="2"/>
        <v>1.4313637641589874</v>
      </c>
      <c r="K32" s="3">
        <f t="shared" si="2"/>
        <v>0.47712125471966244</v>
      </c>
      <c r="L32" s="3">
        <f t="shared" si="2"/>
        <v>0.74507479158205747</v>
      </c>
      <c r="M32" s="3">
        <f t="shared" si="2"/>
        <v>0.27646180417324412</v>
      </c>
      <c r="N32" s="3">
        <f t="shared" si="2"/>
        <v>-0.25181197299379954</v>
      </c>
      <c r="O32" s="3">
        <f t="shared" si="2"/>
        <v>0</v>
      </c>
      <c r="P32" s="3">
        <f t="shared" si="2"/>
        <v>0.87163130453755355</v>
      </c>
      <c r="Q32" s="3">
        <f t="shared" si="3"/>
        <v>0.10690856347656295</v>
      </c>
      <c r="R32" s="3">
        <f t="shared" si="4"/>
        <v>25.9462890625</v>
      </c>
      <c r="S32" s="3">
        <f t="shared" si="5"/>
        <v>1.3850347656249997</v>
      </c>
      <c r="T32" s="3">
        <f t="shared" si="6"/>
        <v>0.62360634765624912</v>
      </c>
      <c r="U32" s="3">
        <f t="shared" si="7"/>
        <v>1.5128999999999999</v>
      </c>
      <c r="V32" s="3">
        <f t="shared" si="8"/>
        <v>3.6100000000000021E-2</v>
      </c>
      <c r="W32" s="3">
        <f t="shared" si="9"/>
        <v>4.0000000000000072E-4</v>
      </c>
      <c r="X32" s="20">
        <f t="shared" si="10"/>
        <v>-2.0942995178149841</v>
      </c>
      <c r="Y32" s="3">
        <f t="shared" si="11"/>
        <v>16.322362017814982</v>
      </c>
      <c r="Z32" s="3">
        <f t="shared" si="12"/>
        <v>-44.316513989914732</v>
      </c>
      <c r="AA32" s="3">
        <f t="shared" si="13"/>
        <v>58.544576489914725</v>
      </c>
      <c r="AB32" s="3">
        <f t="shared" si="14"/>
        <v>4.806</v>
      </c>
      <c r="AC32" s="3">
        <f t="shared" si="15"/>
        <v>10.076000000000001</v>
      </c>
      <c r="AD32" s="3">
        <f t="shared" si="16"/>
        <v>3.806</v>
      </c>
      <c r="AE32" s="3">
        <f t="shared" si="17"/>
        <v>11.076000000000001</v>
      </c>
    </row>
    <row r="33" spans="1:31" ht="15.75" thickBot="1" x14ac:dyDescent="0.3">
      <c r="A33" s="24">
        <f t="shared" si="1"/>
        <v>27</v>
      </c>
      <c r="B33" s="58"/>
      <c r="C33" s="61">
        <v>27</v>
      </c>
      <c r="D33" s="62">
        <v>3</v>
      </c>
      <c r="E33" s="62">
        <v>5.78</v>
      </c>
      <c r="F33" s="62">
        <v>2.11</v>
      </c>
      <c r="G33" s="62">
        <v>0.56000000000000005</v>
      </c>
      <c r="H33" s="62">
        <v>1</v>
      </c>
      <c r="I33" s="61">
        <v>7.4509999999999996</v>
      </c>
      <c r="J33" s="3">
        <f t="shared" si="2"/>
        <v>1.4313637641589874</v>
      </c>
      <c r="K33" s="3">
        <f t="shared" si="2"/>
        <v>0.47712125471966244</v>
      </c>
      <c r="L33" s="3">
        <f t="shared" si="2"/>
        <v>0.76192783842052902</v>
      </c>
      <c r="M33" s="3">
        <f t="shared" si="2"/>
        <v>0.32428245529769262</v>
      </c>
      <c r="N33" s="3">
        <f t="shared" si="2"/>
        <v>-0.25181197299379954</v>
      </c>
      <c r="O33" s="3">
        <f t="shared" si="2"/>
        <v>0</v>
      </c>
      <c r="P33" s="3">
        <f t="shared" si="2"/>
        <v>0.87221456339758552</v>
      </c>
      <c r="Q33" s="3">
        <f t="shared" si="3"/>
        <v>0.11354793847656283</v>
      </c>
      <c r="R33" s="3">
        <f t="shared" si="4"/>
        <v>25.9462890625</v>
      </c>
      <c r="S33" s="3">
        <f t="shared" si="5"/>
        <v>1.3850347656249997</v>
      </c>
      <c r="T33" s="3">
        <f t="shared" si="6"/>
        <v>1.0194688476562501</v>
      </c>
      <c r="U33" s="3">
        <f t="shared" si="7"/>
        <v>2.1024999999999991</v>
      </c>
      <c r="V33" s="3">
        <f t="shared" si="8"/>
        <v>3.6100000000000021E-2</v>
      </c>
      <c r="W33" s="3">
        <f t="shared" si="9"/>
        <v>4.0000000000000072E-4</v>
      </c>
      <c r="X33" s="20">
        <f t="shared" si="10"/>
        <v>-2.0942995178149841</v>
      </c>
      <c r="Y33" s="3">
        <f t="shared" si="11"/>
        <v>16.322362017814982</v>
      </c>
      <c r="Z33" s="3">
        <f t="shared" si="12"/>
        <v>-44.316513989914732</v>
      </c>
      <c r="AA33" s="3">
        <f t="shared" si="13"/>
        <v>58.544576489914725</v>
      </c>
      <c r="AB33" s="3">
        <f t="shared" si="14"/>
        <v>4.8159999999999998</v>
      </c>
      <c r="AC33" s="3">
        <f t="shared" si="15"/>
        <v>10.085999999999999</v>
      </c>
      <c r="AD33" s="3">
        <f t="shared" si="16"/>
        <v>3.8159999999999998</v>
      </c>
      <c r="AE33" s="3">
        <f t="shared" si="17"/>
        <v>11.085999999999999</v>
      </c>
    </row>
    <row r="34" spans="1:31" ht="15.75" thickBot="1" x14ac:dyDescent="0.3">
      <c r="A34" s="24">
        <f t="shared" si="1"/>
        <v>28</v>
      </c>
      <c r="B34" s="58"/>
      <c r="C34" s="61">
        <v>27</v>
      </c>
      <c r="D34" s="62">
        <v>3</v>
      </c>
      <c r="E34" s="62">
        <v>5.78</v>
      </c>
      <c r="F34" s="62">
        <v>2.11</v>
      </c>
      <c r="G34" s="62">
        <v>0.56000000000000005</v>
      </c>
      <c r="H34" s="62">
        <v>1</v>
      </c>
      <c r="I34" s="61">
        <v>7.484</v>
      </c>
      <c r="J34" s="3">
        <f t="shared" si="2"/>
        <v>1.4313637641589874</v>
      </c>
      <c r="K34" s="3">
        <f t="shared" si="2"/>
        <v>0.47712125471966244</v>
      </c>
      <c r="L34" s="3">
        <f t="shared" si="2"/>
        <v>0.76192783842052902</v>
      </c>
      <c r="M34" s="3">
        <f t="shared" si="2"/>
        <v>0.32428245529769262</v>
      </c>
      <c r="N34" s="3">
        <f t="shared" si="2"/>
        <v>-0.25181197299379954</v>
      </c>
      <c r="O34" s="3">
        <f t="shared" si="2"/>
        <v>0</v>
      </c>
      <c r="P34" s="3">
        <f t="shared" si="2"/>
        <v>0.87413377882797227</v>
      </c>
      <c r="Q34" s="3">
        <f t="shared" si="3"/>
        <v>0.13687687597656312</v>
      </c>
      <c r="R34" s="3">
        <f t="shared" si="4"/>
        <v>25.9462890625</v>
      </c>
      <c r="S34" s="3">
        <f t="shared" si="5"/>
        <v>1.3850347656249997</v>
      </c>
      <c r="T34" s="3">
        <f t="shared" si="6"/>
        <v>1.0194688476562501</v>
      </c>
      <c r="U34" s="3">
        <f t="shared" si="7"/>
        <v>2.1024999999999991</v>
      </c>
      <c r="V34" s="3">
        <f t="shared" si="8"/>
        <v>3.6100000000000021E-2</v>
      </c>
      <c r="W34" s="3">
        <f t="shared" si="9"/>
        <v>4.0000000000000072E-4</v>
      </c>
      <c r="X34" s="20">
        <f t="shared" si="10"/>
        <v>-2.0942995178149841</v>
      </c>
      <c r="Y34" s="3">
        <f t="shared" si="11"/>
        <v>16.322362017814982</v>
      </c>
      <c r="Z34" s="3">
        <f t="shared" si="12"/>
        <v>-44.316513989914732</v>
      </c>
      <c r="AA34" s="3">
        <f t="shared" si="13"/>
        <v>58.544576489914725</v>
      </c>
      <c r="AB34" s="3">
        <f t="shared" si="14"/>
        <v>4.8490000000000002</v>
      </c>
      <c r="AC34" s="3">
        <f t="shared" si="15"/>
        <v>10.119</v>
      </c>
      <c r="AD34" s="3">
        <f t="shared" si="16"/>
        <v>3.8490000000000002</v>
      </c>
      <c r="AE34" s="3">
        <f t="shared" si="17"/>
        <v>11.119</v>
      </c>
    </row>
    <row r="35" spans="1:31" ht="15.75" thickBot="1" x14ac:dyDescent="0.3">
      <c r="A35" s="24">
        <f t="shared" si="1"/>
        <v>29</v>
      </c>
      <c r="B35" s="58"/>
      <c r="C35" s="61">
        <v>32</v>
      </c>
      <c r="D35" s="62">
        <v>3.44</v>
      </c>
      <c r="E35" s="62">
        <v>3.25</v>
      </c>
      <c r="F35" s="62">
        <v>0.34</v>
      </c>
      <c r="G35" s="62">
        <v>0.03</v>
      </c>
      <c r="H35" s="62">
        <v>1</v>
      </c>
      <c r="I35" s="61">
        <v>7.7069999999999999</v>
      </c>
      <c r="J35" s="3">
        <f t="shared" si="2"/>
        <v>1.505149978319906</v>
      </c>
      <c r="K35" s="3">
        <f t="shared" si="2"/>
        <v>0.53655844257153007</v>
      </c>
      <c r="L35" s="3">
        <f t="shared" si="2"/>
        <v>0.51188336097887432</v>
      </c>
      <c r="M35" s="3">
        <f t="shared" si="2"/>
        <v>-0.46852108295774486</v>
      </c>
      <c r="N35" s="3">
        <f t="shared" si="2"/>
        <v>-1.5228787452803376</v>
      </c>
      <c r="O35" s="3">
        <f t="shared" si="2"/>
        <v>0</v>
      </c>
      <c r="P35" s="3">
        <f t="shared" si="2"/>
        <v>0.88688535898600862</v>
      </c>
      <c r="Q35" s="3">
        <f t="shared" si="3"/>
        <v>0.35161193847656336</v>
      </c>
      <c r="R35" s="3">
        <f t="shared" si="4"/>
        <v>101.8837890625</v>
      </c>
      <c r="S35" s="3">
        <f t="shared" si="5"/>
        <v>0.54298476562499998</v>
      </c>
      <c r="T35" s="3">
        <f t="shared" si="6"/>
        <v>2.3113500976562507</v>
      </c>
      <c r="U35" s="3">
        <f t="shared" si="7"/>
        <v>0.1024</v>
      </c>
      <c r="V35" s="3">
        <f t="shared" si="8"/>
        <v>0.11559999999999998</v>
      </c>
      <c r="W35" s="3">
        <f t="shared" si="9"/>
        <v>4.0000000000000072E-4</v>
      </c>
      <c r="X35" s="20">
        <f t="shared" si="10"/>
        <v>-2.8254871030688351</v>
      </c>
      <c r="Y35" s="3">
        <f t="shared" si="11"/>
        <v>17.053549603068834</v>
      </c>
      <c r="Z35" s="3">
        <f t="shared" si="12"/>
        <v>-44.452446749146119</v>
      </c>
      <c r="AA35" s="3">
        <f t="shared" si="13"/>
        <v>58.680509249146112</v>
      </c>
      <c r="AB35" s="3">
        <f t="shared" si="14"/>
        <v>5.0720000000000001</v>
      </c>
      <c r="AC35" s="3">
        <f t="shared" si="15"/>
        <v>10.341999999999999</v>
      </c>
      <c r="AD35" s="3">
        <f t="shared" si="16"/>
        <v>4.0720000000000001</v>
      </c>
      <c r="AE35" s="3">
        <f t="shared" si="17"/>
        <v>11.341999999999999</v>
      </c>
    </row>
    <row r="36" spans="1:31" ht="15.75" thickBot="1" x14ac:dyDescent="0.3">
      <c r="A36" s="24">
        <f t="shared" si="1"/>
        <v>30</v>
      </c>
      <c r="C36" s="61">
        <v>30</v>
      </c>
      <c r="D36" s="62">
        <v>3.2</v>
      </c>
      <c r="E36" s="62">
        <v>3.37</v>
      </c>
      <c r="F36" s="62">
        <v>7.0000000000000007E-2</v>
      </c>
      <c r="G36" s="62">
        <v>0</v>
      </c>
      <c r="H36" s="62">
        <v>1</v>
      </c>
      <c r="I36" s="61">
        <v>7.9020000000000001</v>
      </c>
      <c r="J36" s="3">
        <f t="shared" si="2"/>
        <v>1.4771212547196624</v>
      </c>
      <c r="K36" s="3">
        <f t="shared" si="2"/>
        <v>0.50514997831990605</v>
      </c>
      <c r="L36" s="3">
        <f t="shared" si="2"/>
        <v>0.52762990087133865</v>
      </c>
      <c r="M36" s="3">
        <f t="shared" si="2"/>
        <v>-1.1549019599857431</v>
      </c>
      <c r="N36" s="3">
        <f>0</f>
        <v>0</v>
      </c>
      <c r="O36" s="3">
        <f t="shared" si="2"/>
        <v>0</v>
      </c>
      <c r="P36" s="3">
        <f t="shared" si="2"/>
        <v>0.89773702534542743</v>
      </c>
      <c r="Q36" s="3">
        <f t="shared" si="3"/>
        <v>0.6208947509765641</v>
      </c>
      <c r="R36" s="3">
        <f t="shared" si="4"/>
        <v>65.5087890625</v>
      </c>
      <c r="S36" s="3">
        <f t="shared" si="5"/>
        <v>0.95428476562499942</v>
      </c>
      <c r="T36" s="3">
        <f t="shared" si="6"/>
        <v>1.9608750976562501</v>
      </c>
      <c r="U36" s="3">
        <f t="shared" si="7"/>
        <v>0.34810000000000008</v>
      </c>
      <c r="V36" s="3">
        <f t="shared" si="8"/>
        <v>0.13689999999999999</v>
      </c>
      <c r="W36" s="3">
        <f t="shared" si="9"/>
        <v>4.0000000000000072E-4</v>
      </c>
      <c r="X36" s="20">
        <f t="shared" si="10"/>
        <v>-2.4821936078938238</v>
      </c>
      <c r="Y36" s="3">
        <f t="shared" si="11"/>
        <v>16.710256107893823</v>
      </c>
      <c r="Z36" s="3">
        <f t="shared" si="12"/>
        <v>-44.387378047889001</v>
      </c>
      <c r="AA36" s="3">
        <f t="shared" si="13"/>
        <v>58.615440547888994</v>
      </c>
      <c r="AB36" s="3">
        <f t="shared" si="14"/>
        <v>5.2670000000000003</v>
      </c>
      <c r="AC36" s="3">
        <f t="shared" si="15"/>
        <v>10.536999999999999</v>
      </c>
      <c r="AD36" s="3">
        <f t="shared" si="16"/>
        <v>4.2670000000000003</v>
      </c>
      <c r="AE36" s="3">
        <f t="shared" si="17"/>
        <v>11.536999999999999</v>
      </c>
    </row>
    <row r="37" spans="1:31" ht="15.75" thickBot="1" x14ac:dyDescent="0.3">
      <c r="A37" s="24">
        <f t="shared" si="1"/>
        <v>31</v>
      </c>
      <c r="C37" s="61">
        <v>66</v>
      </c>
      <c r="D37" s="62">
        <v>2.2999999999999998</v>
      </c>
      <c r="E37" s="62">
        <v>3.45</v>
      </c>
      <c r="F37" s="62">
        <v>0.79</v>
      </c>
      <c r="G37" s="62">
        <v>0.82</v>
      </c>
      <c r="H37" s="62">
        <v>1.1200000000000001</v>
      </c>
      <c r="I37" s="61">
        <v>7.98</v>
      </c>
      <c r="J37" s="3">
        <f t="shared" si="2"/>
        <v>1.8195439355418688</v>
      </c>
      <c r="K37" s="3">
        <f t="shared" si="2"/>
        <v>0.36172783601759284</v>
      </c>
      <c r="L37" s="3">
        <f t="shared" si="2"/>
        <v>0.53781909507327419</v>
      </c>
      <c r="M37" s="3">
        <f t="shared" si="2"/>
        <v>-0.10237290870955855</v>
      </c>
      <c r="N37" s="3">
        <f t="shared" si="2"/>
        <v>-8.6186147616283335E-2</v>
      </c>
      <c r="O37" s="3">
        <f t="shared" si="2"/>
        <v>4.9218022670181653E-2</v>
      </c>
      <c r="P37" s="3">
        <f t="shared" si="2"/>
        <v>0.90200289135072942</v>
      </c>
      <c r="Q37" s="3">
        <f t="shared" si="3"/>
        <v>0.74990187597656477</v>
      </c>
      <c r="R37" s="3">
        <f t="shared" si="4"/>
        <v>1944.2587890625</v>
      </c>
      <c r="S37" s="3">
        <f t="shared" si="5"/>
        <v>3.5226597656250003</v>
      </c>
      <c r="T37" s="3">
        <f t="shared" si="6"/>
        <v>1.74322509765625</v>
      </c>
      <c r="U37" s="3">
        <f t="shared" si="7"/>
        <v>1.6900000000000002E-2</v>
      </c>
      <c r="V37" s="3">
        <f t="shared" si="8"/>
        <v>0.20249999999999996</v>
      </c>
      <c r="W37" s="3">
        <f t="shared" si="9"/>
        <v>1.0000000000000018E-2</v>
      </c>
      <c r="X37" s="20">
        <f t="shared" si="10"/>
        <v>-13.82575068155824</v>
      </c>
      <c r="Y37" s="3">
        <f t="shared" si="11"/>
        <v>28.05381318155824</v>
      </c>
      <c r="Z37" s="3">
        <f t="shared" si="12"/>
        <v>-47.647105475661945</v>
      </c>
      <c r="AA37" s="3">
        <f t="shared" si="13"/>
        <v>61.875167975661938</v>
      </c>
      <c r="AB37" s="3">
        <f t="shared" si="14"/>
        <v>5.3450000000000006</v>
      </c>
      <c r="AC37" s="3">
        <f t="shared" si="15"/>
        <v>10.615</v>
      </c>
      <c r="AD37" s="3">
        <f t="shared" si="16"/>
        <v>4.3450000000000006</v>
      </c>
      <c r="AE37" s="3">
        <f t="shared" si="17"/>
        <v>11.615</v>
      </c>
    </row>
    <row r="38" spans="1:31" ht="15.75" thickBot="1" x14ac:dyDescent="0.3">
      <c r="A38" s="24">
        <f t="shared" si="1"/>
        <v>32</v>
      </c>
      <c r="C38" s="61">
        <v>117</v>
      </c>
      <c r="D38" s="62">
        <v>6.33</v>
      </c>
      <c r="E38" s="62">
        <v>3.34</v>
      </c>
      <c r="F38" s="62">
        <v>0.66</v>
      </c>
      <c r="G38" s="62">
        <v>0.37</v>
      </c>
      <c r="H38" s="62">
        <v>1.02</v>
      </c>
      <c r="I38" s="61">
        <v>8.7249999999999996</v>
      </c>
      <c r="J38" s="3">
        <f t="shared" si="2"/>
        <v>2.0681858617461617</v>
      </c>
      <c r="K38" s="3">
        <f t="shared" si="2"/>
        <v>0.80140371001735511</v>
      </c>
      <c r="L38" s="3">
        <f t="shared" si="2"/>
        <v>0.52374646681156445</v>
      </c>
      <c r="M38" s="3">
        <f t="shared" si="2"/>
        <v>-0.18045606445813131</v>
      </c>
      <c r="N38" s="3">
        <f t="shared" si="2"/>
        <v>-0.43179827593300502</v>
      </c>
      <c r="O38" s="3">
        <f t="shared" si="2"/>
        <v>8.6001717619175692E-3</v>
      </c>
      <c r="P38" s="3">
        <f t="shared" si="2"/>
        <v>0.94076543563121751</v>
      </c>
      <c r="Q38" s="3">
        <f t="shared" si="3"/>
        <v>2.5952203134765641</v>
      </c>
      <c r="R38" s="3">
        <f t="shared" si="4"/>
        <v>9042.8212890625</v>
      </c>
      <c r="S38" s="3">
        <f t="shared" si="5"/>
        <v>4.6359472656250009</v>
      </c>
      <c r="T38" s="3">
        <f t="shared" si="6"/>
        <v>2.0457938476562507</v>
      </c>
      <c r="U38" s="3">
        <f t="shared" si="7"/>
        <v>0</v>
      </c>
      <c r="V38" s="3">
        <f t="shared" si="8"/>
        <v>0</v>
      </c>
      <c r="W38" s="3">
        <f>POWER((H38-$H$38),2)</f>
        <v>0</v>
      </c>
      <c r="X38" s="20">
        <f t="shared" si="10"/>
        <v>-34.686007387886789</v>
      </c>
      <c r="Y38" s="3">
        <f t="shared" si="11"/>
        <v>48.914069887886782</v>
      </c>
      <c r="Z38" s="3">
        <f t="shared" si="12"/>
        <v>-58.517903494255833</v>
      </c>
      <c r="AA38" s="3">
        <f t="shared" si="13"/>
        <v>72.745965994255826</v>
      </c>
      <c r="AB38" s="3">
        <f t="shared" si="14"/>
        <v>6.09</v>
      </c>
      <c r="AC38" s="3">
        <f t="shared" si="15"/>
        <v>11.36</v>
      </c>
      <c r="AD38" s="3">
        <f t="shared" si="16"/>
        <v>5.09</v>
      </c>
      <c r="AE38" s="3">
        <f t="shared" si="17"/>
        <v>12.36</v>
      </c>
    </row>
    <row r="39" spans="1:31" x14ac:dyDescent="0.25">
      <c r="B39" s="65" t="s">
        <v>182</v>
      </c>
      <c r="C39" s="66">
        <f>AVERAGE(C7:C38)</f>
        <v>21.90625</v>
      </c>
      <c r="D39" s="66">
        <f t="shared" ref="D39:P39" si="18">AVERAGE(D7:D38)</f>
        <v>4.1768749999999999</v>
      </c>
      <c r="E39" s="66">
        <f t="shared" si="18"/>
        <v>4.7703125000000002</v>
      </c>
      <c r="F39" s="66">
        <f t="shared" si="18"/>
        <v>1.0540624999999999</v>
      </c>
      <c r="G39" s="66">
        <f t="shared" si="18"/>
        <v>0.40500000000000003</v>
      </c>
      <c r="H39" s="66">
        <f t="shared" si="18"/>
        <v>1.025625</v>
      </c>
      <c r="I39" s="66">
        <f t="shared" si="18"/>
        <v>7.1140312499999991</v>
      </c>
      <c r="J39" s="3">
        <f t="shared" si="18"/>
        <v>1.2253421346669995</v>
      </c>
      <c r="K39" s="3">
        <f t="shared" si="18"/>
        <v>0.58337546489629977</v>
      </c>
      <c r="L39" s="3">
        <f t="shared" si="18"/>
        <v>0.65401805726717255</v>
      </c>
      <c r="M39" s="3">
        <f t="shared" si="18"/>
        <v>-8.1508489418596702E-2</v>
      </c>
      <c r="N39" s="3">
        <f t="shared" si="18"/>
        <v>-0.43172381448657893</v>
      </c>
      <c r="O39" s="3">
        <f t="shared" si="18"/>
        <v>1.0691797586775565E-2</v>
      </c>
      <c r="P39" s="3">
        <f t="shared" si="18"/>
        <v>0.85089748190175662</v>
      </c>
      <c r="Q39" s="3">
        <f>SUM(Q7:Q38)</f>
        <v>9.2304149687499972</v>
      </c>
      <c r="R39" s="3">
        <f>SUM(R7:R38)</f>
        <v>13886.71875</v>
      </c>
      <c r="S39" s="3">
        <f>SUM(S7:S38)</f>
        <v>107.30688749999997</v>
      </c>
      <c r="T39" s="3">
        <f t="shared" ref="T39" si="19">SUM(T7:T38)</f>
        <v>77.241696875000017</v>
      </c>
      <c r="U39" s="18">
        <f t="shared" ref="U39:W39" si="20">SUM(U7:U38)</f>
        <v>20.006099999999989</v>
      </c>
      <c r="V39" s="18">
        <f t="shared" si="20"/>
        <v>1.4342000000000001</v>
      </c>
      <c r="W39" s="18">
        <f t="shared" si="20"/>
        <v>4.8400000000000068E-2</v>
      </c>
      <c r="Y39" s="18"/>
    </row>
    <row r="40" spans="1:31" x14ac:dyDescent="0.25">
      <c r="I40" s="17" t="s">
        <v>45</v>
      </c>
      <c r="J40" s="15" t="s">
        <v>49</v>
      </c>
      <c r="R40" s="17" t="s">
        <v>53</v>
      </c>
      <c r="S40" s="17" t="s">
        <v>54</v>
      </c>
      <c r="Y40" s="17"/>
    </row>
    <row r="41" spans="1:31" x14ac:dyDescent="0.25">
      <c r="R41" s="18" t="s">
        <v>44</v>
      </c>
    </row>
    <row r="42" spans="1:31" x14ac:dyDescent="0.25">
      <c r="R42" s="17">
        <f>SQRT(1/30*R39)</f>
        <v>21.514893097573133</v>
      </c>
    </row>
    <row r="43" spans="1:31" ht="18.75" x14ac:dyDescent="0.3">
      <c r="R43" s="19" t="s">
        <v>56</v>
      </c>
    </row>
    <row r="44" spans="1:31" x14ac:dyDescent="0.25">
      <c r="E44" s="74" t="s">
        <v>150</v>
      </c>
      <c r="F44" s="74"/>
      <c r="G44" s="74"/>
      <c r="R44" s="17">
        <f>_xlfn.T.INV.2T(0.025,32)</f>
        <v>2.3518351803763684</v>
      </c>
    </row>
    <row r="46" spans="1:31" x14ac:dyDescent="0.25">
      <c r="E46" s="74"/>
      <c r="F46" s="74"/>
      <c r="G46" s="74"/>
    </row>
    <row r="47" spans="1:31" x14ac:dyDescent="0.25">
      <c r="E47" s="30"/>
      <c r="F47" s="30"/>
      <c r="G47" s="30"/>
      <c r="I47" s="30" t="s">
        <v>18</v>
      </c>
      <c r="J47" s="30" t="s">
        <v>19</v>
      </c>
    </row>
    <row r="48" spans="1:31" x14ac:dyDescent="0.25">
      <c r="E48" s="30"/>
      <c r="F48" s="30"/>
      <c r="G48" s="30"/>
      <c r="H48" s="3" t="s">
        <v>18</v>
      </c>
      <c r="I48" s="30">
        <v>1</v>
      </c>
      <c r="J48" s="30">
        <f>CORREL(H7:H38,I7:I38)</f>
        <v>0.15420239784666126</v>
      </c>
    </row>
    <row r="49" spans="5:10" x14ac:dyDescent="0.25">
      <c r="E49" s="30"/>
      <c r="F49" s="30"/>
      <c r="G49" s="30"/>
      <c r="H49" s="3" t="s">
        <v>19</v>
      </c>
      <c r="I49" s="30">
        <f>CORREL(I7:I38,H7:H38)</f>
        <v>0.15420239784666126</v>
      </c>
      <c r="J49" s="30">
        <v>1</v>
      </c>
    </row>
  </sheetData>
  <mergeCells count="2">
    <mergeCell ref="E44:G44"/>
    <mergeCell ref="E46:G46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9</vt:i4>
      </vt:variant>
    </vt:vector>
  </HeadingPairs>
  <TitlesOfParts>
    <vt:vector size="9" baseType="lpstr">
      <vt:lpstr>геленко</vt:lpstr>
      <vt:lpstr>Лист1</vt:lpstr>
      <vt:lpstr>мнк</vt:lpstr>
      <vt:lpstr>Лист4</vt:lpstr>
      <vt:lpstr>РАЗМЕР</vt:lpstr>
      <vt:lpstr>ТРУДОЕМКОСТЬ</vt:lpstr>
      <vt:lpstr>трудоемкость тестирования</vt:lpstr>
      <vt:lpstr>трудоемкость тестирования (2)</vt:lpstr>
      <vt:lpstr>Лист8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Tetyana</dc:creator>
  <cp:lastModifiedBy>Yura</cp:lastModifiedBy>
  <dcterms:created xsi:type="dcterms:W3CDTF">2021-12-23T10:01:45Z</dcterms:created>
  <dcterms:modified xsi:type="dcterms:W3CDTF">2021-12-27T18:48:41Z</dcterms:modified>
</cp:coreProperties>
</file>