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64166A0A-51D5-4E5D-A91C-87A30089F036}" xr6:coauthVersionLast="47" xr6:coauthVersionMax="47" xr10:uidLastSave="{00000000-0000-0000-0000-000000000000}"/>
  <bookViews>
    <workbookView minimized="1" xWindow="9405" yWindow="1395" windowWidth="16035" windowHeight="11430" activeTab="1" xr2:uid="{00000000-000D-0000-FFFF-FFFF00000000}"/>
  </bookViews>
  <sheets>
    <sheet name="вихідні дані з програми plc" sheetId="7" r:id="rId1"/>
    <sheet name="Модель" sheetId="1" r:id="rId2"/>
    <sheet name="Диаграмма рассеяния" sheetId="2" r:id="rId3"/>
    <sheet name="Надстройка" sheetId="3" r:id="rId4"/>
  </sheets>
  <definedNames>
    <definedName name="anscount">2</definedName>
    <definedName name="cz" localSheetId="2">'Диаграмма рассеяния'!$V$18</definedName>
    <definedName name="limcount">2</definedName>
    <definedName name="sencount">4</definedName>
    <definedName name="solver_eng" localSheetId="1">1</definedName>
    <definedName name="solver_neg" localSheetId="1">1</definedName>
    <definedName name="solver_num" localSheetId="1">0</definedName>
    <definedName name="solver_opt" localSheetId="1">"модель!#REF!"</definedName>
    <definedName name="solver_typ" localSheetId="1">1</definedName>
    <definedName name="solver_val" localSheetId="1">0</definedName>
    <definedName name="solver_ver" localSheetId="1">3</definedName>
    <definedName name="sz" localSheetId="2">'Диаграмма рассеяния'!$V$19</definedName>
    <definedName name="ux" localSheetId="2">'Диаграмма рассеяния'!$W$14</definedName>
    <definedName name="uy" localSheetId="2">'Диаграмма рассеяния'!$X$14</definedName>
    <definedName name="uz" localSheetId="2">'Диаграмма рассеяния'!$Y$14</definedName>
    <definedName name="Xперемен">"[2][$#ССЫЛ!.$B$53:.$B$113]"</definedName>
    <definedName name="Yперемен">"[2][$#ССЫЛ!.$C$53:.$C$113]"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M112" i="1" l="1"/>
  <c r="O12" i="1"/>
  <c r="M48" i="1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K10" i="2"/>
  <c r="H14" i="2" s="1"/>
  <c r="J14" i="2"/>
  <c r="B17" i="2"/>
  <c r="C17" i="2"/>
  <c r="D17" i="2"/>
  <c r="W24" i="2"/>
  <c r="R30" i="2"/>
  <c r="V25" i="2" s="1"/>
  <c r="G35" i="2"/>
  <c r="N35" i="2"/>
  <c r="Q35" i="2"/>
  <c r="U49" i="2" s="1"/>
  <c r="R35" i="2"/>
  <c r="V35" i="2"/>
  <c r="S35" i="2"/>
  <c r="AD49" i="2" s="1"/>
  <c r="F36" i="2"/>
  <c r="N36" i="2"/>
  <c r="G48" i="2"/>
  <c r="K48" i="2"/>
  <c r="Z48" i="2"/>
  <c r="F49" i="2"/>
  <c r="O49" i="2"/>
  <c r="A61" i="2"/>
  <c r="A62" i="2"/>
  <c r="A63" i="2"/>
  <c r="A64" i="2" s="1"/>
  <c r="A65" i="2" s="1"/>
  <c r="A66" i="2" s="1"/>
  <c r="A67" i="2" s="1"/>
  <c r="A68" i="2" s="1"/>
  <c r="A69" i="2" s="1"/>
  <c r="A92" i="2"/>
  <c r="B92" i="2"/>
  <c r="C92" i="2"/>
  <c r="G64" i="2"/>
  <c r="D92" i="2"/>
  <c r="O78" i="2" s="1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Q7" i="1" a="1"/>
  <c r="Q8" i="1" s="1"/>
  <c r="B8" i="1"/>
  <c r="B107" i="1" s="1"/>
  <c r="H12" i="1"/>
  <c r="I12" i="1"/>
  <c r="D36" i="2" s="1"/>
  <c r="J12" i="1"/>
  <c r="B36" i="2"/>
  <c r="H13" i="1"/>
  <c r="I13" i="1"/>
  <c r="D37" i="2"/>
  <c r="J13" i="1"/>
  <c r="B37" i="2"/>
  <c r="H14" i="1"/>
  <c r="C38" i="2" s="1"/>
  <c r="I14" i="1"/>
  <c r="D38" i="2"/>
  <c r="J14" i="1"/>
  <c r="B38" i="2"/>
  <c r="V14" i="1"/>
  <c r="H15" i="1"/>
  <c r="C39" i="2" s="1"/>
  <c r="I15" i="1"/>
  <c r="J15" i="1"/>
  <c r="H16" i="1"/>
  <c r="C40" i="2"/>
  <c r="I16" i="1"/>
  <c r="D40" i="2" s="1"/>
  <c r="J16" i="1"/>
  <c r="H17" i="1"/>
  <c r="J50" i="1" s="1"/>
  <c r="I17" i="1"/>
  <c r="D41" i="2"/>
  <c r="J17" i="1"/>
  <c r="B41" i="2"/>
  <c r="H18" i="1"/>
  <c r="C42" i="2" s="1"/>
  <c r="I18" i="1"/>
  <c r="D42" i="2"/>
  <c r="J18" i="1"/>
  <c r="H19" i="1"/>
  <c r="C43" i="2"/>
  <c r="I19" i="1"/>
  <c r="J19" i="1"/>
  <c r="B43" i="2"/>
  <c r="H20" i="1"/>
  <c r="C44" i="2"/>
  <c r="I20" i="1"/>
  <c r="D44" i="2" s="1"/>
  <c r="J20" i="1"/>
  <c r="H21" i="1"/>
  <c r="C45" i="2" s="1"/>
  <c r="I21" i="1"/>
  <c r="I50" i="1" s="1"/>
  <c r="D45" i="2"/>
  <c r="J21" i="1"/>
  <c r="H22" i="1"/>
  <c r="C46" i="2"/>
  <c r="I22" i="1"/>
  <c r="D46" i="2"/>
  <c r="J22" i="1"/>
  <c r="H23" i="1"/>
  <c r="C47" i="2"/>
  <c r="I23" i="1"/>
  <c r="D47" i="2" s="1"/>
  <c r="J23" i="1"/>
  <c r="B47" i="2" s="1"/>
  <c r="H24" i="1"/>
  <c r="C48" i="2" s="1"/>
  <c r="I24" i="1"/>
  <c r="D48" i="2"/>
  <c r="J24" i="1"/>
  <c r="B48" i="2"/>
  <c r="H25" i="1"/>
  <c r="C49" i="2" s="1"/>
  <c r="I25" i="1"/>
  <c r="D49" i="2"/>
  <c r="J25" i="1"/>
  <c r="B49" i="2"/>
  <c r="H26" i="1"/>
  <c r="C50" i="2" s="1"/>
  <c r="I26" i="1"/>
  <c r="D50" i="2"/>
  <c r="J26" i="1"/>
  <c r="H27" i="1"/>
  <c r="C51" i="2" s="1"/>
  <c r="I27" i="1"/>
  <c r="D51" i="2"/>
  <c r="J27" i="1"/>
  <c r="H28" i="1"/>
  <c r="C52" i="2"/>
  <c r="I28" i="1"/>
  <c r="D52" i="2" s="1"/>
  <c r="J28" i="1"/>
  <c r="H29" i="1"/>
  <c r="C53" i="2" s="1"/>
  <c r="I29" i="1"/>
  <c r="D53" i="2" s="1"/>
  <c r="J29" i="1"/>
  <c r="H30" i="1"/>
  <c r="C54" i="2"/>
  <c r="I30" i="1"/>
  <c r="D54" i="2"/>
  <c r="J30" i="1"/>
  <c r="J47" i="1" s="1"/>
  <c r="H31" i="1"/>
  <c r="C55" i="2" s="1"/>
  <c r="I31" i="1"/>
  <c r="D55" i="2" s="1"/>
  <c r="J31" i="1"/>
  <c r="B55" i="2" s="1"/>
  <c r="H32" i="1"/>
  <c r="C56" i="2"/>
  <c r="I32" i="1"/>
  <c r="D56" i="2" s="1"/>
  <c r="J32" i="1"/>
  <c r="H33" i="1"/>
  <c r="C57" i="2" s="1"/>
  <c r="I33" i="1"/>
  <c r="D57" i="2"/>
  <c r="J33" i="1"/>
  <c r="H34" i="1"/>
  <c r="C58" i="2" s="1"/>
  <c r="I34" i="1"/>
  <c r="D58" i="2"/>
  <c r="J34" i="1"/>
  <c r="H35" i="1"/>
  <c r="C59" i="2"/>
  <c r="I35" i="1"/>
  <c r="D59" i="2" s="1"/>
  <c r="J35" i="1"/>
  <c r="H36" i="1"/>
  <c r="C60" i="2" s="1"/>
  <c r="I36" i="1"/>
  <c r="D60" i="2" s="1"/>
  <c r="J36" i="1"/>
  <c r="B60" i="2"/>
  <c r="H37" i="1"/>
  <c r="C61" i="2" s="1"/>
  <c r="I37" i="1"/>
  <c r="D61" i="2"/>
  <c r="J37" i="1"/>
  <c r="H38" i="1"/>
  <c r="C62" i="2"/>
  <c r="I38" i="1"/>
  <c r="D62" i="2"/>
  <c r="J38" i="1"/>
  <c r="B62" i="2"/>
  <c r="H39" i="1"/>
  <c r="C63" i="2"/>
  <c r="I39" i="1"/>
  <c r="D63" i="2"/>
  <c r="J39" i="1"/>
  <c r="H40" i="1"/>
  <c r="C64" i="2"/>
  <c r="I40" i="1"/>
  <c r="D64" i="2"/>
  <c r="J40" i="1"/>
  <c r="B64" i="2"/>
  <c r="H41" i="1"/>
  <c r="C65" i="2"/>
  <c r="I41" i="1"/>
  <c r="D65" i="2"/>
  <c r="J41" i="1"/>
  <c r="H42" i="1"/>
  <c r="C66" i="2"/>
  <c r="I42" i="1"/>
  <c r="D66" i="2"/>
  <c r="J42" i="1"/>
  <c r="B66" i="2"/>
  <c r="H43" i="1"/>
  <c r="C67" i="2"/>
  <c r="I43" i="1"/>
  <c r="D67" i="2"/>
  <c r="J43" i="1"/>
  <c r="H44" i="1"/>
  <c r="C68" i="2" s="1"/>
  <c r="I44" i="1"/>
  <c r="D68" i="2" s="1"/>
  <c r="J44" i="1"/>
  <c r="H45" i="1"/>
  <c r="C69" i="2"/>
  <c r="I45" i="1"/>
  <c r="D69" i="2"/>
  <c r="J45" i="1"/>
  <c r="B69" i="2" s="1"/>
  <c r="B46" i="1"/>
  <c r="C46" i="1"/>
  <c r="D46" i="1"/>
  <c r="G46" i="1"/>
  <c r="B47" i="1"/>
  <c r="C47" i="1"/>
  <c r="D47" i="1"/>
  <c r="D50" i="1"/>
  <c r="G50" i="1"/>
  <c r="A56" i="1"/>
  <c r="S71" i="1"/>
  <c r="G80" i="1"/>
  <c r="A86" i="1"/>
  <c r="A87" i="1"/>
  <c r="A88" i="1"/>
  <c r="D114" i="1"/>
  <c r="E114" i="1"/>
  <c r="D9" i="7"/>
  <c r="L18" i="7"/>
  <c r="M18" i="7"/>
  <c r="N18" i="7"/>
  <c r="O18" i="7"/>
  <c r="P18" i="7"/>
  <c r="Q18" i="7"/>
  <c r="C19" i="7"/>
  <c r="C20" i="7" s="1"/>
  <c r="C21" i="7" s="1"/>
  <c r="C22" i="7" s="1"/>
  <c r="C23" i="7" s="1"/>
  <c r="C24" i="7" s="1"/>
  <c r="C25" i="7" s="1"/>
  <c r="C26" i="7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L19" i="7"/>
  <c r="M19" i="7"/>
  <c r="N19" i="7"/>
  <c r="N53" i="7" s="1"/>
  <c r="O19" i="7"/>
  <c r="P19" i="7"/>
  <c r="Q19" i="7"/>
  <c r="L20" i="7"/>
  <c r="M20" i="7"/>
  <c r="N20" i="7"/>
  <c r="O20" i="7"/>
  <c r="O52" i="7" s="1"/>
  <c r="P20" i="7"/>
  <c r="Q20" i="7"/>
  <c r="L21" i="7"/>
  <c r="M21" i="7"/>
  <c r="N21" i="7"/>
  <c r="N52" i="7" s="1"/>
  <c r="O21" i="7"/>
  <c r="P21" i="7"/>
  <c r="Q21" i="7"/>
  <c r="L22" i="7"/>
  <c r="L54" i="7" s="1"/>
  <c r="M22" i="7"/>
  <c r="N22" i="7"/>
  <c r="O22" i="7"/>
  <c r="P22" i="7"/>
  <c r="Q22" i="7"/>
  <c r="L23" i="7"/>
  <c r="M23" i="7"/>
  <c r="N23" i="7"/>
  <c r="O23" i="7"/>
  <c r="P23" i="7"/>
  <c r="Q23" i="7"/>
  <c r="L24" i="7"/>
  <c r="M24" i="7"/>
  <c r="N24" i="7"/>
  <c r="O24" i="7"/>
  <c r="P24" i="7"/>
  <c r="Q24" i="7"/>
  <c r="L25" i="7"/>
  <c r="M25" i="7"/>
  <c r="N25" i="7"/>
  <c r="O25" i="7"/>
  <c r="P25" i="7"/>
  <c r="Q25" i="7"/>
  <c r="L26" i="7"/>
  <c r="M26" i="7"/>
  <c r="N26" i="7"/>
  <c r="O26" i="7"/>
  <c r="P26" i="7"/>
  <c r="Q26" i="7"/>
  <c r="L27" i="7"/>
  <c r="M27" i="7"/>
  <c r="N27" i="7"/>
  <c r="O27" i="7"/>
  <c r="P27" i="7"/>
  <c r="Q27" i="7"/>
  <c r="L28" i="7"/>
  <c r="M28" i="7"/>
  <c r="N28" i="7"/>
  <c r="O28" i="7"/>
  <c r="P28" i="7"/>
  <c r="Q28" i="7"/>
  <c r="L29" i="7"/>
  <c r="M29" i="7"/>
  <c r="N29" i="7"/>
  <c r="O29" i="7"/>
  <c r="P29" i="7"/>
  <c r="Q29" i="7"/>
  <c r="L30" i="7"/>
  <c r="M30" i="7"/>
  <c r="N30" i="7"/>
  <c r="O30" i="7"/>
  <c r="P30" i="7"/>
  <c r="Q30" i="7"/>
  <c r="L31" i="7"/>
  <c r="M31" i="7"/>
  <c r="N31" i="7"/>
  <c r="O31" i="7"/>
  <c r="P31" i="7"/>
  <c r="Q31" i="7"/>
  <c r="Q52" i="7" s="1"/>
  <c r="L32" i="7"/>
  <c r="M32" i="7"/>
  <c r="N32" i="7"/>
  <c r="O32" i="7"/>
  <c r="P32" i="7"/>
  <c r="Q32" i="7"/>
  <c r="L33" i="7"/>
  <c r="M33" i="7"/>
  <c r="N33" i="7"/>
  <c r="O33" i="7"/>
  <c r="P33" i="7"/>
  <c r="Q33" i="7"/>
  <c r="L34" i="7"/>
  <c r="M34" i="7"/>
  <c r="N34" i="7"/>
  <c r="O34" i="7"/>
  <c r="P34" i="7"/>
  <c r="Q34" i="7"/>
  <c r="L35" i="7"/>
  <c r="M35" i="7"/>
  <c r="N35" i="7"/>
  <c r="O35" i="7"/>
  <c r="P35" i="7"/>
  <c r="Q35" i="7"/>
  <c r="L36" i="7"/>
  <c r="M36" i="7"/>
  <c r="N36" i="7"/>
  <c r="O36" i="7"/>
  <c r="P36" i="7"/>
  <c r="Q36" i="7"/>
  <c r="L37" i="7"/>
  <c r="M37" i="7"/>
  <c r="N37" i="7"/>
  <c r="O37" i="7"/>
  <c r="P37" i="7"/>
  <c r="Q37" i="7"/>
  <c r="L38" i="7"/>
  <c r="M38" i="7"/>
  <c r="N38" i="7"/>
  <c r="O38" i="7"/>
  <c r="P38" i="7"/>
  <c r="Q38" i="7"/>
  <c r="L39" i="7"/>
  <c r="M39" i="7"/>
  <c r="N39" i="7"/>
  <c r="O39" i="7"/>
  <c r="P39" i="7"/>
  <c r="Q39" i="7"/>
  <c r="L40" i="7"/>
  <c r="M40" i="7"/>
  <c r="N40" i="7"/>
  <c r="O40" i="7"/>
  <c r="P40" i="7"/>
  <c r="Q40" i="7"/>
  <c r="L41" i="7"/>
  <c r="M41" i="7"/>
  <c r="N41" i="7"/>
  <c r="O41" i="7"/>
  <c r="P41" i="7"/>
  <c r="Q41" i="7"/>
  <c r="L42" i="7"/>
  <c r="M42" i="7"/>
  <c r="N42" i="7"/>
  <c r="O42" i="7"/>
  <c r="P42" i="7"/>
  <c r="Q42" i="7"/>
  <c r="L43" i="7"/>
  <c r="M43" i="7"/>
  <c r="N43" i="7"/>
  <c r="O43" i="7"/>
  <c r="P43" i="7"/>
  <c r="Q43" i="7"/>
  <c r="L44" i="7"/>
  <c r="M44" i="7"/>
  <c r="N44" i="7"/>
  <c r="O44" i="7"/>
  <c r="P44" i="7"/>
  <c r="Q44" i="7"/>
  <c r="L45" i="7"/>
  <c r="M45" i="7"/>
  <c r="N45" i="7"/>
  <c r="O45" i="7"/>
  <c r="P45" i="7"/>
  <c r="Q45" i="7"/>
  <c r="L46" i="7"/>
  <c r="M46" i="7"/>
  <c r="N46" i="7"/>
  <c r="O46" i="7"/>
  <c r="P46" i="7"/>
  <c r="Q46" i="7"/>
  <c r="L47" i="7"/>
  <c r="M47" i="7"/>
  <c r="N47" i="7"/>
  <c r="O47" i="7"/>
  <c r="P47" i="7"/>
  <c r="Q47" i="7"/>
  <c r="L48" i="7"/>
  <c r="M48" i="7"/>
  <c r="N48" i="7"/>
  <c r="O48" i="7"/>
  <c r="P48" i="7"/>
  <c r="Q48" i="7"/>
  <c r="L49" i="7"/>
  <c r="M49" i="7"/>
  <c r="N49" i="7"/>
  <c r="O49" i="7"/>
  <c r="P49" i="7"/>
  <c r="Q49" i="7"/>
  <c r="L50" i="7"/>
  <c r="M50" i="7"/>
  <c r="N50" i="7"/>
  <c r="O50" i="7"/>
  <c r="P50" i="7"/>
  <c r="P52" i="7" s="1"/>
  <c r="Q50" i="7"/>
  <c r="L51" i="7"/>
  <c r="M51" i="7"/>
  <c r="N51" i="7"/>
  <c r="O51" i="7"/>
  <c r="P51" i="7"/>
  <c r="Q51" i="7"/>
  <c r="D52" i="7"/>
  <c r="E52" i="7"/>
  <c r="F52" i="7"/>
  <c r="G52" i="7"/>
  <c r="H52" i="7"/>
  <c r="I52" i="7"/>
  <c r="J52" i="7"/>
  <c r="E53" i="7"/>
  <c r="F53" i="7"/>
  <c r="G53" i="7"/>
  <c r="H53" i="7"/>
  <c r="I53" i="7"/>
  <c r="J53" i="7"/>
  <c r="L53" i="7"/>
  <c r="E54" i="7"/>
  <c r="F54" i="7"/>
  <c r="G54" i="7"/>
  <c r="H54" i="7"/>
  <c r="I54" i="7"/>
  <c r="J54" i="7"/>
  <c r="N54" i="7"/>
  <c r="D65" i="7"/>
  <c r="B61" i="2"/>
  <c r="B59" i="2"/>
  <c r="B58" i="2"/>
  <c r="B57" i="2"/>
  <c r="B68" i="2"/>
  <c r="B42" i="2"/>
  <c r="C37" i="2"/>
  <c r="R41" i="7"/>
  <c r="S41" i="7" s="1"/>
  <c r="B53" i="2"/>
  <c r="B52" i="2"/>
  <c r="B51" i="2"/>
  <c r="B50" i="2"/>
  <c r="D43" i="2"/>
  <c r="B45" i="2"/>
  <c r="B46" i="2"/>
  <c r="B44" i="2"/>
  <c r="C36" i="2"/>
  <c r="F65" i="2"/>
  <c r="F78" i="2"/>
  <c r="U36" i="2"/>
  <c r="W25" i="2"/>
  <c r="V24" i="2"/>
  <c r="B108" i="1"/>
  <c r="B109" i="1"/>
  <c r="G82" i="1"/>
  <c r="B21" i="2"/>
  <c r="E116" i="1"/>
  <c r="B63" i="1"/>
  <c r="E117" i="1"/>
  <c r="C21" i="2"/>
  <c r="E115" i="1"/>
  <c r="G83" i="1"/>
  <c r="D21" i="2"/>
  <c r="F107" i="1"/>
  <c r="B119" i="1" l="1"/>
  <c r="R36" i="1"/>
  <c r="R30" i="7"/>
  <c r="S30" i="7" s="1"/>
  <c r="P54" i="7"/>
  <c r="B67" i="2"/>
  <c r="R19" i="7"/>
  <c r="S19" i="7" s="1"/>
  <c r="R51" i="7"/>
  <c r="S51" i="7" s="1"/>
  <c r="R50" i="7"/>
  <c r="S50" i="7" s="1"/>
  <c r="R26" i="7"/>
  <c r="S26" i="7" s="1"/>
  <c r="R33" i="7"/>
  <c r="S33" i="7" s="1"/>
  <c r="R22" i="7"/>
  <c r="S22" i="7" s="1"/>
  <c r="R29" i="7"/>
  <c r="S29" i="7" s="1"/>
  <c r="R18" i="7"/>
  <c r="R49" i="7"/>
  <c r="S49" i="7" s="1"/>
  <c r="R25" i="7"/>
  <c r="S25" i="7" s="1"/>
  <c r="R21" i="7"/>
  <c r="S21" i="7" s="1"/>
  <c r="R45" i="7"/>
  <c r="S45" i="7" s="1"/>
  <c r="R20" i="7"/>
  <c r="S20" i="7" s="1"/>
  <c r="R27" i="7"/>
  <c r="S27" i="7" s="1"/>
  <c r="R32" i="7"/>
  <c r="S32" i="7" s="1"/>
  <c r="R39" i="7"/>
  <c r="S39" i="7" s="1"/>
  <c r="R44" i="7"/>
  <c r="S44" i="7" s="1"/>
  <c r="R37" i="7"/>
  <c r="S37" i="7" s="1"/>
  <c r="R34" i="7"/>
  <c r="S34" i="7" s="1"/>
  <c r="Q54" i="7"/>
  <c r="I49" i="1"/>
  <c r="R48" i="7"/>
  <c r="S48" i="7" s="1"/>
  <c r="R42" i="7"/>
  <c r="S42" i="7" s="1"/>
  <c r="R36" i="7"/>
  <c r="S36" i="7" s="1"/>
  <c r="R28" i="7"/>
  <c r="S28" i="7" s="1"/>
  <c r="R24" i="7"/>
  <c r="S24" i="7" s="1"/>
  <c r="O54" i="7"/>
  <c r="J46" i="1"/>
  <c r="P13" i="1" a="1"/>
  <c r="P23" i="1" a="1"/>
  <c r="H47" i="1"/>
  <c r="N73" i="1" s="1"/>
  <c r="B72" i="1"/>
  <c r="C41" i="2"/>
  <c r="U29" i="1" a="1"/>
  <c r="H46" i="1"/>
  <c r="P37" i="1"/>
  <c r="Q3" i="1" a="1"/>
  <c r="R46" i="7"/>
  <c r="S46" i="7" s="1"/>
  <c r="J80" i="7" a="1"/>
  <c r="M54" i="7"/>
  <c r="M52" i="7"/>
  <c r="M53" i="7"/>
  <c r="J73" i="7" a="1"/>
  <c r="R38" i="7"/>
  <c r="S38" i="7" s="1"/>
  <c r="R47" i="7"/>
  <c r="S47" i="7" s="1"/>
  <c r="R43" i="7"/>
  <c r="S43" i="7" s="1"/>
  <c r="R35" i="7"/>
  <c r="S35" i="7" s="1"/>
  <c r="R31" i="7"/>
  <c r="S31" i="7" s="1"/>
  <c r="R23" i="7"/>
  <c r="S23" i="7" s="1"/>
  <c r="B63" i="2"/>
  <c r="E94" i="1"/>
  <c r="B54" i="2"/>
  <c r="R40" i="7"/>
  <c r="S40" i="7" s="1"/>
  <c r="B65" i="2"/>
  <c r="B40" i="2"/>
  <c r="P53" i="7"/>
  <c r="R7" i="1"/>
  <c r="V48" i="2"/>
  <c r="B55" i="1"/>
  <c r="C109" i="1" s="1"/>
  <c r="C19" i="2"/>
  <c r="B56" i="2"/>
  <c r="L52" i="7"/>
  <c r="S7" i="1"/>
  <c r="C60" i="1"/>
  <c r="C86" i="1"/>
  <c r="H50" i="1"/>
  <c r="I46" i="1"/>
  <c r="O53" i="7"/>
  <c r="D18" i="2"/>
  <c r="C87" i="1"/>
  <c r="S8" i="1"/>
  <c r="C88" i="1"/>
  <c r="S9" i="1"/>
  <c r="I47" i="1"/>
  <c r="R9" i="1"/>
  <c r="I14" i="2"/>
  <c r="K14" i="2" s="1"/>
  <c r="Q53" i="7"/>
  <c r="B39" i="2"/>
  <c r="B20" i="2" s="1"/>
  <c r="Q9" i="1"/>
  <c r="Q7" i="1"/>
  <c r="R8" i="1"/>
  <c r="D39" i="2"/>
  <c r="D19" i="2" s="1"/>
  <c r="C18" i="2"/>
  <c r="A8" i="2" a="1"/>
  <c r="C20" i="2"/>
  <c r="C117" i="2" s="1"/>
  <c r="Q89" i="2" s="1"/>
  <c r="D20" i="2"/>
  <c r="D116" i="2" s="1"/>
  <c r="R88" i="2" s="1"/>
  <c r="D114" i="2"/>
  <c r="R86" i="2" s="1"/>
  <c r="D93" i="2"/>
  <c r="R65" i="2" s="1"/>
  <c r="D96" i="2"/>
  <c r="R68" i="2" s="1"/>
  <c r="D94" i="2"/>
  <c r="R66" i="2" s="1"/>
  <c r="D106" i="2"/>
  <c r="R78" i="2" s="1"/>
  <c r="C96" i="2"/>
  <c r="Q68" i="2" s="1"/>
  <c r="C108" i="2"/>
  <c r="Q80" i="2" s="1"/>
  <c r="C103" i="2"/>
  <c r="Q75" i="2" s="1"/>
  <c r="C105" i="2"/>
  <c r="Q77" i="2" s="1"/>
  <c r="C111" i="2"/>
  <c r="Q83" i="2" s="1"/>
  <c r="C106" i="2"/>
  <c r="Q78" i="2" s="1"/>
  <c r="C112" i="2"/>
  <c r="Q84" i="2" s="1"/>
  <c r="C109" i="2"/>
  <c r="Q81" i="2" s="1"/>
  <c r="C107" i="2"/>
  <c r="Q79" i="2" s="1"/>
  <c r="C116" i="2"/>
  <c r="Q88" i="2" s="1"/>
  <c r="C99" i="2"/>
  <c r="Q71" i="2" s="1"/>
  <c r="C110" i="2"/>
  <c r="Q82" i="2" s="1"/>
  <c r="C115" i="2"/>
  <c r="Q87" i="2" s="1"/>
  <c r="C114" i="2"/>
  <c r="Q86" i="2" s="1"/>
  <c r="C104" i="2"/>
  <c r="Q76" i="2" s="1"/>
  <c r="C95" i="2"/>
  <c r="Q67" i="2" s="1"/>
  <c r="C94" i="2"/>
  <c r="Q66" i="2" s="1"/>
  <c r="C101" i="2" l="1"/>
  <c r="Q73" i="2" s="1"/>
  <c r="C93" i="2"/>
  <c r="B97" i="2"/>
  <c r="B98" i="2"/>
  <c r="B117" i="2"/>
  <c r="B110" i="2"/>
  <c r="B104" i="2"/>
  <c r="B113" i="2"/>
  <c r="B93" i="2"/>
  <c r="B111" i="2"/>
  <c r="B96" i="2"/>
  <c r="B108" i="2"/>
  <c r="B100" i="2"/>
  <c r="B94" i="2"/>
  <c r="B116" i="2"/>
  <c r="B107" i="2"/>
  <c r="B114" i="2"/>
  <c r="B106" i="2"/>
  <c r="B101" i="2"/>
  <c r="B102" i="2"/>
  <c r="B105" i="2"/>
  <c r="B112" i="2"/>
  <c r="B99" i="2"/>
  <c r="B109" i="2"/>
  <c r="B115" i="2"/>
  <c r="B103" i="2"/>
  <c r="B95" i="2"/>
  <c r="J80" i="7"/>
  <c r="J83" i="7"/>
  <c r="J84" i="7"/>
  <c r="J81" i="7"/>
  <c r="J82" i="7"/>
  <c r="S3" i="1"/>
  <c r="R5" i="1"/>
  <c r="Q3" i="1"/>
  <c r="R4" i="1"/>
  <c r="Q5" i="1"/>
  <c r="S5" i="1"/>
  <c r="Q4" i="1"/>
  <c r="R3" i="1"/>
  <c r="S4" i="1"/>
  <c r="B18" i="2"/>
  <c r="D108" i="2"/>
  <c r="R80" i="2" s="1"/>
  <c r="U31" i="1"/>
  <c r="U30" i="1"/>
  <c r="U29" i="1"/>
  <c r="B19" i="2"/>
  <c r="P25" i="1"/>
  <c r="P24" i="1"/>
  <c r="P23" i="1"/>
  <c r="M75" i="7"/>
  <c r="O73" i="7"/>
  <c r="L73" i="7"/>
  <c r="K76" i="7"/>
  <c r="M74" i="7"/>
  <c r="J74" i="7"/>
  <c r="O76" i="7"/>
  <c r="K75" i="7"/>
  <c r="L77" i="7"/>
  <c r="N75" i="7"/>
  <c r="N74" i="7"/>
  <c r="M77" i="7"/>
  <c r="O75" i="7"/>
  <c r="L75" i="7"/>
  <c r="N73" i="7"/>
  <c r="M76" i="7"/>
  <c r="J76" i="7"/>
  <c r="L74" i="7"/>
  <c r="K77" i="7"/>
  <c r="N76" i="7"/>
  <c r="J75" i="7"/>
  <c r="O77" i="7"/>
  <c r="M73" i="7"/>
  <c r="J77" i="7"/>
  <c r="K74" i="7"/>
  <c r="N77" i="7"/>
  <c r="J73" i="7"/>
  <c r="O74" i="7"/>
  <c r="L76" i="7"/>
  <c r="K73" i="7"/>
  <c r="Q15" i="1"/>
  <c r="Q14" i="1"/>
  <c r="R15" i="1"/>
  <c r="P13" i="1"/>
  <c r="R13" i="1"/>
  <c r="P15" i="1"/>
  <c r="R14" i="1"/>
  <c r="Q13" i="1"/>
  <c r="P14" i="1"/>
  <c r="R52" i="7"/>
  <c r="D57" i="7" s="1"/>
  <c r="S18" i="7"/>
  <c r="S52" i="7" s="1"/>
  <c r="D104" i="2"/>
  <c r="R76" i="2" s="1"/>
  <c r="D115" i="2"/>
  <c r="R87" i="2" s="1"/>
  <c r="D99" i="2"/>
  <c r="R71" i="2" s="1"/>
  <c r="D103" i="2"/>
  <c r="R75" i="2" s="1"/>
  <c r="D110" i="2"/>
  <c r="R82" i="2" s="1"/>
  <c r="D102" i="2"/>
  <c r="R74" i="2" s="1"/>
  <c r="C113" i="2"/>
  <c r="Q85" i="2" s="1"/>
  <c r="C98" i="2"/>
  <c r="Q70" i="2" s="1"/>
  <c r="C102" i="2"/>
  <c r="Q74" i="2" s="1"/>
  <c r="C100" i="2"/>
  <c r="Q72" i="2" s="1"/>
  <c r="C97" i="2"/>
  <c r="Q69" i="2" s="1"/>
  <c r="D98" i="2"/>
  <c r="R70" i="2" s="1"/>
  <c r="D101" i="2"/>
  <c r="R73" i="2" s="1"/>
  <c r="D111" i="2"/>
  <c r="R83" i="2" s="1"/>
  <c r="D113" i="2"/>
  <c r="R85" i="2" s="1"/>
  <c r="D95" i="2"/>
  <c r="R67" i="2" s="1"/>
  <c r="D107" i="2"/>
  <c r="R79" i="2" s="1"/>
  <c r="D100" i="2"/>
  <c r="R72" i="2" s="1"/>
  <c r="D112" i="2"/>
  <c r="R84" i="2" s="1"/>
  <c r="D97" i="2"/>
  <c r="R69" i="2" s="1"/>
  <c r="D105" i="2"/>
  <c r="R77" i="2" s="1"/>
  <c r="D109" i="2"/>
  <c r="R81" i="2" s="1"/>
  <c r="D117" i="2"/>
  <c r="R89" i="2" s="1"/>
  <c r="C8" i="2"/>
  <c r="C13" i="2" s="1"/>
  <c r="B8" i="2"/>
  <c r="A13" i="2" s="1"/>
  <c r="A8" i="2"/>
  <c r="B13" i="2" s="1"/>
  <c r="Q65" i="2"/>
  <c r="A25" i="2" a="1"/>
  <c r="P18" i="1" l="1" a="1"/>
  <c r="E98" i="1" a="1"/>
  <c r="E98" i="1" s="1"/>
  <c r="J89" i="7" a="1"/>
  <c r="A25" i="2"/>
  <c r="B28" i="2" s="1"/>
  <c r="I9" i="2" s="1"/>
  <c r="C25" i="2"/>
  <c r="C28" i="2" s="1"/>
  <c r="B25" i="2"/>
  <c r="A28" i="2" s="1"/>
  <c r="H9" i="2" s="1"/>
  <c r="J93" i="7" l="1"/>
  <c r="J90" i="7"/>
  <c r="J94" i="7"/>
  <c r="J89" i="7"/>
  <c r="J92" i="7"/>
  <c r="J91" i="7"/>
  <c r="Q19" i="1"/>
  <c r="C82" i="1" s="1"/>
  <c r="B87" i="1" s="1"/>
  <c r="C116" i="1" s="1"/>
  <c r="R19" i="1"/>
  <c r="D82" i="1" s="1"/>
  <c r="P20" i="1"/>
  <c r="B83" i="1" s="1"/>
  <c r="Q20" i="1"/>
  <c r="C83" i="1" s="1"/>
  <c r="R20" i="1"/>
  <c r="D83" i="1" s="1"/>
  <c r="B88" i="1" s="1"/>
  <c r="C117" i="1" s="1"/>
  <c r="Q18" i="1"/>
  <c r="C81" i="1" s="1"/>
  <c r="P19" i="1"/>
  <c r="B82" i="1" s="1"/>
  <c r="P18" i="1"/>
  <c r="R18" i="1"/>
  <c r="D81" i="1" s="1"/>
  <c r="K9" i="2"/>
  <c r="J13" i="2" s="1"/>
  <c r="S84" i="2"/>
  <c r="S69" i="2"/>
  <c r="S67" i="2"/>
  <c r="S78" i="2"/>
  <c r="S89" i="2"/>
  <c r="S71" i="2"/>
  <c r="S79" i="2"/>
  <c r="S72" i="2"/>
  <c r="S70" i="2"/>
  <c r="S73" i="2"/>
  <c r="S76" i="2"/>
  <c r="S83" i="2"/>
  <c r="S86" i="2"/>
  <c r="S88" i="2"/>
  <c r="S81" i="2"/>
  <c r="S77" i="2"/>
  <c r="S65" i="2"/>
  <c r="S66" i="2"/>
  <c r="S82" i="2"/>
  <c r="S74" i="2"/>
  <c r="S85" i="2"/>
  <c r="S68" i="2"/>
  <c r="S75" i="2"/>
  <c r="S80" i="2"/>
  <c r="S87" i="2"/>
  <c r="B81" i="1" l="1"/>
  <c r="B86" i="1" s="1"/>
  <c r="C115" i="1" s="1"/>
  <c r="Q29" i="1" a="1"/>
  <c r="I13" i="2"/>
  <c r="H13" i="2"/>
  <c r="Q29" i="1" l="1"/>
  <c r="Q30" i="1"/>
  <c r="Q31" i="1"/>
  <c r="N14" i="2"/>
  <c r="K13" i="2"/>
  <c r="H15" i="2" a="1"/>
  <c r="E12" i="1" l="1"/>
  <c r="D88" i="1"/>
  <c r="B117" i="1"/>
  <c r="D87" i="1"/>
  <c r="B116" i="1"/>
  <c r="K18" i="1"/>
  <c r="K14" i="1"/>
  <c r="K32" i="1"/>
  <c r="K21" i="1"/>
  <c r="B115" i="1"/>
  <c r="K19" i="1"/>
  <c r="E36" i="1"/>
  <c r="F36" i="1" s="1"/>
  <c r="E17" i="1"/>
  <c r="F17" i="1" s="1"/>
  <c r="E16" i="1"/>
  <c r="F16" i="1" s="1"/>
  <c r="K33" i="1"/>
  <c r="E42" i="1"/>
  <c r="F42" i="1" s="1"/>
  <c r="E29" i="1"/>
  <c r="F29" i="1" s="1"/>
  <c r="E32" i="1"/>
  <c r="F32" i="1" s="1"/>
  <c r="B7" i="1"/>
  <c r="B68" i="1" s="1"/>
  <c r="B69" i="1" s="1"/>
  <c r="E19" i="1"/>
  <c r="F19" i="1" s="1"/>
  <c r="K34" i="1"/>
  <c r="K42" i="1"/>
  <c r="K24" i="1"/>
  <c r="K26" i="1"/>
  <c r="E39" i="1"/>
  <c r="F39" i="1" s="1"/>
  <c r="E26" i="1"/>
  <c r="F26" i="1" s="1"/>
  <c r="E35" i="1"/>
  <c r="F35" i="1" s="1"/>
  <c r="K38" i="1"/>
  <c r="K20" i="1"/>
  <c r="E18" i="1"/>
  <c r="F18" i="1" s="1"/>
  <c r="K35" i="1"/>
  <c r="K25" i="1"/>
  <c r="E43" i="1"/>
  <c r="F43" i="1" s="1"/>
  <c r="E33" i="1"/>
  <c r="F33" i="1" s="1"/>
  <c r="E13" i="1"/>
  <c r="F13" i="1" s="1"/>
  <c r="E20" i="1"/>
  <c r="F20" i="1" s="1"/>
  <c r="K39" i="1"/>
  <c r="E21" i="1"/>
  <c r="F21" i="1" s="1"/>
  <c r="K37" i="1"/>
  <c r="E37" i="1"/>
  <c r="F37" i="1" s="1"/>
  <c r="K40" i="1"/>
  <c r="E23" i="1"/>
  <c r="F23" i="1" s="1"/>
  <c r="E38" i="1"/>
  <c r="F38" i="1" s="1"/>
  <c r="K15" i="1"/>
  <c r="E34" i="1"/>
  <c r="F34" i="1" s="1"/>
  <c r="E14" i="1"/>
  <c r="F14" i="1" s="1"/>
  <c r="E22" i="1"/>
  <c r="F22" i="1" s="1"/>
  <c r="K41" i="1"/>
  <c r="K22" i="1"/>
  <c r="A112" i="1"/>
  <c r="E30" i="1"/>
  <c r="F30" i="1" s="1"/>
  <c r="E24" i="1"/>
  <c r="F24" i="1" s="1"/>
  <c r="K44" i="1"/>
  <c r="K28" i="1"/>
  <c r="E40" i="1"/>
  <c r="F40" i="1" s="1"/>
  <c r="E27" i="1"/>
  <c r="F27" i="1" s="1"/>
  <c r="E45" i="1"/>
  <c r="F45" i="1" s="1"/>
  <c r="K17" i="1"/>
  <c r="K30" i="1"/>
  <c r="D86" i="1"/>
  <c r="K23" i="1"/>
  <c r="E41" i="1"/>
  <c r="F41" i="1" s="1"/>
  <c r="E25" i="1"/>
  <c r="F25" i="1" s="1"/>
  <c r="K29" i="1"/>
  <c r="E31" i="1"/>
  <c r="F31" i="1" s="1"/>
  <c r="E44" i="1"/>
  <c r="F44" i="1" s="1"/>
  <c r="K43" i="1"/>
  <c r="K16" i="1"/>
  <c r="K45" i="1"/>
  <c r="K13" i="1"/>
  <c r="E28" i="1"/>
  <c r="F28" i="1" s="1"/>
  <c r="K31" i="1"/>
  <c r="G59" i="1" a="1"/>
  <c r="G59" i="1" s="1"/>
  <c r="C58" i="1" s="1"/>
  <c r="K36" i="1"/>
  <c r="E15" i="1"/>
  <c r="F15" i="1" s="1"/>
  <c r="K27" i="1"/>
  <c r="H15" i="2"/>
  <c r="J15" i="2"/>
  <c r="I15" i="2"/>
  <c r="M30" i="1" l="1"/>
  <c r="N30" i="1" s="1"/>
  <c r="L30" i="1"/>
  <c r="L24" i="1"/>
  <c r="M24" i="1"/>
  <c r="N24" i="1" s="1"/>
  <c r="M19" i="1"/>
  <c r="N19" i="1" s="1"/>
  <c r="L19" i="1"/>
  <c r="L42" i="1"/>
  <c r="M42" i="1"/>
  <c r="N42" i="1" s="1"/>
  <c r="L17" i="1"/>
  <c r="M17" i="1"/>
  <c r="N17" i="1" s="1"/>
  <c r="M34" i="1"/>
  <c r="N34" i="1" s="1"/>
  <c r="L34" i="1"/>
  <c r="M21" i="1"/>
  <c r="N21" i="1" s="1"/>
  <c r="L21" i="1"/>
  <c r="M32" i="1"/>
  <c r="N32" i="1" s="1"/>
  <c r="L32" i="1"/>
  <c r="K46" i="1"/>
  <c r="B58" i="1" s="1"/>
  <c r="L12" i="1"/>
  <c r="M12" i="1"/>
  <c r="M13" i="1"/>
  <c r="N13" i="1" s="1"/>
  <c r="L13" i="1"/>
  <c r="M25" i="1"/>
  <c r="N25" i="1" s="1"/>
  <c r="L25" i="1"/>
  <c r="M44" i="1"/>
  <c r="N44" i="1" s="1"/>
  <c r="L44" i="1"/>
  <c r="M40" i="1"/>
  <c r="N40" i="1" s="1"/>
  <c r="L40" i="1"/>
  <c r="M20" i="1"/>
  <c r="N20" i="1" s="1"/>
  <c r="L20" i="1"/>
  <c r="M14" i="1"/>
  <c r="N14" i="1" s="1"/>
  <c r="L14" i="1"/>
  <c r="M15" i="1"/>
  <c r="N15" i="1" s="1"/>
  <c r="L15" i="1"/>
  <c r="M38" i="1"/>
  <c r="N38" i="1" s="1"/>
  <c r="L38" i="1"/>
  <c r="L18" i="1"/>
  <c r="M18" i="1"/>
  <c r="N18" i="1" s="1"/>
  <c r="L45" i="1"/>
  <c r="M45" i="1"/>
  <c r="M35" i="1"/>
  <c r="N35" i="1" s="1"/>
  <c r="L35" i="1"/>
  <c r="M37" i="1"/>
  <c r="N37" i="1" s="1"/>
  <c r="L37" i="1"/>
  <c r="E46" i="1"/>
  <c r="E50" i="1"/>
  <c r="F12" i="1"/>
  <c r="M33" i="1"/>
  <c r="N33" i="1" s="1"/>
  <c r="L33" i="1"/>
  <c r="H87" i="1"/>
  <c r="D116" i="1"/>
  <c r="M26" i="1"/>
  <c r="N26" i="1" s="1"/>
  <c r="L26" i="1"/>
  <c r="L16" i="1"/>
  <c r="M16" i="1"/>
  <c r="N16" i="1" s="1"/>
  <c r="M43" i="1"/>
  <c r="N43" i="1" s="1"/>
  <c r="L43" i="1"/>
  <c r="M27" i="1"/>
  <c r="N27" i="1" s="1"/>
  <c r="L27" i="1"/>
  <c r="L36" i="1"/>
  <c r="M36" i="1"/>
  <c r="N36" i="1" s="1"/>
  <c r="M23" i="1"/>
  <c r="N23" i="1" s="1"/>
  <c r="L23" i="1"/>
  <c r="M22" i="1"/>
  <c r="N22" i="1" s="1"/>
  <c r="L22" i="1"/>
  <c r="M39" i="1"/>
  <c r="N39" i="1" s="1"/>
  <c r="L39" i="1"/>
  <c r="M28" i="1"/>
  <c r="N28" i="1" s="1"/>
  <c r="L28" i="1"/>
  <c r="M29" i="1"/>
  <c r="N29" i="1" s="1"/>
  <c r="L29" i="1"/>
  <c r="M31" i="1"/>
  <c r="N31" i="1" s="1"/>
  <c r="L31" i="1"/>
  <c r="D115" i="1"/>
  <c r="H86" i="1"/>
  <c r="M41" i="1"/>
  <c r="N41" i="1" s="1"/>
  <c r="L41" i="1"/>
  <c r="D117" i="1"/>
  <c r="H88" i="1"/>
  <c r="I18" i="2"/>
  <c r="G20" i="2"/>
  <c r="G19" i="2"/>
  <c r="H18" i="2"/>
  <c r="K15" i="2"/>
  <c r="N13" i="2" s="1"/>
  <c r="N15" i="2" s="1"/>
  <c r="H20" i="2"/>
  <c r="I19" i="2"/>
  <c r="F50" i="1" l="1"/>
  <c r="F46" i="1"/>
  <c r="M47" i="1"/>
  <c r="M46" i="1"/>
  <c r="N12" i="1"/>
  <c r="B59" i="1"/>
  <c r="C107" i="1"/>
  <c r="D107" i="1" s="1"/>
  <c r="A72" i="1"/>
  <c r="B120" i="1" s="1"/>
  <c r="P36" i="1"/>
  <c r="P35" i="1" s="1"/>
  <c r="L46" i="1"/>
  <c r="K18" i="2" a="1"/>
  <c r="B56" i="1" l="1"/>
  <c r="R35" i="1"/>
  <c r="L20" i="2"/>
  <c r="L25" i="2" s="1"/>
  <c r="H25" i="2" s="1"/>
  <c r="K19" i="2"/>
  <c r="K24" i="2" s="1"/>
  <c r="G24" i="2" s="1"/>
  <c r="L18" i="2"/>
  <c r="L23" i="2" s="1"/>
  <c r="H23" i="2" s="1"/>
  <c r="M19" i="2"/>
  <c r="M24" i="2" s="1"/>
  <c r="I24" i="2" s="1"/>
  <c r="K18" i="2"/>
  <c r="K23" i="2" s="1"/>
  <c r="G23" i="2" s="1"/>
  <c r="K20" i="2"/>
  <c r="K25" i="2" s="1"/>
  <c r="G25" i="2" s="1"/>
  <c r="M18" i="2"/>
  <c r="M23" i="2" s="1"/>
  <c r="I23" i="2" s="1"/>
  <c r="M20" i="2"/>
  <c r="M25" i="2" s="1"/>
  <c r="I25" i="2" s="1"/>
  <c r="L19" i="2"/>
  <c r="L24" i="2" s="1"/>
  <c r="H24" i="2" s="1"/>
  <c r="B98" i="1" l="1"/>
  <c r="C98" i="1"/>
  <c r="B57" i="1"/>
  <c r="C108" i="1"/>
  <c r="D108" i="1" s="1"/>
  <c r="E107" i="1" s="1"/>
  <c r="E58" i="1"/>
  <c r="Q24" i="2" a="1"/>
  <c r="G28" i="2" a="1"/>
  <c r="A74" i="1" l="1"/>
  <c r="B121" i="1" s="1"/>
  <c r="M62" i="1"/>
  <c r="B60" i="1"/>
  <c r="A65" i="1" s="1"/>
  <c r="C99" i="1"/>
  <c r="C100" i="1"/>
  <c r="B100" i="1"/>
  <c r="B99" i="1"/>
  <c r="G28" i="2"/>
  <c r="H28" i="2" s="1"/>
  <c r="G29" i="2"/>
  <c r="H29" i="2" s="1"/>
  <c r="G30" i="2"/>
  <c r="H30" i="2" s="1"/>
  <c r="S26" i="2"/>
  <c r="S25" i="2"/>
  <c r="Q25" i="2"/>
  <c r="Q26" i="2"/>
  <c r="R24" i="2"/>
  <c r="S24" i="2"/>
  <c r="R25" i="2"/>
  <c r="R26" i="2"/>
  <c r="Q24" i="2"/>
  <c r="B101" i="1" l="1"/>
  <c r="C101" i="1"/>
  <c r="Q93" i="2" a="1"/>
  <c r="Q101" i="2" a="1"/>
  <c r="Q109" i="2" a="1"/>
  <c r="Q117" i="2" a="1"/>
  <c r="Q100" i="2" a="1"/>
  <c r="Q108" i="2" a="1"/>
  <c r="Q116" i="2" a="1"/>
  <c r="Q97" i="2" a="1"/>
  <c r="Q105" i="2" a="1"/>
  <c r="Q113" i="2" a="1"/>
  <c r="Q96" i="2" a="1"/>
  <c r="Q104" i="2" a="1"/>
  <c r="Q112" i="2" a="1"/>
  <c r="Q99" i="2" a="1"/>
  <c r="Q115" i="2" a="1"/>
  <c r="Q106" i="2" a="1"/>
  <c r="Q107" i="2" a="1"/>
  <c r="Q98" i="2" a="1"/>
  <c r="Q114" i="2" a="1"/>
  <c r="Q94" i="2" a="1"/>
  <c r="Q111" i="2" a="1"/>
  <c r="Q95" i="2" a="1"/>
  <c r="Q102" i="2" a="1"/>
  <c r="Q103" i="2" a="1"/>
  <c r="Q110" i="2" a="1"/>
  <c r="R115" i="2" l="1"/>
  <c r="S58" i="2" s="1"/>
  <c r="S115" i="2"/>
  <c r="Q58" i="2" s="1"/>
  <c r="Q115" i="2"/>
  <c r="R58" i="2" s="1"/>
  <c r="S109" i="2"/>
  <c r="Q52" i="2" s="1"/>
  <c r="R109" i="2"/>
  <c r="S52" i="2" s="1"/>
  <c r="Q109" i="2"/>
  <c r="R52" i="2" s="1"/>
  <c r="R103" i="2"/>
  <c r="S46" i="2" s="1"/>
  <c r="Q103" i="2"/>
  <c r="R46" i="2" s="1"/>
  <c r="S103" i="2"/>
  <c r="Q46" i="2" s="1"/>
  <c r="Q94" i="2"/>
  <c r="R37" i="2" s="1"/>
  <c r="R94" i="2"/>
  <c r="S37" i="2" s="1"/>
  <c r="S94" i="2"/>
  <c r="Q37" i="2" s="1"/>
  <c r="Q106" i="2"/>
  <c r="R49" i="2" s="1"/>
  <c r="R106" i="2"/>
  <c r="S49" i="2" s="1"/>
  <c r="S106" i="2"/>
  <c r="Q49" i="2" s="1"/>
  <c r="R104" i="2"/>
  <c r="S47" i="2" s="1"/>
  <c r="Q104" i="2"/>
  <c r="R47" i="2" s="1"/>
  <c r="S104" i="2"/>
  <c r="Q47" i="2" s="1"/>
  <c r="R97" i="2"/>
  <c r="S40" i="2" s="1"/>
  <c r="Q97" i="2"/>
  <c r="R40" i="2" s="1"/>
  <c r="S97" i="2"/>
  <c r="Q40" i="2" s="1"/>
  <c r="Q117" i="2"/>
  <c r="R60" i="2" s="1"/>
  <c r="S117" i="2"/>
  <c r="Q60" i="2" s="1"/>
  <c r="R117" i="2"/>
  <c r="S60" i="2" s="1"/>
  <c r="S102" i="2"/>
  <c r="Q45" i="2" s="1"/>
  <c r="Q102" i="2"/>
  <c r="R45" i="2" s="1"/>
  <c r="R102" i="2"/>
  <c r="S45" i="2" s="1"/>
  <c r="S96" i="2"/>
  <c r="Q39" i="2" s="1"/>
  <c r="Q96" i="2"/>
  <c r="R39" i="2" s="1"/>
  <c r="R96" i="2"/>
  <c r="S39" i="2" s="1"/>
  <c r="Q95" i="2"/>
  <c r="R38" i="2" s="1"/>
  <c r="S95" i="2"/>
  <c r="Q38" i="2" s="1"/>
  <c r="R95" i="2"/>
  <c r="S38" i="2" s="1"/>
  <c r="S98" i="2"/>
  <c r="Q41" i="2" s="1"/>
  <c r="R98" i="2"/>
  <c r="S41" i="2" s="1"/>
  <c r="Q98" i="2"/>
  <c r="R41" i="2" s="1"/>
  <c r="S99" i="2"/>
  <c r="Q42" i="2" s="1"/>
  <c r="R99" i="2"/>
  <c r="S42" i="2" s="1"/>
  <c r="Q99" i="2"/>
  <c r="R42" i="2" s="1"/>
  <c r="Q113" i="2"/>
  <c r="R56" i="2" s="1"/>
  <c r="S113" i="2"/>
  <c r="Q56" i="2" s="1"/>
  <c r="R113" i="2"/>
  <c r="S56" i="2" s="1"/>
  <c r="R108" i="2"/>
  <c r="S51" i="2" s="1"/>
  <c r="S108" i="2"/>
  <c r="Q51" i="2" s="1"/>
  <c r="Q108" i="2"/>
  <c r="R51" i="2" s="1"/>
  <c r="Q101" i="2"/>
  <c r="R44" i="2" s="1"/>
  <c r="S101" i="2"/>
  <c r="Q44" i="2" s="1"/>
  <c r="R101" i="2"/>
  <c r="S44" i="2" s="1"/>
  <c r="S114" i="2"/>
  <c r="Q57" i="2" s="1"/>
  <c r="Q114" i="2"/>
  <c r="R57" i="2" s="1"/>
  <c r="R114" i="2"/>
  <c r="S57" i="2" s="1"/>
  <c r="Q116" i="2"/>
  <c r="R59" i="2" s="1"/>
  <c r="R116" i="2"/>
  <c r="S59" i="2" s="1"/>
  <c r="S116" i="2"/>
  <c r="Q59" i="2" s="1"/>
  <c r="R110" i="2"/>
  <c r="S53" i="2" s="1"/>
  <c r="Q110" i="2"/>
  <c r="R53" i="2" s="1"/>
  <c r="S110" i="2"/>
  <c r="Q53" i="2" s="1"/>
  <c r="Q111" i="2"/>
  <c r="R54" i="2" s="1"/>
  <c r="R111" i="2"/>
  <c r="S54" i="2" s="1"/>
  <c r="S111" i="2"/>
  <c r="Q54" i="2" s="1"/>
  <c r="Q107" i="2"/>
  <c r="R50" i="2" s="1"/>
  <c r="R107" i="2"/>
  <c r="S50" i="2" s="1"/>
  <c r="S107" i="2"/>
  <c r="Q50" i="2" s="1"/>
  <c r="S112" i="2"/>
  <c r="Q55" i="2" s="1"/>
  <c r="R112" i="2"/>
  <c r="S55" i="2" s="1"/>
  <c r="Q112" i="2"/>
  <c r="R55" i="2" s="1"/>
  <c r="S105" i="2"/>
  <c r="Q48" i="2" s="1"/>
  <c r="Q105" i="2"/>
  <c r="R48" i="2" s="1"/>
  <c r="R105" i="2"/>
  <c r="S48" i="2" s="1"/>
  <c r="R100" i="2"/>
  <c r="S43" i="2" s="1"/>
  <c r="Q100" i="2"/>
  <c r="R43" i="2" s="1"/>
  <c r="S100" i="2"/>
  <c r="Q43" i="2" s="1"/>
  <c r="R93" i="2"/>
  <c r="S36" i="2" s="1"/>
  <c r="Q93" i="2"/>
  <c r="R36" i="2" s="1"/>
  <c r="S93" i="2"/>
  <c r="Q36" i="2" s="1"/>
</calcChain>
</file>

<file path=xl/sharedStrings.xml><?xml version="1.0" encoding="utf-8"?>
<sst xmlns="http://schemas.openxmlformats.org/spreadsheetml/2006/main" count="300" uniqueCount="204">
  <si>
    <t>Файл скачан с сайта excel2.ru &gt;&gt;&gt;</t>
  </si>
  <si>
    <t>Перейти к статье &gt;&gt;&gt;</t>
  </si>
  <si>
    <t>Подробный разбор задачи (примера) множественной регрессии в MS EXCEL</t>
  </si>
  <si>
    <t>Исходные данные и основные расчеты</t>
  </si>
  <si>
    <t>n</t>
  </si>
  <si>
    <t>число наблюдений (размер выборки)</t>
  </si>
  <si>
    <t>p</t>
  </si>
  <si>
    <t>число оцениваемых параметров модели (коэффициентов регрессии)</t>
  </si>
  <si>
    <t>k</t>
  </si>
  <si>
    <t>число независимых переменных</t>
  </si>
  <si>
    <t>n-p</t>
  </si>
  <si>
    <t>число степеней свободы остатков модели (для SSE)</t>
  </si>
  <si>
    <t>единицы</t>
  </si>
  <si>
    <t>y</t>
  </si>
  <si>
    <t>Прогноз</t>
  </si>
  <si>
    <t>Остатки</t>
  </si>
  <si>
    <t>Прогнозное значение</t>
  </si>
  <si>
    <t>х1</t>
  </si>
  <si>
    <t>х2</t>
  </si>
  <si>
    <t>Матрица X'y</t>
  </si>
  <si>
    <t>Оценки параметров модели</t>
  </si>
  <si>
    <t>Матричный метод</t>
  </si>
  <si>
    <t>Функция ЛИНЕЙН()</t>
  </si>
  <si>
    <t>b0</t>
  </si>
  <si>
    <t>b2</t>
  </si>
  <si>
    <t>b1</t>
  </si>
  <si>
    <t>Оценка дисперсии остатков модели σ2</t>
  </si>
  <si>
    <t>SSres=SSE</t>
  </si>
  <si>
    <t>MSres=MSE - оценка дисперсии</t>
  </si>
  <si>
    <t>Стандартная ошибка регрессии</t>
  </si>
  <si>
    <t>Среднее значение Y</t>
  </si>
  <si>
    <t>Тест на значимость Регрессии</t>
  </si>
  <si>
    <t>SSt=SSr+SSres</t>
  </si>
  <si>
    <t>SSt</t>
  </si>
  <si>
    <t>MSres</t>
  </si>
  <si>
    <t>SSr</t>
  </si>
  <si>
    <t>b'(X'y)</t>
  </si>
  <si>
    <t>MSr</t>
  </si>
  <si>
    <t>F0</t>
  </si>
  <si>
    <t>Уровень значимости альфа</t>
  </si>
  <si>
    <t>критическое значение F-статистики</t>
  </si>
  <si>
    <t>Отклонить Н0 (Н0 - взаимосвязь между Х и Y незначимая)?</t>
  </si>
  <si>
    <t>Тест на значимость через р-значение</t>
  </si>
  <si>
    <t>р-значение</t>
  </si>
  <si>
    <t>Отклонить Н0?</t>
  </si>
  <si>
    <t>Коэффициент детерминации R2</t>
  </si>
  <si>
    <t>Нормированный коэффициент детерминации (R2 adjusted)</t>
  </si>
  <si>
    <t>Тест на значимость коэффициентов регрессии</t>
  </si>
  <si>
    <t>Дисперсии каждого коэффициента регрессии можно вычислить через матрицу ковариации</t>
  </si>
  <si>
    <t>Матрица ковариации</t>
  </si>
  <si>
    <t>альфа</t>
  </si>
  <si>
    <t>уровень значимости</t>
  </si>
  <si>
    <t>DF</t>
  </si>
  <si>
    <t>tальфа,DF</t>
  </si>
  <si>
    <t>Стандартные ошибки</t>
  </si>
  <si>
    <r>
      <t>Через матрицу Х'X</t>
    </r>
    <r>
      <rPr>
        <b/>
        <vertAlign val="superscript"/>
        <sz val="10"/>
        <color indexed="8"/>
        <rFont val="Arial"/>
        <family val="2"/>
        <charset val="204"/>
      </rPr>
      <t>-1</t>
    </r>
  </si>
  <si>
    <t>Через ЛИНЕЙН()</t>
  </si>
  <si>
    <t>t-статистика</t>
  </si>
  <si>
    <t>Доверительные интервалы для среднего и прогнозного значения</t>
  </si>
  <si>
    <t>прогноз</t>
  </si>
  <si>
    <t>среднее Y/Xi</t>
  </si>
  <si>
    <t>новое Yi</t>
  </si>
  <si>
    <t>стандартная ошибка</t>
  </si>
  <si>
    <t>для ст.ошибки</t>
  </si>
  <si>
    <t>граница+</t>
  </si>
  <si>
    <t>граница-</t>
  </si>
  <si>
    <t>ширина интервала</t>
  </si>
  <si>
    <t>Сводная информация (итоговая таблица)</t>
  </si>
  <si>
    <t>Дисперсионный анализ</t>
  </si>
  <si>
    <t>Источник изменчивости</t>
  </si>
  <si>
    <t>df</t>
  </si>
  <si>
    <t>SS</t>
  </si>
  <si>
    <t>MS</t>
  </si>
  <si>
    <t>F</t>
  </si>
  <si>
    <t>Регрессия</t>
  </si>
  <si>
    <t>Остаток</t>
  </si>
  <si>
    <t>Итого</t>
  </si>
  <si>
    <t>Уравнение регрессии</t>
  </si>
  <si>
    <t>Прогнозирующий фактор</t>
  </si>
  <si>
    <t>Оценка</t>
  </si>
  <si>
    <t>Стандартная ошибка</t>
  </si>
  <si>
    <t>Сдвиг</t>
  </si>
  <si>
    <t>Ст.ошибка регрессии</t>
  </si>
  <si>
    <t>R2</t>
  </si>
  <si>
    <t>Нормир.R2</t>
  </si>
  <si>
    <t>Построение диаграммы рассеяния относительно плоскости регрессии</t>
  </si>
  <si>
    <t>Вычисленные коэффициенты регрессии (исходные данные)</t>
  </si>
  <si>
    <t>Расчет матрицы вращения через совмещение нормали к плоскости регрессии и вектора оси Z (0;0;1)</t>
  </si>
  <si>
    <t>Переменные регрессии</t>
  </si>
  <si>
    <t>Х1</t>
  </si>
  <si>
    <t>Х2</t>
  </si>
  <si>
    <t>Y</t>
  </si>
  <si>
    <t>В декартовых координатах</t>
  </si>
  <si>
    <t>x</t>
  </si>
  <si>
    <t>z</t>
  </si>
  <si>
    <t>модуль</t>
  </si>
  <si>
    <t>Нормаль к плоскости регрессии</t>
  </si>
  <si>
    <t>a</t>
  </si>
  <si>
    <t>Вектор оси Z</t>
  </si>
  <si>
    <t>b</t>
  </si>
  <si>
    <t>Такая запись м.б. удобна (коэффициент над соответствующей переменной)</t>
  </si>
  <si>
    <t>sin</t>
  </si>
  <si>
    <t>cos</t>
  </si>
  <si>
    <t>Векторное произведение</t>
  </si>
  <si>
    <t>с=[a x b]</t>
  </si>
  <si>
    <t>коэфф</t>
  </si>
  <si>
    <t>vx</t>
  </si>
  <si>
    <t>vx^2</t>
  </si>
  <si>
    <t>МИН</t>
  </si>
  <si>
    <t>МАКС</t>
  </si>
  <si>
    <t>Среднее</t>
  </si>
  <si>
    <t>Ст.отклонение</t>
  </si>
  <si>
    <t>Матрица вращения</t>
  </si>
  <si>
    <t>vx^2*коэфф</t>
  </si>
  <si>
    <t>Rz</t>
  </si>
  <si>
    <t>Коэффициенты регрессии (нормированные исходные данные)</t>
  </si>
  <si>
    <t>Итоговая Матрица вращения (после поворота для вида на плоскость регрессии и поворота вокруг Z)</t>
  </si>
  <si>
    <t>Матрица поворота вокруг оси Z</t>
  </si>
  <si>
    <t>Вектор b (проверка)</t>
  </si>
  <si>
    <t>I - единичная матрица</t>
  </si>
  <si>
    <t>Вращение вокруг оси Z</t>
  </si>
  <si>
    <t>градусы</t>
  </si>
  <si>
    <t>радианы</t>
  </si>
  <si>
    <t>Исходные данные</t>
  </si>
  <si>
    <t>Координаты после поворота и смещения на b0</t>
  </si>
  <si>
    <t>Матричная диаграмма рассеяния (вид сверху на плоскость регрессии и 2 вида вдоль плоскости)</t>
  </si>
  <si>
    <t>№ наблюдения</t>
  </si>
  <si>
    <t>X1</t>
  </si>
  <si>
    <t>X2</t>
  </si>
  <si>
    <t>Нормированные исходные данные</t>
  </si>
  <si>
    <t>Матричная диаграмма рассеяния (стандартная, для нормированных данных)</t>
  </si>
  <si>
    <t>До вращения (изменен порядок столбцов для удобства)</t>
  </si>
  <si>
    <t>X1 (Концентрация)</t>
  </si>
  <si>
    <t>X2 (Температура)</t>
  </si>
  <si>
    <t>Y (Прочность)</t>
  </si>
  <si>
    <t>После вращения (изменен порядок столбцов)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</si>
  <si>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</si>
  <si>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</si>
  <si>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</si>
  <si>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</si>
  <si>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</si>
  <si>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</si>
  <si>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Значимость F</t>
  </si>
  <si>
    <t>Коэффициенты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</si>
  <si>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</si>
  <si>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</si>
  <si>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</si>
  <si>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</si>
  <si>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</si>
  <si>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</si>
  <si>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</si>
  <si>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</si>
  <si>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f0</t>
  </si>
  <si>
    <t>KLOC(Y)</t>
  </si>
  <si>
    <t>total_kilo_src_loc(X1)</t>
  </si>
  <si>
    <t xml:space="preserve"> total_kilo_comments_loc:(X2)</t>
  </si>
  <si>
    <t>log10(x1)</t>
  </si>
  <si>
    <t>log10(x2)</t>
  </si>
  <si>
    <t>log10(y)</t>
  </si>
  <si>
    <t>эксцесс</t>
  </si>
  <si>
    <t>к. ассиметрия</t>
  </si>
  <si>
    <t>стьюдент</t>
  </si>
  <si>
    <t>x2</t>
  </si>
  <si>
    <t>MRE</t>
  </si>
  <si>
    <t>MMRE</t>
  </si>
  <si>
    <t>PRED025</t>
  </si>
  <si>
    <t>корреляционная матрица</t>
  </si>
  <si>
    <t>ковариац</t>
  </si>
  <si>
    <t>total_src_loc</t>
  </si>
  <si>
    <t xml:space="preserve"> total_single_comments_loc</t>
  </si>
  <si>
    <t xml:space="preserve"> total_double_docstrings_loc</t>
  </si>
  <si>
    <t xml:space="preserve"> total_blank_loc:</t>
  </si>
  <si>
    <t xml:space="preserve"> total_comments_loc:</t>
  </si>
  <si>
    <t>total_line_count</t>
  </si>
  <si>
    <t>корреляційна матриця</t>
  </si>
  <si>
    <t>x1</t>
  </si>
  <si>
    <t>x3</t>
  </si>
  <si>
    <t>x4</t>
  </si>
  <si>
    <t>x5</t>
  </si>
  <si>
    <t>log10(x3)</t>
  </si>
  <si>
    <t>log10(x4)</t>
  </si>
  <si>
    <t>log10(x5)</t>
  </si>
  <si>
    <t>log10(Y)</t>
  </si>
  <si>
    <t>корреляційна матриця нормализованих даних</t>
  </si>
  <si>
    <t xml:space="preserve">Выборочное среднее значение </t>
  </si>
  <si>
    <t>Модуль линейных отклонений</t>
  </si>
  <si>
    <t>модуль линейных отклонений</t>
  </si>
  <si>
    <t>l (среднее линейных отклонений)</t>
  </si>
  <si>
    <t>выборочная дисперсия</t>
  </si>
  <si>
    <t>матрицаX'X</t>
  </si>
  <si>
    <t>МАТРИЦА ОБРАТНАЯ X'Y</t>
  </si>
  <si>
    <t>b3</t>
  </si>
  <si>
    <t>b4</t>
  </si>
  <si>
    <t>b5</t>
  </si>
  <si>
    <t>Среднее значение  Х</t>
  </si>
  <si>
    <t>СТЬЮДЕНТ.ОБР.2X (T.INV.2T)</t>
  </si>
  <si>
    <t xml:space="preserve">X1 </t>
  </si>
  <si>
    <t xml:space="preserve">Y </t>
  </si>
  <si>
    <t>Матрична діаграма розсіювання (стандартна, для початкових даних)</t>
  </si>
  <si>
    <t>Кількість змінних</t>
  </si>
  <si>
    <t>Кількість діаграм</t>
  </si>
  <si>
    <t xml:space="preserve">матрица X'X </t>
  </si>
  <si>
    <t>матрица обратная X'X (ковариации)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</si>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</sst>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%"/>
    <numFmt numFmtId="165" formatCode="0.0000"/>
    <numFmt numFmtId="166" formatCode="[$-419]General"/>
    <numFmt numFmtId="167" formatCode="[$-419]0.00"/>
    <numFmt numFmtId="168" formatCode="0.000"/>
    <numFmt numFmtId="169" formatCode="0.000000"/>
    <numFmt numFmtId="170" formatCode="0.00000"/>
    <numFmt numFmtId="171" formatCode="#,##0.0"/>
    <numFmt numFmtId="172" formatCode="[$-419]#,##0.00"/>
    <numFmt numFmtId="173" formatCode="&quot; &quot;#,##0.00000000&quot;    &quot;;&quot;-&quot;#,##0.00000000&quot;    &quot;;&quot; -&quot;#&quot;    &quot;;&quot; &quot;@&quot; &quot;"/>
    <numFmt numFmtId="174" formatCode="0.0"/>
    <numFmt numFmtId="175" formatCode="&quot; $&quot;#,##0.00&quot; &quot;;&quot; $(&quot;#,##0.00&quot;)&quot;;&quot; $-&quot;#&quot; &quot;;&quot; &quot;@&quot; &quot;"/>
    <numFmt numFmtId="176" formatCode="&quot; &quot;#,##0.00&quot;    &quot;;&quot;-&quot;#,##0.00&quot;    &quot;;&quot; -&quot;#&quot;    &quot;;&quot; &quot;@&quot; &quot;"/>
    <numFmt numFmtId="177" formatCode="[$-419]0%"/>
    <numFmt numFmtId="178" formatCode="#,##0.00&quot; &quot;[$руб.-419];[Red]&quot;-&quot;#,##0.00&quot; &quot;[$руб.-419]"/>
    <numFmt numFmtId="179" formatCode="#,##0.00000"/>
  </numFmts>
  <fonts count="36" x14ac:knownFonts="1">
    <font>
      <sz val="11"/>
      <color theme="1"/>
      <name val="Arial"/>
      <family val="2"/>
      <charset val="204"/>
    </font>
    <font>
      <b/>
      <vertAlign val="superscript"/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6100"/>
      <name val="Arial"/>
      <family val="2"/>
      <charset val="204"/>
    </font>
    <font>
      <u/>
      <sz val="11"/>
      <color rgb="FF0000FF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sz val="10"/>
      <color theme="1"/>
      <name val="MS Sans Serif"/>
      <charset val="204"/>
    </font>
    <font>
      <b/>
      <i/>
      <u/>
      <sz val="11"/>
      <color theme="1"/>
      <name val="Arial"/>
      <family val="2"/>
      <charset val="204"/>
    </font>
    <font>
      <u/>
      <sz val="12"/>
      <color rgb="FF0000FF"/>
      <name val="Arial Narrow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 Narrow"/>
      <family val="2"/>
      <charset val="204"/>
    </font>
    <font>
      <sz val="8"/>
      <color theme="1"/>
      <name val="Helv"/>
      <charset val="204"/>
    </font>
    <font>
      <sz val="20"/>
      <color rgb="FFFFFFFF"/>
      <name val="Calibri"/>
      <family val="2"/>
      <charset val="204"/>
    </font>
    <font>
      <b/>
      <sz val="12"/>
      <color rgb="FF262626"/>
      <name val="Calibri"/>
      <family val="2"/>
      <charset val="204"/>
    </font>
    <font>
      <sz val="14"/>
      <color rgb="FF262626"/>
      <name val="Calibri"/>
      <family val="2"/>
      <charset val="204"/>
    </font>
    <font>
      <sz val="12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i/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i/>
      <sz val="9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i/>
      <sz val="11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29"/>
      <color rgb="FF111111"/>
      <name val="Arial"/>
      <family val="2"/>
      <charset val="204"/>
    </font>
    <font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215968"/>
        <bgColor rgb="FF215968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4BD97"/>
        <bgColor rgb="FFC4BD97"/>
      </patternFill>
    </fill>
    <fill>
      <patternFill patternType="solid">
        <fgColor rgb="FFD7E4BD"/>
        <bgColor rgb="FFD7E4BD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3" fillId="2" borderId="0"/>
    <xf numFmtId="175" fontId="2" fillId="0" borderId="0"/>
    <xf numFmtId="176" fontId="2" fillId="0" borderId="0"/>
    <xf numFmtId="0" fontId="4" fillId="0" borderId="0"/>
    <xf numFmtId="177" fontId="2" fillId="0" borderId="0"/>
    <xf numFmtId="0" fontId="5" fillId="0" borderId="0">
      <alignment horizontal="center"/>
    </xf>
    <xf numFmtId="0" fontId="5" fillId="0" borderId="0">
      <alignment horizontal="center" textRotation="90"/>
    </xf>
    <xf numFmtId="166" fontId="6" fillId="0" borderId="0"/>
    <xf numFmtId="0" fontId="7" fillId="0" borderId="0"/>
    <xf numFmtId="178" fontId="7" fillId="0" borderId="0"/>
    <xf numFmtId="0" fontId="8" fillId="0" borderId="0"/>
    <xf numFmtId="0" fontId="4" fillId="0" borderId="0"/>
    <xf numFmtId="166" fontId="9" fillId="0" borderId="0"/>
    <xf numFmtId="166" fontId="10" fillId="0" borderId="0"/>
    <xf numFmtId="166" fontId="11" fillId="0" borderId="0">
      <alignment horizontal="left"/>
    </xf>
  </cellStyleXfs>
  <cellXfs count="123">
    <xf numFmtId="0" fontId="0" fillId="0" borderId="0" xfId="0"/>
    <xf numFmtId="166" fontId="12" fillId="3" borderId="0" xfId="12" applyNumberFormat="1" applyFont="1" applyFill="1" applyBorder="1" applyAlignment="1" applyProtection="1">
      <alignment vertical="center"/>
    </xf>
    <xf numFmtId="166" fontId="9" fillId="0" borderId="0" xfId="13"/>
    <xf numFmtId="166" fontId="4" fillId="4" borderId="0" xfId="4" applyNumberFormat="1" applyFill="1" applyBorder="1" applyAlignment="1" applyProtection="1"/>
    <xf numFmtId="166" fontId="13" fillId="4" borderId="0" xfId="13" applyFont="1" applyFill="1" applyAlignment="1"/>
    <xf numFmtId="166" fontId="14" fillId="4" borderId="0" xfId="13" applyFont="1" applyFill="1" applyAlignment="1">
      <alignment vertical="center"/>
    </xf>
    <xf numFmtId="166" fontId="15" fillId="5" borderId="0" xfId="13" applyFont="1" applyFill="1"/>
    <xf numFmtId="166" fontId="9" fillId="0" borderId="0" xfId="13" applyAlignment="1">
      <alignment wrapText="1"/>
    </xf>
    <xf numFmtId="166" fontId="9" fillId="0" borderId="4" xfId="13" applyBorder="1"/>
    <xf numFmtId="166" fontId="16" fillId="0" borderId="0" xfId="13" applyFont="1"/>
    <xf numFmtId="166" fontId="17" fillId="0" borderId="4" xfId="13" applyFont="1" applyBorder="1"/>
    <xf numFmtId="166" fontId="17" fillId="6" borderId="4" xfId="13" applyFont="1" applyFill="1" applyBorder="1"/>
    <xf numFmtId="166" fontId="17" fillId="0" borderId="0" xfId="13" applyFont="1"/>
    <xf numFmtId="166" fontId="9" fillId="0" borderId="4" xfId="13" applyFont="1" applyBorder="1"/>
    <xf numFmtId="166" fontId="9" fillId="6" borderId="4" xfId="13" applyFont="1" applyFill="1" applyBorder="1"/>
    <xf numFmtId="166" fontId="9" fillId="0" borderId="4" xfId="13" applyBorder="1" applyAlignment="1">
      <alignment wrapText="1"/>
    </xf>
    <xf numFmtId="166" fontId="9" fillId="6" borderId="4" xfId="13" applyFill="1" applyBorder="1"/>
    <xf numFmtId="164" fontId="9" fillId="0" borderId="0" xfId="5" applyNumberFormat="1" applyFont="1" applyFill="1" applyBorder="1" applyAlignment="1" applyProtection="1"/>
    <xf numFmtId="166" fontId="18" fillId="0" borderId="4" xfId="13" applyFont="1" applyBorder="1" applyAlignment="1">
      <alignment horizontal="center"/>
    </xf>
    <xf numFmtId="166" fontId="19" fillId="0" borderId="4" xfId="13" applyFont="1" applyBorder="1"/>
    <xf numFmtId="166" fontId="19" fillId="0" borderId="4" xfId="13" applyFont="1" applyFill="1" applyBorder="1"/>
    <xf numFmtId="166" fontId="20" fillId="0" borderId="0" xfId="13" applyFont="1"/>
    <xf numFmtId="166" fontId="9" fillId="7" borderId="4" xfId="13" applyFill="1" applyBorder="1"/>
    <xf numFmtId="166" fontId="19" fillId="0" borderId="0" xfId="13" applyFont="1"/>
    <xf numFmtId="165" fontId="19" fillId="0" borderId="4" xfId="13" applyNumberFormat="1" applyFont="1" applyBorder="1"/>
    <xf numFmtId="166" fontId="17" fillId="0" borderId="4" xfId="13" applyFont="1" applyBorder="1" applyAlignment="1">
      <alignment wrapText="1"/>
    </xf>
    <xf numFmtId="166" fontId="21" fillId="0" borderId="4" xfId="13" applyFont="1" applyBorder="1" applyAlignment="1">
      <alignment wrapText="1"/>
    </xf>
    <xf numFmtId="173" fontId="9" fillId="0" borderId="0" xfId="3" applyNumberFormat="1" applyFont="1" applyFill="1" applyBorder="1" applyAlignment="1" applyProtection="1"/>
    <xf numFmtId="167" fontId="9" fillId="0" borderId="4" xfId="13" applyNumberFormat="1" applyBorder="1"/>
    <xf numFmtId="166" fontId="22" fillId="5" borderId="0" xfId="13" applyFont="1" applyFill="1"/>
    <xf numFmtId="166" fontId="23" fillId="0" borderId="0" xfId="13" applyFont="1"/>
    <xf numFmtId="166" fontId="24" fillId="0" borderId="5" xfId="13" applyFont="1" applyFill="1" applyBorder="1" applyAlignment="1">
      <alignment horizontal="left"/>
    </xf>
    <xf numFmtId="166" fontId="25" fillId="0" borderId="5" xfId="13" applyFont="1" applyFill="1" applyBorder="1" applyAlignment="1">
      <alignment horizontal="center"/>
    </xf>
    <xf numFmtId="166" fontId="9" fillId="0" borderId="0" xfId="13" applyFill="1" applyBorder="1" applyAlignment="1"/>
    <xf numFmtId="166" fontId="9" fillId="5" borderId="0" xfId="13" applyFill="1" applyBorder="1" applyAlignment="1"/>
    <xf numFmtId="171" fontId="9" fillId="5" borderId="0" xfId="13" applyNumberFormat="1" applyFill="1" applyBorder="1" applyAlignment="1"/>
    <xf numFmtId="167" fontId="9" fillId="5" borderId="0" xfId="13" applyNumberFormat="1" applyFill="1" applyBorder="1" applyAlignment="1"/>
    <xf numFmtId="166" fontId="9" fillId="0" borderId="6" xfId="13" applyFill="1" applyBorder="1" applyAlignment="1"/>
    <xf numFmtId="166" fontId="9" fillId="5" borderId="6" xfId="13" applyFill="1" applyBorder="1" applyAlignment="1"/>
    <xf numFmtId="171" fontId="9" fillId="5" borderId="6" xfId="13" applyNumberFormat="1" applyFill="1" applyBorder="1" applyAlignment="1"/>
    <xf numFmtId="172" fontId="9" fillId="0" borderId="6" xfId="13" applyNumberFormat="1" applyFill="1" applyBorder="1" applyAlignment="1"/>
    <xf numFmtId="166" fontId="17" fillId="0" borderId="4" xfId="13" applyFont="1" applyBorder="1" applyAlignment="1">
      <alignment vertical="top" wrapText="1"/>
    </xf>
    <xf numFmtId="166" fontId="17" fillId="0" borderId="4" xfId="13" applyFont="1" applyBorder="1" applyAlignment="1">
      <alignment vertical="top"/>
    </xf>
    <xf numFmtId="166" fontId="9" fillId="0" borderId="0" xfId="13" applyAlignment="1">
      <alignment vertical="top"/>
    </xf>
    <xf numFmtId="166" fontId="16" fillId="0" borderId="4" xfId="13" applyFont="1" applyBorder="1" applyAlignment="1">
      <alignment wrapText="1"/>
    </xf>
    <xf numFmtId="168" fontId="9" fillId="0" borderId="4" xfId="13" applyNumberFormat="1" applyBorder="1"/>
    <xf numFmtId="166" fontId="16" fillId="0" borderId="4" xfId="13" applyFont="1" applyBorder="1"/>
    <xf numFmtId="165" fontId="9" fillId="0" borderId="4" xfId="13" applyNumberFormat="1" applyBorder="1"/>
    <xf numFmtId="169" fontId="9" fillId="0" borderId="4" xfId="13" applyNumberFormat="1" applyBorder="1"/>
    <xf numFmtId="170" fontId="9" fillId="0" borderId="4" xfId="13" applyNumberFormat="1" applyBorder="1"/>
    <xf numFmtId="164" fontId="9" fillId="0" borderId="4" xfId="13" applyNumberFormat="1" applyBorder="1"/>
    <xf numFmtId="0" fontId="0" fillId="0" borderId="4" xfId="0" applyFill="1" applyBorder="1"/>
    <xf numFmtId="0" fontId="13" fillId="4" borderId="0" xfId="0" applyFont="1" applyFill="1" applyAlignment="1"/>
    <xf numFmtId="0" fontId="14" fillId="4" borderId="0" xfId="0" applyFont="1" applyFill="1" applyAlignment="1">
      <alignment vertical="center"/>
    </xf>
    <xf numFmtId="0" fontId="25" fillId="0" borderId="0" xfId="0" applyFont="1"/>
    <xf numFmtId="0" fontId="23" fillId="8" borderId="0" xfId="0" applyFont="1" applyFill="1"/>
    <xf numFmtId="0" fontId="0" fillId="8" borderId="0" xfId="0" applyFill="1"/>
    <xf numFmtId="0" fontId="23" fillId="0" borderId="4" xfId="0" applyFont="1" applyBorder="1"/>
    <xf numFmtId="0" fontId="26" fillId="0" borderId="4" xfId="0" applyFont="1" applyBorder="1" applyAlignment="1">
      <alignment wrapText="1"/>
    </xf>
    <xf numFmtId="166" fontId="4" fillId="0" borderId="0" xfId="4" applyNumberFormat="1" applyFill="1" applyBorder="1" applyAlignment="1" applyProtection="1"/>
    <xf numFmtId="168" fontId="0" fillId="0" borderId="4" xfId="0" applyNumberFormat="1" applyBorder="1"/>
    <xf numFmtId="0" fontId="25" fillId="0" borderId="0" xfId="0" applyFont="1" applyAlignment="1">
      <alignment horizontal="right"/>
    </xf>
    <xf numFmtId="168" fontId="0" fillId="5" borderId="4" xfId="0" applyNumberFormat="1" applyFill="1" applyBorder="1"/>
    <xf numFmtId="168" fontId="0" fillId="0" borderId="4" xfId="0" applyNumberFormat="1" applyFill="1" applyBorder="1"/>
    <xf numFmtId="0" fontId="0" fillId="0" borderId="4" xfId="0" applyBorder="1"/>
    <xf numFmtId="0" fontId="24" fillId="0" borderId="0" xfId="0" applyFont="1"/>
    <xf numFmtId="167" fontId="0" fillId="0" borderId="4" xfId="0" applyNumberFormat="1" applyFill="1" applyBorder="1"/>
    <xf numFmtId="0" fontId="24" fillId="0" borderId="0" xfId="0" applyFont="1" applyAlignment="1">
      <alignment horizontal="right"/>
    </xf>
    <xf numFmtId="166" fontId="21" fillId="0" borderId="4" xfId="13" applyFont="1" applyBorder="1"/>
    <xf numFmtId="0" fontId="23" fillId="0" borderId="0" xfId="0" applyFont="1"/>
    <xf numFmtId="167" fontId="19" fillId="0" borderId="4" xfId="13" applyNumberFormat="1" applyFont="1" applyBorder="1"/>
    <xf numFmtId="167" fontId="0" fillId="9" borderId="4" xfId="0" applyNumberFormat="1" applyFill="1" applyBorder="1"/>
    <xf numFmtId="174" fontId="0" fillId="0" borderId="4" xfId="0" applyNumberFormat="1" applyBorder="1"/>
    <xf numFmtId="167" fontId="0" fillId="0" borderId="4" xfId="0" applyNumberFormat="1" applyBorder="1"/>
    <xf numFmtId="168" fontId="0" fillId="5" borderId="7" xfId="0" applyNumberFormat="1" applyFill="1" applyBorder="1"/>
    <xf numFmtId="168" fontId="0" fillId="0" borderId="0" xfId="0" applyNumberFormat="1"/>
    <xf numFmtId="0" fontId="0" fillId="6" borderId="4" xfId="0" applyFill="1" applyBorder="1"/>
    <xf numFmtId="167" fontId="0" fillId="0" borderId="0" xfId="0" applyNumberFormat="1"/>
    <xf numFmtId="0" fontId="25" fillId="6" borderId="0" xfId="0" applyFont="1" applyFill="1"/>
    <xf numFmtId="0" fontId="0" fillId="6" borderId="0" xfId="0" applyFill="1"/>
    <xf numFmtId="167" fontId="0" fillId="6" borderId="0" xfId="0" applyNumberFormat="1" applyFill="1"/>
    <xf numFmtId="0" fontId="27" fillId="4" borderId="4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5" fillId="0" borderId="8" xfId="0" applyFont="1" applyBorder="1" applyAlignment="1"/>
    <xf numFmtId="0" fontId="25" fillId="0" borderId="8" xfId="0" applyFont="1" applyBorder="1"/>
    <xf numFmtId="0" fontId="25" fillId="0" borderId="4" xfId="0" applyFont="1" applyBorder="1"/>
    <xf numFmtId="0" fontId="25" fillId="0" borderId="4" xfId="0" applyFont="1" applyBorder="1" applyAlignment="1"/>
    <xf numFmtId="165" fontId="0" fillId="0" borderId="4" xfId="0" applyNumberFormat="1" applyBorder="1"/>
    <xf numFmtId="165" fontId="0" fillId="0" borderId="0" xfId="0" applyNumberFormat="1"/>
    <xf numFmtId="0" fontId="25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166" fontId="9" fillId="0" borderId="7" xfId="13" applyFont="1" applyBorder="1"/>
    <xf numFmtId="166" fontId="17" fillId="0" borderId="1" xfId="13" applyFont="1" applyBorder="1"/>
    <xf numFmtId="0" fontId="28" fillId="0" borderId="1" xfId="0" applyFont="1" applyBorder="1" applyAlignment="1">
      <alignment vertical="center" wrapText="1"/>
    </xf>
    <xf numFmtId="166" fontId="9" fillId="0" borderId="1" xfId="13" applyBorder="1"/>
    <xf numFmtId="166" fontId="9" fillId="0" borderId="9" xfId="13" applyFont="1" applyBorder="1"/>
    <xf numFmtId="166" fontId="9" fillId="0" borderId="8" xfId="13" applyFont="1" applyBorder="1"/>
    <xf numFmtId="0" fontId="0" fillId="0" borderId="2" xfId="0" applyFill="1" applyBorder="1" applyAlignment="1"/>
    <xf numFmtId="0" fontId="29" fillId="0" borderId="3" xfId="0" applyFont="1" applyFill="1" applyBorder="1" applyAlignment="1">
      <alignment horizont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right" vertical="center" wrapText="1"/>
    </xf>
    <xf numFmtId="2" fontId="9" fillId="0" borderId="0" xfId="13" applyNumberFormat="1"/>
    <xf numFmtId="2" fontId="0" fillId="0" borderId="0" xfId="0" applyNumberFormat="1"/>
    <xf numFmtId="0" fontId="31" fillId="0" borderId="0" xfId="0" applyFont="1"/>
    <xf numFmtId="166" fontId="9" fillId="0" borderId="0" xfId="13" applyFill="1" applyBorder="1"/>
    <xf numFmtId="0" fontId="34" fillId="0" borderId="0" xfId="0" applyFont="1"/>
    <xf numFmtId="2" fontId="9" fillId="6" borderId="4" xfId="13" applyNumberFormat="1" applyFill="1" applyBorder="1"/>
    <xf numFmtId="179" fontId="9" fillId="5" borderId="0" xfId="13" applyNumberFormat="1" applyFill="1" applyBorder="1" applyAlignment="1"/>
    <xf numFmtId="166" fontId="19" fillId="10" borderId="4" xfId="13" applyFont="1" applyFill="1" applyBorder="1"/>
    <xf numFmtId="166" fontId="17" fillId="0" borderId="12" xfId="13" applyFont="1" applyBorder="1" applyAlignment="1">
      <alignment wrapText="1"/>
    </xf>
    <xf numFmtId="166" fontId="9" fillId="0" borderId="12" xfId="13" applyBorder="1"/>
    <xf numFmtId="166" fontId="21" fillId="0" borderId="1" xfId="13" applyFont="1" applyBorder="1" applyAlignment="1">
      <alignment wrapText="1"/>
    </xf>
    <xf numFmtId="166" fontId="35" fillId="10" borderId="1" xfId="13" applyFont="1" applyFill="1" applyBorder="1"/>
    <xf numFmtId="166" fontId="17" fillId="0" borderId="4" xfId="13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 vertical="top" wrapText="1"/>
    </xf>
    <xf numFmtId="0" fontId="33" fillId="0" borderId="4" xfId="0" applyFont="1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 textRotation="90"/>
    </xf>
    <xf numFmtId="0" fontId="25" fillId="0" borderId="5" xfId="0" applyFont="1" applyFill="1" applyBorder="1" applyAlignment="1">
      <alignment horizontal="center"/>
    </xf>
  </cellXfs>
  <cellStyles count="16">
    <cellStyle name="ConditionalStyle_1" xfId="1" xr:uid="{00000000-0005-0000-0000-000000000000}"/>
    <cellStyle name="Currency_TapePivot" xfId="2" xr:uid="{00000000-0005-0000-0000-000001000000}"/>
    <cellStyle name="Excel Built-in Comma" xfId="3" xr:uid="{00000000-0005-0000-0000-000002000000}"/>
    <cellStyle name="Excel Built-in Hyperlink" xfId="4" xr:uid="{00000000-0005-0000-0000-000003000000}"/>
    <cellStyle name="Excel Built-in Percent" xfId="5" xr:uid="{00000000-0005-0000-0000-000004000000}"/>
    <cellStyle name="Heading" xfId="6" xr:uid="{00000000-0005-0000-0000-000005000000}"/>
    <cellStyle name="Heading1" xfId="7" xr:uid="{00000000-0005-0000-0000-000006000000}"/>
    <cellStyle name="Normal_ALLOC1" xfId="8" xr:uid="{00000000-0005-0000-0000-000007000000}"/>
    <cellStyle name="Result" xfId="9" xr:uid="{00000000-0005-0000-0000-000008000000}"/>
    <cellStyle name="Result2" xfId="10" xr:uid="{00000000-0005-0000-0000-000009000000}"/>
    <cellStyle name="Гиперссылка 2" xfId="11" xr:uid="{00000000-0005-0000-0000-00000A000000}"/>
    <cellStyle name="Гиперссылка 3" xfId="12" xr:uid="{00000000-0005-0000-0000-00000B000000}"/>
    <cellStyle name="Обычный" xfId="0" builtinId="0" customBuiltin="1"/>
    <cellStyle name="Обычный 2" xfId="13" xr:uid="{00000000-0005-0000-0000-00000D000000}"/>
    <cellStyle name="Обычный 2 2" xfId="14" xr:uid="{00000000-0005-0000-0000-00000E000000}"/>
    <cellStyle name="Обычный 3" xfId="15" xr:uid="{00000000-0005-0000-0000-00000F000000}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2.5428331875182269E-2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F-49DA-95DC-316260EB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64032"/>
        <c:axId val="333564864"/>
      </c:scatterChart>
      <c:valAx>
        <c:axId val="3335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864"/>
        <c:crosses val="autoZero"/>
        <c:crossBetween val="midCat"/>
      </c:valAx>
      <c:valAx>
        <c:axId val="3335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D2-42CC-AF5D-880D4166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79792"/>
        <c:axId val="510480208"/>
      </c:scatterChart>
      <c:valAx>
        <c:axId val="5104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80208"/>
        <c:crosses val="autoZero"/>
        <c:crossBetween val="midCat"/>
      </c:valAx>
      <c:valAx>
        <c:axId val="5104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Діаграма розсіювання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30076443569553807"/>
          <c:w val="0.86486351706036746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F-4897-AE6E-C6C18F22CED8}"/>
            </c:ext>
          </c:extLst>
        </c:ser>
        <c:ser>
          <c:idx val="1"/>
          <c:order val="1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F-4897-AE6E-C6C18F22CED8}"/>
            </c:ext>
          </c:extLst>
        </c:ser>
        <c:ser>
          <c:idx val="2"/>
          <c:order val="2"/>
          <c:tx>
            <c:strRef>
              <c:f>Модель!$D$11</c:f>
              <c:strCache>
                <c:ptCount val="1"/>
                <c:pt idx="0">
                  <c:v>KLOC(Y)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Модель!$D$12:$D$45</c:f>
              <c:numCache>
                <c:formatCode>General</c:formatCode>
                <c:ptCount val="34"/>
                <c:pt idx="0">
                  <c:v>2530</c:v>
                </c:pt>
                <c:pt idx="1">
                  <c:v>4659</c:v>
                </c:pt>
                <c:pt idx="2">
                  <c:v>3470</c:v>
                </c:pt>
                <c:pt idx="3">
                  <c:v>3980</c:v>
                </c:pt>
                <c:pt idx="4">
                  <c:v>5607</c:v>
                </c:pt>
                <c:pt idx="5">
                  <c:v>3456</c:v>
                </c:pt>
                <c:pt idx="6">
                  <c:v>3977</c:v>
                </c:pt>
                <c:pt idx="7">
                  <c:v>3913</c:v>
                </c:pt>
                <c:pt idx="8">
                  <c:v>3399</c:v>
                </c:pt>
                <c:pt idx="9">
                  <c:v>4308</c:v>
                </c:pt>
                <c:pt idx="10">
                  <c:v>3289</c:v>
                </c:pt>
                <c:pt idx="11">
                  <c:v>4789</c:v>
                </c:pt>
                <c:pt idx="12">
                  <c:v>3336</c:v>
                </c:pt>
                <c:pt idx="13">
                  <c:v>3982</c:v>
                </c:pt>
                <c:pt idx="14">
                  <c:v>2967</c:v>
                </c:pt>
                <c:pt idx="15">
                  <c:v>3981</c:v>
                </c:pt>
                <c:pt idx="16">
                  <c:v>3958</c:v>
                </c:pt>
                <c:pt idx="17">
                  <c:v>2530</c:v>
                </c:pt>
                <c:pt idx="18">
                  <c:v>3370</c:v>
                </c:pt>
                <c:pt idx="19">
                  <c:v>4257</c:v>
                </c:pt>
                <c:pt idx="20">
                  <c:v>4578</c:v>
                </c:pt>
                <c:pt idx="21">
                  <c:v>3587</c:v>
                </c:pt>
                <c:pt idx="22">
                  <c:v>5285</c:v>
                </c:pt>
                <c:pt idx="23">
                  <c:v>2890</c:v>
                </c:pt>
                <c:pt idx="24">
                  <c:v>4022</c:v>
                </c:pt>
                <c:pt idx="25">
                  <c:v>4856</c:v>
                </c:pt>
                <c:pt idx="26">
                  <c:v>2987</c:v>
                </c:pt>
                <c:pt idx="27">
                  <c:v>3978</c:v>
                </c:pt>
                <c:pt idx="28">
                  <c:v>2405</c:v>
                </c:pt>
                <c:pt idx="29">
                  <c:v>2645</c:v>
                </c:pt>
                <c:pt idx="30">
                  <c:v>3958</c:v>
                </c:pt>
                <c:pt idx="31">
                  <c:v>4528</c:v>
                </c:pt>
                <c:pt idx="32">
                  <c:v>5154</c:v>
                </c:pt>
                <c:pt idx="33">
                  <c:v>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5F-4897-AE6E-C6C18F22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4048"/>
        <c:axId val="512522384"/>
      </c:scatterChart>
      <c:valAx>
        <c:axId val="512524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2384"/>
        <c:crosses val="autoZero"/>
        <c:crossBetween val="midCat"/>
      </c:valAx>
      <c:valAx>
        <c:axId val="5125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F-403B-8753-4182D694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58176"/>
        <c:axId val="1"/>
      </c:scatterChart>
      <c:valAx>
        <c:axId val="33665817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665817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1.5666794038975928E-2"/>
          <c:y val="2.6206258671188535E-2"/>
          <c:w val="0.92026493440326063"/>
          <c:h val="0.9446581196581197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685-86CC-29D15267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55472"/>
        <c:axId val="1"/>
      </c:scatterChart>
      <c:valAx>
        <c:axId val="332055472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05547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6-48CA-90BB-C3F2BE76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82960"/>
        <c:axId val="1"/>
      </c:scatterChart>
      <c:valAx>
        <c:axId val="337982960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798296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7192470450897416E-2"/>
          <c:y val="3.0830892554339448E-2"/>
          <c:w val="0.8394863563402889"/>
          <c:h val="0.8601819022660706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A-47F7-8170-9F4D07D2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70816"/>
        <c:axId val="1"/>
      </c:scatterChart>
      <c:valAx>
        <c:axId val="174770816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7477081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A-4162-B7B6-B156C5EF5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54208"/>
        <c:axId val="1"/>
      </c:scatterChart>
      <c:valAx>
        <c:axId val="166554208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66554208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46C4-94D8-4E0FC4FA4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39504"/>
        <c:axId val="1"/>
      </c:scatterChart>
      <c:valAx>
        <c:axId val="331139504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39504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1266631186801487E-2"/>
          <c:y val="2.9520890466204222E-2"/>
          <c:w val="0.93813198509845652"/>
          <c:h val="0.94063558638490086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1-46B7-80C0-65ECC4CE2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0752"/>
        <c:axId val="1"/>
      </c:scatterChart>
      <c:valAx>
        <c:axId val="33114075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075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6854709952102181E-2"/>
          <c:y val="2.7763583716572983E-2"/>
          <c:w val="0.93254390633315587"/>
          <c:h val="0.9437915176290240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F-40D5-9E93-7CB9F5A93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2000"/>
        <c:axId val="1"/>
      </c:scatterChart>
      <c:valAx>
        <c:axId val="331142000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200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5.5279582218825625E-2"/>
          <c:y val="2.29943791517629E-2"/>
          <c:w val="0.91147624506432301"/>
          <c:h val="0.9489013796627491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5-4E65-915A-3D6C7A5F5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70192"/>
        <c:axId val="1"/>
      </c:scatterChart>
      <c:valAx>
        <c:axId val="33277019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77019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15.emf"/><Relationship Id="rId18" Type="http://schemas.openxmlformats.org/officeDocument/2006/relationships/image" Target="../media/image20.png"/><Relationship Id="rId3" Type="http://schemas.openxmlformats.org/officeDocument/2006/relationships/image" Target="../media/image5.emf"/><Relationship Id="rId21" Type="http://schemas.openxmlformats.org/officeDocument/2006/relationships/chart" Target="../charts/chart3.xml"/><Relationship Id="rId7" Type="http://schemas.openxmlformats.org/officeDocument/2006/relationships/image" Target="../media/image9.emf"/><Relationship Id="rId12" Type="http://schemas.openxmlformats.org/officeDocument/2006/relationships/image" Target="../media/image14.emf"/><Relationship Id="rId17" Type="http://schemas.openxmlformats.org/officeDocument/2006/relationships/image" Target="../media/image19.png"/><Relationship Id="rId2" Type="http://schemas.openxmlformats.org/officeDocument/2006/relationships/image" Target="../media/image3.emf"/><Relationship Id="rId16" Type="http://schemas.openxmlformats.org/officeDocument/2006/relationships/image" Target="../media/image18.png"/><Relationship Id="rId20" Type="http://schemas.openxmlformats.org/officeDocument/2006/relationships/chart" Target="../charts/chart2.xml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11" Type="http://schemas.openxmlformats.org/officeDocument/2006/relationships/image" Target="../media/image13.png"/><Relationship Id="rId5" Type="http://schemas.openxmlformats.org/officeDocument/2006/relationships/image" Target="../media/image7.emf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19" Type="http://schemas.openxmlformats.org/officeDocument/2006/relationships/chart" Target="../charts/chart1.xml"/><Relationship Id="rId4" Type="http://schemas.openxmlformats.org/officeDocument/2006/relationships/image" Target="../media/image6.emf"/><Relationship Id="rId9" Type="http://schemas.openxmlformats.org/officeDocument/2006/relationships/image" Target="../media/image11.emf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55</xdr:row>
      <xdr:rowOff>38100</xdr:rowOff>
    </xdr:from>
    <xdr:to>
      <xdr:col>5</xdr:col>
      <xdr:colOff>57150</xdr:colOff>
      <xdr:row>58</xdr:row>
      <xdr:rowOff>47625</xdr:rowOff>
    </xdr:to>
    <xdr:pic>
      <xdr:nvPicPr>
        <xdr:cNvPr id="113690" name="Рисунок 1">
          <a:extLst>
            <a:ext uri="{FF2B5EF4-FFF2-40B4-BE49-F238E27FC236}">
              <a16:creationId xmlns:a16="http://schemas.microsoft.com/office/drawing/2014/main" id="{00000000-0008-0000-0000-00001A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734925"/>
          <a:ext cx="11049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57</xdr:row>
      <xdr:rowOff>142875</xdr:rowOff>
    </xdr:from>
    <xdr:to>
      <xdr:col>5</xdr:col>
      <xdr:colOff>133350</xdr:colOff>
      <xdr:row>60</xdr:row>
      <xdr:rowOff>114300</xdr:rowOff>
    </xdr:to>
    <xdr:pic>
      <xdr:nvPicPr>
        <xdr:cNvPr id="113691" name="Рисунок 2">
          <a:extLst>
            <a:ext uri="{FF2B5EF4-FFF2-40B4-BE49-F238E27FC236}">
              <a16:creationId xmlns:a16="http://schemas.microsoft.com/office/drawing/2014/main" id="{00000000-0008-0000-0000-00001B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3201650"/>
          <a:ext cx="12287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133350</xdr:colOff>
      <xdr:row>10</xdr:row>
      <xdr:rowOff>123825</xdr:rowOff>
    </xdr:from>
    <xdr:to>
      <xdr:col>2</xdr:col>
      <xdr:colOff>2162175</xdr:colOff>
      <xdr:row>12</xdr:row>
      <xdr:rowOff>85725</xdr:rowOff>
    </xdr:to>
    <xdr:pic>
      <xdr:nvPicPr>
        <xdr:cNvPr id="113692" name="Рисунок 2">
          <a:extLst>
            <a:ext uri="{FF2B5EF4-FFF2-40B4-BE49-F238E27FC236}">
              <a16:creationId xmlns:a16="http://schemas.microsoft.com/office/drawing/2014/main" id="{00000000-0008-0000-0000-00001C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6215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390525</xdr:colOff>
      <xdr:row>27</xdr:row>
      <xdr:rowOff>133350</xdr:rowOff>
    </xdr:from>
    <xdr:to>
      <xdr:col>25</xdr:col>
      <xdr:colOff>295275</xdr:colOff>
      <xdr:row>29</xdr:row>
      <xdr:rowOff>133350</xdr:rowOff>
    </xdr:to>
    <xdr:pic>
      <xdr:nvPicPr>
        <xdr:cNvPr id="1418" name="Рисунок 1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0" y="7124700"/>
          <a:ext cx="1847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4</xdr:row>
      <xdr:rowOff>209550</xdr:rowOff>
    </xdr:from>
    <xdr:to>
      <xdr:col>2</xdr:col>
      <xdr:colOff>152400</xdr:colOff>
      <xdr:row>4</xdr:row>
      <xdr:rowOff>533400</xdr:rowOff>
    </xdr:to>
    <xdr:pic>
      <xdr:nvPicPr>
        <xdr:cNvPr id="1419" name="Рисунок 2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8110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723900</xdr:colOff>
      <xdr:row>48</xdr:row>
      <xdr:rowOff>9525</xdr:rowOff>
    </xdr:from>
    <xdr:to>
      <xdr:col>15</xdr:col>
      <xdr:colOff>552450</xdr:colOff>
      <xdr:row>51</xdr:row>
      <xdr:rowOff>123825</xdr:rowOff>
    </xdr:to>
    <xdr:pic>
      <xdr:nvPicPr>
        <xdr:cNvPr id="1420" name="Рисунок 4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791950"/>
          <a:ext cx="26193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742950</xdr:colOff>
      <xdr:row>34</xdr:row>
      <xdr:rowOff>9525</xdr:rowOff>
    </xdr:from>
    <xdr:to>
      <xdr:col>21</xdr:col>
      <xdr:colOff>600075</xdr:colOff>
      <xdr:row>36</xdr:row>
      <xdr:rowOff>161925</xdr:rowOff>
    </xdr:to>
    <xdr:pic>
      <xdr:nvPicPr>
        <xdr:cNvPr id="1421" name="Рисунок 5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667750"/>
          <a:ext cx="12477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781050</xdr:colOff>
      <xdr:row>31</xdr:row>
      <xdr:rowOff>114300</xdr:rowOff>
    </xdr:from>
    <xdr:to>
      <xdr:col>21</xdr:col>
      <xdr:colOff>333375</xdr:colOff>
      <xdr:row>33</xdr:row>
      <xdr:rowOff>57150</xdr:rowOff>
    </xdr:to>
    <xdr:pic>
      <xdr:nvPicPr>
        <xdr:cNvPr id="1422" name="Рисунок 6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058150"/>
          <a:ext cx="981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361950</xdr:colOff>
      <xdr:row>60</xdr:row>
      <xdr:rowOff>85725</xdr:rowOff>
    </xdr:from>
    <xdr:to>
      <xdr:col>9</xdr:col>
      <xdr:colOff>695325</xdr:colOff>
      <xdr:row>62</xdr:row>
      <xdr:rowOff>133350</xdr:rowOff>
    </xdr:to>
    <xdr:pic>
      <xdr:nvPicPr>
        <xdr:cNvPr id="1423" name="Рисунок 7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3811250"/>
          <a:ext cx="2667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209550</xdr:colOff>
      <xdr:row>52</xdr:row>
      <xdr:rowOff>9525</xdr:rowOff>
    </xdr:from>
    <xdr:to>
      <xdr:col>5</xdr:col>
      <xdr:colOff>114300</xdr:colOff>
      <xdr:row>55</xdr:row>
      <xdr:rowOff>152400</xdr:rowOff>
    </xdr:to>
    <xdr:pic>
      <xdr:nvPicPr>
        <xdr:cNvPr id="1424" name="Рисунок 8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39650"/>
          <a:ext cx="24193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</xdr:colOff>
      <xdr:row>54</xdr:row>
      <xdr:rowOff>0</xdr:rowOff>
    </xdr:from>
    <xdr:to>
      <xdr:col>9</xdr:col>
      <xdr:colOff>847725</xdr:colOff>
      <xdr:row>59</xdr:row>
      <xdr:rowOff>95250</xdr:rowOff>
    </xdr:to>
    <xdr:pic>
      <xdr:nvPicPr>
        <xdr:cNvPr id="1425" name="Рисунок 9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2753975"/>
          <a:ext cx="21240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70</xdr:row>
      <xdr:rowOff>104775</xdr:rowOff>
    </xdr:from>
    <xdr:to>
      <xdr:col>7</xdr:col>
      <xdr:colOff>495300</xdr:colOff>
      <xdr:row>73</xdr:row>
      <xdr:rowOff>123825</xdr:rowOff>
    </xdr:to>
    <xdr:pic>
      <xdr:nvPicPr>
        <xdr:cNvPr id="1426" name="Рисунок 11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35325"/>
          <a:ext cx="19526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61</xdr:row>
      <xdr:rowOff>304800</xdr:rowOff>
    </xdr:from>
    <xdr:to>
      <xdr:col>4</xdr:col>
      <xdr:colOff>657225</xdr:colOff>
      <xdr:row>63</xdr:row>
      <xdr:rowOff>19050</xdr:rowOff>
    </xdr:to>
    <xdr:pic>
      <xdr:nvPicPr>
        <xdr:cNvPr id="1427" name="Рисунок 17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4192250"/>
          <a:ext cx="14192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238125</xdr:colOff>
      <xdr:row>83</xdr:row>
      <xdr:rowOff>66675</xdr:rowOff>
    </xdr:from>
    <xdr:to>
      <xdr:col>6</xdr:col>
      <xdr:colOff>409575</xdr:colOff>
      <xdr:row>86</xdr:row>
      <xdr:rowOff>47625</xdr:rowOff>
    </xdr:to>
    <xdr:pic>
      <xdr:nvPicPr>
        <xdr:cNvPr id="1428" name="Рисунок 20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8002250"/>
          <a:ext cx="10191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95</xdr:row>
      <xdr:rowOff>66675</xdr:rowOff>
    </xdr:from>
    <xdr:to>
      <xdr:col>4</xdr:col>
      <xdr:colOff>923925</xdr:colOff>
      <xdr:row>96</xdr:row>
      <xdr:rowOff>304800</xdr:rowOff>
    </xdr:to>
    <xdr:pic>
      <xdr:nvPicPr>
        <xdr:cNvPr id="1429" name="Рисунок 23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0631150"/>
          <a:ext cx="9239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104</xdr:row>
      <xdr:rowOff>95250</xdr:rowOff>
    </xdr:from>
    <xdr:to>
      <xdr:col>13</xdr:col>
      <xdr:colOff>228600</xdr:colOff>
      <xdr:row>109</xdr:row>
      <xdr:rowOff>19050</xdr:rowOff>
    </xdr:to>
    <xdr:pic>
      <xdr:nvPicPr>
        <xdr:cNvPr id="1430" name="Рисунок 15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2317075"/>
          <a:ext cx="55530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371475</xdr:rowOff>
    </xdr:from>
    <xdr:to>
      <xdr:col>17</xdr:col>
      <xdr:colOff>123825</xdr:colOff>
      <xdr:row>71</xdr:row>
      <xdr:rowOff>9525</xdr:rowOff>
    </xdr:to>
    <xdr:pic>
      <xdr:nvPicPr>
        <xdr:cNvPr id="1431" name="Рисунок 14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4582775"/>
          <a:ext cx="27146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542925</xdr:colOff>
      <xdr:row>4</xdr:row>
      <xdr:rowOff>504825</xdr:rowOff>
    </xdr:from>
    <xdr:to>
      <xdr:col>15</xdr:col>
      <xdr:colOff>200025</xdr:colOff>
      <xdr:row>8</xdr:row>
      <xdr:rowOff>104775</xdr:rowOff>
    </xdr:to>
    <xdr:pic>
      <xdr:nvPicPr>
        <xdr:cNvPr id="1432" name="Рисунок 15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76375"/>
          <a:ext cx="1600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133350</xdr:colOff>
      <xdr:row>44</xdr:row>
      <xdr:rowOff>85725</xdr:rowOff>
    </xdr:from>
    <xdr:to>
      <xdr:col>16</xdr:col>
      <xdr:colOff>552450</xdr:colOff>
      <xdr:row>48</xdr:row>
      <xdr:rowOff>19050</xdr:rowOff>
    </xdr:to>
    <xdr:pic>
      <xdr:nvPicPr>
        <xdr:cNvPr id="1433" name="Рисунок 16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11144250"/>
          <a:ext cx="23622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542925</xdr:colOff>
      <xdr:row>52</xdr:row>
      <xdr:rowOff>85725</xdr:rowOff>
    </xdr:from>
    <xdr:to>
      <xdr:col>19</xdr:col>
      <xdr:colOff>76200</xdr:colOff>
      <xdr:row>58</xdr:row>
      <xdr:rowOff>76200</xdr:rowOff>
    </xdr:to>
    <xdr:pic>
      <xdr:nvPicPr>
        <xdr:cNvPr id="1434" name="Рисунок 17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12515850"/>
          <a:ext cx="69056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209550</xdr:colOff>
      <xdr:row>57</xdr:row>
      <xdr:rowOff>104775</xdr:rowOff>
    </xdr:from>
    <xdr:to>
      <xdr:col>19</xdr:col>
      <xdr:colOff>342900</xdr:colOff>
      <xdr:row>62</xdr:row>
      <xdr:rowOff>180975</xdr:rowOff>
    </xdr:to>
    <xdr:pic>
      <xdr:nvPicPr>
        <xdr:cNvPr id="1435" name="Рисунок 18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3344525"/>
          <a:ext cx="37814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314325</xdr:colOff>
      <xdr:row>39</xdr:row>
      <xdr:rowOff>147637</xdr:rowOff>
    </xdr:from>
    <xdr:to>
      <xdr:col>33</xdr:col>
      <xdr:colOff>352425</xdr:colOff>
      <xdr:row>53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161925</xdr:colOff>
      <xdr:row>56</xdr:row>
      <xdr:rowOff>80962</xdr:rowOff>
    </xdr:from>
    <xdr:to>
      <xdr:col>34</xdr:col>
      <xdr:colOff>200025</xdr:colOff>
      <xdr:row>70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76200</xdr:colOff>
      <xdr:row>27</xdr:row>
      <xdr:rowOff>204787</xdr:rowOff>
    </xdr:from>
    <xdr:to>
      <xdr:col>33</xdr:col>
      <xdr:colOff>523875</xdr:colOff>
      <xdr:row>39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47</xdr:row>
      <xdr:rowOff>152400</xdr:rowOff>
    </xdr:from>
    <xdr:to>
      <xdr:col>10</xdr:col>
      <xdr:colOff>19050</xdr:colOff>
      <xdr:row>60</xdr:row>
      <xdr:rowOff>9525</xdr:rowOff>
    </xdr:to>
    <xdr:graphicFrame macro="">
      <xdr:nvGraphicFramePr>
        <xdr:cNvPr id="2274" name="Диаграмма 1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28575</xdr:colOff>
      <xdr:row>47</xdr:row>
      <xdr:rowOff>152400</xdr:rowOff>
    </xdr:from>
    <xdr:to>
      <xdr:col>14</xdr:col>
      <xdr:colOff>38100</xdr:colOff>
      <xdr:row>60</xdr:row>
      <xdr:rowOff>9525</xdr:rowOff>
    </xdr:to>
    <xdr:graphicFrame macro="">
      <xdr:nvGraphicFramePr>
        <xdr:cNvPr id="2275" name="Диаграмма 2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28575</xdr:colOff>
      <xdr:row>34</xdr:row>
      <xdr:rowOff>361950</xdr:rowOff>
    </xdr:from>
    <xdr:to>
      <xdr:col>10</xdr:col>
      <xdr:colOff>19050</xdr:colOff>
      <xdr:row>46</xdr:row>
      <xdr:rowOff>19050</xdr:rowOff>
    </xdr:to>
    <xdr:graphicFrame macro="">
      <xdr:nvGraphicFramePr>
        <xdr:cNvPr id="2276" name="Диаграмма 3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28575</xdr:colOff>
      <xdr:row>47</xdr:row>
      <xdr:rowOff>152400</xdr:rowOff>
    </xdr:from>
    <xdr:to>
      <xdr:col>25</xdr:col>
      <xdr:colOff>19050</xdr:colOff>
      <xdr:row>60</xdr:row>
      <xdr:rowOff>9525</xdr:rowOff>
    </xdr:to>
    <xdr:graphicFrame macro="">
      <xdr:nvGraphicFramePr>
        <xdr:cNvPr id="2277" name="Диаграмма 4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28575</xdr:colOff>
      <xdr:row>48</xdr:row>
      <xdr:rowOff>19050</xdr:rowOff>
    </xdr:from>
    <xdr:to>
      <xdr:col>29</xdr:col>
      <xdr:colOff>19050</xdr:colOff>
      <xdr:row>60</xdr:row>
      <xdr:rowOff>28575</xdr:rowOff>
    </xdr:to>
    <xdr:graphicFrame macro="">
      <xdr:nvGraphicFramePr>
        <xdr:cNvPr id="2278" name="Диаграмма 5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28575</xdr:colOff>
      <xdr:row>34</xdr:row>
      <xdr:rowOff>361950</xdr:rowOff>
    </xdr:from>
    <xdr:to>
      <xdr:col>25</xdr:col>
      <xdr:colOff>19050</xdr:colOff>
      <xdr:row>46</xdr:row>
      <xdr:rowOff>19050</xdr:rowOff>
    </xdr:to>
    <xdr:graphicFrame macro="">
      <xdr:nvGraphicFramePr>
        <xdr:cNvPr id="2279" name="Диаграмма 6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28575</xdr:colOff>
      <xdr:row>63</xdr:row>
      <xdr:rowOff>152400</xdr:rowOff>
    </xdr:from>
    <xdr:to>
      <xdr:col>10</xdr:col>
      <xdr:colOff>19050</xdr:colOff>
      <xdr:row>75</xdr:row>
      <xdr:rowOff>123825</xdr:rowOff>
    </xdr:to>
    <xdr:graphicFrame macro="">
      <xdr:nvGraphicFramePr>
        <xdr:cNvPr id="2280" name="Диаграмма 8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28575</xdr:colOff>
      <xdr:row>76</xdr:row>
      <xdr:rowOff>152400</xdr:rowOff>
    </xdr:from>
    <xdr:to>
      <xdr:col>10</xdr:col>
      <xdr:colOff>19050</xdr:colOff>
      <xdr:row>88</xdr:row>
      <xdr:rowOff>95250</xdr:rowOff>
    </xdr:to>
    <xdr:graphicFrame macro="">
      <xdr:nvGraphicFramePr>
        <xdr:cNvPr id="2281" name="Диаграмма 9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28575</xdr:colOff>
      <xdr:row>76</xdr:row>
      <xdr:rowOff>152400</xdr:rowOff>
    </xdr:from>
    <xdr:to>
      <xdr:col>14</xdr:col>
      <xdr:colOff>38100</xdr:colOff>
      <xdr:row>88</xdr:row>
      <xdr:rowOff>95250</xdr:rowOff>
    </xdr:to>
    <xdr:graphicFrame macro="">
      <xdr:nvGraphicFramePr>
        <xdr:cNvPr id="2282" name="Диаграмма 10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opLeftCell="H70" workbookViewId="0">
      <selection activeCell="N56" sqref="N56"/>
    </sheetView>
  </sheetViews>
  <sheetFormatPr defaultRowHeight="14.25" x14ac:dyDescent="0.2"/>
  <cols>
    <col min="1" max="2" width="9" hidden="1" customWidth="1"/>
    <col min="3" max="3" width="31.5" customWidth="1"/>
    <col min="5" max="5" width="15.5" customWidth="1"/>
    <col min="6" max="6" width="15.125" customWidth="1"/>
    <col min="7" max="7" width="14.5" customWidth="1"/>
    <col min="8" max="8" width="18.125" customWidth="1"/>
    <col min="9" max="9" width="14.5" customWidth="1"/>
    <col min="10" max="10" width="15.5" customWidth="1"/>
    <col min="13" max="13" width="12.875" customWidth="1"/>
    <col min="14" max="14" width="14.5" customWidth="1"/>
    <col min="15" max="15" width="13.25" customWidth="1"/>
    <col min="16" max="16" width="12.25" customWidth="1"/>
    <col min="17" max="17" width="23.5" customWidth="1"/>
    <col min="20" max="20" width="11.625" customWidth="1"/>
  </cols>
  <sheetData>
    <row r="1" spans="1:10" x14ac:dyDescent="0.2">
      <c r="A1" s="99"/>
      <c r="B1" s="99"/>
      <c r="C1" s="99"/>
    </row>
    <row r="2" spans="1:10" x14ac:dyDescent="0.2">
      <c r="A2" s="90"/>
      <c r="B2" s="90"/>
      <c r="C2" s="90"/>
    </row>
    <row r="3" spans="1:10" ht="15" thickBot="1" x14ac:dyDescent="0.25">
      <c r="A3" s="98"/>
      <c r="B3" s="98"/>
      <c r="C3" s="98"/>
    </row>
    <row r="4" spans="1:10" ht="15.75" x14ac:dyDescent="0.25">
      <c r="C4" s="6" t="s">
        <v>3</v>
      </c>
      <c r="D4" s="6"/>
      <c r="E4" s="6"/>
      <c r="F4" s="6"/>
      <c r="G4" s="6"/>
      <c r="H4" s="6"/>
      <c r="I4" s="6"/>
    </row>
    <row r="5" spans="1:10" x14ac:dyDescent="0.2">
      <c r="C5" s="2"/>
      <c r="D5" s="2"/>
      <c r="E5" s="2"/>
      <c r="F5" s="2"/>
      <c r="G5" s="2"/>
      <c r="H5" s="2"/>
      <c r="I5" s="2"/>
    </row>
    <row r="6" spans="1:10" x14ac:dyDescent="0.2">
      <c r="C6" s="8" t="s">
        <v>4</v>
      </c>
      <c r="D6" s="8">
        <v>34</v>
      </c>
      <c r="E6" s="9" t="s">
        <v>5</v>
      </c>
      <c r="F6" s="2"/>
      <c r="G6" s="2"/>
      <c r="H6" s="2"/>
      <c r="I6" s="2"/>
    </row>
    <row r="7" spans="1:10" x14ac:dyDescent="0.2">
      <c r="C7" s="8" t="s">
        <v>6</v>
      </c>
      <c r="D7" s="8">
        <v>6</v>
      </c>
      <c r="E7" s="9" t="s">
        <v>7</v>
      </c>
      <c r="F7" s="2"/>
      <c r="G7" s="2"/>
      <c r="H7" s="2"/>
      <c r="I7" s="2"/>
    </row>
    <row r="8" spans="1:10" x14ac:dyDescent="0.2">
      <c r="C8" s="8" t="s">
        <v>8</v>
      </c>
      <c r="D8" s="8">
        <v>5</v>
      </c>
      <c r="E8" s="9" t="s">
        <v>9</v>
      </c>
      <c r="F8" s="2"/>
      <c r="G8" s="2"/>
      <c r="H8" s="2"/>
      <c r="I8" s="2"/>
    </row>
    <row r="9" spans="1:10" x14ac:dyDescent="0.2">
      <c r="C9" s="8" t="s">
        <v>10</v>
      </c>
      <c r="D9" s="8">
        <f>D6-D7</f>
        <v>28</v>
      </c>
      <c r="E9" s="9" t="s">
        <v>11</v>
      </c>
      <c r="F9" s="2"/>
      <c r="G9" s="2"/>
      <c r="H9" s="2"/>
      <c r="I9" s="2"/>
    </row>
    <row r="16" spans="1:10" x14ac:dyDescent="0.2">
      <c r="E16" t="s">
        <v>175</v>
      </c>
      <c r="F16" t="s">
        <v>162</v>
      </c>
      <c r="G16" t="s">
        <v>176</v>
      </c>
      <c r="H16" t="s">
        <v>177</v>
      </c>
      <c r="I16" t="s">
        <v>178</v>
      </c>
      <c r="J16" t="s">
        <v>13</v>
      </c>
    </row>
    <row r="17" spans="3:19" ht="75" x14ac:dyDescent="0.2">
      <c r="E17" s="100" t="s">
        <v>168</v>
      </c>
      <c r="F17" s="100" t="s">
        <v>169</v>
      </c>
      <c r="G17" s="100" t="s">
        <v>170</v>
      </c>
      <c r="H17" s="100" t="s">
        <v>171</v>
      </c>
      <c r="I17" s="100" t="s">
        <v>172</v>
      </c>
      <c r="J17" s="100" t="s">
        <v>173</v>
      </c>
      <c r="L17" t="s">
        <v>156</v>
      </c>
      <c r="M17" t="s">
        <v>157</v>
      </c>
      <c r="N17" t="s">
        <v>179</v>
      </c>
      <c r="O17" t="s">
        <v>180</v>
      </c>
      <c r="P17" t="s">
        <v>181</v>
      </c>
      <c r="Q17" t="s">
        <v>182</v>
      </c>
      <c r="R17" t="s">
        <v>186</v>
      </c>
      <c r="S17" t="s">
        <v>188</v>
      </c>
    </row>
    <row r="18" spans="3:19" ht="18.75" x14ac:dyDescent="0.2">
      <c r="C18">
        <v>1</v>
      </c>
      <c r="D18">
        <v>1</v>
      </c>
      <c r="E18" s="101">
        <v>1757</v>
      </c>
      <c r="F18" s="101">
        <v>75</v>
      </c>
      <c r="G18" s="101">
        <v>179</v>
      </c>
      <c r="H18" s="101">
        <v>516</v>
      </c>
      <c r="I18" s="101">
        <v>254</v>
      </c>
      <c r="J18" s="101">
        <v>2530</v>
      </c>
      <c r="K18">
        <v>1</v>
      </c>
      <c r="L18">
        <f t="shared" ref="L18:L51" si="0">LOG10(E18)</f>
        <v>3.2447717614952949</v>
      </c>
      <c r="M18">
        <f t="shared" ref="M18:M51" si="1">LOG10(F18)</f>
        <v>1.8750612633917001</v>
      </c>
      <c r="N18">
        <f t="shared" ref="N18:N51" si="2">LOG10(G18)</f>
        <v>2.2528530309798933</v>
      </c>
      <c r="O18">
        <f t="shared" ref="O18:O51" si="3">LOG10(H18)</f>
        <v>2.7126497016272113</v>
      </c>
      <c r="P18">
        <f t="shared" ref="P18:P51" si="4">LOG10(I18)</f>
        <v>2.4048337166199381</v>
      </c>
      <c r="Q18">
        <f t="shared" ref="Q18:Q51" si="5">LOG10(J18)</f>
        <v>3.403120521175818</v>
      </c>
      <c r="R18">
        <f t="shared" ref="R18:R51" si="6">ABS(L18-$L$54)/34</f>
        <v>0.12257272027414062</v>
      </c>
      <c r="S18">
        <f>POWER(R18,2)</f>
        <v>1.5024071755402723E-2</v>
      </c>
    </row>
    <row r="19" spans="3:19" ht="18.75" x14ac:dyDescent="0.2">
      <c r="C19">
        <f>C18+1</f>
        <v>2</v>
      </c>
      <c r="D19">
        <v>1</v>
      </c>
      <c r="E19" s="101">
        <v>1533</v>
      </c>
      <c r="F19" s="101">
        <v>121</v>
      </c>
      <c r="G19" s="101">
        <v>629</v>
      </c>
      <c r="H19" s="101">
        <v>707</v>
      </c>
      <c r="I19" s="101">
        <v>430</v>
      </c>
      <c r="J19" s="101">
        <v>4659</v>
      </c>
      <c r="K19">
        <v>1</v>
      </c>
      <c r="L19">
        <f t="shared" si="0"/>
        <v>3.185542154854375</v>
      </c>
      <c r="M19">
        <f t="shared" si="1"/>
        <v>2.0827853703164503</v>
      </c>
      <c r="N19">
        <f t="shared" si="2"/>
        <v>2.7986506454452691</v>
      </c>
      <c r="O19">
        <f t="shared" si="3"/>
        <v>2.8494194137968996</v>
      </c>
      <c r="P19">
        <f t="shared" si="4"/>
        <v>2.6334684555795866</v>
      </c>
      <c r="Q19">
        <f t="shared" si="5"/>
        <v>3.6682927104482208</v>
      </c>
      <c r="R19">
        <f t="shared" si="6"/>
        <v>0.12083067301999592</v>
      </c>
      <c r="S19">
        <f t="shared" ref="S19:S51" si="7">POWER(R19,2)</f>
        <v>1.4600051542465171E-2</v>
      </c>
    </row>
    <row r="20" spans="3:19" ht="18.75" x14ac:dyDescent="0.2">
      <c r="C20">
        <f t="shared" ref="C20:C51" si="8">C19+1</f>
        <v>3</v>
      </c>
      <c r="D20">
        <v>1</v>
      </c>
      <c r="E20" s="101">
        <v>2023</v>
      </c>
      <c r="F20" s="101">
        <v>107</v>
      </c>
      <c r="G20" s="101">
        <v>507</v>
      </c>
      <c r="H20" s="101">
        <v>363</v>
      </c>
      <c r="I20" s="101">
        <v>467</v>
      </c>
      <c r="J20" s="101">
        <v>3470</v>
      </c>
      <c r="K20">
        <v>1</v>
      </c>
      <c r="L20">
        <f t="shared" si="0"/>
        <v>3.3059958827708047</v>
      </c>
      <c r="M20">
        <f t="shared" si="1"/>
        <v>2.0293837776852097</v>
      </c>
      <c r="N20">
        <f t="shared" si="2"/>
        <v>2.705007959333336</v>
      </c>
      <c r="O20">
        <f t="shared" si="3"/>
        <v>2.5599066250361124</v>
      </c>
      <c r="P20">
        <f t="shared" si="4"/>
        <v>2.6693168805661123</v>
      </c>
      <c r="Q20">
        <f t="shared" si="5"/>
        <v>3.5403294747908736</v>
      </c>
      <c r="R20">
        <f t="shared" si="6"/>
        <v>0.12437342972342033</v>
      </c>
      <c r="S20">
        <f t="shared" si="7"/>
        <v>1.5468750021166575E-2</v>
      </c>
    </row>
    <row r="21" spans="3:19" ht="18.75" x14ac:dyDescent="0.2">
      <c r="C21">
        <f t="shared" si="8"/>
        <v>4</v>
      </c>
      <c r="D21">
        <v>1</v>
      </c>
      <c r="E21" s="101">
        <v>1834</v>
      </c>
      <c r="F21" s="101">
        <v>184</v>
      </c>
      <c r="G21" s="101">
        <v>423</v>
      </c>
      <c r="H21" s="101">
        <v>934</v>
      </c>
      <c r="I21" s="101">
        <v>450</v>
      </c>
      <c r="J21" s="101">
        <v>3980</v>
      </c>
      <c r="K21">
        <v>1</v>
      </c>
      <c r="L21">
        <f t="shared" si="0"/>
        <v>3.2633993313340022</v>
      </c>
      <c r="M21">
        <f t="shared" si="1"/>
        <v>2.2648178230095364</v>
      </c>
      <c r="N21">
        <f t="shared" si="2"/>
        <v>2.6263403673750423</v>
      </c>
      <c r="O21">
        <f t="shared" si="3"/>
        <v>2.9703468762300935</v>
      </c>
      <c r="P21">
        <f t="shared" si="4"/>
        <v>2.6532125137753435</v>
      </c>
      <c r="Q21">
        <f t="shared" si="5"/>
        <v>3.5998830720736876</v>
      </c>
      <c r="R21">
        <f t="shared" si="6"/>
        <v>0.12312058997527908</v>
      </c>
      <c r="S21">
        <f t="shared" si="7"/>
        <v>1.5158679675860792E-2</v>
      </c>
    </row>
    <row r="22" spans="3:19" ht="18.75" x14ac:dyDescent="0.2">
      <c r="C22">
        <f t="shared" si="8"/>
        <v>5</v>
      </c>
      <c r="D22">
        <v>1</v>
      </c>
      <c r="E22" s="101">
        <v>2967</v>
      </c>
      <c r="F22" s="101">
        <v>111</v>
      </c>
      <c r="G22" s="101">
        <v>939</v>
      </c>
      <c r="H22" s="101">
        <v>923</v>
      </c>
      <c r="I22" s="101">
        <v>108</v>
      </c>
      <c r="J22" s="101">
        <v>5607</v>
      </c>
      <c r="K22">
        <v>1</v>
      </c>
      <c r="L22">
        <f t="shared" si="0"/>
        <v>3.4723175463168419</v>
      </c>
      <c r="M22">
        <f t="shared" si="1"/>
        <v>2.0453229787866576</v>
      </c>
      <c r="N22">
        <f t="shared" si="2"/>
        <v>2.9726655922661109</v>
      </c>
      <c r="O22">
        <f t="shared" si="3"/>
        <v>2.965201701025912</v>
      </c>
      <c r="P22">
        <f t="shared" si="4"/>
        <v>2.0334237554869499</v>
      </c>
      <c r="Q22">
        <f t="shared" si="5"/>
        <v>3.7487305560984945</v>
      </c>
      <c r="R22">
        <f t="shared" si="6"/>
        <v>0.1292652433571273</v>
      </c>
      <c r="S22">
        <f t="shared" si="7"/>
        <v>1.6709503140177343E-2</v>
      </c>
    </row>
    <row r="23" spans="3:19" ht="18.75" x14ac:dyDescent="0.2">
      <c r="C23">
        <f t="shared" si="8"/>
        <v>6</v>
      </c>
      <c r="D23">
        <v>1</v>
      </c>
      <c r="E23" s="101">
        <v>1574</v>
      </c>
      <c r="F23" s="101">
        <v>152</v>
      </c>
      <c r="G23" s="101">
        <v>138</v>
      </c>
      <c r="H23" s="101">
        <v>962</v>
      </c>
      <c r="I23" s="101">
        <v>417</v>
      </c>
      <c r="J23" s="101">
        <v>3456</v>
      </c>
      <c r="K23">
        <v>1</v>
      </c>
      <c r="L23">
        <f t="shared" si="0"/>
        <v>3.1970047280230456</v>
      </c>
      <c r="M23">
        <f t="shared" si="1"/>
        <v>2.1818435879447726</v>
      </c>
      <c r="N23">
        <f t="shared" si="2"/>
        <v>2.1398790864012365</v>
      </c>
      <c r="O23">
        <f t="shared" si="3"/>
        <v>2.9831750720378132</v>
      </c>
      <c r="P23">
        <f t="shared" si="4"/>
        <v>2.6201360549737576</v>
      </c>
      <c r="Q23">
        <f t="shared" si="5"/>
        <v>3.5385737338068557</v>
      </c>
      <c r="R23">
        <f t="shared" si="6"/>
        <v>0.12116780752495682</v>
      </c>
      <c r="S23">
        <f t="shared" si="7"/>
        <v>1.4681637580404982E-2</v>
      </c>
    </row>
    <row r="24" spans="3:19" ht="18.75" x14ac:dyDescent="0.2">
      <c r="C24">
        <f t="shared" si="8"/>
        <v>7</v>
      </c>
      <c r="D24">
        <v>1</v>
      </c>
      <c r="E24" s="101">
        <v>2094</v>
      </c>
      <c r="F24" s="101">
        <v>75</v>
      </c>
      <c r="G24" s="101">
        <v>264</v>
      </c>
      <c r="H24" s="101">
        <v>684</v>
      </c>
      <c r="I24" s="101">
        <v>337</v>
      </c>
      <c r="J24" s="101">
        <v>3977</v>
      </c>
      <c r="K24">
        <v>1</v>
      </c>
      <c r="L24">
        <f t="shared" si="0"/>
        <v>3.3209766773428235</v>
      </c>
      <c r="M24">
        <f t="shared" si="1"/>
        <v>1.8750612633917001</v>
      </c>
      <c r="N24">
        <f t="shared" si="2"/>
        <v>2.4216039268698313</v>
      </c>
      <c r="O24">
        <f t="shared" si="3"/>
        <v>2.8350561017201161</v>
      </c>
      <c r="P24">
        <f t="shared" si="4"/>
        <v>2.5276299008713385</v>
      </c>
      <c r="Q24">
        <f t="shared" si="5"/>
        <v>3.5995555909859802</v>
      </c>
      <c r="R24">
        <f t="shared" si="6"/>
        <v>0.12481404132847969</v>
      </c>
      <c r="S24">
        <f t="shared" si="7"/>
        <v>1.5578544912747436E-2</v>
      </c>
    </row>
    <row r="25" spans="3:19" ht="18.75" x14ac:dyDescent="0.2">
      <c r="C25">
        <f t="shared" si="8"/>
        <v>8</v>
      </c>
      <c r="D25">
        <v>1</v>
      </c>
      <c r="E25" s="101">
        <v>2044</v>
      </c>
      <c r="F25" s="101">
        <v>90</v>
      </c>
      <c r="G25" s="101">
        <v>263</v>
      </c>
      <c r="H25" s="101">
        <v>969</v>
      </c>
      <c r="I25" s="101">
        <v>495</v>
      </c>
      <c r="J25" s="101">
        <v>3913</v>
      </c>
      <c r="K25">
        <v>1</v>
      </c>
      <c r="L25">
        <f t="shared" si="0"/>
        <v>3.3104808914626753</v>
      </c>
      <c r="M25">
        <f t="shared" si="1"/>
        <v>1.954242509439325</v>
      </c>
      <c r="N25">
        <f t="shared" si="2"/>
        <v>2.419955748489758</v>
      </c>
      <c r="O25">
        <f t="shared" si="3"/>
        <v>2.9863237770507651</v>
      </c>
      <c r="P25">
        <f t="shared" si="4"/>
        <v>2.6946051989335689</v>
      </c>
      <c r="Q25">
        <f t="shared" si="5"/>
        <v>3.5925098479006801</v>
      </c>
      <c r="R25">
        <f t="shared" si="6"/>
        <v>0.12450534174376948</v>
      </c>
      <c r="S25">
        <f t="shared" si="7"/>
        <v>1.5501580122732828E-2</v>
      </c>
    </row>
    <row r="26" spans="3:19" ht="18.75" x14ac:dyDescent="0.2">
      <c r="C26">
        <f t="shared" si="8"/>
        <v>9</v>
      </c>
      <c r="D26">
        <v>1</v>
      </c>
      <c r="E26" s="101">
        <v>1537</v>
      </c>
      <c r="F26" s="101">
        <v>85</v>
      </c>
      <c r="G26" s="101">
        <v>225</v>
      </c>
      <c r="H26" s="101">
        <v>420</v>
      </c>
      <c r="I26" s="101">
        <v>358</v>
      </c>
      <c r="J26" s="101">
        <v>3399</v>
      </c>
      <c r="K26">
        <v>1</v>
      </c>
      <c r="L26">
        <f t="shared" si="0"/>
        <v>3.1866738674997452</v>
      </c>
      <c r="M26">
        <f t="shared" si="1"/>
        <v>1.9294189257142926</v>
      </c>
      <c r="N26">
        <f t="shared" si="2"/>
        <v>2.3521825181113627</v>
      </c>
      <c r="O26">
        <f t="shared" si="3"/>
        <v>2.6232492903979003</v>
      </c>
      <c r="P26">
        <f t="shared" si="4"/>
        <v>2.5538830266438746</v>
      </c>
      <c r="Q26">
        <f t="shared" si="5"/>
        <v>3.5313511645830595</v>
      </c>
      <c r="R26">
        <f t="shared" si="6"/>
        <v>0.12086395868603622</v>
      </c>
      <c r="S26">
        <f t="shared" si="7"/>
        <v>1.4608096509259871E-2</v>
      </c>
    </row>
    <row r="27" spans="3:19" ht="18.75" x14ac:dyDescent="0.2">
      <c r="C27">
        <f t="shared" si="8"/>
        <v>10</v>
      </c>
      <c r="D27">
        <v>1</v>
      </c>
      <c r="E27" s="101">
        <v>1949</v>
      </c>
      <c r="F27" s="101">
        <v>145</v>
      </c>
      <c r="G27" s="101">
        <v>265</v>
      </c>
      <c r="H27" s="101">
        <v>1035</v>
      </c>
      <c r="I27" s="101">
        <v>101</v>
      </c>
      <c r="J27" s="101">
        <v>4308</v>
      </c>
      <c r="K27">
        <v>1</v>
      </c>
      <c r="L27">
        <f t="shared" si="0"/>
        <v>3.2898118391176214</v>
      </c>
      <c r="M27">
        <f t="shared" si="1"/>
        <v>2.1613680022349748</v>
      </c>
      <c r="N27">
        <f t="shared" si="2"/>
        <v>2.4232458739368079</v>
      </c>
      <c r="O27">
        <f t="shared" si="3"/>
        <v>3.0149403497929366</v>
      </c>
      <c r="P27">
        <f t="shared" si="4"/>
        <v>2.0043213737826426</v>
      </c>
      <c r="Q27">
        <f t="shared" si="5"/>
        <v>3.634275694625944</v>
      </c>
      <c r="R27">
        <f t="shared" si="6"/>
        <v>0.12389742843950317</v>
      </c>
      <c r="S27">
        <f t="shared" si="7"/>
        <v>1.535057277392181E-2</v>
      </c>
    </row>
    <row r="28" spans="3:19" ht="18.75" x14ac:dyDescent="0.2">
      <c r="C28">
        <f t="shared" si="8"/>
        <v>11</v>
      </c>
      <c r="D28">
        <v>1</v>
      </c>
      <c r="E28" s="101">
        <v>1465</v>
      </c>
      <c r="F28" s="101">
        <v>96</v>
      </c>
      <c r="G28" s="101">
        <v>680</v>
      </c>
      <c r="H28" s="101">
        <v>566</v>
      </c>
      <c r="I28" s="101">
        <v>246</v>
      </c>
      <c r="J28" s="101">
        <v>3289</v>
      </c>
      <c r="K28">
        <v>1</v>
      </c>
      <c r="L28">
        <f t="shared" si="0"/>
        <v>3.1658376246901283</v>
      </c>
      <c r="M28">
        <f t="shared" si="1"/>
        <v>1.9822712330395684</v>
      </c>
      <c r="N28">
        <f t="shared" si="2"/>
        <v>2.8325089127062362</v>
      </c>
      <c r="O28">
        <f t="shared" si="3"/>
        <v>2.7528164311882715</v>
      </c>
      <c r="P28">
        <f t="shared" si="4"/>
        <v>2.3909351071033793</v>
      </c>
      <c r="Q28">
        <f t="shared" si="5"/>
        <v>3.5170638734826545</v>
      </c>
      <c r="R28">
        <f t="shared" si="6"/>
        <v>0.12025112801516513</v>
      </c>
      <c r="S28">
        <f t="shared" si="7"/>
        <v>1.4460333788919632E-2</v>
      </c>
    </row>
    <row r="29" spans="3:19" ht="18.75" x14ac:dyDescent="0.2">
      <c r="C29">
        <f t="shared" si="8"/>
        <v>12</v>
      </c>
      <c r="D29">
        <v>1</v>
      </c>
      <c r="E29" s="101">
        <v>2954</v>
      </c>
      <c r="F29" s="101">
        <v>99</v>
      </c>
      <c r="G29" s="101">
        <v>357</v>
      </c>
      <c r="H29" s="101">
        <v>939</v>
      </c>
      <c r="I29" s="101">
        <v>234</v>
      </c>
      <c r="J29" s="101">
        <v>4789</v>
      </c>
      <c r="K29">
        <v>1</v>
      </c>
      <c r="L29">
        <f t="shared" si="0"/>
        <v>3.4704104909759308</v>
      </c>
      <c r="M29">
        <f t="shared" si="1"/>
        <v>1.9956351945975499</v>
      </c>
      <c r="N29">
        <f t="shared" si="2"/>
        <v>2.5526682161121932</v>
      </c>
      <c r="O29">
        <f t="shared" si="3"/>
        <v>2.9726655922661109</v>
      </c>
      <c r="P29">
        <f t="shared" si="4"/>
        <v>2.369215857410143</v>
      </c>
      <c r="Q29">
        <f t="shared" si="5"/>
        <v>3.6802448370426077</v>
      </c>
      <c r="R29">
        <f t="shared" si="6"/>
        <v>0.12920915349415932</v>
      </c>
      <c r="S29">
        <f t="shared" si="7"/>
        <v>1.6695005346677224E-2</v>
      </c>
    </row>
    <row r="30" spans="3:19" ht="18.75" x14ac:dyDescent="0.2">
      <c r="C30">
        <f t="shared" si="8"/>
        <v>13</v>
      </c>
      <c r="D30">
        <v>1</v>
      </c>
      <c r="E30" s="101">
        <v>1583</v>
      </c>
      <c r="F30" s="101">
        <v>75</v>
      </c>
      <c r="G30" s="101">
        <v>211</v>
      </c>
      <c r="H30" s="101">
        <v>695</v>
      </c>
      <c r="I30" s="101">
        <v>285</v>
      </c>
      <c r="J30" s="101">
        <v>3336</v>
      </c>
      <c r="K30">
        <v>1</v>
      </c>
      <c r="L30">
        <f t="shared" si="0"/>
        <v>3.199480914862356</v>
      </c>
      <c r="M30">
        <f t="shared" si="1"/>
        <v>1.8750612633917001</v>
      </c>
      <c r="N30">
        <f t="shared" si="2"/>
        <v>2.3242824552976926</v>
      </c>
      <c r="O30">
        <f t="shared" si="3"/>
        <v>2.8419848045901137</v>
      </c>
      <c r="P30">
        <f t="shared" si="4"/>
        <v>2.4548448600085102</v>
      </c>
      <c r="Q30">
        <f t="shared" si="5"/>
        <v>3.5232260419657009</v>
      </c>
      <c r="R30">
        <f t="shared" si="6"/>
        <v>0.12124063654964241</v>
      </c>
      <c r="S30">
        <f t="shared" si="7"/>
        <v>1.4699291950962487E-2</v>
      </c>
    </row>
    <row r="31" spans="3:19" ht="18.75" x14ac:dyDescent="0.2">
      <c r="C31">
        <f t="shared" si="8"/>
        <v>14</v>
      </c>
      <c r="D31">
        <v>1</v>
      </c>
      <c r="E31" s="101">
        <v>3098</v>
      </c>
      <c r="F31" s="101">
        <v>110</v>
      </c>
      <c r="G31" s="101">
        <v>165</v>
      </c>
      <c r="H31" s="101">
        <v>469</v>
      </c>
      <c r="I31" s="101">
        <v>101</v>
      </c>
      <c r="J31" s="101">
        <v>3982</v>
      </c>
      <c r="K31">
        <v>1</v>
      </c>
      <c r="L31">
        <f t="shared" si="0"/>
        <v>3.4910814134231871</v>
      </c>
      <c r="M31">
        <f t="shared" si="1"/>
        <v>2.0413926851582249</v>
      </c>
      <c r="N31">
        <f t="shared" si="2"/>
        <v>2.2174839442139063</v>
      </c>
      <c r="O31">
        <f t="shared" si="3"/>
        <v>2.6711728427150834</v>
      </c>
      <c r="P31">
        <f t="shared" si="4"/>
        <v>2.0043213737826426</v>
      </c>
      <c r="Q31">
        <f t="shared" si="5"/>
        <v>3.6001012556913907</v>
      </c>
      <c r="R31">
        <f t="shared" si="6"/>
        <v>0.12981712180143157</v>
      </c>
      <c r="S31">
        <f t="shared" si="7"/>
        <v>1.6852485112807718E-2</v>
      </c>
    </row>
    <row r="32" spans="3:19" ht="18.75" x14ac:dyDescent="0.2">
      <c r="C32">
        <f t="shared" si="8"/>
        <v>15</v>
      </c>
      <c r="D32">
        <v>1</v>
      </c>
      <c r="E32" s="101">
        <v>1532</v>
      </c>
      <c r="F32" s="101">
        <v>94</v>
      </c>
      <c r="G32" s="101">
        <v>279</v>
      </c>
      <c r="H32" s="101">
        <v>227</v>
      </c>
      <c r="I32" s="101">
        <v>185</v>
      </c>
      <c r="J32" s="101">
        <v>2967</v>
      </c>
      <c r="K32">
        <v>1</v>
      </c>
      <c r="L32">
        <f t="shared" si="0"/>
        <v>3.1852587652965849</v>
      </c>
      <c r="M32">
        <f t="shared" si="1"/>
        <v>1.9731278535996986</v>
      </c>
      <c r="N32">
        <f t="shared" si="2"/>
        <v>2.4456042032735974</v>
      </c>
      <c r="O32">
        <f t="shared" si="3"/>
        <v>2.3560258571931225</v>
      </c>
      <c r="P32">
        <f t="shared" si="4"/>
        <v>2.2671717284030137</v>
      </c>
      <c r="Q32">
        <f t="shared" si="5"/>
        <v>3.4723175463168419</v>
      </c>
      <c r="R32">
        <f t="shared" si="6"/>
        <v>0.1208223380330021</v>
      </c>
      <c r="S32">
        <f t="shared" si="7"/>
        <v>1.4598037367761026E-2</v>
      </c>
    </row>
    <row r="33" spans="3:19" ht="18.75" x14ac:dyDescent="0.2">
      <c r="C33">
        <f t="shared" si="8"/>
        <v>16</v>
      </c>
      <c r="D33">
        <v>1</v>
      </c>
      <c r="E33" s="101">
        <v>2590</v>
      </c>
      <c r="F33" s="101">
        <v>94</v>
      </c>
      <c r="G33" s="101">
        <v>166</v>
      </c>
      <c r="H33" s="101">
        <v>580</v>
      </c>
      <c r="I33" s="101">
        <v>485</v>
      </c>
      <c r="J33" s="101">
        <v>3981</v>
      </c>
      <c r="K33">
        <v>1</v>
      </c>
      <c r="L33">
        <f t="shared" si="0"/>
        <v>3.4132997640812519</v>
      </c>
      <c r="M33">
        <f t="shared" si="1"/>
        <v>1.9731278535996986</v>
      </c>
      <c r="N33">
        <f t="shared" si="2"/>
        <v>2.220108088040055</v>
      </c>
      <c r="O33">
        <f t="shared" si="3"/>
        <v>2.7634279935629373</v>
      </c>
      <c r="P33">
        <f t="shared" si="4"/>
        <v>2.6857417386022635</v>
      </c>
      <c r="Q33">
        <f t="shared" si="5"/>
        <v>3.599992177584098</v>
      </c>
      <c r="R33">
        <f t="shared" si="6"/>
        <v>0.12752942623255112</v>
      </c>
      <c r="S33">
        <f t="shared" si="7"/>
        <v>1.6263754555203697E-2</v>
      </c>
    </row>
    <row r="34" spans="3:19" ht="18.75" x14ac:dyDescent="0.2">
      <c r="C34">
        <f t="shared" si="8"/>
        <v>17</v>
      </c>
      <c r="D34">
        <v>1</v>
      </c>
      <c r="E34" s="101">
        <v>2145</v>
      </c>
      <c r="F34" s="101">
        <v>63</v>
      </c>
      <c r="G34" s="101">
        <v>186</v>
      </c>
      <c r="H34" s="101">
        <v>580</v>
      </c>
      <c r="I34" s="101">
        <v>495</v>
      </c>
      <c r="J34" s="101">
        <v>3958</v>
      </c>
      <c r="K34">
        <v>1</v>
      </c>
      <c r="L34">
        <f t="shared" si="0"/>
        <v>3.3314272965207432</v>
      </c>
      <c r="M34">
        <f t="shared" si="1"/>
        <v>1.7993405494535817</v>
      </c>
      <c r="N34">
        <f t="shared" si="2"/>
        <v>2.2695129442179165</v>
      </c>
      <c r="O34">
        <f t="shared" si="3"/>
        <v>2.7634279935629373</v>
      </c>
      <c r="P34">
        <f t="shared" si="4"/>
        <v>2.6946051989335689</v>
      </c>
      <c r="Q34">
        <f t="shared" si="5"/>
        <v>3.5974757898703773</v>
      </c>
      <c r="R34">
        <f t="shared" si="6"/>
        <v>0.12512141248077147</v>
      </c>
      <c r="S34">
        <f t="shared" si="7"/>
        <v>1.5655367861183354E-2</v>
      </c>
    </row>
    <row r="35" spans="3:19" ht="18.75" x14ac:dyDescent="0.2">
      <c r="C35">
        <f t="shared" si="8"/>
        <v>18</v>
      </c>
      <c r="D35">
        <v>1</v>
      </c>
      <c r="E35" s="101">
        <v>1107</v>
      </c>
      <c r="F35" s="101">
        <v>74</v>
      </c>
      <c r="G35" s="101">
        <v>202</v>
      </c>
      <c r="H35" s="101">
        <v>424</v>
      </c>
      <c r="I35" s="101">
        <v>301</v>
      </c>
      <c r="J35" s="101">
        <v>2530</v>
      </c>
      <c r="K35">
        <v>1</v>
      </c>
      <c r="L35">
        <f t="shared" si="0"/>
        <v>3.0441476208787228</v>
      </c>
      <c r="M35">
        <f t="shared" si="1"/>
        <v>1.8692317197309762</v>
      </c>
      <c r="N35">
        <f t="shared" si="2"/>
        <v>2.3053513694466239</v>
      </c>
      <c r="O35">
        <f t="shared" si="3"/>
        <v>2.6273658565927325</v>
      </c>
      <c r="P35">
        <f t="shared" si="4"/>
        <v>2.4785664955938436</v>
      </c>
      <c r="Q35">
        <f t="shared" si="5"/>
        <v>3.403120521175818</v>
      </c>
      <c r="R35">
        <f t="shared" si="6"/>
        <v>0.11667201025600615</v>
      </c>
      <c r="S35">
        <f t="shared" si="7"/>
        <v>1.3612357977177605E-2</v>
      </c>
    </row>
    <row r="36" spans="3:19" ht="18.75" x14ac:dyDescent="0.2">
      <c r="C36">
        <f t="shared" si="8"/>
        <v>19</v>
      </c>
      <c r="D36">
        <v>1</v>
      </c>
      <c r="E36" s="101">
        <v>1648</v>
      </c>
      <c r="F36" s="101">
        <v>158</v>
      </c>
      <c r="G36" s="101">
        <v>172</v>
      </c>
      <c r="H36" s="101">
        <v>904</v>
      </c>
      <c r="I36" s="101">
        <v>348</v>
      </c>
      <c r="J36" s="101">
        <v>3370</v>
      </c>
      <c r="K36">
        <v>1</v>
      </c>
      <c r="L36">
        <f t="shared" si="0"/>
        <v>3.216957207361097</v>
      </c>
      <c r="M36">
        <f t="shared" si="1"/>
        <v>2.1986570869544226</v>
      </c>
      <c r="N36">
        <f t="shared" si="2"/>
        <v>2.2355284469075487</v>
      </c>
      <c r="O36">
        <f t="shared" si="3"/>
        <v>2.9561684304753633</v>
      </c>
      <c r="P36">
        <f t="shared" si="4"/>
        <v>2.5415792439465807</v>
      </c>
      <c r="Q36">
        <f t="shared" si="5"/>
        <v>3.5276299008713385</v>
      </c>
      <c r="R36">
        <f t="shared" si="6"/>
        <v>0.12175464515254658</v>
      </c>
      <c r="S36">
        <f t="shared" si="7"/>
        <v>1.4824193616222534E-2</v>
      </c>
    </row>
    <row r="37" spans="3:19" ht="18.75" x14ac:dyDescent="0.2">
      <c r="C37">
        <f t="shared" si="8"/>
        <v>20</v>
      </c>
      <c r="D37">
        <v>1</v>
      </c>
      <c r="E37" s="101">
        <v>2274</v>
      </c>
      <c r="F37" s="101">
        <v>128</v>
      </c>
      <c r="G37" s="101">
        <v>247</v>
      </c>
      <c r="H37" s="101">
        <v>825</v>
      </c>
      <c r="I37" s="101">
        <v>470</v>
      </c>
      <c r="J37" s="101">
        <v>4257</v>
      </c>
      <c r="K37">
        <v>1</v>
      </c>
      <c r="L37">
        <f t="shared" si="0"/>
        <v>3.356790460351716</v>
      </c>
      <c r="M37">
        <f t="shared" si="1"/>
        <v>2.1072099696478683</v>
      </c>
      <c r="N37">
        <f t="shared" si="2"/>
        <v>2.3926969532596658</v>
      </c>
      <c r="O37">
        <f t="shared" si="3"/>
        <v>2.916453948549925</v>
      </c>
      <c r="P37">
        <f t="shared" si="4"/>
        <v>2.6720978579357175</v>
      </c>
      <c r="Q37">
        <f t="shared" si="5"/>
        <v>3.6291036501771363</v>
      </c>
      <c r="R37">
        <f t="shared" si="6"/>
        <v>0.12586738788756477</v>
      </c>
      <c r="S37">
        <f t="shared" si="7"/>
        <v>1.5842599333638685E-2</v>
      </c>
    </row>
    <row r="38" spans="3:19" ht="18.75" x14ac:dyDescent="0.2">
      <c r="C38">
        <f t="shared" si="8"/>
        <v>21</v>
      </c>
      <c r="D38">
        <v>1</v>
      </c>
      <c r="E38" s="101">
        <v>2820</v>
      </c>
      <c r="F38" s="101">
        <v>66</v>
      </c>
      <c r="G38" s="101">
        <v>357</v>
      </c>
      <c r="H38" s="101">
        <v>835</v>
      </c>
      <c r="I38" s="101">
        <v>448</v>
      </c>
      <c r="J38" s="101">
        <v>4578</v>
      </c>
      <c r="K38">
        <v>1</v>
      </c>
      <c r="L38">
        <f t="shared" si="0"/>
        <v>3.4502491083193609</v>
      </c>
      <c r="M38">
        <f t="shared" si="1"/>
        <v>1.8195439355418688</v>
      </c>
      <c r="N38">
        <f t="shared" si="2"/>
        <v>2.5526682161121932</v>
      </c>
      <c r="O38">
        <f t="shared" si="3"/>
        <v>2.9216864754836021</v>
      </c>
      <c r="P38">
        <f t="shared" si="4"/>
        <v>2.651278013998144</v>
      </c>
      <c r="Q38">
        <f t="shared" si="5"/>
        <v>3.6606757883385241</v>
      </c>
      <c r="R38">
        <f t="shared" si="6"/>
        <v>0.12861617165131906</v>
      </c>
      <c r="S38">
        <f t="shared" si="7"/>
        <v>1.6542119610241567E-2</v>
      </c>
    </row>
    <row r="39" spans="3:19" ht="18.75" x14ac:dyDescent="0.2">
      <c r="C39">
        <f t="shared" si="8"/>
        <v>22</v>
      </c>
      <c r="D39">
        <v>1</v>
      </c>
      <c r="E39" s="101">
        <v>1694</v>
      </c>
      <c r="F39" s="101">
        <v>157</v>
      </c>
      <c r="G39" s="101">
        <v>348</v>
      </c>
      <c r="H39" s="101">
        <v>572</v>
      </c>
      <c r="I39" s="101">
        <v>340</v>
      </c>
      <c r="J39" s="101">
        <v>3587</v>
      </c>
      <c r="K39">
        <v>1</v>
      </c>
      <c r="L39">
        <f t="shared" si="0"/>
        <v>3.228913405994688</v>
      </c>
      <c r="M39">
        <f t="shared" si="1"/>
        <v>2.1958996524092336</v>
      </c>
      <c r="N39">
        <f t="shared" si="2"/>
        <v>2.5415792439465807</v>
      </c>
      <c r="O39">
        <f t="shared" si="3"/>
        <v>2.7573960287930244</v>
      </c>
      <c r="P39">
        <f t="shared" si="4"/>
        <v>2.5314789170422549</v>
      </c>
      <c r="Q39">
        <f t="shared" si="5"/>
        <v>3.5547313766759667</v>
      </c>
      <c r="R39">
        <f t="shared" si="6"/>
        <v>0.12210629805353455</v>
      </c>
      <c r="S39">
        <f t="shared" si="7"/>
        <v>1.4909948024338617E-2</v>
      </c>
    </row>
    <row r="40" spans="3:19" ht="18.75" x14ac:dyDescent="0.2">
      <c r="C40">
        <f t="shared" si="8"/>
        <v>23</v>
      </c>
      <c r="D40">
        <v>1</v>
      </c>
      <c r="E40" s="101">
        <v>3547</v>
      </c>
      <c r="F40" s="101">
        <v>77</v>
      </c>
      <c r="G40" s="101">
        <v>775</v>
      </c>
      <c r="H40" s="101">
        <v>593</v>
      </c>
      <c r="I40" s="101">
        <v>362</v>
      </c>
      <c r="J40" s="101">
        <v>5285</v>
      </c>
      <c r="K40">
        <v>1</v>
      </c>
      <c r="L40">
        <f t="shared" si="0"/>
        <v>3.5498611884719429</v>
      </c>
      <c r="M40">
        <f t="shared" si="1"/>
        <v>1.8864907251724818</v>
      </c>
      <c r="N40">
        <f t="shared" si="2"/>
        <v>2.8893017025063101</v>
      </c>
      <c r="O40">
        <f t="shared" si="3"/>
        <v>2.7730546933642626</v>
      </c>
      <c r="P40">
        <f t="shared" si="4"/>
        <v>2.5587085705331658</v>
      </c>
      <c r="Q40">
        <f t="shared" si="5"/>
        <v>3.7230449916434449</v>
      </c>
      <c r="R40">
        <f t="shared" si="6"/>
        <v>0.13154593871463027</v>
      </c>
      <c r="S40">
        <f t="shared" si="7"/>
        <v>1.7304333992313264E-2</v>
      </c>
    </row>
    <row r="41" spans="3:19" ht="18.75" x14ac:dyDescent="0.2">
      <c r="C41">
        <f t="shared" si="8"/>
        <v>24</v>
      </c>
      <c r="D41">
        <v>1</v>
      </c>
      <c r="E41" s="101">
        <v>1755</v>
      </c>
      <c r="F41" s="101">
        <v>100</v>
      </c>
      <c r="G41" s="101">
        <v>120</v>
      </c>
      <c r="H41" s="101">
        <v>747</v>
      </c>
      <c r="I41" s="101">
        <v>376</v>
      </c>
      <c r="J41" s="101">
        <v>2890</v>
      </c>
      <c r="K41">
        <v>1</v>
      </c>
      <c r="L41">
        <f t="shared" si="0"/>
        <v>3.2442771208018431</v>
      </c>
      <c r="M41">
        <f t="shared" si="1"/>
        <v>2</v>
      </c>
      <c r="N41">
        <f t="shared" si="2"/>
        <v>2.0791812460476247</v>
      </c>
      <c r="O41">
        <f t="shared" si="3"/>
        <v>2.8733206018153989</v>
      </c>
      <c r="P41">
        <f t="shared" si="4"/>
        <v>2.5751878449276608</v>
      </c>
      <c r="Q41">
        <f t="shared" si="5"/>
        <v>3.4608978427565478</v>
      </c>
      <c r="R41">
        <f t="shared" si="6"/>
        <v>0.12255817201845087</v>
      </c>
      <c r="S41">
        <f t="shared" si="7"/>
        <v>1.5020505528504195E-2</v>
      </c>
    </row>
    <row r="42" spans="3:19" ht="18.75" x14ac:dyDescent="0.2">
      <c r="C42">
        <f t="shared" si="8"/>
        <v>25</v>
      </c>
      <c r="D42">
        <v>1</v>
      </c>
      <c r="E42" s="101">
        <v>1866</v>
      </c>
      <c r="F42" s="101">
        <v>70</v>
      </c>
      <c r="G42" s="101">
        <v>262</v>
      </c>
      <c r="H42" s="101">
        <v>551</v>
      </c>
      <c r="I42" s="101">
        <v>462</v>
      </c>
      <c r="J42" s="101">
        <v>4022</v>
      </c>
      <c r="K42">
        <v>1</v>
      </c>
      <c r="L42">
        <f t="shared" si="0"/>
        <v>3.2709116394104814</v>
      </c>
      <c r="M42">
        <f t="shared" si="1"/>
        <v>1.8450980400142569</v>
      </c>
      <c r="N42">
        <f t="shared" si="2"/>
        <v>2.4183012913197452</v>
      </c>
      <c r="O42">
        <f t="shared" si="3"/>
        <v>2.7411515988517849</v>
      </c>
      <c r="P42">
        <f t="shared" si="4"/>
        <v>2.6646419755561257</v>
      </c>
      <c r="Q42">
        <f t="shared" si="5"/>
        <v>3.6044420662607233</v>
      </c>
      <c r="R42">
        <f t="shared" si="6"/>
        <v>0.12334154021282258</v>
      </c>
      <c r="S42">
        <f t="shared" si="7"/>
        <v>1.521313554207133E-2</v>
      </c>
    </row>
    <row r="43" spans="3:19" ht="18.75" x14ac:dyDescent="0.2">
      <c r="C43">
        <f t="shared" si="8"/>
        <v>26</v>
      </c>
      <c r="D43">
        <v>1</v>
      </c>
      <c r="E43" s="101">
        <v>2693</v>
      </c>
      <c r="F43" s="101">
        <v>151</v>
      </c>
      <c r="G43" s="101">
        <v>507</v>
      </c>
      <c r="H43" s="101">
        <v>840</v>
      </c>
      <c r="I43" s="101">
        <v>297</v>
      </c>
      <c r="J43" s="101">
        <v>4856</v>
      </c>
      <c r="K43">
        <v>1</v>
      </c>
      <c r="L43">
        <f t="shared" si="0"/>
        <v>3.4302363534115106</v>
      </c>
      <c r="M43">
        <f t="shared" si="1"/>
        <v>2.1789769472931693</v>
      </c>
      <c r="N43">
        <f t="shared" si="2"/>
        <v>2.705007959333336</v>
      </c>
      <c r="O43">
        <f t="shared" si="3"/>
        <v>2.9242792860618816</v>
      </c>
      <c r="P43">
        <f t="shared" si="4"/>
        <v>2.4727564493172123</v>
      </c>
      <c r="Q43">
        <f t="shared" si="5"/>
        <v>3.6862786780672012</v>
      </c>
      <c r="R43">
        <f t="shared" si="6"/>
        <v>0.12802756121285283</v>
      </c>
      <c r="S43">
        <f t="shared" si="7"/>
        <v>1.6391056430110778E-2</v>
      </c>
    </row>
    <row r="44" spans="3:19" ht="18.75" x14ac:dyDescent="0.2">
      <c r="C44">
        <f t="shared" si="8"/>
        <v>27</v>
      </c>
      <c r="D44">
        <v>1</v>
      </c>
      <c r="E44" s="101">
        <v>1187</v>
      </c>
      <c r="F44" s="101">
        <v>173</v>
      </c>
      <c r="G44" s="101">
        <v>152</v>
      </c>
      <c r="H44" s="101">
        <v>519</v>
      </c>
      <c r="I44" s="101">
        <v>297</v>
      </c>
      <c r="J44" s="101">
        <v>2987</v>
      </c>
      <c r="K44">
        <v>1</v>
      </c>
      <c r="L44">
        <f t="shared" si="0"/>
        <v>3.0744507189545911</v>
      </c>
      <c r="M44">
        <f t="shared" si="1"/>
        <v>2.2380461031287955</v>
      </c>
      <c r="N44">
        <f t="shared" si="2"/>
        <v>2.1818435879447726</v>
      </c>
      <c r="O44">
        <f t="shared" si="3"/>
        <v>2.7151673578484576</v>
      </c>
      <c r="P44">
        <f t="shared" si="4"/>
        <v>2.4727564493172123</v>
      </c>
      <c r="Q44">
        <f t="shared" si="5"/>
        <v>3.4752352226041281</v>
      </c>
      <c r="R44">
        <f t="shared" si="6"/>
        <v>0.11756327784647287</v>
      </c>
      <c r="S44">
        <f t="shared" si="7"/>
        <v>1.3821124298006979E-2</v>
      </c>
    </row>
    <row r="45" spans="3:19" ht="18.75" x14ac:dyDescent="0.2">
      <c r="C45">
        <f t="shared" si="8"/>
        <v>28</v>
      </c>
      <c r="D45">
        <v>1</v>
      </c>
      <c r="E45" s="101">
        <v>1276</v>
      </c>
      <c r="F45" s="101">
        <v>123</v>
      </c>
      <c r="G45" s="101">
        <v>475</v>
      </c>
      <c r="H45" s="101">
        <v>757</v>
      </c>
      <c r="I45" s="101">
        <v>453</v>
      </c>
      <c r="J45" s="101">
        <v>3978</v>
      </c>
      <c r="K45">
        <v>1</v>
      </c>
      <c r="L45">
        <f t="shared" si="0"/>
        <v>3.1058506743851435</v>
      </c>
      <c r="M45">
        <f t="shared" si="1"/>
        <v>2.0899051114393981</v>
      </c>
      <c r="N45">
        <f t="shared" si="2"/>
        <v>2.6766936096248664</v>
      </c>
      <c r="O45">
        <f t="shared" si="3"/>
        <v>2.8790958795000727</v>
      </c>
      <c r="P45">
        <f t="shared" si="4"/>
        <v>2.6560982020128319</v>
      </c>
      <c r="Q45">
        <f t="shared" si="5"/>
        <v>3.5996647787884166</v>
      </c>
      <c r="R45">
        <f t="shared" si="6"/>
        <v>0.11848680594737146</v>
      </c>
      <c r="S45">
        <f t="shared" si="7"/>
        <v>1.403912318361006E-2</v>
      </c>
    </row>
    <row r="46" spans="3:19" ht="18.75" x14ac:dyDescent="0.2">
      <c r="C46">
        <f t="shared" si="8"/>
        <v>29</v>
      </c>
      <c r="D46">
        <v>1</v>
      </c>
      <c r="E46" s="101">
        <v>1177</v>
      </c>
      <c r="F46" s="101">
        <v>145</v>
      </c>
      <c r="G46" s="101">
        <v>341</v>
      </c>
      <c r="H46" s="101">
        <v>200</v>
      </c>
      <c r="I46" s="101">
        <v>449</v>
      </c>
      <c r="J46" s="101">
        <v>2405</v>
      </c>
      <c r="K46">
        <v>1</v>
      </c>
      <c r="L46">
        <f t="shared" si="0"/>
        <v>3.0707764628434346</v>
      </c>
      <c r="M46">
        <f t="shared" si="1"/>
        <v>2.1613680022349748</v>
      </c>
      <c r="N46">
        <f t="shared" si="2"/>
        <v>2.5327543789924976</v>
      </c>
      <c r="O46">
        <f t="shared" si="3"/>
        <v>2.3010299956639813</v>
      </c>
      <c r="P46">
        <f t="shared" si="4"/>
        <v>2.6522463410033232</v>
      </c>
      <c r="Q46">
        <f t="shared" si="5"/>
        <v>3.3811150807098507</v>
      </c>
      <c r="R46">
        <f t="shared" si="6"/>
        <v>0.11745521149026239</v>
      </c>
      <c r="S46">
        <f t="shared" si="7"/>
        <v>1.3795726706222266E-2</v>
      </c>
    </row>
    <row r="47" spans="3:19" ht="18.75" x14ac:dyDescent="0.2">
      <c r="C47">
        <f t="shared" si="8"/>
        <v>30</v>
      </c>
      <c r="D47">
        <v>1</v>
      </c>
      <c r="E47" s="101">
        <v>1215</v>
      </c>
      <c r="F47" s="101">
        <v>90</v>
      </c>
      <c r="G47" s="101">
        <v>165</v>
      </c>
      <c r="H47" s="101">
        <v>587</v>
      </c>
      <c r="I47" s="101">
        <v>116</v>
      </c>
      <c r="J47" s="101">
        <v>2645</v>
      </c>
      <c r="K47">
        <v>1</v>
      </c>
      <c r="L47">
        <f t="shared" si="0"/>
        <v>3.0845762779343309</v>
      </c>
      <c r="M47">
        <f t="shared" si="1"/>
        <v>1.954242509439325</v>
      </c>
      <c r="N47">
        <f t="shared" si="2"/>
        <v>2.2174839442139063</v>
      </c>
      <c r="O47">
        <f t="shared" si="3"/>
        <v>2.7686381012476144</v>
      </c>
      <c r="P47">
        <f t="shared" si="4"/>
        <v>2.0644579892269186</v>
      </c>
      <c r="Q47">
        <f t="shared" si="5"/>
        <v>3.4224256763712044</v>
      </c>
      <c r="R47">
        <f t="shared" si="6"/>
        <v>0.11786108840470053</v>
      </c>
      <c r="S47">
        <f t="shared" si="7"/>
        <v>1.3891236159940633E-2</v>
      </c>
    </row>
    <row r="48" spans="3:19" ht="18.75" x14ac:dyDescent="0.2">
      <c r="C48">
        <f t="shared" si="8"/>
        <v>31</v>
      </c>
      <c r="D48">
        <v>1</v>
      </c>
      <c r="E48" s="101">
        <v>2580</v>
      </c>
      <c r="F48" s="101">
        <v>183</v>
      </c>
      <c r="G48" s="101">
        <v>167</v>
      </c>
      <c r="H48" s="101">
        <v>854</v>
      </c>
      <c r="I48" s="101">
        <v>261</v>
      </c>
      <c r="J48" s="101">
        <v>3958</v>
      </c>
      <c r="K48">
        <v>1</v>
      </c>
      <c r="L48">
        <f t="shared" si="0"/>
        <v>3.4116197059632301</v>
      </c>
      <c r="M48">
        <f t="shared" si="1"/>
        <v>2.2624510897304293</v>
      </c>
      <c r="N48">
        <f t="shared" si="2"/>
        <v>2.2227164711475833</v>
      </c>
      <c r="O48">
        <f t="shared" si="3"/>
        <v>2.9314578706890049</v>
      </c>
      <c r="P48">
        <f t="shared" si="4"/>
        <v>2.4166405073382808</v>
      </c>
      <c r="Q48">
        <f t="shared" si="5"/>
        <v>3.5974757898703773</v>
      </c>
      <c r="R48">
        <f t="shared" si="6"/>
        <v>0.12748001275849166</v>
      </c>
      <c r="S48">
        <f t="shared" si="7"/>
        <v>1.6251153652905196E-2</v>
      </c>
    </row>
    <row r="49" spans="1:19" ht="18.75" x14ac:dyDescent="0.2">
      <c r="C49">
        <f t="shared" si="8"/>
        <v>32</v>
      </c>
      <c r="D49">
        <v>1</v>
      </c>
      <c r="E49" s="101">
        <v>2837</v>
      </c>
      <c r="F49" s="101">
        <v>67</v>
      </c>
      <c r="G49" s="101">
        <v>172</v>
      </c>
      <c r="H49" s="101">
        <v>484</v>
      </c>
      <c r="I49" s="101">
        <v>342</v>
      </c>
      <c r="J49" s="101">
        <v>4528</v>
      </c>
      <c r="K49">
        <v>1</v>
      </c>
      <c r="L49">
        <f t="shared" si="0"/>
        <v>3.4528593357958521</v>
      </c>
      <c r="M49">
        <f t="shared" si="1"/>
        <v>1.8260748027008264</v>
      </c>
      <c r="N49">
        <f t="shared" si="2"/>
        <v>2.2355284469075487</v>
      </c>
      <c r="O49">
        <f t="shared" si="3"/>
        <v>2.6848453616444123</v>
      </c>
      <c r="P49">
        <f t="shared" si="4"/>
        <v>2.5340261060561349</v>
      </c>
      <c r="Q49">
        <f t="shared" si="5"/>
        <v>3.6559064181802152</v>
      </c>
      <c r="R49">
        <f t="shared" si="6"/>
        <v>0.12869294304768641</v>
      </c>
      <c r="S49">
        <f t="shared" si="7"/>
        <v>1.6561873590275059E-2</v>
      </c>
    </row>
    <row r="50" spans="1:19" ht="18.75" x14ac:dyDescent="0.2">
      <c r="C50">
        <f t="shared" si="8"/>
        <v>33</v>
      </c>
      <c r="D50">
        <v>1</v>
      </c>
      <c r="E50" s="101">
        <v>2709</v>
      </c>
      <c r="F50" s="101">
        <v>104</v>
      </c>
      <c r="G50" s="101">
        <v>595</v>
      </c>
      <c r="H50" s="101">
        <v>713</v>
      </c>
      <c r="I50" s="101">
        <v>277</v>
      </c>
      <c r="J50" s="101">
        <v>5154</v>
      </c>
      <c r="K50">
        <v>1</v>
      </c>
      <c r="L50">
        <f t="shared" si="0"/>
        <v>3.4328090050331683</v>
      </c>
      <c r="M50">
        <f t="shared" si="1"/>
        <v>2.0170333392987803</v>
      </c>
      <c r="N50">
        <f t="shared" si="2"/>
        <v>2.7745169657285498</v>
      </c>
      <c r="O50">
        <f t="shared" si="3"/>
        <v>2.8530895298518657</v>
      </c>
      <c r="P50">
        <f t="shared" si="4"/>
        <v>2.4424797690644486</v>
      </c>
      <c r="Q50">
        <f t="shared" si="5"/>
        <v>3.7121444142148858</v>
      </c>
      <c r="R50">
        <f t="shared" si="6"/>
        <v>0.12810322743701927</v>
      </c>
      <c r="S50">
        <f t="shared" si="7"/>
        <v>1.6410436879780686E-2</v>
      </c>
    </row>
    <row r="51" spans="1:19" ht="18.75" x14ac:dyDescent="0.2">
      <c r="C51">
        <f t="shared" si="8"/>
        <v>34</v>
      </c>
      <c r="D51">
        <v>1</v>
      </c>
      <c r="E51" s="101">
        <v>1638</v>
      </c>
      <c r="F51" s="101">
        <v>62</v>
      </c>
      <c r="G51" s="101">
        <v>447</v>
      </c>
      <c r="H51" s="101">
        <v>538</v>
      </c>
      <c r="I51" s="101">
        <v>165</v>
      </c>
      <c r="J51" s="101">
        <v>3347</v>
      </c>
      <c r="K51">
        <v>1</v>
      </c>
      <c r="L51">
        <f t="shared" si="0"/>
        <v>3.2143138974243999</v>
      </c>
      <c r="M51">
        <f t="shared" si="1"/>
        <v>1.7923916894982539</v>
      </c>
      <c r="N51">
        <f t="shared" si="2"/>
        <v>2.6503075231319366</v>
      </c>
      <c r="O51">
        <f t="shared" si="3"/>
        <v>2.7307822756663893</v>
      </c>
      <c r="P51">
        <f t="shared" si="4"/>
        <v>2.2174839442139063</v>
      </c>
      <c r="Q51">
        <f t="shared" si="5"/>
        <v>3.5246557123577773</v>
      </c>
      <c r="R51">
        <f t="shared" si="6"/>
        <v>0.12167690074264371</v>
      </c>
      <c r="S51">
        <f t="shared" si="7"/>
        <v>1.4805268174335171E-2</v>
      </c>
    </row>
    <row r="52" spans="1:19" x14ac:dyDescent="0.2">
      <c r="C52" s="2" t="s">
        <v>184</v>
      </c>
      <c r="D52" s="2">
        <f>SUM(D18:D51)/34</f>
        <v>1</v>
      </c>
      <c r="E52" s="102">
        <f t="shared" ref="E52:J52" si="9">SUM(E18:E51)/34</f>
        <v>2020.6470588235295</v>
      </c>
      <c r="F52" s="102">
        <f t="shared" si="9"/>
        <v>108.94117647058823</v>
      </c>
      <c r="G52" s="102">
        <f t="shared" si="9"/>
        <v>334.70588235294116</v>
      </c>
      <c r="H52" s="102">
        <f t="shared" si="9"/>
        <v>662.11764705882354</v>
      </c>
      <c r="I52" s="102">
        <f t="shared" si="9"/>
        <v>329.76470588235293</v>
      </c>
      <c r="J52" s="102">
        <f t="shared" si="9"/>
        <v>3822.8823529411766</v>
      </c>
      <c r="L52" s="102">
        <f t="shared" ref="L52:S52" si="10">SUM(L18:L51)/34</f>
        <v>3.2845109156883212</v>
      </c>
      <c r="M52" s="102">
        <f t="shared" si="10"/>
        <v>2.0141730252644026</v>
      </c>
      <c r="N52" s="102">
        <f t="shared" si="10"/>
        <v>2.4584122020482804</v>
      </c>
      <c r="O52" s="102">
        <f t="shared" si="10"/>
        <v>2.7934345210557083</v>
      </c>
      <c r="P52" s="102">
        <f t="shared" si="10"/>
        <v>2.4783573946635413</v>
      </c>
      <c r="Q52" s="102">
        <f t="shared" si="10"/>
        <v>3.5725174058090241</v>
      </c>
      <c r="R52" s="102">
        <f t="shared" si="10"/>
        <v>0.12374151892687667</v>
      </c>
      <c r="S52" s="102">
        <f t="shared" si="10"/>
        <v>1.53277046093338E-2</v>
      </c>
    </row>
    <row r="53" spans="1:19" x14ac:dyDescent="0.2">
      <c r="C53" s="2" t="s">
        <v>160</v>
      </c>
      <c r="D53" s="2"/>
      <c r="E53" s="102">
        <f t="shared" ref="E53:J53" si="11">SKEW(E18:E51)</f>
        <v>0.57668979945059873</v>
      </c>
      <c r="F53" s="102">
        <f t="shared" si="11"/>
        <v>0.61756396286631088</v>
      </c>
      <c r="G53" s="102">
        <f t="shared" si="11"/>
        <v>1.3325085116502984</v>
      </c>
      <c r="H53" s="102">
        <f t="shared" si="11"/>
        <v>-0.18076731678680225</v>
      </c>
      <c r="I53" s="102">
        <f t="shared" si="11"/>
        <v>-0.44388340096165296</v>
      </c>
      <c r="J53" s="102">
        <f t="shared" si="11"/>
        <v>0.19434812919606986</v>
      </c>
      <c r="L53" s="102">
        <f t="shared" ref="L53:Q53" si="12">SKEW(L18:L51)</f>
        <v>9.4734707908206775E-2</v>
      </c>
      <c r="M53" s="102">
        <f t="shared" si="12"/>
        <v>0.19482506684167647</v>
      </c>
      <c r="N53" s="102">
        <f t="shared" si="12"/>
        <v>0.4480373420616342</v>
      </c>
      <c r="O53" s="102">
        <f t="shared" si="12"/>
        <v>-1.1823825707197377</v>
      </c>
      <c r="P53" s="102">
        <f t="shared" si="12"/>
        <v>-1.1749931306167927</v>
      </c>
      <c r="Q53" s="102">
        <f t="shared" si="12"/>
        <v>-0.26354676608324173</v>
      </c>
    </row>
    <row r="54" spans="1:19" x14ac:dyDescent="0.2">
      <c r="C54" t="s">
        <v>159</v>
      </c>
      <c r="E54" s="103">
        <f t="shared" ref="E54:J54" si="13">KURT(E18:E51)</f>
        <v>-0.61190883311038924</v>
      </c>
      <c r="F54" s="103">
        <f t="shared" si="13"/>
        <v>-0.74519927047060897</v>
      </c>
      <c r="G54" s="103">
        <f t="shared" si="13"/>
        <v>1.3504097722609916</v>
      </c>
      <c r="H54" s="103">
        <f t="shared" si="13"/>
        <v>-0.60804374853335608</v>
      </c>
      <c r="I54" s="103">
        <f t="shared" si="13"/>
        <v>-0.81028269101110606</v>
      </c>
      <c r="J54" s="103">
        <f t="shared" si="13"/>
        <v>-0.45481167170242154</v>
      </c>
      <c r="L54" s="103">
        <f t="shared" ref="L54:Q54" si="14">KURT(L18:L51)</f>
        <v>-0.9227007278254864</v>
      </c>
      <c r="M54" s="103">
        <f t="shared" si="14"/>
        <v>-1.1028267403026488</v>
      </c>
      <c r="N54" s="103">
        <f t="shared" si="14"/>
        <v>-0.79671776271223793</v>
      </c>
      <c r="O54" s="103">
        <f t="shared" si="14"/>
        <v>1.7524505411903761</v>
      </c>
      <c r="P54" s="103">
        <f t="shared" si="14"/>
        <v>0.5324501096651364</v>
      </c>
      <c r="Q54" s="103">
        <f t="shared" si="14"/>
        <v>-0.49760544317884436</v>
      </c>
    </row>
    <row r="55" spans="1:19" x14ac:dyDescent="0.2">
      <c r="C55" t="s">
        <v>185</v>
      </c>
    </row>
    <row r="57" spans="1:19" x14ac:dyDescent="0.2">
      <c r="C57" t="s">
        <v>187</v>
      </c>
      <c r="D57" s="103">
        <f>R52</f>
        <v>0.12374151892687667</v>
      </c>
    </row>
    <row r="59" spans="1:19" x14ac:dyDescent="0.2">
      <c r="C59" t="s">
        <v>188</v>
      </c>
    </row>
    <row r="62" spans="1:19" ht="15" thickBot="1" x14ac:dyDescent="0.25">
      <c r="A62" t="s">
        <v>174</v>
      </c>
      <c r="C62" s="2"/>
      <c r="D62" s="2"/>
      <c r="E62" s="2"/>
      <c r="F62" s="2"/>
      <c r="G62" s="2"/>
      <c r="H62" s="2"/>
      <c r="I62" t="s">
        <v>183</v>
      </c>
    </row>
    <row r="63" spans="1:19" x14ac:dyDescent="0.2">
      <c r="A63" s="99"/>
      <c r="B63" s="99" t="s">
        <v>168</v>
      </c>
      <c r="C63" s="99" t="s">
        <v>169</v>
      </c>
      <c r="D63" s="99" t="s">
        <v>170</v>
      </c>
      <c r="E63" s="99" t="s">
        <v>171</v>
      </c>
      <c r="F63" s="99" t="s">
        <v>172</v>
      </c>
      <c r="G63" s="99" t="s">
        <v>173</v>
      </c>
      <c r="I63" s="99"/>
      <c r="J63" s="99" t="s">
        <v>156</v>
      </c>
      <c r="K63" s="99" t="s">
        <v>157</v>
      </c>
      <c r="L63" s="99" t="s">
        <v>179</v>
      </c>
      <c r="M63" s="99" t="s">
        <v>180</v>
      </c>
      <c r="N63" s="99" t="s">
        <v>181</v>
      </c>
      <c r="O63" s="99" t="s">
        <v>182</v>
      </c>
    </row>
    <row r="64" spans="1:19" x14ac:dyDescent="0.2">
      <c r="A64" s="90" t="s">
        <v>168</v>
      </c>
      <c r="B64" s="90">
        <v>1</v>
      </c>
      <c r="C64" s="90"/>
      <c r="D64" s="90"/>
      <c r="E64" s="90"/>
      <c r="F64" s="90"/>
      <c r="G64" s="90"/>
      <c r="I64" s="90" t="s">
        <v>156</v>
      </c>
      <c r="J64" s="90">
        <v>1</v>
      </c>
      <c r="K64" s="90"/>
      <c r="L64" s="90"/>
      <c r="M64" s="90"/>
      <c r="N64" s="90"/>
      <c r="O64" s="90"/>
    </row>
    <row r="65" spans="1:15" x14ac:dyDescent="0.2">
      <c r="A65" s="90" t="s">
        <v>169</v>
      </c>
      <c r="B65" s="90">
        <v>-0.14953712632973185</v>
      </c>
      <c r="C65" s="90">
        <v>1</v>
      </c>
      <c r="D65" s="90">
        <f>C66</f>
        <v>-1.8746326207437349E-2</v>
      </c>
      <c r="E65" s="90"/>
      <c r="F65" s="90"/>
      <c r="G65" s="90"/>
      <c r="I65" s="90" t="s">
        <v>157</v>
      </c>
      <c r="J65" s="90">
        <v>-0.14025379549990696</v>
      </c>
      <c r="K65" s="90">
        <v>1</v>
      </c>
      <c r="L65" s="90"/>
      <c r="M65" s="90"/>
      <c r="N65" s="90"/>
      <c r="O65" s="90"/>
    </row>
    <row r="66" spans="1:15" x14ac:dyDescent="0.2">
      <c r="A66" s="90" t="s">
        <v>170</v>
      </c>
      <c r="B66" s="90">
        <v>0.30919578428922567</v>
      </c>
      <c r="C66" s="90">
        <v>-1.8746326207437349E-2</v>
      </c>
      <c r="D66" s="90">
        <v>1</v>
      </c>
      <c r="E66" s="90"/>
      <c r="F66" s="90"/>
      <c r="G66" s="90"/>
      <c r="I66" s="90" t="s">
        <v>179</v>
      </c>
      <c r="J66" s="90">
        <v>0.22977072898695569</v>
      </c>
      <c r="K66" s="90">
        <v>1.0901662287879452E-2</v>
      </c>
      <c r="L66" s="90">
        <v>1</v>
      </c>
      <c r="M66" s="90"/>
      <c r="N66" s="90"/>
      <c r="O66" s="90"/>
    </row>
    <row r="67" spans="1:15" x14ac:dyDescent="0.2">
      <c r="A67" s="90" t="s">
        <v>171</v>
      </c>
      <c r="B67" s="90">
        <v>0.28623837780982481</v>
      </c>
      <c r="C67" s="90">
        <v>0.34688416893233048</v>
      </c>
      <c r="D67" s="90">
        <v>0.10607497492992594</v>
      </c>
      <c r="E67" s="90">
        <v>1</v>
      </c>
      <c r="F67" s="90"/>
      <c r="G67" s="90"/>
      <c r="I67" s="90" t="s">
        <v>180</v>
      </c>
      <c r="J67" s="90">
        <v>0.35832971688010268</v>
      </c>
      <c r="K67" s="90">
        <v>0.23862152783328427</v>
      </c>
      <c r="L67" s="90">
        <v>5.6031942169333639E-2</v>
      </c>
      <c r="M67" s="90">
        <v>1</v>
      </c>
      <c r="N67" s="90"/>
      <c r="O67" s="90"/>
    </row>
    <row r="68" spans="1:15" x14ac:dyDescent="0.2">
      <c r="A68" s="90" t="s">
        <v>172</v>
      </c>
      <c r="B68" s="90">
        <v>-9.0856008212240685E-2</v>
      </c>
      <c r="C68" s="90">
        <v>1.0074314851655129E-2</v>
      </c>
      <c r="D68" s="90">
        <v>-0.10607147238027473</v>
      </c>
      <c r="E68" s="90">
        <v>1.1088323938580297E-2</v>
      </c>
      <c r="F68" s="90">
        <v>1</v>
      </c>
      <c r="G68" s="90"/>
      <c r="I68" s="90" t="s">
        <v>181</v>
      </c>
      <c r="J68" s="90">
        <v>-8.5197089026520165E-2</v>
      </c>
      <c r="K68" s="90">
        <v>-1.3791541377922083E-2</v>
      </c>
      <c r="L68" s="90">
        <v>-4.1810820778037515E-2</v>
      </c>
      <c r="M68" s="90">
        <v>-1.071710786812609E-2</v>
      </c>
      <c r="N68" s="90">
        <v>1</v>
      </c>
      <c r="O68" s="90"/>
    </row>
    <row r="69" spans="1:15" ht="15" thickBot="1" x14ac:dyDescent="0.25">
      <c r="A69" s="98" t="s">
        <v>173</v>
      </c>
      <c r="B69" s="98">
        <v>0.79672230130053967</v>
      </c>
      <c r="C69" s="98">
        <v>-6.035294966957214E-3</v>
      </c>
      <c r="D69" s="98">
        <v>0.58331861982194189</v>
      </c>
      <c r="E69" s="98">
        <v>0.51171552732586834</v>
      </c>
      <c r="F69" s="98">
        <v>1.0860569892100444E-2</v>
      </c>
      <c r="G69" s="98">
        <v>1</v>
      </c>
      <c r="I69" s="98" t="s">
        <v>182</v>
      </c>
      <c r="J69" s="98">
        <v>0.79437435232879106</v>
      </c>
      <c r="K69" s="98">
        <v>1.8789162039583245E-2</v>
      </c>
      <c r="L69" s="98">
        <v>0.51549244614503187</v>
      </c>
      <c r="M69" s="98">
        <v>0.55779326003066332</v>
      </c>
      <c r="N69" s="98">
        <v>4.9565212253780098E-3</v>
      </c>
      <c r="O69" s="98">
        <v>1</v>
      </c>
    </row>
    <row r="72" spans="1:15" x14ac:dyDescent="0.2">
      <c r="I72" t="s">
        <v>189</v>
      </c>
    </row>
    <row r="73" spans="1:15" ht="15" x14ac:dyDescent="0.25">
      <c r="J73" s="104">
        <f t="array" ref="J73:O77">MMULT(TRANSPOSE(K18:Q51),K18:Q51)</f>
        <v>34</v>
      </c>
      <c r="K73">
        <v>111.67337113340292</v>
      </c>
      <c r="L73">
        <v>68.481882858989692</v>
      </c>
      <c r="M73">
        <v>83.586014869641531</v>
      </c>
      <c r="N73">
        <v>94.976773715894083</v>
      </c>
      <c r="O73">
        <v>84.264151418560402</v>
      </c>
    </row>
    <row r="74" spans="1:15" ht="15" x14ac:dyDescent="0.25">
      <c r="J74">
        <v>111.67337113340292</v>
      </c>
      <c r="K74" s="104">
        <v>367.41109479181347</v>
      </c>
      <c r="L74">
        <v>224.83897957077991</v>
      </c>
      <c r="M74">
        <v>274.78570221043435</v>
      </c>
      <c r="N74">
        <v>312.22414902571131</v>
      </c>
      <c r="O74">
        <v>276.68701875635168</v>
      </c>
    </row>
    <row r="75" spans="1:15" ht="15" x14ac:dyDescent="0.25">
      <c r="J75">
        <v>68.481882858989692</v>
      </c>
      <c r="K75">
        <v>224.83897957077991</v>
      </c>
      <c r="L75" s="104">
        <v>138.6075131833199</v>
      </c>
      <c r="M75">
        <v>168.36889694447549</v>
      </c>
      <c r="N75">
        <v>191.48852219799278</v>
      </c>
      <c r="O75">
        <v>169.70915589692774</v>
      </c>
    </row>
    <row r="76" spans="1:15" ht="15" x14ac:dyDescent="0.25">
      <c r="J76">
        <v>83.586014869641531</v>
      </c>
      <c r="K76">
        <v>274.78570221043435</v>
      </c>
      <c r="L76">
        <v>168.36889694447549</v>
      </c>
      <c r="M76" s="104">
        <v>207.34949593130213</v>
      </c>
      <c r="N76">
        <v>233.56579090820864</v>
      </c>
      <c r="O76">
        <v>207.08835391998133</v>
      </c>
    </row>
    <row r="77" spans="1:15" ht="15" x14ac:dyDescent="0.25">
      <c r="J77">
        <v>94.976773715894083</v>
      </c>
      <c r="K77">
        <v>312.22414902571131</v>
      </c>
      <c r="L77">
        <v>191.48852219799278</v>
      </c>
      <c r="M77">
        <v>233.56579090820864</v>
      </c>
      <c r="N77" s="104">
        <v>266.24202982824136</v>
      </c>
      <c r="O77">
        <v>235.37412332554868</v>
      </c>
    </row>
    <row r="79" spans="1:15" x14ac:dyDescent="0.2">
      <c r="I79" t="s">
        <v>190</v>
      </c>
    </row>
    <row r="80" spans="1:15" x14ac:dyDescent="0.2">
      <c r="J80">
        <f t="array" ref="J80:J84">MMULT(TRANSPOSE(K18:P51),Q18:Q51)</f>
        <v>121.46559179750682</v>
      </c>
    </row>
    <row r="81" spans="9:11" x14ac:dyDescent="0.2">
      <c r="J81">
        <v>399.29591738249542</v>
      </c>
    </row>
    <row r="82" spans="9:11" x14ac:dyDescent="0.2">
      <c r="J82">
        <v>244.66112804703184</v>
      </c>
    </row>
    <row r="83" spans="9:11" x14ac:dyDescent="0.2">
      <c r="J83">
        <v>298.99607623537065</v>
      </c>
    </row>
    <row r="84" spans="9:11" x14ac:dyDescent="0.2">
      <c r="J84">
        <v>339.59971970764974</v>
      </c>
    </row>
    <row r="87" spans="9:11" x14ac:dyDescent="0.2">
      <c r="I87" s="12" t="s">
        <v>20</v>
      </c>
      <c r="J87" s="2"/>
      <c r="K87" s="2"/>
    </row>
    <row r="88" spans="9:11" x14ac:dyDescent="0.2">
      <c r="I88" s="2" t="s">
        <v>21</v>
      </c>
      <c r="J88" s="2"/>
      <c r="K88" s="2"/>
    </row>
    <row r="89" spans="9:11" x14ac:dyDescent="0.2">
      <c r="I89" s="8" t="s">
        <v>23</v>
      </c>
      <c r="J89" s="8">
        <f t="array" ref="J89:J94">MMULT(J73:N77,J80:J84)</f>
        <v>122721.38221291701</v>
      </c>
      <c r="K89" s="8">
        <v>0</v>
      </c>
    </row>
    <row r="90" spans="9:11" x14ac:dyDescent="0.2">
      <c r="I90" s="8" t="s">
        <v>25</v>
      </c>
      <c r="J90" s="8">
        <v>403470.66089646803</v>
      </c>
      <c r="K90" s="8">
        <v>0</v>
      </c>
    </row>
    <row r="91" spans="9:11" x14ac:dyDescent="0.2">
      <c r="I91" s="8" t="s">
        <v>24</v>
      </c>
      <c r="J91" s="8">
        <v>247378.43758330442</v>
      </c>
      <c r="K91" s="8">
        <v>0</v>
      </c>
    </row>
    <row r="92" spans="9:11" x14ac:dyDescent="0.2">
      <c r="I92" s="105" t="s">
        <v>191</v>
      </c>
      <c r="J92" s="8">
        <v>302382.52088287909</v>
      </c>
    </row>
    <row r="93" spans="9:11" x14ac:dyDescent="0.2">
      <c r="I93" s="105" t="s">
        <v>192</v>
      </c>
      <c r="J93" s="8">
        <v>343307.00961806125</v>
      </c>
    </row>
    <row r="94" spans="9:11" x14ac:dyDescent="0.2">
      <c r="I94" s="105" t="s">
        <v>193</v>
      </c>
      <c r="J94" s="8" t="e">
        <v>#N/A</v>
      </c>
    </row>
    <row r="95" spans="9:11" x14ac:dyDescent="0.2">
      <c r="J9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1"/>
  <sheetViews>
    <sheetView tabSelected="1" topLeftCell="A32" workbookViewId="0">
      <selection activeCell="E12" sqref="E12"/>
    </sheetView>
  </sheetViews>
  <sheetFormatPr defaultColWidth="8.5" defaultRowHeight="12.75" x14ac:dyDescent="0.2"/>
  <cols>
    <col min="1" max="1" width="16.5" style="2" customWidth="1"/>
    <col min="2" max="2" width="10.75" style="2" customWidth="1"/>
    <col min="3" max="3" width="9.75" style="2" customWidth="1"/>
    <col min="4" max="4" width="10.625" style="2" customWidth="1"/>
    <col min="5" max="5" width="12.625" style="2" customWidth="1"/>
    <col min="6" max="6" width="11.125" style="2" customWidth="1"/>
    <col min="7" max="7" width="12" style="2" customWidth="1"/>
    <col min="8" max="8" width="10" style="2" customWidth="1"/>
    <col min="9" max="9" width="8.625" style="2" customWidth="1"/>
    <col min="10" max="10" width="12.25" style="2" customWidth="1"/>
    <col min="11" max="11" width="8.5" style="2" customWidth="1"/>
    <col min="12" max="12" width="11.125" style="2" customWidth="1"/>
    <col min="13" max="17" width="8.5" style="2"/>
    <col min="18" max="18" width="13.875" style="2" customWidth="1"/>
    <col min="19" max="16384" width="8.5" style="2"/>
  </cols>
  <sheetData>
    <row r="1" spans="1:22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5.7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 s="2" t="s">
        <v>166</v>
      </c>
    </row>
    <row r="3" spans="1:22" ht="18.75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2">
        <f t="array" ref="Q3:S5">CORREL(H12:H45,I12:I45)</f>
        <v>-8.5197089026520165E-2</v>
      </c>
      <c r="R3" s="2">
        <v>-8.5197089026520165E-2</v>
      </c>
      <c r="S3" s="2">
        <v>-8.5197089026520165E-2</v>
      </c>
    </row>
    <row r="4" spans="1:22" ht="15.75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2">
        <v>-8.5197089026520165E-2</v>
      </c>
      <c r="R4" s="2">
        <v>-8.5197089026520165E-2</v>
      </c>
      <c r="S4" s="2">
        <v>-8.5197089026520165E-2</v>
      </c>
    </row>
    <row r="5" spans="1:22" ht="53.25" customHeight="1" x14ac:dyDescent="0.2">
      <c r="L5" s="7"/>
      <c r="Q5" s="2">
        <v>-8.5197089026520165E-2</v>
      </c>
      <c r="R5" s="2">
        <v>-8.5197089026520165E-2</v>
      </c>
      <c r="S5" s="2">
        <v>-8.5197089026520165E-2</v>
      </c>
    </row>
    <row r="6" spans="1:22" x14ac:dyDescent="0.2">
      <c r="A6" s="8" t="s">
        <v>4</v>
      </c>
      <c r="B6" s="8">
        <v>34</v>
      </c>
      <c r="C6" s="9" t="s">
        <v>5</v>
      </c>
      <c r="L6" s="7"/>
      <c r="Q6" s="2" t="s">
        <v>167</v>
      </c>
    </row>
    <row r="7" spans="1:22" x14ac:dyDescent="0.2">
      <c r="A7" s="8" t="s">
        <v>6</v>
      </c>
      <c r="B7" s="8">
        <f>COUNT(Q29:Q31)</f>
        <v>3</v>
      </c>
      <c r="C7" s="9" t="s">
        <v>7</v>
      </c>
      <c r="L7" s="7"/>
      <c r="Q7" s="2">
        <f t="array" ref="Q7:S9">_xlfn.COVARIANCE.S(B12:B45,C12:C45)</f>
        <v>-7173.3279857397501</v>
      </c>
      <c r="R7" s="2">
        <v>-7173.3279857397501</v>
      </c>
      <c r="S7" s="2">
        <v>-7173.3279857397501</v>
      </c>
    </row>
    <row r="8" spans="1:22" x14ac:dyDescent="0.2">
      <c r="A8" s="8" t="s">
        <v>8</v>
      </c>
      <c r="B8" s="8">
        <f>COUNTA(B11:C11)</f>
        <v>2</v>
      </c>
      <c r="C8" s="9" t="s">
        <v>9</v>
      </c>
      <c r="L8" s="7"/>
      <c r="Q8" s="2">
        <v>-7173.3279857397501</v>
      </c>
      <c r="R8" s="2">
        <v>-7173.3279857397501</v>
      </c>
      <c r="S8" s="2">
        <v>-7173.3279857397501</v>
      </c>
    </row>
    <row r="9" spans="1:22" x14ac:dyDescent="0.2">
      <c r="A9" s="8" t="s">
        <v>10</v>
      </c>
      <c r="B9" s="8">
        <v>29</v>
      </c>
      <c r="C9" s="9" t="s">
        <v>11</v>
      </c>
      <c r="L9" s="7"/>
      <c r="Q9" s="2">
        <v>-7173.3279857397501</v>
      </c>
      <c r="R9" s="2">
        <v>-7173.3279857397501</v>
      </c>
      <c r="S9" s="2">
        <v>-7173.3279857397501</v>
      </c>
    </row>
    <row r="10" spans="1:22" x14ac:dyDescent="0.2">
      <c r="L10" s="7"/>
    </row>
    <row r="11" spans="1:22" ht="57" x14ac:dyDescent="0.2">
      <c r="A11" s="93" t="s">
        <v>12</v>
      </c>
      <c r="B11" s="94" t="s">
        <v>154</v>
      </c>
      <c r="C11" s="94" t="s">
        <v>155</v>
      </c>
      <c r="D11" s="94" t="s">
        <v>153</v>
      </c>
      <c r="E11" s="93" t="s">
        <v>14</v>
      </c>
      <c r="F11" s="93" t="s">
        <v>15</v>
      </c>
      <c r="G11" s="93" t="s">
        <v>12</v>
      </c>
      <c r="H11" s="95" t="s">
        <v>156</v>
      </c>
      <c r="I11" s="95" t="s">
        <v>157</v>
      </c>
      <c r="J11" s="95" t="s">
        <v>158</v>
      </c>
      <c r="K11" s="93" t="s">
        <v>14</v>
      </c>
      <c r="L11" s="93" t="s">
        <v>15</v>
      </c>
      <c r="M11" s="2" t="s">
        <v>163</v>
      </c>
    </row>
    <row r="12" spans="1:22" ht="18.75" x14ac:dyDescent="0.2">
      <c r="A12" s="95">
        <v>1</v>
      </c>
      <c r="B12" s="101">
        <v>1757</v>
      </c>
      <c r="C12" s="101">
        <v>254</v>
      </c>
      <c r="D12" s="101">
        <v>2530</v>
      </c>
      <c r="E12" s="96">
        <f>$Q$29+$Q$30*B12+$Q$31*C12</f>
        <v>985.79393285981337</v>
      </c>
      <c r="F12" s="97">
        <f t="shared" ref="F12:F45" si="0">D12-E12</f>
        <v>1544.2060671401866</v>
      </c>
      <c r="G12" s="95">
        <v>1</v>
      </c>
      <c r="H12" s="2">
        <f t="shared" ref="H12:H45" si="1">LOG10(B12)</f>
        <v>3.2447717614952949</v>
      </c>
      <c r="I12" s="2">
        <f t="shared" ref="I12:I45" si="2">LOG10(C12)</f>
        <v>2.4048337166199381</v>
      </c>
      <c r="J12" s="2">
        <f t="shared" ref="J12:J45" si="3">LOG10(D12)</f>
        <v>3.403120521175818</v>
      </c>
      <c r="K12" s="96">
        <f>$Q$29+$Q$30*H12+$Q$31*I12</f>
        <v>3.5479785749687407</v>
      </c>
      <c r="L12" s="97">
        <f>ABS(J12-K12)</f>
        <v>0.14485805379292271</v>
      </c>
      <c r="M12" s="2">
        <f>ABS((J12-K12)/J12)</f>
        <v>4.2566242626891321E-2</v>
      </c>
      <c r="N12" s="2">
        <f>IF(M12&lt;=0.25,1,0)</f>
        <v>1</v>
      </c>
      <c r="O12" s="2">
        <f>G8131</f>
        <v>0</v>
      </c>
      <c r="P12" s="114" t="s">
        <v>201</v>
      </c>
      <c r="Q12" s="114"/>
      <c r="R12" s="114"/>
      <c r="T12" s="12" t="s">
        <v>16</v>
      </c>
    </row>
    <row r="13" spans="1:22" ht="18.75" x14ac:dyDescent="0.2">
      <c r="A13" s="95">
        <v>1</v>
      </c>
      <c r="B13" s="101">
        <v>1533</v>
      </c>
      <c r="C13" s="101">
        <v>430</v>
      </c>
      <c r="D13" s="101">
        <v>4659</v>
      </c>
      <c r="E13" s="92">
        <f t="shared" ref="E13:E45" si="4">$Q$29+$Q$30*B13+$Q$31*C13</f>
        <v>867.33766839770885</v>
      </c>
      <c r="F13" s="13">
        <f t="shared" si="0"/>
        <v>3791.662331602291</v>
      </c>
      <c r="G13" s="95">
        <v>1</v>
      </c>
      <c r="H13" s="2">
        <f t="shared" si="1"/>
        <v>3.185542154854375</v>
      </c>
      <c r="I13" s="2">
        <f t="shared" si="2"/>
        <v>2.6334684555795866</v>
      </c>
      <c r="J13" s="2">
        <f t="shared" si="3"/>
        <v>3.6682927104482208</v>
      </c>
      <c r="K13" s="92">
        <f t="shared" ref="K13:K45" si="5">$Q$29+$Q$30*H13+$Q$31*I13</f>
        <v>3.5227826622489555</v>
      </c>
      <c r="L13" s="97">
        <f t="shared" ref="L13:L45" si="6">ABS(J13-K13)</f>
        <v>0.14551004819926527</v>
      </c>
      <c r="M13" s="2">
        <f t="shared" ref="M13:M45" si="7">ABS((J13-K13)/J13)</f>
        <v>3.9666967629059711E-2</v>
      </c>
      <c r="N13" s="2">
        <f t="shared" ref="N13:N44" si="8">IF(M13&lt;=0.25,1,0)</f>
        <v>1</v>
      </c>
      <c r="P13" s="8">
        <f t="array" ref="P13:R15">MMULT(TRANSPOSE(G12:I45),G12:I45)</f>
        <v>34</v>
      </c>
      <c r="Q13" s="8">
        <v>111.67337113340292</v>
      </c>
      <c r="R13" s="8">
        <v>84.264151418560402</v>
      </c>
      <c r="T13" s="10" t="s">
        <v>17</v>
      </c>
      <c r="U13" s="10" t="s">
        <v>18</v>
      </c>
      <c r="V13" s="10" t="s">
        <v>13</v>
      </c>
    </row>
    <row r="14" spans="1:22" ht="18.75" x14ac:dyDescent="0.2">
      <c r="A14" s="95">
        <v>1</v>
      </c>
      <c r="B14" s="101">
        <v>2023</v>
      </c>
      <c r="C14" s="101">
        <v>467</v>
      </c>
      <c r="D14" s="101">
        <v>3470</v>
      </c>
      <c r="E14" s="92">
        <f t="shared" si="4"/>
        <v>1140.6575056992949</v>
      </c>
      <c r="F14" s="13">
        <f t="shared" si="0"/>
        <v>2329.3424943007049</v>
      </c>
      <c r="G14" s="95">
        <v>1</v>
      </c>
      <c r="H14" s="2">
        <f t="shared" si="1"/>
        <v>3.3059958827708047</v>
      </c>
      <c r="I14" s="2">
        <f t="shared" si="2"/>
        <v>2.6693168805661123</v>
      </c>
      <c r="J14" s="2">
        <f t="shared" si="3"/>
        <v>3.5403294747908736</v>
      </c>
      <c r="K14" s="92">
        <f t="shared" si="5"/>
        <v>3.590871231951771</v>
      </c>
      <c r="L14" s="97">
        <f t="shared" si="6"/>
        <v>5.0541757160897482E-2</v>
      </c>
      <c r="M14" s="2">
        <f t="shared" si="7"/>
        <v>1.4276003835457424E-2</v>
      </c>
      <c r="N14" s="2">
        <f t="shared" si="8"/>
        <v>1</v>
      </c>
      <c r="P14" s="8">
        <v>111.67337113340292</v>
      </c>
      <c r="Q14" s="8">
        <v>367.41109479181347</v>
      </c>
      <c r="R14" s="8">
        <v>276.68701875635168</v>
      </c>
      <c r="T14" s="14">
        <v>1757</v>
      </c>
      <c r="U14" s="14">
        <v>254</v>
      </c>
      <c r="V14" s="13">
        <f>TREND(D12:D45,B12:C45,T14:U14)</f>
        <v>3511.5942304909022</v>
      </c>
    </row>
    <row r="15" spans="1:22" ht="18.75" x14ac:dyDescent="0.2">
      <c r="A15" s="95">
        <v>1</v>
      </c>
      <c r="B15" s="101">
        <v>1834</v>
      </c>
      <c r="C15" s="101">
        <v>450</v>
      </c>
      <c r="D15" s="101">
        <v>3980</v>
      </c>
      <c r="E15" s="92">
        <f t="shared" si="4"/>
        <v>1035.1423463511805</v>
      </c>
      <c r="F15" s="13">
        <f t="shared" si="0"/>
        <v>2944.8576536488195</v>
      </c>
      <c r="G15" s="95">
        <v>1</v>
      </c>
      <c r="H15" s="2">
        <f t="shared" si="1"/>
        <v>3.2633993313340022</v>
      </c>
      <c r="I15" s="2">
        <f t="shared" si="2"/>
        <v>2.6532125137753435</v>
      </c>
      <c r="J15" s="2">
        <f t="shared" si="3"/>
        <v>3.5998830720736876</v>
      </c>
      <c r="K15" s="92">
        <f t="shared" si="5"/>
        <v>3.5666774941335113</v>
      </c>
      <c r="L15" s="97">
        <f t="shared" si="6"/>
        <v>3.3205577940176312E-2</v>
      </c>
      <c r="M15" s="2">
        <f t="shared" si="7"/>
        <v>9.2240712476942942E-3</v>
      </c>
      <c r="N15" s="2">
        <f t="shared" si="8"/>
        <v>1</v>
      </c>
      <c r="P15" s="8">
        <v>84.264151418560402</v>
      </c>
      <c r="Q15" s="8">
        <v>276.68701875635168</v>
      </c>
      <c r="R15" s="8">
        <v>210.2442933652666</v>
      </c>
    </row>
    <row r="16" spans="1:22" ht="18.75" x14ac:dyDescent="0.2">
      <c r="A16" s="95">
        <v>1</v>
      </c>
      <c r="B16" s="101">
        <v>2967</v>
      </c>
      <c r="C16" s="101">
        <v>108</v>
      </c>
      <c r="D16" s="101">
        <v>5607</v>
      </c>
      <c r="E16" s="92">
        <f t="shared" si="4"/>
        <v>1652.7411729603346</v>
      </c>
      <c r="F16" s="13">
        <f t="shared" si="0"/>
        <v>3954.2588270396654</v>
      </c>
      <c r="G16" s="95">
        <v>1</v>
      </c>
      <c r="H16" s="2">
        <f t="shared" si="1"/>
        <v>3.4723175463168419</v>
      </c>
      <c r="I16" s="2">
        <f t="shared" si="2"/>
        <v>2.0334237554869499</v>
      </c>
      <c r="J16" s="2">
        <f t="shared" si="3"/>
        <v>3.7487305560984945</v>
      </c>
      <c r="K16" s="92">
        <f t="shared" si="5"/>
        <v>3.661829749840197</v>
      </c>
      <c r="L16" s="97">
        <f t="shared" si="6"/>
        <v>8.6900806258297436E-2</v>
      </c>
      <c r="M16" s="2">
        <f t="shared" si="7"/>
        <v>2.3181395663907031E-2</v>
      </c>
      <c r="N16" s="2">
        <f t="shared" si="8"/>
        <v>1</v>
      </c>
    </row>
    <row r="17" spans="1:21" ht="18.75" x14ac:dyDescent="0.2">
      <c r="A17" s="95">
        <v>1</v>
      </c>
      <c r="B17" s="101">
        <v>1574</v>
      </c>
      <c r="C17" s="101">
        <v>417</v>
      </c>
      <c r="D17" s="101">
        <v>3456</v>
      </c>
      <c r="E17" s="92">
        <f t="shared" si="4"/>
        <v>889.66579485292482</v>
      </c>
      <c r="F17" s="13">
        <f t="shared" si="0"/>
        <v>2566.3342051470754</v>
      </c>
      <c r="G17" s="95">
        <v>1</v>
      </c>
      <c r="H17" s="2">
        <f t="shared" si="1"/>
        <v>3.1970047280230456</v>
      </c>
      <c r="I17" s="2">
        <f t="shared" si="2"/>
        <v>2.6201360549737576</v>
      </c>
      <c r="J17" s="2">
        <f t="shared" si="3"/>
        <v>3.5385737338068557</v>
      </c>
      <c r="K17" s="92">
        <f t="shared" si="5"/>
        <v>3.5286987933692386</v>
      </c>
      <c r="L17" s="97">
        <f t="shared" si="6"/>
        <v>9.8749404376170524E-3</v>
      </c>
      <c r="M17" s="2">
        <f t="shared" si="7"/>
        <v>2.7906555523412621E-3</v>
      </c>
      <c r="N17" s="2">
        <f t="shared" si="8"/>
        <v>1</v>
      </c>
      <c r="P17" s="114" t="s">
        <v>202</v>
      </c>
      <c r="Q17" s="114"/>
      <c r="R17" s="114"/>
    </row>
    <row r="18" spans="1:21" ht="18.75" x14ac:dyDescent="0.2">
      <c r="A18" s="95">
        <v>1</v>
      </c>
      <c r="B18" s="101">
        <v>2094</v>
      </c>
      <c r="C18" s="101">
        <v>337</v>
      </c>
      <c r="D18" s="101">
        <v>3977</v>
      </c>
      <c r="E18" s="92">
        <f t="shared" si="4"/>
        <v>1175.7072230071446</v>
      </c>
      <c r="F18" s="13">
        <f t="shared" si="0"/>
        <v>2801.2927769928556</v>
      </c>
      <c r="G18" s="95">
        <v>1</v>
      </c>
      <c r="H18" s="2">
        <f t="shared" si="1"/>
        <v>3.3209766773428235</v>
      </c>
      <c r="I18" s="2">
        <f t="shared" si="2"/>
        <v>2.5276299008713385</v>
      </c>
      <c r="J18" s="2">
        <f t="shared" si="3"/>
        <v>3.5995555909859802</v>
      </c>
      <c r="K18" s="92">
        <f t="shared" si="5"/>
        <v>3.5944228196584569</v>
      </c>
      <c r="L18" s="97">
        <f t="shared" si="6"/>
        <v>5.1327713275233222E-3</v>
      </c>
      <c r="M18" s="2">
        <f t="shared" si="7"/>
        <v>1.4259458418635974E-3</v>
      </c>
      <c r="N18" s="2">
        <f t="shared" si="8"/>
        <v>1</v>
      </c>
      <c r="P18" s="8">
        <f t="array" ref="P18:R20">MINVERSE(P13:R15)</f>
        <v>23.486509004593728</v>
      </c>
      <c r="Q18" s="8">
        <v>-5.5755621293873139</v>
      </c>
      <c r="R18" s="8">
        <v>-2.0756096662625025</v>
      </c>
    </row>
    <row r="19" spans="1:21" ht="18.75" x14ac:dyDescent="0.2">
      <c r="A19" s="95">
        <v>1</v>
      </c>
      <c r="B19" s="101">
        <v>2044</v>
      </c>
      <c r="C19" s="101">
        <v>495</v>
      </c>
      <c r="D19" s="101">
        <v>3913</v>
      </c>
      <c r="E19" s="92">
        <f t="shared" si="4"/>
        <v>1153.2598320712607</v>
      </c>
      <c r="F19" s="13">
        <f t="shared" si="0"/>
        <v>2759.7401679287395</v>
      </c>
      <c r="G19" s="95">
        <v>1</v>
      </c>
      <c r="H19" s="2">
        <f t="shared" si="1"/>
        <v>3.3104808914626753</v>
      </c>
      <c r="I19" s="2">
        <f t="shared" si="2"/>
        <v>2.6946051989335689</v>
      </c>
      <c r="J19" s="2">
        <f t="shared" si="3"/>
        <v>3.5925098479006801</v>
      </c>
      <c r="K19" s="92">
        <f t="shared" si="5"/>
        <v>3.5942122965120444</v>
      </c>
      <c r="L19" s="97">
        <f t="shared" si="6"/>
        <v>1.7024486113643711E-3</v>
      </c>
      <c r="M19" s="2">
        <f t="shared" si="7"/>
        <v>4.7388836313398398E-4</v>
      </c>
      <c r="N19" s="2">
        <f t="shared" si="8"/>
        <v>1</v>
      </c>
      <c r="P19" s="8">
        <v>-5.5755621293872615</v>
      </c>
      <c r="Q19" s="8">
        <v>1.6281406896022124</v>
      </c>
      <c r="R19" s="8">
        <v>9.1962629200792165E-2</v>
      </c>
    </row>
    <row r="20" spans="1:21" ht="18.75" x14ac:dyDescent="0.2">
      <c r="A20" s="95">
        <v>1</v>
      </c>
      <c r="B20" s="101">
        <v>1537</v>
      </c>
      <c r="C20" s="101">
        <v>358</v>
      </c>
      <c r="D20" s="101">
        <v>3399</v>
      </c>
      <c r="E20" s="92">
        <f t="shared" si="4"/>
        <v>867.13649379149456</v>
      </c>
      <c r="F20" s="13">
        <f t="shared" si="0"/>
        <v>2531.8635062085054</v>
      </c>
      <c r="G20" s="95">
        <v>1</v>
      </c>
      <c r="H20" s="2">
        <f t="shared" si="1"/>
        <v>3.1866738674997452</v>
      </c>
      <c r="I20" s="2">
        <f t="shared" si="2"/>
        <v>2.5538830266438746</v>
      </c>
      <c r="J20" s="2">
        <f t="shared" si="3"/>
        <v>3.5313511645830595</v>
      </c>
      <c r="K20" s="92">
        <f t="shared" si="5"/>
        <v>3.520733669851928</v>
      </c>
      <c r="L20" s="97">
        <f t="shared" si="6"/>
        <v>1.0617494731131494E-2</v>
      </c>
      <c r="M20" s="2">
        <f t="shared" si="7"/>
        <v>3.006638036346375E-3</v>
      </c>
      <c r="N20" s="2">
        <f t="shared" si="8"/>
        <v>1</v>
      </c>
      <c r="P20" s="8">
        <v>-2.07560966626257</v>
      </c>
      <c r="Q20" s="8">
        <v>9.1962629200812676E-2</v>
      </c>
      <c r="R20" s="8">
        <v>0.71561809876007787</v>
      </c>
    </row>
    <row r="21" spans="1:21" ht="18.75" x14ac:dyDescent="0.2">
      <c r="A21" s="95">
        <v>1</v>
      </c>
      <c r="B21" s="101">
        <v>1949</v>
      </c>
      <c r="C21" s="101">
        <v>101</v>
      </c>
      <c r="D21" s="101">
        <v>4308</v>
      </c>
      <c r="E21" s="92">
        <f t="shared" si="4"/>
        <v>1087.2557846662412</v>
      </c>
      <c r="F21" s="13">
        <f t="shared" si="0"/>
        <v>3220.7442153337588</v>
      </c>
      <c r="G21" s="95">
        <v>1</v>
      </c>
      <c r="H21" s="2">
        <f t="shared" si="1"/>
        <v>3.2898118391176214</v>
      </c>
      <c r="I21" s="2">
        <f t="shared" si="2"/>
        <v>2.0043213737826426</v>
      </c>
      <c r="J21" s="2">
        <f t="shared" si="3"/>
        <v>3.634275694625944</v>
      </c>
      <c r="K21" s="92">
        <f t="shared" si="5"/>
        <v>3.5595134374125741</v>
      </c>
      <c r="L21" s="97">
        <f t="shared" si="6"/>
        <v>7.4762257213369931E-2</v>
      </c>
      <c r="M21" s="2">
        <f t="shared" si="7"/>
        <v>2.0571432520631816E-2</v>
      </c>
      <c r="N21" s="2">
        <f t="shared" si="8"/>
        <v>1</v>
      </c>
    </row>
    <row r="22" spans="1:21" ht="18.75" x14ac:dyDescent="0.2">
      <c r="A22" s="95">
        <v>1</v>
      </c>
      <c r="B22" s="101">
        <v>1465</v>
      </c>
      <c r="C22" s="101">
        <v>246</v>
      </c>
      <c r="D22" s="101">
        <v>3289</v>
      </c>
      <c r="E22" s="92">
        <f t="shared" si="4"/>
        <v>823.39025192289864</v>
      </c>
      <c r="F22" s="13">
        <f t="shared" si="0"/>
        <v>2465.6097480771014</v>
      </c>
      <c r="G22" s="95">
        <v>1</v>
      </c>
      <c r="H22" s="2">
        <f t="shared" si="1"/>
        <v>3.1658376246901283</v>
      </c>
      <c r="I22" s="2">
        <f t="shared" si="2"/>
        <v>2.3909351071033793</v>
      </c>
      <c r="J22" s="2">
        <f t="shared" si="3"/>
        <v>3.5170638734826545</v>
      </c>
      <c r="K22" s="92">
        <f t="shared" si="5"/>
        <v>3.5036824054498346</v>
      </c>
      <c r="L22" s="97">
        <f t="shared" si="6"/>
        <v>1.3381468032819921E-2</v>
      </c>
      <c r="M22" s="2">
        <f t="shared" si="7"/>
        <v>3.804727043404353E-3</v>
      </c>
      <c r="N22" s="2">
        <f t="shared" si="8"/>
        <v>1</v>
      </c>
      <c r="P22" s="10" t="s">
        <v>19</v>
      </c>
    </row>
    <row r="23" spans="1:21" ht="18.75" x14ac:dyDescent="0.2">
      <c r="A23" s="95">
        <v>1</v>
      </c>
      <c r="B23" s="101">
        <v>2954</v>
      </c>
      <c r="C23" s="101">
        <v>234</v>
      </c>
      <c r="D23" s="101">
        <v>4789</v>
      </c>
      <c r="E23" s="92">
        <f t="shared" si="4"/>
        <v>1649.7616967115755</v>
      </c>
      <c r="F23" s="13">
        <f t="shared" si="0"/>
        <v>3139.2383032884245</v>
      </c>
      <c r="G23" s="95">
        <v>1</v>
      </c>
      <c r="H23" s="2">
        <f t="shared" si="1"/>
        <v>3.4704104909759308</v>
      </c>
      <c r="I23" s="2">
        <f t="shared" si="2"/>
        <v>2.369215857410143</v>
      </c>
      <c r="J23" s="2">
        <f t="shared" si="3"/>
        <v>3.6802448370426077</v>
      </c>
      <c r="K23" s="92">
        <f t="shared" si="5"/>
        <v>3.6720674336849628</v>
      </c>
      <c r="L23" s="97">
        <f t="shared" si="6"/>
        <v>8.1774033576449412E-3</v>
      </c>
      <c r="M23" s="2">
        <f t="shared" si="7"/>
        <v>2.2219726457699987E-3</v>
      </c>
      <c r="N23" s="2">
        <f t="shared" si="8"/>
        <v>1</v>
      </c>
      <c r="P23" s="8">
        <f t="array" ref="P23:P25">MMULT(TRANSPOSE(G12:I45),J12:J45)</f>
        <v>121.46559179750682</v>
      </c>
    </row>
    <row r="24" spans="1:21" ht="18.75" x14ac:dyDescent="0.2">
      <c r="A24" s="95">
        <v>1</v>
      </c>
      <c r="B24" s="101">
        <v>1583</v>
      </c>
      <c r="C24" s="101">
        <v>285</v>
      </c>
      <c r="D24" s="101">
        <v>3336</v>
      </c>
      <c r="E24" s="92">
        <f t="shared" si="4"/>
        <v>890.22240024420785</v>
      </c>
      <c r="F24" s="13">
        <f t="shared" si="0"/>
        <v>2445.7775997557919</v>
      </c>
      <c r="G24" s="95">
        <v>1</v>
      </c>
      <c r="H24" s="2">
        <f t="shared" si="1"/>
        <v>3.199480914862356</v>
      </c>
      <c r="I24" s="2">
        <f t="shared" si="2"/>
        <v>2.4548448600085102</v>
      </c>
      <c r="J24" s="2">
        <f t="shared" si="3"/>
        <v>3.5232260419657009</v>
      </c>
      <c r="K24" s="92">
        <f t="shared" si="5"/>
        <v>3.5245130475685515</v>
      </c>
      <c r="L24" s="97">
        <f t="shared" si="6"/>
        <v>1.287005602850666E-3</v>
      </c>
      <c r="M24" s="2">
        <f t="shared" si="7"/>
        <v>3.6529180572604178E-4</v>
      </c>
      <c r="N24" s="2">
        <f t="shared" si="8"/>
        <v>1</v>
      </c>
      <c r="P24" s="8">
        <v>399.29591738249542</v>
      </c>
    </row>
    <row r="25" spans="1:21" ht="18.75" x14ac:dyDescent="0.2">
      <c r="A25" s="95">
        <v>1</v>
      </c>
      <c r="B25" s="101">
        <v>3098</v>
      </c>
      <c r="C25" s="101">
        <v>101</v>
      </c>
      <c r="D25" s="101">
        <v>3982</v>
      </c>
      <c r="E25" s="92">
        <f t="shared" si="4"/>
        <v>1725.2441262111101</v>
      </c>
      <c r="F25" s="13">
        <f t="shared" si="0"/>
        <v>2256.7558737888899</v>
      </c>
      <c r="G25" s="95">
        <v>1</v>
      </c>
      <c r="H25" s="2">
        <f t="shared" si="1"/>
        <v>3.4910814134231871</v>
      </c>
      <c r="I25" s="2">
        <f t="shared" si="2"/>
        <v>2.0043213737826426</v>
      </c>
      <c r="J25" s="2">
        <f t="shared" si="3"/>
        <v>3.6001012556913907</v>
      </c>
      <c r="K25" s="92">
        <f t="shared" si="5"/>
        <v>3.6712694355976474</v>
      </c>
      <c r="L25" s="97">
        <f t="shared" si="6"/>
        <v>7.1168179906256679E-2</v>
      </c>
      <c r="M25" s="2">
        <f t="shared" si="7"/>
        <v>1.9768382845828873E-2</v>
      </c>
      <c r="N25" s="2">
        <f t="shared" si="8"/>
        <v>1</v>
      </c>
      <c r="P25" s="8">
        <v>301.03835557448434</v>
      </c>
    </row>
    <row r="26" spans="1:21" ht="18.75" x14ac:dyDescent="0.2">
      <c r="A26" s="95">
        <v>1</v>
      </c>
      <c r="B26" s="101">
        <v>1532</v>
      </c>
      <c r="C26" s="101">
        <v>185</v>
      </c>
      <c r="D26" s="101">
        <v>2967</v>
      </c>
      <c r="E26" s="92">
        <f t="shared" si="4"/>
        <v>858.54021901143642</v>
      </c>
      <c r="F26" s="13">
        <f t="shared" si="0"/>
        <v>2108.4597809885636</v>
      </c>
      <c r="G26" s="95">
        <v>1</v>
      </c>
      <c r="H26" s="2">
        <f t="shared" si="1"/>
        <v>3.1852587652965849</v>
      </c>
      <c r="I26" s="2">
        <f t="shared" si="2"/>
        <v>2.2671717284030137</v>
      </c>
      <c r="J26" s="2">
        <f t="shared" si="3"/>
        <v>3.4723175463168419</v>
      </c>
      <c r="K26" s="92">
        <f t="shared" si="5"/>
        <v>3.5103024976008279</v>
      </c>
      <c r="L26" s="97">
        <f t="shared" si="6"/>
        <v>3.7984951283986046E-2</v>
      </c>
      <c r="M26" s="2">
        <f t="shared" si="7"/>
        <v>1.0939365647671671E-2</v>
      </c>
      <c r="N26" s="2">
        <f t="shared" si="8"/>
        <v>1</v>
      </c>
    </row>
    <row r="27" spans="1:21" ht="18.75" x14ac:dyDescent="0.2">
      <c r="A27" s="95">
        <v>1</v>
      </c>
      <c r="B27" s="101">
        <v>2590</v>
      </c>
      <c r="C27" s="101">
        <v>485</v>
      </c>
      <c r="D27" s="101">
        <v>3981</v>
      </c>
      <c r="E27" s="92">
        <f t="shared" si="4"/>
        <v>1456.0928106628462</v>
      </c>
      <c r="F27" s="13">
        <f t="shared" si="0"/>
        <v>2524.9071893371538</v>
      </c>
      <c r="G27" s="95">
        <v>1</v>
      </c>
      <c r="H27" s="2">
        <f t="shared" si="1"/>
        <v>3.4132997640812519</v>
      </c>
      <c r="I27" s="2">
        <f t="shared" si="2"/>
        <v>2.6857417386022635</v>
      </c>
      <c r="J27" s="2">
        <f t="shared" si="3"/>
        <v>3.599992177584098</v>
      </c>
      <c r="K27" s="92">
        <f t="shared" si="5"/>
        <v>3.6510048395761237</v>
      </c>
      <c r="L27" s="97">
        <f t="shared" si="6"/>
        <v>5.1012661992025699E-2</v>
      </c>
      <c r="M27" s="2">
        <f t="shared" si="7"/>
        <v>1.4170214677038424E-2</v>
      </c>
      <c r="N27" s="2">
        <f t="shared" si="8"/>
        <v>1</v>
      </c>
      <c r="P27" s="12" t="s">
        <v>20</v>
      </c>
    </row>
    <row r="28" spans="1:21" ht="18.75" x14ac:dyDescent="0.2">
      <c r="A28" s="95">
        <v>1</v>
      </c>
      <c r="B28" s="101">
        <v>2145</v>
      </c>
      <c r="C28" s="101">
        <v>495</v>
      </c>
      <c r="D28" s="101">
        <v>3958</v>
      </c>
      <c r="E28" s="92">
        <f t="shared" si="4"/>
        <v>1209.3406175334294</v>
      </c>
      <c r="F28" s="13">
        <f t="shared" si="0"/>
        <v>2748.6593824665706</v>
      </c>
      <c r="G28" s="95">
        <v>1</v>
      </c>
      <c r="H28" s="2">
        <f t="shared" si="1"/>
        <v>3.3314272965207432</v>
      </c>
      <c r="I28" s="2">
        <f t="shared" si="2"/>
        <v>2.6946051989335689</v>
      </c>
      <c r="J28" s="2">
        <f t="shared" si="3"/>
        <v>3.5974757898703773</v>
      </c>
      <c r="K28" s="92">
        <f t="shared" si="5"/>
        <v>3.6058428989701157</v>
      </c>
      <c r="L28" s="97">
        <f t="shared" si="6"/>
        <v>8.3671090997383679E-3</v>
      </c>
      <c r="M28" s="2">
        <f t="shared" si="7"/>
        <v>2.3258277715997771E-3</v>
      </c>
      <c r="N28" s="2">
        <f t="shared" si="8"/>
        <v>1</v>
      </c>
      <c r="P28" s="2" t="s">
        <v>21</v>
      </c>
      <c r="T28" s="2" t="s">
        <v>22</v>
      </c>
    </row>
    <row r="29" spans="1:21" ht="18.75" x14ac:dyDescent="0.2">
      <c r="A29" s="95">
        <v>1</v>
      </c>
      <c r="B29" s="101">
        <v>1107</v>
      </c>
      <c r="C29" s="101">
        <v>301</v>
      </c>
      <c r="D29" s="101">
        <v>2530</v>
      </c>
      <c r="E29" s="92">
        <f t="shared" si="4"/>
        <v>626.45914241606943</v>
      </c>
      <c r="F29" s="13">
        <f t="shared" si="0"/>
        <v>1903.5408575839306</v>
      </c>
      <c r="G29" s="95">
        <v>1</v>
      </c>
      <c r="H29" s="2">
        <f t="shared" si="1"/>
        <v>3.0441476208787228</v>
      </c>
      <c r="I29" s="2">
        <f t="shared" si="2"/>
        <v>2.4785664955938436</v>
      </c>
      <c r="J29" s="2">
        <f t="shared" si="3"/>
        <v>3.403120521175818</v>
      </c>
      <c r="K29" s="92">
        <f t="shared" si="5"/>
        <v>3.4390614465458249</v>
      </c>
      <c r="L29" s="97">
        <f t="shared" si="6"/>
        <v>3.5940925370006926E-2</v>
      </c>
      <c r="M29" s="2">
        <f t="shared" si="7"/>
        <v>1.0561167359887953E-2</v>
      </c>
      <c r="N29" s="2">
        <f t="shared" si="8"/>
        <v>1</v>
      </c>
      <c r="P29" s="8" t="s">
        <v>23</v>
      </c>
      <c r="Q29" s="8">
        <f t="array" ref="Q29:Q31">MMULT(P18:R20,P23:P25)</f>
        <v>1.6653993774748415</v>
      </c>
      <c r="R29" s="8">
        <v>0</v>
      </c>
      <c r="T29" s="8" t="s">
        <v>24</v>
      </c>
      <c r="U29" s="8">
        <f t="array" ref="U29:U31">TRANSPOSE(LINEST(J12:J45,H12:I45))</f>
        <v>3.3641608508748533E-2</v>
      </c>
    </row>
    <row r="30" spans="1:21" ht="18.75" x14ac:dyDescent="0.2">
      <c r="A30" s="95">
        <v>1</v>
      </c>
      <c r="B30" s="101">
        <v>1648</v>
      </c>
      <c r="C30" s="101">
        <v>348</v>
      </c>
      <c r="D30" s="101">
        <v>3370</v>
      </c>
      <c r="E30" s="92">
        <f t="shared" si="4"/>
        <v>928.43341618463114</v>
      </c>
      <c r="F30" s="13">
        <f t="shared" si="0"/>
        <v>2441.5665838153691</v>
      </c>
      <c r="G30" s="95">
        <v>1</v>
      </c>
      <c r="H30" s="2">
        <f t="shared" si="1"/>
        <v>3.216957207361097</v>
      </c>
      <c r="I30" s="2">
        <f t="shared" si="2"/>
        <v>2.5415792439465807</v>
      </c>
      <c r="J30" s="2">
        <f t="shared" si="3"/>
        <v>3.5276299008713385</v>
      </c>
      <c r="K30" s="92">
        <f t="shared" si="5"/>
        <v>3.5371347358195884</v>
      </c>
      <c r="L30" s="97">
        <f t="shared" si="6"/>
        <v>9.5048349482498296E-3</v>
      </c>
      <c r="M30" s="2">
        <f t="shared" si="7"/>
        <v>2.6943968656978718E-3</v>
      </c>
      <c r="N30" s="2">
        <f t="shared" si="8"/>
        <v>1</v>
      </c>
      <c r="P30" s="8" t="s">
        <v>25</v>
      </c>
      <c r="Q30" s="8">
        <v>0.55525530160563008</v>
      </c>
      <c r="R30" s="8">
        <v>0</v>
      </c>
      <c r="T30" s="8" t="s">
        <v>25</v>
      </c>
      <c r="U30" s="8">
        <v>0.55525530160544301</v>
      </c>
    </row>
    <row r="31" spans="1:21" ht="18.75" x14ac:dyDescent="0.2">
      <c r="A31" s="95">
        <v>1</v>
      </c>
      <c r="B31" s="101">
        <v>2274</v>
      </c>
      <c r="C31" s="101">
        <v>470</v>
      </c>
      <c r="D31" s="101">
        <v>4257</v>
      </c>
      <c r="E31" s="92">
        <f t="shared" si="4"/>
        <v>1280.1275112278345</v>
      </c>
      <c r="F31" s="13">
        <f t="shared" si="0"/>
        <v>2976.8724887721655</v>
      </c>
      <c r="G31" s="95">
        <v>1</v>
      </c>
      <c r="H31" s="2">
        <f t="shared" si="1"/>
        <v>3.356790460351716</v>
      </c>
      <c r="I31" s="2">
        <f t="shared" si="2"/>
        <v>2.6720978579357175</v>
      </c>
      <c r="J31" s="2">
        <f t="shared" si="3"/>
        <v>3.6291036501771363</v>
      </c>
      <c r="K31" s="92">
        <f t="shared" si="5"/>
        <v>3.6191687469983309</v>
      </c>
      <c r="L31" s="97">
        <f t="shared" si="6"/>
        <v>9.9349031788054099E-3</v>
      </c>
      <c r="M31" s="2">
        <f t="shared" si="7"/>
        <v>2.7375639101188216E-3</v>
      </c>
      <c r="N31" s="2">
        <f t="shared" si="8"/>
        <v>1</v>
      </c>
      <c r="P31" s="8" t="s">
        <v>24</v>
      </c>
      <c r="Q31" s="8">
        <v>3.3641608508844456E-2</v>
      </c>
      <c r="R31" s="8">
        <v>0</v>
      </c>
      <c r="T31" s="8" t="s">
        <v>23</v>
      </c>
      <c r="U31" s="8">
        <v>1.6653993774761027</v>
      </c>
    </row>
    <row r="32" spans="1:21" ht="18.75" x14ac:dyDescent="0.2">
      <c r="A32" s="95">
        <v>1</v>
      </c>
      <c r="B32" s="101">
        <v>2820</v>
      </c>
      <c r="C32" s="101">
        <v>448</v>
      </c>
      <c r="D32" s="101">
        <v>4578</v>
      </c>
      <c r="E32" s="92">
        <f t="shared" si="4"/>
        <v>1582.5567905173141</v>
      </c>
      <c r="F32" s="13">
        <f t="shared" si="0"/>
        <v>2995.4432094826861</v>
      </c>
      <c r="G32" s="95">
        <v>1</v>
      </c>
      <c r="H32" s="2">
        <f t="shared" si="1"/>
        <v>3.4502491083193609</v>
      </c>
      <c r="I32" s="2">
        <f t="shared" si="2"/>
        <v>2.651278013998144</v>
      </c>
      <c r="J32" s="2">
        <f t="shared" si="3"/>
        <v>3.6606757883385241</v>
      </c>
      <c r="K32" s="92">
        <f t="shared" si="5"/>
        <v>3.6703617437242966</v>
      </c>
      <c r="L32" s="97">
        <f t="shared" si="6"/>
        <v>9.6859553857724379E-3</v>
      </c>
      <c r="M32" s="2">
        <f t="shared" si="7"/>
        <v>2.645947345740939E-3</v>
      </c>
      <c r="N32" s="2">
        <f t="shared" si="8"/>
        <v>1</v>
      </c>
    </row>
    <row r="33" spans="1:44" ht="18.75" x14ac:dyDescent="0.2">
      <c r="A33" s="95">
        <v>1</v>
      </c>
      <c r="B33" s="101">
        <v>1694</v>
      </c>
      <c r="C33" s="101">
        <v>340</v>
      </c>
      <c r="D33" s="101">
        <v>3587</v>
      </c>
      <c r="E33" s="92">
        <f t="shared" si="4"/>
        <v>953.70602719041926</v>
      </c>
      <c r="F33" s="13">
        <f t="shared" si="0"/>
        <v>2633.2939728095807</v>
      </c>
      <c r="G33" s="95">
        <v>1</v>
      </c>
      <c r="H33" s="2">
        <f t="shared" si="1"/>
        <v>3.228913405994688</v>
      </c>
      <c r="I33" s="2">
        <f t="shared" si="2"/>
        <v>2.5314789170422549</v>
      </c>
      <c r="J33" s="2">
        <f t="shared" si="3"/>
        <v>3.5547313766759667</v>
      </c>
      <c r="K33" s="92">
        <f t="shared" si="5"/>
        <v>3.5434336872544132</v>
      </c>
      <c r="L33" s="97">
        <f t="shared" si="6"/>
        <v>1.1297689421553514E-2</v>
      </c>
      <c r="M33" s="2">
        <f t="shared" si="7"/>
        <v>3.1782118603060228E-3</v>
      </c>
      <c r="N33" s="2">
        <f t="shared" si="8"/>
        <v>1</v>
      </c>
      <c r="P33" s="12" t="s">
        <v>26</v>
      </c>
    </row>
    <row r="34" spans="1:44" ht="18.75" x14ac:dyDescent="0.2">
      <c r="A34" s="95">
        <v>1</v>
      </c>
      <c r="B34" s="101">
        <v>3547</v>
      </c>
      <c r="C34" s="101">
        <v>362</v>
      </c>
      <c r="D34" s="101">
        <v>5285</v>
      </c>
      <c r="E34" s="92">
        <f t="shared" si="4"/>
        <v>1983.3342164528462</v>
      </c>
      <c r="F34" s="13">
        <f t="shared" si="0"/>
        <v>3301.6657835471538</v>
      </c>
      <c r="G34" s="95">
        <v>1</v>
      </c>
      <c r="H34" s="2">
        <f t="shared" si="1"/>
        <v>3.5498611884719429</v>
      </c>
      <c r="I34" s="2">
        <f t="shared" si="2"/>
        <v>2.5587085705331658</v>
      </c>
      <c r="J34" s="2">
        <f t="shared" si="3"/>
        <v>3.7230449916434449</v>
      </c>
      <c r="K34" s="92">
        <f t="shared" si="5"/>
        <v>3.7225576943560523</v>
      </c>
      <c r="L34" s="97">
        <f t="shared" si="6"/>
        <v>4.8729728739260736E-4</v>
      </c>
      <c r="M34" s="2">
        <f t="shared" si="7"/>
        <v>1.3088675761006643E-4</v>
      </c>
      <c r="N34" s="2">
        <f t="shared" si="8"/>
        <v>1</v>
      </c>
      <c r="P34" s="8" t="s">
        <v>27</v>
      </c>
      <c r="R34" s="8" t="s">
        <v>28</v>
      </c>
    </row>
    <row r="35" spans="1:44" ht="18.75" x14ac:dyDescent="0.2">
      <c r="A35" s="95">
        <v>1</v>
      </c>
      <c r="B35" s="101">
        <v>1755</v>
      </c>
      <c r="C35" s="101">
        <v>376</v>
      </c>
      <c r="D35" s="101">
        <v>2890</v>
      </c>
      <c r="E35" s="92">
        <f t="shared" si="4"/>
        <v>988.78769849468119</v>
      </c>
      <c r="F35" s="13">
        <f t="shared" si="0"/>
        <v>1901.2123015053189</v>
      </c>
      <c r="G35" s="95">
        <v>1</v>
      </c>
      <c r="H35" s="2">
        <f t="shared" si="1"/>
        <v>3.2442771208018431</v>
      </c>
      <c r="I35" s="2">
        <f t="shared" si="2"/>
        <v>2.5751878449276608</v>
      </c>
      <c r="J35" s="2">
        <f t="shared" si="3"/>
        <v>3.4608978427565478</v>
      </c>
      <c r="K35" s="92">
        <f t="shared" si="5"/>
        <v>3.553434909993705</v>
      </c>
      <c r="L35" s="97">
        <f t="shared" si="6"/>
        <v>9.2537067237157267E-2</v>
      </c>
      <c r="M35" s="2">
        <f t="shared" si="7"/>
        <v>2.6737878851533226E-2</v>
      </c>
      <c r="N35" s="2">
        <f t="shared" si="8"/>
        <v>1</v>
      </c>
      <c r="P35" s="8">
        <f>P36</f>
        <v>0.10821990848841549</v>
      </c>
      <c r="R35" s="8">
        <f>P35/B9</f>
        <v>3.731720982359155E-3</v>
      </c>
    </row>
    <row r="36" spans="1:44" ht="18.75" x14ac:dyDescent="0.2">
      <c r="A36" s="95">
        <v>1</v>
      </c>
      <c r="B36" s="101">
        <v>1866</v>
      </c>
      <c r="C36" s="101">
        <v>462</v>
      </c>
      <c r="D36" s="101">
        <v>4022</v>
      </c>
      <c r="E36" s="92">
        <f t="shared" si="4"/>
        <v>1053.3142153046665</v>
      </c>
      <c r="F36" s="13">
        <f t="shared" si="0"/>
        <v>2968.6857846953335</v>
      </c>
      <c r="G36" s="95">
        <v>1</v>
      </c>
      <c r="H36" s="2">
        <f t="shared" si="1"/>
        <v>3.2709116394104814</v>
      </c>
      <c r="I36" s="2">
        <f t="shared" si="2"/>
        <v>2.6646419755561257</v>
      </c>
      <c r="J36" s="2">
        <f t="shared" si="3"/>
        <v>3.6044420662607233</v>
      </c>
      <c r="K36" s="92">
        <f t="shared" si="5"/>
        <v>3.5712332484989675</v>
      </c>
      <c r="L36" s="97">
        <f t="shared" si="6"/>
        <v>3.3208817761755771E-2</v>
      </c>
      <c r="M36" s="2">
        <f t="shared" si="7"/>
        <v>9.2133032384140549E-3</v>
      </c>
      <c r="N36" s="2">
        <f t="shared" si="8"/>
        <v>1</v>
      </c>
      <c r="P36" s="8">
        <f>SUMSQ(L12:L45)</f>
        <v>0.10821990848841549</v>
      </c>
      <c r="R36" s="8">
        <f>J50^2</f>
        <v>3.4909647899488837E-3</v>
      </c>
    </row>
    <row r="37" spans="1:44" ht="18.75" x14ac:dyDescent="0.2">
      <c r="A37" s="95">
        <v>1</v>
      </c>
      <c r="B37" s="101">
        <v>2693</v>
      </c>
      <c r="C37" s="101">
        <v>297</v>
      </c>
      <c r="D37" s="101">
        <v>4856</v>
      </c>
      <c r="E37" s="92">
        <f t="shared" si="4"/>
        <v>1506.9594843285633</v>
      </c>
      <c r="F37" s="13">
        <f t="shared" si="0"/>
        <v>3349.0405156714369</v>
      </c>
      <c r="G37" s="95">
        <v>1</v>
      </c>
      <c r="H37" s="2">
        <f t="shared" si="1"/>
        <v>3.4302363534115106</v>
      </c>
      <c r="I37" s="2">
        <f t="shared" si="2"/>
        <v>2.4727564493172123</v>
      </c>
      <c r="J37" s="2">
        <f t="shared" si="3"/>
        <v>3.6862786780672012</v>
      </c>
      <c r="K37" s="92">
        <f t="shared" si="5"/>
        <v>3.6532438028725962</v>
      </c>
      <c r="L37" s="97">
        <f t="shared" si="6"/>
        <v>3.3034875194605018E-2</v>
      </c>
      <c r="M37" s="2">
        <f t="shared" si="7"/>
        <v>8.9615783503177639E-3</v>
      </c>
      <c r="N37" s="2">
        <f t="shared" si="8"/>
        <v>1</v>
      </c>
      <c r="P37" s="8">
        <f>INDEX(LINEST(J12:J45,H12:I45,,1),5,2)</f>
        <v>0.1082199084884154</v>
      </c>
    </row>
    <row r="38" spans="1:44" ht="18.75" x14ac:dyDescent="0.2">
      <c r="A38" s="95">
        <v>1</v>
      </c>
      <c r="B38" s="101">
        <v>1187</v>
      </c>
      <c r="C38" s="101">
        <v>297</v>
      </c>
      <c r="D38" s="101">
        <v>2987</v>
      </c>
      <c r="E38" s="92">
        <f t="shared" si="4"/>
        <v>670.74500011048463</v>
      </c>
      <c r="F38" s="13">
        <f t="shared" si="0"/>
        <v>2316.2549998895156</v>
      </c>
      <c r="G38" s="95">
        <v>1</v>
      </c>
      <c r="H38" s="2">
        <f t="shared" si="1"/>
        <v>3.0744507189545911</v>
      </c>
      <c r="I38" s="2">
        <f t="shared" si="2"/>
        <v>2.4727564493172123</v>
      </c>
      <c r="J38" s="2">
        <f t="shared" si="3"/>
        <v>3.4752352226041281</v>
      </c>
      <c r="K38" s="92">
        <f t="shared" si="5"/>
        <v>3.4556919431052688</v>
      </c>
      <c r="L38" s="97">
        <f t="shared" si="6"/>
        <v>1.9543279498859256E-2</v>
      </c>
      <c r="M38" s="2">
        <f t="shared" si="7"/>
        <v>5.6235846632029475E-3</v>
      </c>
      <c r="N38" s="2">
        <f t="shared" si="8"/>
        <v>1</v>
      </c>
    </row>
    <row r="39" spans="1:44" ht="19.5" thickBot="1" x14ac:dyDescent="0.25">
      <c r="A39" s="95">
        <v>1</v>
      </c>
      <c r="B39" s="101">
        <v>1276</v>
      </c>
      <c r="C39" s="101">
        <v>453</v>
      </c>
      <c r="D39" s="101">
        <v>3978</v>
      </c>
      <c r="E39" s="92">
        <f t="shared" si="4"/>
        <v>725.41081288076543</v>
      </c>
      <c r="F39" s="13">
        <f t="shared" si="0"/>
        <v>3252.5891871192343</v>
      </c>
      <c r="G39" s="95">
        <v>1</v>
      </c>
      <c r="H39" s="2">
        <f t="shared" si="1"/>
        <v>3.1058506743851435</v>
      </c>
      <c r="I39" s="2">
        <f t="shared" si="2"/>
        <v>2.6560982020128319</v>
      </c>
      <c r="J39" s="2">
        <f t="shared" si="3"/>
        <v>3.5996647787884166</v>
      </c>
      <c r="K39" s="92">
        <f t="shared" si="5"/>
        <v>3.4792948462957756</v>
      </c>
      <c r="L39" s="97">
        <f t="shared" si="6"/>
        <v>0.12036993249264105</v>
      </c>
      <c r="M39" s="2">
        <f t="shared" si="7"/>
        <v>3.3439206117730616E-2</v>
      </c>
      <c r="N39" s="2">
        <f t="shared" si="8"/>
        <v>1</v>
      </c>
    </row>
    <row r="40" spans="1:44" ht="18.75" x14ac:dyDescent="0.2">
      <c r="A40" s="95">
        <v>1</v>
      </c>
      <c r="B40" s="101">
        <v>1177</v>
      </c>
      <c r="C40" s="101">
        <v>449</v>
      </c>
      <c r="D40" s="101">
        <v>2405</v>
      </c>
      <c r="E40" s="92">
        <f t="shared" si="4"/>
        <v>670.30597158777255</v>
      </c>
      <c r="F40" s="13">
        <f t="shared" si="0"/>
        <v>1734.6940284122275</v>
      </c>
      <c r="G40" s="95">
        <v>1</v>
      </c>
      <c r="H40" s="2">
        <f t="shared" si="1"/>
        <v>3.0707764628434346</v>
      </c>
      <c r="I40" s="2">
        <f t="shared" si="2"/>
        <v>2.6522463410033232</v>
      </c>
      <c r="J40" s="2">
        <f t="shared" si="3"/>
        <v>3.3811150807098507</v>
      </c>
      <c r="K40" s="92">
        <f t="shared" si="5"/>
        <v>3.4596901215874918</v>
      </c>
      <c r="L40" s="97">
        <f t="shared" si="6"/>
        <v>7.8575040877641111E-2</v>
      </c>
      <c r="M40" s="2">
        <f t="shared" si="7"/>
        <v>2.323938671177812E-2</v>
      </c>
      <c r="N40" s="2">
        <f t="shared" si="8"/>
        <v>1</v>
      </c>
      <c r="S40" s="99"/>
      <c r="T40" s="99"/>
      <c r="U40" s="99"/>
      <c r="V40" s="99"/>
      <c r="W40" s="99"/>
      <c r="X40" s="99"/>
    </row>
    <row r="41" spans="1:44" ht="18.75" x14ac:dyDescent="0.2">
      <c r="A41" s="95">
        <v>1</v>
      </c>
      <c r="B41" s="101">
        <v>1215</v>
      </c>
      <c r="C41" s="101">
        <v>116</v>
      </c>
      <c r="D41" s="101">
        <v>2645</v>
      </c>
      <c r="E41" s="92">
        <f t="shared" si="4"/>
        <v>680.20301741534138</v>
      </c>
      <c r="F41" s="13">
        <f t="shared" si="0"/>
        <v>1964.7969825846585</v>
      </c>
      <c r="G41" s="95">
        <v>1</v>
      </c>
      <c r="H41" s="2">
        <f t="shared" si="1"/>
        <v>3.0845762779343309</v>
      </c>
      <c r="I41" s="2">
        <f t="shared" si="2"/>
        <v>2.0644579892269186</v>
      </c>
      <c r="J41" s="2">
        <f t="shared" si="3"/>
        <v>3.4224256763712044</v>
      </c>
      <c r="K41" s="92">
        <f t="shared" si="5"/>
        <v>3.4475783964613682</v>
      </c>
      <c r="L41" s="97">
        <f t="shared" si="6"/>
        <v>2.5152720090163783E-2</v>
      </c>
      <c r="M41" s="2">
        <f t="shared" si="7"/>
        <v>7.3493838781718097E-3</v>
      </c>
      <c r="N41" s="2">
        <f t="shared" si="8"/>
        <v>1</v>
      </c>
      <c r="S41" s="90"/>
      <c r="T41" s="90"/>
      <c r="U41" s="90"/>
      <c r="V41" s="90"/>
      <c r="W41" s="90"/>
      <c r="X41" s="90"/>
    </row>
    <row r="42" spans="1:44" ht="19.5" thickBot="1" x14ac:dyDescent="0.25">
      <c r="A42" s="95">
        <v>1</v>
      </c>
      <c r="B42" s="101">
        <v>2580</v>
      </c>
      <c r="C42" s="101">
        <v>261</v>
      </c>
      <c r="D42" s="101">
        <v>3958</v>
      </c>
      <c r="E42" s="92">
        <f t="shared" si="4"/>
        <v>1443.0045373408088</v>
      </c>
      <c r="F42" s="13">
        <f t="shared" si="0"/>
        <v>2514.9954626591912</v>
      </c>
      <c r="G42" s="95">
        <v>1</v>
      </c>
      <c r="H42" s="2">
        <f t="shared" si="1"/>
        <v>3.4116197059632301</v>
      </c>
      <c r="I42" s="2">
        <f t="shared" si="2"/>
        <v>2.4166405073382808</v>
      </c>
      <c r="J42" s="2">
        <f t="shared" si="3"/>
        <v>3.5974757898703773</v>
      </c>
      <c r="K42" s="92">
        <f t="shared" si="5"/>
        <v>3.6410189801276553</v>
      </c>
      <c r="L42" s="97">
        <f t="shared" si="6"/>
        <v>4.3543190257278042E-2</v>
      </c>
      <c r="M42" s="2">
        <f t="shared" si="7"/>
        <v>1.2103817454417663E-2</v>
      </c>
      <c r="N42" s="2">
        <f t="shared" si="8"/>
        <v>1</v>
      </c>
      <c r="S42" s="98"/>
      <c r="T42" s="98"/>
      <c r="U42" s="98"/>
      <c r="V42" s="98"/>
      <c r="W42" s="98"/>
      <c r="X42" s="98"/>
    </row>
    <row r="43" spans="1:44" ht="18.75" x14ac:dyDescent="0.2">
      <c r="A43" s="95">
        <v>1</v>
      </c>
      <c r="B43" s="101">
        <v>2837</v>
      </c>
      <c r="C43" s="101">
        <v>342</v>
      </c>
      <c r="D43" s="101">
        <v>4528</v>
      </c>
      <c r="E43" s="92">
        <f t="shared" si="4"/>
        <v>1588.430120142672</v>
      </c>
      <c r="F43" s="13">
        <f t="shared" si="0"/>
        <v>2939.569879857328</v>
      </c>
      <c r="G43" s="95">
        <v>1</v>
      </c>
      <c r="H43" s="2">
        <f t="shared" si="1"/>
        <v>3.4528593357958521</v>
      </c>
      <c r="I43" s="2">
        <f t="shared" si="2"/>
        <v>2.5340261060561349</v>
      </c>
      <c r="J43" s="2">
        <f t="shared" si="3"/>
        <v>3.6559064181802152</v>
      </c>
      <c r="K43" s="92">
        <f t="shared" si="5"/>
        <v>3.6678665435851148</v>
      </c>
      <c r="L43" s="97">
        <f t="shared" si="6"/>
        <v>1.1960125404899546E-2</v>
      </c>
      <c r="M43" s="2">
        <f t="shared" si="7"/>
        <v>3.2714528318952122E-3</v>
      </c>
      <c r="N43" s="2">
        <f t="shared" si="8"/>
        <v>1</v>
      </c>
    </row>
    <row r="44" spans="1:44" ht="18.75" x14ac:dyDescent="0.2">
      <c r="A44" s="95">
        <v>1</v>
      </c>
      <c r="B44" s="101">
        <v>2709</v>
      </c>
      <c r="C44" s="101">
        <v>277</v>
      </c>
      <c r="D44" s="101">
        <v>5154</v>
      </c>
      <c r="E44" s="92">
        <f t="shared" si="4"/>
        <v>1515.1707369840765</v>
      </c>
      <c r="F44" s="13">
        <f t="shared" si="0"/>
        <v>3638.8292630159235</v>
      </c>
      <c r="G44" s="95">
        <v>1</v>
      </c>
      <c r="H44" s="2">
        <f t="shared" si="1"/>
        <v>3.4328090050331683</v>
      </c>
      <c r="I44" s="2">
        <f t="shared" si="2"/>
        <v>2.4424797690644486</v>
      </c>
      <c r="J44" s="2">
        <f t="shared" si="3"/>
        <v>3.7121444142148858</v>
      </c>
      <c r="K44" s="92">
        <f t="shared" si="5"/>
        <v>3.6536537251006953</v>
      </c>
      <c r="L44" s="97">
        <f t="shared" si="6"/>
        <v>5.8490689114190531E-2</v>
      </c>
      <c r="M44" s="2">
        <f t="shared" si="7"/>
        <v>1.5756576950565981E-2</v>
      </c>
      <c r="N44" s="2">
        <f t="shared" si="8"/>
        <v>1</v>
      </c>
    </row>
    <row r="45" spans="1:44" ht="18.75" x14ac:dyDescent="0.2">
      <c r="A45" s="95">
        <v>1</v>
      </c>
      <c r="B45" s="101">
        <v>1638</v>
      </c>
      <c r="C45" s="101">
        <v>165</v>
      </c>
      <c r="D45" s="101">
        <v>3347</v>
      </c>
      <c r="E45" s="92">
        <f t="shared" si="4"/>
        <v>916.72444881145634</v>
      </c>
      <c r="F45" s="13">
        <f t="shared" si="0"/>
        <v>2430.2755511885434</v>
      </c>
      <c r="G45" s="95">
        <v>1</v>
      </c>
      <c r="H45" s="2">
        <f t="shared" si="1"/>
        <v>3.2143138974243999</v>
      </c>
      <c r="I45" s="2">
        <f t="shared" si="2"/>
        <v>2.2174839442139063</v>
      </c>
      <c r="J45" s="2">
        <f t="shared" si="3"/>
        <v>3.5246557123577773</v>
      </c>
      <c r="K45" s="92">
        <f t="shared" si="5"/>
        <v>3.5247639367702877</v>
      </c>
      <c r="L45" s="97">
        <f t="shared" si="6"/>
        <v>1.0822441251034931E-4</v>
      </c>
      <c r="M45" s="2">
        <f t="shared" si="7"/>
        <v>3.0704959957054598E-5</v>
      </c>
    </row>
    <row r="46" spans="1:44" x14ac:dyDescent="0.2">
      <c r="A46" s="2" t="s">
        <v>194</v>
      </c>
      <c r="B46" s="2">
        <f t="shared" ref="B46:M46" si="9">SUM(B12:B45)/34</f>
        <v>2020.6470588235295</v>
      </c>
      <c r="C46" s="2">
        <f t="shared" si="9"/>
        <v>329.76470588235293</v>
      </c>
      <c r="D46" s="2">
        <f t="shared" si="9"/>
        <v>3822.8823529411766</v>
      </c>
      <c r="E46" s="2">
        <f t="shared" si="9"/>
        <v>1134.7342065983912</v>
      </c>
      <c r="F46" s="2">
        <f t="shared" si="9"/>
        <v>2688.1481463427849</v>
      </c>
      <c r="G46" s="2">
        <f t="shared" si="9"/>
        <v>1</v>
      </c>
      <c r="H46" s="2">
        <f t="shared" si="9"/>
        <v>3.2845109156883212</v>
      </c>
      <c r="I46" s="2">
        <f t="shared" si="9"/>
        <v>2.4783573946635413</v>
      </c>
      <c r="J46" s="2">
        <f t="shared" si="9"/>
        <v>3.5725174058090241</v>
      </c>
      <c r="K46" s="2">
        <f t="shared" si="9"/>
        <v>3.5725174058086151</v>
      </c>
      <c r="L46" s="2">
        <f t="shared" si="9"/>
        <v>3.9642955967099124E-2</v>
      </c>
      <c r="M46" s="2">
        <f t="shared" si="9"/>
        <v>1.1131002113579768E-2</v>
      </c>
    </row>
    <row r="47" spans="1:44" x14ac:dyDescent="0.2">
      <c r="A47" s="2" t="s">
        <v>160</v>
      </c>
      <c r="B47" s="2">
        <f>SKEW(B12:B45)</f>
        <v>0.57668979945059873</v>
      </c>
      <c r="C47" s="2">
        <f>SKEW(C12:C45)</f>
        <v>-0.44388340096165296</v>
      </c>
      <c r="D47" s="2">
        <f>SKEW(D12:D45)</f>
        <v>0.19434812919606986</v>
      </c>
      <c r="H47" s="2">
        <f>SKEW(H12:H45)</f>
        <v>9.4734707908206775E-2</v>
      </c>
      <c r="I47" s="2">
        <f>SKEW(I12:I45)</f>
        <v>-1.1749931306167927</v>
      </c>
      <c r="J47" s="2">
        <f>SKEW(J12:J45)</f>
        <v>-0.26354676608324173</v>
      </c>
      <c r="L47" s="2" t="s">
        <v>164</v>
      </c>
      <c r="M47" s="2">
        <f>SUM(M12:M45)/34</f>
        <v>1.1131002113579768E-2</v>
      </c>
      <c r="AR47" s="2" t="s">
        <v>203</v>
      </c>
    </row>
    <row r="48" spans="1:44" x14ac:dyDescent="0.2">
      <c r="A48" s="2" t="s">
        <v>159</v>
      </c>
      <c r="L48" s="2" t="s">
        <v>165</v>
      </c>
      <c r="M48" s="2">
        <f>3/B6</f>
        <v>8.8235294117647065E-2</v>
      </c>
    </row>
    <row r="49" spans="1:13" x14ac:dyDescent="0.2">
      <c r="H49" s="2" t="s">
        <v>161</v>
      </c>
      <c r="I49" s="2" t="str">
        <f>IF(SKEW(I12:I45)&lt;SKEW(J12:J45), "x1: "&amp;ROUND(SKEW(I12:I45),3),"ряд2 "&amp;ROUND(SKEW(С12:С45),3))</f>
        <v>x1: -1,175</v>
      </c>
      <c r="J49" s="12" t="s">
        <v>29</v>
      </c>
    </row>
    <row r="50" spans="1:13" x14ac:dyDescent="0.2">
      <c r="A50" s="8" t="s">
        <v>30</v>
      </c>
      <c r="B50" s="8"/>
      <c r="C50" s="8"/>
      <c r="D50" s="8">
        <f t="shared" ref="D50:I50" si="10">AVERAGE(D12:D45)</f>
        <v>3822.8823529411766</v>
      </c>
      <c r="E50" s="8">
        <f t="shared" si="10"/>
        <v>1134.7342065983912</v>
      </c>
      <c r="F50" s="8">
        <f t="shared" si="10"/>
        <v>2688.1481463427849</v>
      </c>
      <c r="G50" s="8">
        <f t="shared" si="10"/>
        <v>1</v>
      </c>
      <c r="H50" s="8">
        <f t="shared" si="10"/>
        <v>3.2845109156883212</v>
      </c>
      <c r="I50" s="8">
        <f t="shared" si="10"/>
        <v>2.4783573946635413</v>
      </c>
      <c r="J50" s="8">
        <f>INDEX(LINEST(J12:J45,H12:I45,1,1),3,2)</f>
        <v>5.908438702355203E-2</v>
      </c>
    </row>
    <row r="52" spans="1:13" x14ac:dyDescent="0.2">
      <c r="A52" s="12" t="s">
        <v>31</v>
      </c>
    </row>
    <row r="53" spans="1:13" x14ac:dyDescent="0.2">
      <c r="A53" s="2" t="s">
        <v>32</v>
      </c>
    </row>
    <row r="55" spans="1:13" x14ac:dyDescent="0.2">
      <c r="A55" s="8" t="s">
        <v>33</v>
      </c>
      <c r="B55" s="8">
        <f>SUMSQ(J12:J45)-SUM(J12:J45)^2/B6</f>
        <v>0.29758950972973253</v>
      </c>
    </row>
    <row r="56" spans="1:13" x14ac:dyDescent="0.2">
      <c r="A56" s="8" t="str">
        <f>P34</f>
        <v>SSres=SSE</v>
      </c>
      <c r="B56" s="8">
        <f>P35</f>
        <v>0.10821990848841549</v>
      </c>
    </row>
    <row r="57" spans="1:13" x14ac:dyDescent="0.2">
      <c r="A57" s="8" t="s">
        <v>34</v>
      </c>
      <c r="B57" s="8">
        <f>R35</f>
        <v>3.731720982359155E-3</v>
      </c>
    </row>
    <row r="58" spans="1:13" x14ac:dyDescent="0.2">
      <c r="A58" s="8" t="s">
        <v>35</v>
      </c>
      <c r="B58" s="8">
        <f>SUMXMY2(K12:K45,A12:A45*K46)</f>
        <v>0.18936960124119398</v>
      </c>
      <c r="C58" s="8">
        <f>G59-SUM(J12:J45)^2/B6</f>
        <v>0.18936960119151536</v>
      </c>
      <c r="D58" s="8"/>
      <c r="E58" s="8">
        <f>B55-B56</f>
        <v>0.18936960124131702</v>
      </c>
      <c r="G58" s="10" t="s">
        <v>36</v>
      </c>
    </row>
    <row r="59" spans="1:13" x14ac:dyDescent="0.2">
      <c r="A59" s="8" t="s">
        <v>37</v>
      </c>
      <c r="B59" s="8">
        <f>B58/B8</f>
        <v>9.468480062059699E-2</v>
      </c>
      <c r="G59" s="8">
        <f t="array" ref="G59">MMULT(TRANSPOSE(Q29:Q31),P23:P25)</f>
        <v>434.12731050467841</v>
      </c>
    </row>
    <row r="60" spans="1:13" x14ac:dyDescent="0.2">
      <c r="A60" s="8" t="s">
        <v>38</v>
      </c>
      <c r="B60" s="8">
        <f>B59/B57</f>
        <v>25.372958232460952</v>
      </c>
      <c r="C60" s="8">
        <f>INDEX(LINEST(J12:J45,H12:I45,,1),4,1)</f>
        <v>27.122817420888229</v>
      </c>
    </row>
    <row r="62" spans="1:13" ht="25.5" x14ac:dyDescent="0.2">
      <c r="A62" s="15" t="s">
        <v>39</v>
      </c>
      <c r="B62" s="107">
        <v>0.05</v>
      </c>
      <c r="L62" s="2" t="s">
        <v>152</v>
      </c>
      <c r="M62" s="2">
        <f>B59/B57</f>
        <v>25.372958232460952</v>
      </c>
    </row>
    <row r="63" spans="1:13" ht="38.25" x14ac:dyDescent="0.2">
      <c r="A63" s="15" t="s">
        <v>40</v>
      </c>
      <c r="B63" s="8" t="e">
        <f ca="1">_xludf.f.inv.rt(B62,B8,B9)</f>
        <v>#NAME?</v>
      </c>
    </row>
    <row r="64" spans="1:13" x14ac:dyDescent="0.2">
      <c r="A64" s="2" t="s">
        <v>41</v>
      </c>
    </row>
    <row r="65" spans="1:19" x14ac:dyDescent="0.2">
      <c r="A65" s="8" t="e">
        <f ca="1">B60&gt;B63</f>
        <v>#NAME?</v>
      </c>
    </row>
    <row r="67" spans="1:19" x14ac:dyDescent="0.2">
      <c r="A67" s="12" t="s">
        <v>42</v>
      </c>
    </row>
    <row r="68" spans="1:19" x14ac:dyDescent="0.2">
      <c r="A68" s="8" t="s">
        <v>43</v>
      </c>
      <c r="B68" s="8" t="e">
        <f ca="1">_xludf._xlfn.F.DIST.RT(B60,B8,B6-B7)</f>
        <v>#NAME?</v>
      </c>
    </row>
    <row r="69" spans="1:19" x14ac:dyDescent="0.2">
      <c r="A69" s="8" t="s">
        <v>44</v>
      </c>
      <c r="B69" s="8" t="e">
        <f ca="1">B68&lt;B62</f>
        <v>#NAME?</v>
      </c>
    </row>
    <row r="71" spans="1:19" x14ac:dyDescent="0.2">
      <c r="A71" s="12" t="s">
        <v>45</v>
      </c>
      <c r="S71" s="2" t="e">
        <f>тен</f>
        <v>#NAME?</v>
      </c>
    </row>
    <row r="72" spans="1:19" x14ac:dyDescent="0.2">
      <c r="A72" s="17">
        <f>B58/B55</f>
        <v>0.63634501570024204</v>
      </c>
      <c r="B72" s="17">
        <f>INDEX(LINEST(J12:J45,H12:I45,,1),3,1)</f>
        <v>0.63634501570034896</v>
      </c>
    </row>
    <row r="73" spans="1:19" x14ac:dyDescent="0.2">
      <c r="A73" s="12" t="s">
        <v>46</v>
      </c>
      <c r="N73" s="2">
        <f>_xlfn.NORM.S.DIST(H47,TRUE)</f>
        <v>0.53773722549070413</v>
      </c>
    </row>
    <row r="74" spans="1:19" x14ac:dyDescent="0.2">
      <c r="A74" s="17">
        <f>1-B57/B55*(B6-1)</f>
        <v>0.58618570752143562</v>
      </c>
    </row>
    <row r="76" spans="1:19" x14ac:dyDescent="0.2">
      <c r="A76" s="12" t="s">
        <v>47</v>
      </c>
    </row>
    <row r="77" spans="1:19" x14ac:dyDescent="0.2">
      <c r="A77" s="9" t="s">
        <v>48</v>
      </c>
    </row>
    <row r="79" spans="1:19" x14ac:dyDescent="0.2">
      <c r="A79" s="9" t="s">
        <v>49</v>
      </c>
    </row>
    <row r="80" spans="1:19" x14ac:dyDescent="0.2">
      <c r="A80" s="8"/>
      <c r="B80" s="18">
        <v>0</v>
      </c>
      <c r="C80" s="18">
        <v>1</v>
      </c>
      <c r="D80" s="18">
        <v>2</v>
      </c>
      <c r="F80" s="19" t="s">
        <v>50</v>
      </c>
      <c r="G80" s="20">
        <f>B62</f>
        <v>0.05</v>
      </c>
      <c r="H80" s="21" t="s">
        <v>51</v>
      </c>
    </row>
    <row r="81" spans="1:10" x14ac:dyDescent="0.2">
      <c r="A81" s="18">
        <v>0</v>
      </c>
      <c r="B81" s="22">
        <f t="shared" ref="B81:D83" si="11">P18</f>
        <v>23.486509004593728</v>
      </c>
      <c r="C81" s="8">
        <f t="shared" si="11"/>
        <v>-5.5755621293873139</v>
      </c>
      <c r="D81" s="8">
        <f t="shared" si="11"/>
        <v>-2.0756096662625025</v>
      </c>
      <c r="F81" s="19" t="s">
        <v>52</v>
      </c>
      <c r="G81" s="19">
        <v>31</v>
      </c>
      <c r="H81" s="23"/>
    </row>
    <row r="82" spans="1:10" ht="36.75" x14ac:dyDescent="0.5">
      <c r="A82" s="18">
        <v>1</v>
      </c>
      <c r="B82" s="8">
        <f t="shared" si="11"/>
        <v>-5.5755621293872615</v>
      </c>
      <c r="C82" s="22">
        <f t="shared" si="11"/>
        <v>1.6281406896022124</v>
      </c>
      <c r="D82" s="8">
        <f t="shared" si="11"/>
        <v>9.1962629200792165E-2</v>
      </c>
      <c r="F82" s="19" t="s">
        <v>53</v>
      </c>
      <c r="G82" s="24" t="e">
        <f ca="1">СТЬЮДЕНТ.ОБР.2X(G80,G81)</f>
        <v>#NAME?</v>
      </c>
      <c r="H82" s="24"/>
      <c r="J82" s="106" t="s">
        <v>195</v>
      </c>
    </row>
    <row r="83" spans="1:10" x14ac:dyDescent="0.2">
      <c r="A83" s="18">
        <v>2</v>
      </c>
      <c r="B83" s="8">
        <f t="shared" si="11"/>
        <v>-2.07560966626257</v>
      </c>
      <c r="C83" s="8">
        <f t="shared" si="11"/>
        <v>9.1962629200812676E-2</v>
      </c>
      <c r="D83" s="22">
        <f t="shared" si="11"/>
        <v>0.71561809876007787</v>
      </c>
      <c r="G83" s="24" t="e">
        <f ca="1">-_xludf._xlfn.T.INV(B62/2,B9)</f>
        <v>#NAME?</v>
      </c>
    </row>
    <row r="85" spans="1:10" ht="41.25" x14ac:dyDescent="0.2">
      <c r="A85" s="25" t="s">
        <v>54</v>
      </c>
      <c r="B85" s="25" t="s">
        <v>55</v>
      </c>
      <c r="C85" s="25" t="s">
        <v>56</v>
      </c>
      <c r="D85" s="110" t="s">
        <v>57</v>
      </c>
      <c r="E85" s="112"/>
      <c r="H85" s="25" t="s">
        <v>43</v>
      </c>
      <c r="I85" s="26"/>
    </row>
    <row r="86" spans="1:10" x14ac:dyDescent="0.2">
      <c r="A86" s="8" t="str">
        <f>"se(b"&amp;A81&amp;")"</f>
        <v>se(b0)</v>
      </c>
      <c r="B86" s="8">
        <f>$J$50*SQRT(B81)</f>
        <v>0.28633996572929549</v>
      </c>
      <c r="C86" s="8">
        <f>INDEX(LINEST($J$12:$J$45,$H$12:$I$45,1,1),2,3)</f>
        <v>0.28633996572929149</v>
      </c>
      <c r="D86" s="111">
        <f>Q29/B86</f>
        <v>5.8161611259299466</v>
      </c>
      <c r="E86" s="113"/>
      <c r="F86" s="27"/>
      <c r="H86" s="8" t="e">
        <f ca="1">_xludf._xlfn.T.DIST.2T(ABS(D86),$B$6-$B$7)</f>
        <v>#NAME?</v>
      </c>
      <c r="I86" s="109"/>
    </row>
    <row r="87" spans="1:10" x14ac:dyDescent="0.2">
      <c r="A87" s="8" t="str">
        <f>"se(b"&amp;A82&amp;")"</f>
        <v>se(b1)</v>
      </c>
      <c r="B87" s="8">
        <f>$J$50*SQRT(C82)</f>
        <v>7.5390860324607095E-2</v>
      </c>
      <c r="C87" s="8">
        <f>INDEX(LINEST($J$12:$J$45,$H$12:$I$45,1,1),2,2)</f>
        <v>7.5390860324605777E-2</v>
      </c>
      <c r="D87" s="111">
        <f>Q30/B87</f>
        <v>7.3650214258716753</v>
      </c>
      <c r="E87" s="113"/>
      <c r="H87" s="8" t="e">
        <f ca="1">_xludf._xlfn.T.DIST.2T(ABS(D87),$B$6-$B$7)</f>
        <v>#NAME?</v>
      </c>
      <c r="I87" s="109"/>
    </row>
    <row r="88" spans="1:10" x14ac:dyDescent="0.2">
      <c r="A88" s="8" t="str">
        <f>"se(b"&amp;A83&amp;")"</f>
        <v>se(b2)</v>
      </c>
      <c r="B88" s="8">
        <f>$J$50*SQRT(D83)</f>
        <v>4.9981972608347448E-2</v>
      </c>
      <c r="C88" s="8">
        <f>INDEX(LINEST($J$12:$J$45,$H$12:$I$45,1,1),2,1)</f>
        <v>4.9981972608346886E-2</v>
      </c>
      <c r="D88" s="111">
        <f>Q31/B88</f>
        <v>0.67307484585404298</v>
      </c>
      <c r="E88" s="113"/>
      <c r="H88" s="8" t="e">
        <f ca="1">_xludf._xlfn.T.DIST.2T(ABS(D88),$B$6-$B$7)</f>
        <v>#NAME?</v>
      </c>
      <c r="I88" s="109"/>
    </row>
    <row r="91" spans="1:10" x14ac:dyDescent="0.2">
      <c r="A91" s="12" t="s">
        <v>58</v>
      </c>
    </row>
    <row r="93" spans="1:10" ht="38.25" customHeight="1" x14ac:dyDescent="0.2">
      <c r="A93" s="8" t="s">
        <v>12</v>
      </c>
      <c r="B93" s="13" t="s">
        <v>17</v>
      </c>
      <c r="C93" s="13" t="s">
        <v>18</v>
      </c>
      <c r="E93" s="10" t="s">
        <v>59</v>
      </c>
    </row>
    <row r="94" spans="1:10" x14ac:dyDescent="0.2">
      <c r="A94" s="16">
        <v>1</v>
      </c>
      <c r="B94" s="16">
        <v>3.28</v>
      </c>
      <c r="C94" s="16">
        <v>2.4700000000000002</v>
      </c>
      <c r="E94" s="8">
        <f>TREND(J12:J45,H12:I45,B94:C94)</f>
        <v>3.5697315397585645</v>
      </c>
    </row>
    <row r="97" spans="1:13" ht="25.5" x14ac:dyDescent="0.2">
      <c r="A97" s="8"/>
      <c r="B97" s="25" t="s">
        <v>60</v>
      </c>
      <c r="C97" s="10" t="s">
        <v>61</v>
      </c>
    </row>
    <row r="98" spans="1:13" x14ac:dyDescent="0.2">
      <c r="A98" s="15" t="s">
        <v>62</v>
      </c>
      <c r="B98" s="8">
        <f>SQRT(R35*E98)</f>
        <v>1.0492498733877286E-2</v>
      </c>
      <c r="C98" s="8">
        <f>SQRT(R35*(1+E98))</f>
        <v>6.1982364524432038E-2</v>
      </c>
      <c r="E98" s="13">
        <f t="array" ref="E98">MMULT(MMULT(A94:C94,MINVERSE(P13:R15)),TRANSPOSE(A94:C94))</f>
        <v>2.9501811684435508E-2</v>
      </c>
      <c r="F98" s="9" t="s">
        <v>63</v>
      </c>
    </row>
    <row r="99" spans="1:13" x14ac:dyDescent="0.2">
      <c r="A99" s="8" t="s">
        <v>64</v>
      </c>
      <c r="B99" s="28" t="e">
        <f ca="1">#REF!+$G$82*B$98</f>
        <v>#REF!</v>
      </c>
      <c r="C99" s="28" t="e">
        <f ca="1">#REF!+$G$82*C$98</f>
        <v>#REF!</v>
      </c>
    </row>
    <row r="100" spans="1:13" x14ac:dyDescent="0.2">
      <c r="A100" s="8" t="s">
        <v>65</v>
      </c>
      <c r="B100" s="28" t="e">
        <f ca="1">#REF!-$G$82*B$98</f>
        <v>#REF!</v>
      </c>
      <c r="C100" s="28" t="e">
        <f ca="1">#REF!-$G$82*C$98</f>
        <v>#REF!</v>
      </c>
    </row>
    <row r="101" spans="1:13" x14ac:dyDescent="0.2">
      <c r="A101" s="8" t="s">
        <v>66</v>
      </c>
      <c r="B101" s="28" t="e">
        <f ca="1">B99-B100</f>
        <v>#REF!</v>
      </c>
      <c r="C101" s="28" t="e">
        <f ca="1">C99-C100</f>
        <v>#REF!</v>
      </c>
    </row>
    <row r="104" spans="1:13" ht="15.75" x14ac:dyDescent="0.25">
      <c r="A104" s="29" t="s">
        <v>67</v>
      </c>
      <c r="B104" s="29"/>
      <c r="C104" s="29"/>
      <c r="D104" s="29"/>
      <c r="E104" s="29"/>
      <c r="F104" s="29"/>
    </row>
    <row r="105" spans="1:13" ht="15" x14ac:dyDescent="0.25">
      <c r="A105" s="30" t="s">
        <v>68</v>
      </c>
    </row>
    <row r="106" spans="1:13" ht="15" x14ac:dyDescent="0.25">
      <c r="A106" s="31" t="s">
        <v>69</v>
      </c>
      <c r="B106" s="32" t="s">
        <v>70</v>
      </c>
      <c r="C106" s="32" t="s">
        <v>71</v>
      </c>
      <c r="D106" s="32" t="s">
        <v>72</v>
      </c>
      <c r="E106" s="32" t="s">
        <v>73</v>
      </c>
      <c r="F106" s="32" t="s">
        <v>43</v>
      </c>
    </row>
    <row r="107" spans="1:13" x14ac:dyDescent="0.2">
      <c r="A107" s="33" t="s">
        <v>74</v>
      </c>
      <c r="B107" s="34">
        <f>B8</f>
        <v>2</v>
      </c>
      <c r="C107" s="35">
        <f>B58</f>
        <v>0.18936960124119398</v>
      </c>
      <c r="D107" s="35">
        <f>C107/B107</f>
        <v>9.468480062059699E-2</v>
      </c>
      <c r="E107" s="36">
        <f>D107/D108</f>
        <v>25.372958232460952</v>
      </c>
      <c r="F107" s="34" t="e">
        <f ca="1">_xludf._xlfn.F.DIST.RT(E107,B107,B108)</f>
        <v>#NAME?</v>
      </c>
    </row>
    <row r="108" spans="1:13" x14ac:dyDescent="0.2">
      <c r="A108" s="33" t="s">
        <v>75</v>
      </c>
      <c r="B108" s="34">
        <f>B9</f>
        <v>29</v>
      </c>
      <c r="C108" s="35">
        <f>B56</f>
        <v>0.10821990848841549</v>
      </c>
      <c r="D108" s="108">
        <f>C108/B108</f>
        <v>3.731720982359155E-3</v>
      </c>
      <c r="E108" s="33"/>
      <c r="F108" s="33"/>
    </row>
    <row r="109" spans="1:13" x14ac:dyDescent="0.2">
      <c r="A109" s="37" t="s">
        <v>76</v>
      </c>
      <c r="B109" s="38">
        <f>B107+B108</f>
        <v>31</v>
      </c>
      <c r="C109" s="39">
        <f>B55</f>
        <v>0.29758950972973253</v>
      </c>
      <c r="D109" s="40"/>
      <c r="E109" s="37"/>
      <c r="F109" s="37"/>
    </row>
    <row r="111" spans="1:13" x14ac:dyDescent="0.2">
      <c r="A111" s="12" t="s">
        <v>77</v>
      </c>
    </row>
    <row r="112" spans="1:13" x14ac:dyDescent="0.2">
      <c r="A112" s="9" t="str">
        <f>"Время обслуживания="&amp;TEXT(Q29,"0,000")&amp;IF(Q30=ABS(Q30),"+","")&amp;TEXT(Q30,"0,000")&amp;"*"&amp;A116&amp;IF(Q31=ABS(Q31),"+","")&amp;TEXT(Q31,"0,000")&amp;"*"&amp;A117</f>
        <v>Время обслуживания=1,665+0,555*х1+0,034*x2</v>
      </c>
      <c r="M112" s="2">
        <f>29/0.1</f>
        <v>290</v>
      </c>
    </row>
    <row r="114" spans="1:6" ht="25.5" x14ac:dyDescent="0.2">
      <c r="A114" s="41" t="s">
        <v>78</v>
      </c>
      <c r="B114" s="42" t="s">
        <v>79</v>
      </c>
      <c r="C114" s="41" t="s">
        <v>80</v>
      </c>
      <c r="D114" s="42" t="str">
        <f>D85</f>
        <v>t-статистика</v>
      </c>
      <c r="E114" s="42" t="str">
        <f>F106</f>
        <v>р-значение</v>
      </c>
      <c r="F114" s="43"/>
    </row>
    <row r="115" spans="1:6" x14ac:dyDescent="0.2">
      <c r="A115" s="44" t="s">
        <v>81</v>
      </c>
      <c r="B115" s="45">
        <f>Q29</f>
        <v>1.6653993774748415</v>
      </c>
      <c r="C115" s="45">
        <f>B86</f>
        <v>0.28633996572929549</v>
      </c>
      <c r="D115" s="28">
        <f>D86</f>
        <v>5.8161611259299466</v>
      </c>
      <c r="E115" s="45" t="e">
        <f ca="1">_xludf._xlfn.T.DIST.2T(D115,$B$9)</f>
        <v>#NAME?</v>
      </c>
    </row>
    <row r="116" spans="1:6" x14ac:dyDescent="0.2">
      <c r="A116" s="46" t="s">
        <v>17</v>
      </c>
      <c r="B116" s="47">
        <f>Q30</f>
        <v>0.55525530160563008</v>
      </c>
      <c r="C116" s="47">
        <f>B87</f>
        <v>7.5390860324607095E-2</v>
      </c>
      <c r="D116" s="28">
        <f>D87</f>
        <v>7.3650214258716753</v>
      </c>
      <c r="E116" s="45" t="e">
        <f ca="1">_xludf._xlfn.T.DIST.2T(D116,$B$9)</f>
        <v>#NAME?</v>
      </c>
    </row>
    <row r="117" spans="1:6" x14ac:dyDescent="0.2">
      <c r="A117" s="46" t="s">
        <v>162</v>
      </c>
      <c r="B117" s="48">
        <f>Q31</f>
        <v>3.3641608508844456E-2</v>
      </c>
      <c r="C117" s="48">
        <f>B88</f>
        <v>4.9981972608347448E-2</v>
      </c>
      <c r="D117" s="28">
        <f>D88</f>
        <v>0.67307484585404298</v>
      </c>
      <c r="E117" s="45" t="e">
        <f ca="1">_xludf._xlfn.T.DIST.2T(D117,$B$9)</f>
        <v>#NAME?</v>
      </c>
    </row>
    <row r="119" spans="1:6" x14ac:dyDescent="0.2">
      <c r="A119" s="8" t="s">
        <v>82</v>
      </c>
      <c r="B119" s="49">
        <f>J50</f>
        <v>5.908438702355203E-2</v>
      </c>
    </row>
    <row r="120" spans="1:6" x14ac:dyDescent="0.2">
      <c r="A120" s="8" t="s">
        <v>83</v>
      </c>
      <c r="B120" s="50">
        <f>A72</f>
        <v>0.63634501570024204</v>
      </c>
    </row>
    <row r="121" spans="1:6" x14ac:dyDescent="0.2">
      <c r="A121" s="8" t="s">
        <v>84</v>
      </c>
      <c r="B121" s="50">
        <f>A74</f>
        <v>0.58618570752143562</v>
      </c>
    </row>
  </sheetData>
  <mergeCells count="2">
    <mergeCell ref="P12:R12"/>
    <mergeCell ref="P17:R17"/>
  </mergeCells>
  <conditionalFormatting sqref="I86:I88">
    <cfRule type="cellIs" dxfId="1" priority="2" stopIfTrue="1" operator="equal">
      <formula>1</formula>
    </cfRule>
  </conditionalFormatting>
  <conditionalFormatting sqref="E86:E88">
    <cfRule type="cellIs" dxfId="0" priority="1" stopIfTrue="1" operator="equal">
      <formula>1</formula>
    </cfRule>
  </conditionalFormatting>
  <hyperlinks>
    <hyperlink ref="A1" r:id="rId1" xr:uid="{00000000-0004-0000-0100-000000000000}"/>
    <hyperlink ref="A2" r:id="rId2" xr:uid="{00000000-0004-0000-0100-000001000000}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7"/>
  <sheetViews>
    <sheetView topLeftCell="A31" workbookViewId="0">
      <selection activeCell="S33" sqref="S32:S33"/>
    </sheetView>
  </sheetViews>
  <sheetFormatPr defaultColWidth="8.125" defaultRowHeight="14.25" x14ac:dyDescent="0.2"/>
  <cols>
    <col min="1" max="1" width="10.25" customWidth="1"/>
    <col min="2" max="4" width="12.875" customWidth="1"/>
    <col min="5" max="5" width="4" customWidth="1"/>
    <col min="6" max="6" width="3.5" customWidth="1"/>
    <col min="7" max="7" width="10.75" customWidth="1"/>
    <col min="8" max="8" width="8.625" customWidth="1"/>
    <col min="9" max="10" width="8.125" customWidth="1"/>
    <col min="11" max="14" width="9.25" customWidth="1"/>
    <col min="15" max="15" width="3.5" customWidth="1"/>
    <col min="16" max="16" width="2.625" customWidth="1"/>
    <col min="17" max="17" width="10.875" customWidth="1"/>
    <col min="18" max="18" width="13.375" customWidth="1"/>
    <col min="19" max="19" width="11.875" customWidth="1"/>
    <col min="20" max="20" width="7.5" customWidth="1"/>
    <col min="21" max="21" width="3.5" customWidth="1"/>
    <col min="22" max="29" width="8.125" customWidth="1"/>
    <col min="30" max="30" width="3.5" customWidth="1"/>
  </cols>
  <sheetData>
    <row r="1" spans="1:30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x14ac:dyDescent="0.25">
      <c r="A2" s="3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18.75" x14ac:dyDescent="0.2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1:30" ht="15.75" x14ac:dyDescent="0.25">
      <c r="A4" s="6" t="s">
        <v>85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6" spans="1:30" ht="15" x14ac:dyDescent="0.25">
      <c r="A6" s="54" t="s">
        <v>86</v>
      </c>
      <c r="G6" s="55" t="s">
        <v>87</v>
      </c>
      <c r="H6" s="56"/>
      <c r="I6" s="56"/>
      <c r="J6" s="56"/>
      <c r="K6" s="56"/>
      <c r="L6" s="56"/>
      <c r="M6" s="56"/>
      <c r="N6" s="56"/>
    </row>
    <row r="7" spans="1:30" ht="24.75" x14ac:dyDescent="0.25">
      <c r="A7" s="57" t="s">
        <v>24</v>
      </c>
      <c r="B7" s="57" t="s">
        <v>25</v>
      </c>
      <c r="C7" s="57" t="s">
        <v>23</v>
      </c>
      <c r="G7" s="58" t="s">
        <v>88</v>
      </c>
      <c r="H7" s="57" t="s">
        <v>89</v>
      </c>
      <c r="I7" s="57" t="s">
        <v>90</v>
      </c>
      <c r="J7" s="57" t="s">
        <v>91</v>
      </c>
      <c r="K7" s="59"/>
    </row>
    <row r="8" spans="1:30" ht="24.75" x14ac:dyDescent="0.25">
      <c r="A8" s="60">
        <f t="array" ref="A8:C8">LINEST(B36:B60,C36:D60)</f>
        <v>1.7440425733961575E-2</v>
      </c>
      <c r="B8" s="60">
        <v>0.54648886891259851</v>
      </c>
      <c r="C8" s="60">
        <v>1.7318042778668947</v>
      </c>
      <c r="G8" s="58" t="s">
        <v>92</v>
      </c>
      <c r="H8" s="57" t="s">
        <v>93</v>
      </c>
      <c r="I8" s="57" t="s">
        <v>13</v>
      </c>
      <c r="J8" s="57" t="s">
        <v>94</v>
      </c>
      <c r="K8" s="57" t="s">
        <v>95</v>
      </c>
    </row>
    <row r="9" spans="1:30" ht="15" x14ac:dyDescent="0.25">
      <c r="F9" s="61" t="s">
        <v>96</v>
      </c>
      <c r="G9" s="57" t="s">
        <v>97</v>
      </c>
      <c r="H9" s="62" t="e">
        <f ca="1">A28</f>
        <v>#VALUE!</v>
      </c>
      <c r="I9" s="62" t="e">
        <f ca="1">B28</f>
        <v>#VALUE!</v>
      </c>
      <c r="J9" s="63">
        <v>-1</v>
      </c>
      <c r="K9" s="64" t="e">
        <f ca="1">SQRT(SUMSQ(H9:J9))</f>
        <v>#VALUE!</v>
      </c>
    </row>
    <row r="10" spans="1:30" ht="15" x14ac:dyDescent="0.25">
      <c r="F10" s="61" t="s">
        <v>98</v>
      </c>
      <c r="G10" s="57" t="s">
        <v>99</v>
      </c>
      <c r="H10" s="63">
        <v>0</v>
      </c>
      <c r="I10" s="63">
        <v>0</v>
      </c>
      <c r="J10" s="51">
        <v>1</v>
      </c>
      <c r="K10" s="64">
        <f>SQRT(SUMSQ(H10:J10))</f>
        <v>1</v>
      </c>
    </row>
    <row r="11" spans="1:30" x14ac:dyDescent="0.2">
      <c r="A11" s="65" t="s">
        <v>100</v>
      </c>
    </row>
    <row r="12" spans="1:30" ht="15" x14ac:dyDescent="0.25">
      <c r="A12" s="57" t="s">
        <v>25</v>
      </c>
      <c r="B12" s="57" t="s">
        <v>24</v>
      </c>
      <c r="C12" s="57" t="s">
        <v>23</v>
      </c>
      <c r="G12" s="64"/>
      <c r="H12" s="64">
        <v>1</v>
      </c>
      <c r="I12" s="64">
        <v>1</v>
      </c>
      <c r="J12" s="64">
        <v>1</v>
      </c>
      <c r="K12" s="57" t="s">
        <v>95</v>
      </c>
    </row>
    <row r="13" spans="1:30" ht="15" x14ac:dyDescent="0.25">
      <c r="A13" s="63">
        <f>B8</f>
        <v>0.54648886891259851</v>
      </c>
      <c r="B13" s="63">
        <f>A8</f>
        <v>1.7440425733961575E-2</v>
      </c>
      <c r="C13" s="66">
        <f>C8</f>
        <v>1.7318042778668947</v>
      </c>
      <c r="G13" s="57" t="s">
        <v>97</v>
      </c>
      <c r="H13" s="60" t="e">
        <f t="shared" ref="H13:J14" ca="1" si="0">H9/$K9</f>
        <v>#VALUE!</v>
      </c>
      <c r="I13" s="60" t="e">
        <f t="shared" ca="1" si="0"/>
        <v>#VALUE!</v>
      </c>
      <c r="J13" s="60" t="e">
        <f t="shared" ca="1" si="0"/>
        <v>#VALUE!</v>
      </c>
      <c r="K13" s="64" t="e">
        <f ca="1">SQRT(SUMSQ(H13:J13))</f>
        <v>#VALUE!</v>
      </c>
      <c r="M13" s="64" t="s">
        <v>101</v>
      </c>
      <c r="N13" s="64" t="e">
        <f ca="1">K15</f>
        <v>#VALUE!</v>
      </c>
    </row>
    <row r="14" spans="1:30" ht="15" x14ac:dyDescent="0.25">
      <c r="G14" s="57" t="s">
        <v>99</v>
      </c>
      <c r="H14" s="60">
        <f t="shared" si="0"/>
        <v>0</v>
      </c>
      <c r="I14" s="60">
        <f t="shared" si="0"/>
        <v>0</v>
      </c>
      <c r="J14" s="60">
        <f t="shared" si="0"/>
        <v>1</v>
      </c>
      <c r="K14" s="64">
        <f>SQRT(SUMSQ(H14:J14))</f>
        <v>1</v>
      </c>
      <c r="M14" s="64" t="s">
        <v>102</v>
      </c>
      <c r="N14" s="64" t="e">
        <f ca="1">SUMPRODUCT(H13:J13,H14:J14)</f>
        <v>#VALUE!</v>
      </c>
    </row>
    <row r="15" spans="1:30" ht="15" x14ac:dyDescent="0.25">
      <c r="F15" s="67" t="s">
        <v>103</v>
      </c>
      <c r="G15" s="57" t="s">
        <v>104</v>
      </c>
      <c r="H15" s="64" t="e">
        <f t="array" aca="1" ref="H15:J15" ca="1">TRANSPOSE(MINVERSE(H12:J14))*MDETERM(H12:J14)</f>
        <v>#VALUE!</v>
      </c>
      <c r="I15" s="64" t="e">
        <f ca="1"/>
        <v>#VALUE!</v>
      </c>
      <c r="J15" s="64" t="e">
        <f ca="1"/>
        <v>#VALUE!</v>
      </c>
      <c r="K15" s="64" t="e">
        <f ca="1">SQRT(SUMSQ(H15:J15))</f>
        <v>#VALUE!</v>
      </c>
      <c r="M15" s="51" t="s">
        <v>105</v>
      </c>
      <c r="N15" s="64" t="e">
        <f ca="1">(1-N14)/(N13*N13)</f>
        <v>#VALUE!</v>
      </c>
    </row>
    <row r="17" spans="1:24" ht="15" x14ac:dyDescent="0.25">
      <c r="A17" s="23"/>
      <c r="B17" s="68" t="str">
        <f>B35</f>
        <v>Y</v>
      </c>
      <c r="C17" s="68" t="str">
        <f>C35</f>
        <v>X1</v>
      </c>
      <c r="D17" s="68" t="str">
        <f>D35</f>
        <v>X2</v>
      </c>
      <c r="G17" s="69" t="s">
        <v>106</v>
      </c>
      <c r="K17" s="69" t="s">
        <v>107</v>
      </c>
    </row>
    <row r="18" spans="1:24" x14ac:dyDescent="0.2">
      <c r="A18" s="68" t="s">
        <v>108</v>
      </c>
      <c r="B18" s="70">
        <f>MIN(B$36:B$60)</f>
        <v>3.403120521175818</v>
      </c>
      <c r="C18" s="70">
        <f>MIN(C$36:C$60)</f>
        <v>3.0441476208787228</v>
      </c>
      <c r="D18" s="70">
        <f>MIN(D$36:D$60)</f>
        <v>2.0043213737826426</v>
      </c>
      <c r="G18" s="64">
        <v>0</v>
      </c>
      <c r="H18" s="64" t="e">
        <f ca="1">-J15</f>
        <v>#VALUE!</v>
      </c>
      <c r="I18" s="64" t="e">
        <f ca="1">I15</f>
        <v>#VALUE!</v>
      </c>
      <c r="K18" s="64" t="e">
        <f t="array" aca="1" ref="K18:M20" ca="1">MMULT(G18:I20,G18:I20)</f>
        <v>#VALUE!</v>
      </c>
      <c r="L18" s="64" t="e">
        <f ca="1"/>
        <v>#VALUE!</v>
      </c>
      <c r="M18" s="64" t="e">
        <f ca="1"/>
        <v>#VALUE!</v>
      </c>
    </row>
    <row r="19" spans="1:24" x14ac:dyDescent="0.2">
      <c r="A19" s="68" t="s">
        <v>109</v>
      </c>
      <c r="B19" s="70">
        <f>MAX(B$36:B$60)</f>
        <v>3.7487305560984945</v>
      </c>
      <c r="C19" s="70">
        <f>MAX(C$36:C$60)</f>
        <v>3.5498611884719429</v>
      </c>
      <c r="D19" s="70">
        <f>MAX(D$36:D$60)</f>
        <v>2.6946051989335689</v>
      </c>
      <c r="G19" s="64" t="e">
        <f ca="1">J15</f>
        <v>#VALUE!</v>
      </c>
      <c r="H19" s="64">
        <v>0</v>
      </c>
      <c r="I19" s="64" t="e">
        <f ca="1">-H15</f>
        <v>#VALUE!</v>
      </c>
      <c r="K19" s="64" t="e">
        <f ca="1"/>
        <v>#VALUE!</v>
      </c>
      <c r="L19" s="64" t="e">
        <f ca="1"/>
        <v>#VALUE!</v>
      </c>
      <c r="M19" s="64" t="e">
        <f ca="1"/>
        <v>#VALUE!</v>
      </c>
    </row>
    <row r="20" spans="1:24" x14ac:dyDescent="0.2">
      <c r="A20" s="68" t="s">
        <v>110</v>
      </c>
      <c r="B20" s="70">
        <f>AVERAGE(B$36:B$60)</f>
        <v>3.576427601053711</v>
      </c>
      <c r="C20" s="70">
        <f>AVERAGE(C$36:C$60)</f>
        <v>3.2958351480662902</v>
      </c>
      <c r="D20" s="70">
        <f>AVERAGE(D$36:D$60)</f>
        <v>2.4934082264404047</v>
      </c>
      <c r="G20" s="64" t="e">
        <f ca="1">-I15</f>
        <v>#VALUE!</v>
      </c>
      <c r="H20" s="64" t="e">
        <f ca="1">H15</f>
        <v>#VALUE!</v>
      </c>
      <c r="I20" s="64">
        <v>0</v>
      </c>
      <c r="K20" s="64" t="e">
        <f ca="1"/>
        <v>#VALUE!</v>
      </c>
      <c r="L20" s="64" t="e">
        <f ca="1"/>
        <v>#VALUE!</v>
      </c>
      <c r="M20" s="64" t="e">
        <f ca="1"/>
        <v>#VALUE!</v>
      </c>
    </row>
    <row r="21" spans="1:24" x14ac:dyDescent="0.2">
      <c r="A21" s="68" t="s">
        <v>111</v>
      </c>
      <c r="B21" s="70" t="e">
        <f ca="1">_xludf._xlfn.STDEV.S(B$36:B$60)</f>
        <v>#NAME?</v>
      </c>
      <c r="C21" s="70" t="e">
        <f ca="1">_xludf._xlfn.STDEV.S(C$36:C$60)</f>
        <v>#NAME?</v>
      </c>
      <c r="D21" s="70" t="e">
        <f ca="1">_xludf._xlfn.STDEV.S(D$36:D$60)</f>
        <v>#NAME?</v>
      </c>
    </row>
    <row r="22" spans="1:24" ht="15" x14ac:dyDescent="0.25">
      <c r="G22" s="69" t="s">
        <v>112</v>
      </c>
      <c r="K22" s="69" t="s">
        <v>113</v>
      </c>
      <c r="V22" s="69" t="s">
        <v>114</v>
      </c>
    </row>
    <row r="23" spans="1:24" ht="15" x14ac:dyDescent="0.25">
      <c r="A23" t="s">
        <v>115</v>
      </c>
      <c r="G23" s="71" t="e">
        <f t="shared" ref="G23:I25" ca="1" si="1">K28+G18+K23</f>
        <v>#VALUE!</v>
      </c>
      <c r="H23" s="71" t="e">
        <f t="shared" ca="1" si="1"/>
        <v>#VALUE!</v>
      </c>
      <c r="I23" s="71" t="e">
        <f t="shared" ca="1" si="1"/>
        <v>#VALUE!</v>
      </c>
      <c r="K23" s="72" t="e">
        <f t="shared" ref="K23:M25" ca="1" si="2">K18*$N$15</f>
        <v>#VALUE!</v>
      </c>
      <c r="L23" s="72" t="e">
        <f t="shared" ca="1" si="2"/>
        <v>#VALUE!</v>
      </c>
      <c r="M23" s="72" t="e">
        <f t="shared" ca="1" si="2"/>
        <v>#VALUE!</v>
      </c>
      <c r="Q23" s="69" t="s">
        <v>116</v>
      </c>
      <c r="V23" s="69" t="s">
        <v>117</v>
      </c>
    </row>
    <row r="24" spans="1:24" ht="15" x14ac:dyDescent="0.25">
      <c r="A24" s="57" t="s">
        <v>24</v>
      </c>
      <c r="B24" s="57" t="s">
        <v>25</v>
      </c>
      <c r="C24" s="57" t="s">
        <v>23</v>
      </c>
      <c r="G24" s="71" t="e">
        <f t="shared" ca="1" si="1"/>
        <v>#VALUE!</v>
      </c>
      <c r="H24" s="71" t="e">
        <f t="shared" ca="1" si="1"/>
        <v>#VALUE!</v>
      </c>
      <c r="I24" s="71" t="e">
        <f t="shared" ca="1" si="1"/>
        <v>#VALUE!</v>
      </c>
      <c r="K24" s="72" t="e">
        <f t="shared" ca="1" si="2"/>
        <v>#VALUE!</v>
      </c>
      <c r="L24" s="72" t="e">
        <f t="shared" ca="1" si="2"/>
        <v>#VALUE!</v>
      </c>
      <c r="M24" s="72" t="e">
        <f t="shared" ca="1" si="2"/>
        <v>#VALUE!</v>
      </c>
      <c r="Q24" s="73" t="e">
        <f t="array" aca="1" ref="Q24:S26" ca="1">MMULT(V24:X26,G23:I25)</f>
        <v>#VALUE!</v>
      </c>
      <c r="R24" s="73" t="e">
        <f ca="1"/>
        <v>#VALUE!</v>
      </c>
      <c r="S24" s="73" t="e">
        <f ca="1"/>
        <v>#VALUE!</v>
      </c>
      <c r="V24" s="64">
        <f>COS(R30)</f>
        <v>1</v>
      </c>
      <c r="W24" s="64">
        <f>-SIN(R30)</f>
        <v>0</v>
      </c>
      <c r="X24" s="64">
        <v>0</v>
      </c>
    </row>
    <row r="25" spans="1:24" x14ac:dyDescent="0.2">
      <c r="A25" s="63" t="e">
        <f t="array" aca="1" ref="A25:C25" ca="1">LINEST(B93:B117,C93:D117)</f>
        <v>#VALUE!</v>
      </c>
      <c r="B25" s="63" t="e">
        <f ca="1"/>
        <v>#VALUE!</v>
      </c>
      <c r="C25" s="66" t="e">
        <f ca="1"/>
        <v>#VALUE!</v>
      </c>
      <c r="G25" s="71" t="e">
        <f t="shared" ca="1" si="1"/>
        <v>#VALUE!</v>
      </c>
      <c r="H25" s="71" t="e">
        <f t="shared" ca="1" si="1"/>
        <v>#VALUE!</v>
      </c>
      <c r="I25" s="71" t="e">
        <f t="shared" ca="1" si="1"/>
        <v>#VALUE!</v>
      </c>
      <c r="K25" s="72" t="e">
        <f t="shared" ca="1" si="2"/>
        <v>#VALUE!</v>
      </c>
      <c r="L25" s="72" t="e">
        <f t="shared" ca="1" si="2"/>
        <v>#VALUE!</v>
      </c>
      <c r="M25" s="72" t="e">
        <f t="shared" ca="1" si="2"/>
        <v>#VALUE!</v>
      </c>
      <c r="Q25" s="73" t="e">
        <f ca="1"/>
        <v>#VALUE!</v>
      </c>
      <c r="R25" s="73" t="e">
        <f ca="1"/>
        <v>#VALUE!</v>
      </c>
      <c r="S25" s="73" t="e">
        <f ca="1"/>
        <v>#VALUE!</v>
      </c>
      <c r="V25" s="64">
        <f>SIN(R30)</f>
        <v>0</v>
      </c>
      <c r="W25" s="64">
        <f>COS(R30)</f>
        <v>1</v>
      </c>
      <c r="X25" s="64">
        <v>0</v>
      </c>
    </row>
    <row r="26" spans="1:24" x14ac:dyDescent="0.2">
      <c r="Q26" s="73" t="e">
        <f ca="1"/>
        <v>#VALUE!</v>
      </c>
      <c r="R26" s="73" t="e">
        <f ca="1"/>
        <v>#VALUE!</v>
      </c>
      <c r="S26" s="73" t="e">
        <f ca="1"/>
        <v>#VALUE!</v>
      </c>
      <c r="V26" s="64">
        <v>0</v>
      </c>
      <c r="W26" s="64">
        <v>0</v>
      </c>
      <c r="X26" s="64">
        <v>1</v>
      </c>
    </row>
    <row r="27" spans="1:24" ht="15" x14ac:dyDescent="0.25">
      <c r="A27" s="57" t="s">
        <v>25</v>
      </c>
      <c r="B27" s="57" t="s">
        <v>24</v>
      </c>
      <c r="C27" s="57" t="s">
        <v>23</v>
      </c>
      <c r="G27" t="s">
        <v>118</v>
      </c>
      <c r="K27" s="69" t="s">
        <v>119</v>
      </c>
    </row>
    <row r="28" spans="1:24" ht="15" x14ac:dyDescent="0.25">
      <c r="A28" s="62" t="e">
        <f ca="1">B25</f>
        <v>#VALUE!</v>
      </c>
      <c r="B28" s="74" t="e">
        <f ca="1">A25</f>
        <v>#VALUE!</v>
      </c>
      <c r="C28" s="73" t="e">
        <f ca="1">C25</f>
        <v>#VALUE!</v>
      </c>
      <c r="G28" s="60" t="e">
        <f t="array" aca="1" ref="G28:G30" ca="1">MMULT(G23:I25,TRANSPOSE(H13:J13))</f>
        <v>#VALUE!</v>
      </c>
      <c r="H28" t="e">
        <f ca="1">H14=G28</f>
        <v>#VALUE!</v>
      </c>
      <c r="K28" s="64">
        <v>1</v>
      </c>
      <c r="L28" s="64">
        <v>0</v>
      </c>
      <c r="M28" s="64">
        <v>0</v>
      </c>
      <c r="Q28" s="69" t="s">
        <v>120</v>
      </c>
    </row>
    <row r="29" spans="1:24" ht="15" x14ac:dyDescent="0.25">
      <c r="G29" s="60" t="e">
        <f ca="1"/>
        <v>#VALUE!</v>
      </c>
      <c r="H29" t="e">
        <f ca="1">I14=G29</f>
        <v>#VALUE!</v>
      </c>
      <c r="K29" s="64">
        <v>0</v>
      </c>
      <c r="L29" s="64">
        <v>1</v>
      </c>
      <c r="M29" s="64">
        <v>0</v>
      </c>
      <c r="Q29" s="57" t="s">
        <v>121</v>
      </c>
      <c r="R29" s="57" t="s">
        <v>122</v>
      </c>
    </row>
    <row r="30" spans="1:24" x14ac:dyDescent="0.2">
      <c r="G30" s="60" t="e">
        <f ca="1"/>
        <v>#VALUE!</v>
      </c>
      <c r="H30" s="75" t="e">
        <f ca="1">J14=G30</f>
        <v>#VALUE!</v>
      </c>
      <c r="K30" s="64">
        <v>0</v>
      </c>
      <c r="L30" s="64">
        <v>0</v>
      </c>
      <c r="M30" s="64">
        <v>1</v>
      </c>
      <c r="Q30" s="76">
        <v>0</v>
      </c>
      <c r="R30" s="64">
        <f>Q30/180*PI()</f>
        <v>0</v>
      </c>
    </row>
    <row r="31" spans="1:24" ht="25.5" customHeight="1" x14ac:dyDescent="0.2">
      <c r="Q31" s="77"/>
      <c r="R31" s="77"/>
    </row>
    <row r="32" spans="1:24" x14ac:dyDescent="0.2">
      <c r="Q32" s="77"/>
      <c r="R32" s="77"/>
    </row>
    <row r="33" spans="1:29" x14ac:dyDescent="0.2">
      <c r="C33" s="77"/>
      <c r="D33" s="77"/>
    </row>
    <row r="34" spans="1:29" ht="37.5" customHeight="1" x14ac:dyDescent="0.25">
      <c r="A34" s="78" t="s">
        <v>123</v>
      </c>
      <c r="B34" s="79"/>
      <c r="C34" s="80"/>
      <c r="D34" s="80"/>
      <c r="G34" s="115" t="s">
        <v>198</v>
      </c>
      <c r="H34" s="115"/>
      <c r="I34" s="115"/>
      <c r="J34" s="115"/>
      <c r="K34" s="115"/>
      <c r="L34" s="115"/>
      <c r="M34" s="115"/>
      <c r="N34" s="115"/>
      <c r="Q34" t="s">
        <v>124</v>
      </c>
      <c r="V34" s="116" t="s">
        <v>125</v>
      </c>
      <c r="W34" s="116"/>
      <c r="X34" s="116"/>
      <c r="Y34" s="116"/>
      <c r="Z34" s="116"/>
      <c r="AA34" s="116"/>
      <c r="AB34" s="116"/>
      <c r="AC34" s="116"/>
    </row>
    <row r="35" spans="1:29" ht="29.25" customHeight="1" x14ac:dyDescent="0.25">
      <c r="A35" s="81" t="s">
        <v>126</v>
      </c>
      <c r="B35" s="81" t="s">
        <v>91</v>
      </c>
      <c r="C35" s="81" t="s">
        <v>127</v>
      </c>
      <c r="D35" s="81" t="s">
        <v>128</v>
      </c>
      <c r="F35" s="82"/>
      <c r="G35" s="117" t="str">
        <f>C35</f>
        <v>X1</v>
      </c>
      <c r="H35" s="117"/>
      <c r="I35" s="117"/>
      <c r="J35" s="117"/>
      <c r="L35" s="83" t="s">
        <v>199</v>
      </c>
      <c r="M35" s="84"/>
      <c r="N35" s="83">
        <f>COUNTA(B35:D35)</f>
        <v>3</v>
      </c>
      <c r="Q35" s="81" t="str">
        <f>B35</f>
        <v>Y</v>
      </c>
      <c r="R35" s="81" t="str">
        <f>C35</f>
        <v>X1</v>
      </c>
      <c r="S35" s="81" t="str">
        <f>D35</f>
        <v>X2</v>
      </c>
      <c r="U35" s="82"/>
      <c r="V35" s="117" t="str">
        <f>R35</f>
        <v>X1</v>
      </c>
      <c r="W35" s="117"/>
      <c r="X35" s="117"/>
      <c r="Y35" s="117"/>
    </row>
    <row r="36" spans="1:29" ht="15" x14ac:dyDescent="0.25">
      <c r="A36" s="85">
        <v>1</v>
      </c>
      <c r="B36" s="73">
        <f>Модель!J12</f>
        <v>3.403120521175818</v>
      </c>
      <c r="C36" s="73">
        <f>Модель!H12</f>
        <v>3.2447717614952949</v>
      </c>
      <c r="D36" s="73">
        <f>Модель!I12</f>
        <v>2.4048337166199381</v>
      </c>
      <c r="F36" s="118" t="str">
        <f>B35</f>
        <v>Y</v>
      </c>
      <c r="L36" s="86" t="s">
        <v>200</v>
      </c>
      <c r="M36" s="85"/>
      <c r="N36" s="86">
        <f>COMBIN(N35,2)</f>
        <v>3</v>
      </c>
      <c r="Q36" s="87" t="e">
        <f t="shared" ref="Q36:Q60" ca="1" si="3">S93</f>
        <v>#VALUE!</v>
      </c>
      <c r="R36" s="87" t="e">
        <f t="shared" ref="R36:S60" ca="1" si="4">Q93</f>
        <v>#VALUE!</v>
      </c>
      <c r="S36" s="87" t="e">
        <f t="shared" ca="1" si="4"/>
        <v>#VALUE!</v>
      </c>
      <c r="U36" s="118" t="str">
        <f>Q35</f>
        <v>Y</v>
      </c>
    </row>
    <row r="37" spans="1:29" ht="15" customHeight="1" x14ac:dyDescent="0.25">
      <c r="A37" s="85">
        <v>2</v>
      </c>
      <c r="B37" s="73">
        <f>Модель!J13</f>
        <v>3.6682927104482208</v>
      </c>
      <c r="C37" s="73">
        <f>Модель!H13</f>
        <v>3.185542154854375</v>
      </c>
      <c r="D37" s="73">
        <f>Модель!I13</f>
        <v>2.6334684555795866</v>
      </c>
      <c r="F37" s="118"/>
      <c r="Q37" s="87" t="e">
        <f t="shared" ca="1" si="3"/>
        <v>#VALUE!</v>
      </c>
      <c r="R37" s="87" t="e">
        <f t="shared" ca="1" si="4"/>
        <v>#VALUE!</v>
      </c>
      <c r="S37" s="87" t="e">
        <f t="shared" ca="1" si="4"/>
        <v>#VALUE!</v>
      </c>
      <c r="U37" s="118"/>
    </row>
    <row r="38" spans="1:29" ht="15" x14ac:dyDescent="0.25">
      <c r="A38" s="85">
        <v>3</v>
      </c>
      <c r="B38" s="73">
        <f>Модель!J14</f>
        <v>3.5403294747908736</v>
      </c>
      <c r="C38" s="73">
        <f>Модель!H14</f>
        <v>3.3059958827708047</v>
      </c>
      <c r="D38" s="73">
        <f>Модель!I14</f>
        <v>2.6693168805661123</v>
      </c>
      <c r="F38" s="118"/>
      <c r="Q38" s="87" t="e">
        <f t="shared" ca="1" si="3"/>
        <v>#VALUE!</v>
      </c>
      <c r="R38" s="87" t="e">
        <f t="shared" ca="1" si="4"/>
        <v>#VALUE!</v>
      </c>
      <c r="S38" s="87" t="e">
        <f t="shared" ca="1" si="4"/>
        <v>#VALUE!</v>
      </c>
      <c r="U38" s="118"/>
    </row>
    <row r="39" spans="1:29" ht="15" x14ac:dyDescent="0.25">
      <c r="A39" s="85">
        <v>4</v>
      </c>
      <c r="B39" s="73">
        <f>Модель!J15</f>
        <v>3.5998830720736876</v>
      </c>
      <c r="C39" s="73">
        <f>Модель!H15</f>
        <v>3.2633993313340022</v>
      </c>
      <c r="D39" s="73">
        <f>Модель!I15</f>
        <v>2.6532125137753435</v>
      </c>
      <c r="F39" s="118"/>
      <c r="Q39" s="87" t="e">
        <f t="shared" ca="1" si="3"/>
        <v>#VALUE!</v>
      </c>
      <c r="R39" s="87" t="e">
        <f t="shared" ca="1" si="4"/>
        <v>#VALUE!</v>
      </c>
      <c r="S39" s="87" t="e">
        <f t="shared" ca="1" si="4"/>
        <v>#VALUE!</v>
      </c>
      <c r="U39" s="118"/>
    </row>
    <row r="40" spans="1:29" ht="15" x14ac:dyDescent="0.25">
      <c r="A40" s="85">
        <v>5</v>
      </c>
      <c r="B40" s="73">
        <f>Модель!J16</f>
        <v>3.7487305560984945</v>
      </c>
      <c r="C40" s="73">
        <f>Модель!H16</f>
        <v>3.4723175463168419</v>
      </c>
      <c r="D40" s="73">
        <f>Модель!I16</f>
        <v>2.0334237554869499</v>
      </c>
      <c r="F40" s="118"/>
      <c r="Q40" s="87" t="e">
        <f t="shared" ca="1" si="3"/>
        <v>#VALUE!</v>
      </c>
      <c r="R40" s="87" t="e">
        <f t="shared" ca="1" si="4"/>
        <v>#VALUE!</v>
      </c>
      <c r="S40" s="87" t="e">
        <f t="shared" ca="1" si="4"/>
        <v>#VALUE!</v>
      </c>
      <c r="U40" s="118"/>
    </row>
    <row r="41" spans="1:29" ht="15" x14ac:dyDescent="0.25">
      <c r="A41" s="85">
        <v>6</v>
      </c>
      <c r="B41" s="73">
        <f>Модель!J17</f>
        <v>3.5385737338068557</v>
      </c>
      <c r="C41" s="73">
        <f>Модель!H17</f>
        <v>3.1970047280230456</v>
      </c>
      <c r="D41" s="73">
        <f>Модель!I17</f>
        <v>2.6201360549737576</v>
      </c>
      <c r="F41" s="118"/>
      <c r="Q41" s="87" t="e">
        <f t="shared" ca="1" si="3"/>
        <v>#VALUE!</v>
      </c>
      <c r="R41" s="87" t="e">
        <f t="shared" ca="1" si="4"/>
        <v>#VALUE!</v>
      </c>
      <c r="S41" s="87" t="e">
        <f t="shared" ca="1" si="4"/>
        <v>#VALUE!</v>
      </c>
      <c r="U41" s="118"/>
    </row>
    <row r="42" spans="1:29" ht="15" x14ac:dyDescent="0.25">
      <c r="A42" s="85">
        <v>7</v>
      </c>
      <c r="B42" s="73">
        <f>Модель!J18</f>
        <v>3.5995555909859802</v>
      </c>
      <c r="C42" s="73">
        <f>Модель!H18</f>
        <v>3.3209766773428235</v>
      </c>
      <c r="D42" s="73">
        <f>Модель!I18</f>
        <v>2.5276299008713385</v>
      </c>
      <c r="F42" s="118"/>
      <c r="Q42" s="87" t="e">
        <f t="shared" ca="1" si="3"/>
        <v>#VALUE!</v>
      </c>
      <c r="R42" s="87" t="e">
        <f t="shared" ca="1" si="4"/>
        <v>#VALUE!</v>
      </c>
      <c r="S42" s="87" t="e">
        <f t="shared" ca="1" si="4"/>
        <v>#VALUE!</v>
      </c>
      <c r="U42" s="118"/>
    </row>
    <row r="43" spans="1:29" ht="15" x14ac:dyDescent="0.25">
      <c r="A43" s="85">
        <v>8</v>
      </c>
      <c r="B43" s="73">
        <f>Модель!J19</f>
        <v>3.5925098479006801</v>
      </c>
      <c r="C43" s="73">
        <f>Модель!H19</f>
        <v>3.3104808914626753</v>
      </c>
      <c r="D43" s="73">
        <f>Модель!I19</f>
        <v>2.6946051989335689</v>
      </c>
      <c r="F43" s="118"/>
      <c r="Q43" s="87" t="e">
        <f t="shared" ca="1" si="3"/>
        <v>#VALUE!</v>
      </c>
      <c r="R43" s="87" t="e">
        <f t="shared" ca="1" si="4"/>
        <v>#VALUE!</v>
      </c>
      <c r="S43" s="87" t="e">
        <f t="shared" ca="1" si="4"/>
        <v>#VALUE!</v>
      </c>
      <c r="U43" s="118"/>
    </row>
    <row r="44" spans="1:29" ht="15" x14ac:dyDescent="0.25">
      <c r="A44" s="85">
        <v>9</v>
      </c>
      <c r="B44" s="73">
        <f>Модель!J20</f>
        <v>3.5313511645830595</v>
      </c>
      <c r="C44" s="73">
        <f>Модель!H20</f>
        <v>3.1866738674997452</v>
      </c>
      <c r="D44" s="73">
        <f>Модель!I20</f>
        <v>2.5538830266438746</v>
      </c>
      <c r="F44" s="118"/>
      <c r="Q44" s="87" t="e">
        <f t="shared" ca="1" si="3"/>
        <v>#VALUE!</v>
      </c>
      <c r="R44" s="87" t="e">
        <f t="shared" ca="1" si="4"/>
        <v>#VALUE!</v>
      </c>
      <c r="S44" s="87" t="e">
        <f t="shared" ca="1" si="4"/>
        <v>#VALUE!</v>
      </c>
      <c r="U44" s="118"/>
    </row>
    <row r="45" spans="1:29" ht="15" x14ac:dyDescent="0.25">
      <c r="A45" s="85">
        <v>10</v>
      </c>
      <c r="B45" s="73">
        <f>Модель!J21</f>
        <v>3.634275694625944</v>
      </c>
      <c r="C45" s="73">
        <f>Модель!H21</f>
        <v>3.2898118391176214</v>
      </c>
      <c r="D45" s="73">
        <f>Модель!I21</f>
        <v>2.0043213737826426</v>
      </c>
      <c r="F45" s="118"/>
      <c r="Q45" s="87" t="e">
        <f t="shared" ca="1" si="3"/>
        <v>#VALUE!</v>
      </c>
      <c r="R45" s="87" t="e">
        <f t="shared" ca="1" si="4"/>
        <v>#VALUE!</v>
      </c>
      <c r="S45" s="87" t="e">
        <f t="shared" ca="1" si="4"/>
        <v>#VALUE!</v>
      </c>
      <c r="U45" s="118"/>
    </row>
    <row r="46" spans="1:29" ht="15" x14ac:dyDescent="0.25">
      <c r="A46" s="85">
        <v>11</v>
      </c>
      <c r="B46" s="73">
        <f>Модель!J22</f>
        <v>3.5170638734826545</v>
      </c>
      <c r="C46" s="73">
        <f>Модель!H22</f>
        <v>3.1658376246901283</v>
      </c>
      <c r="D46" s="73">
        <f>Модель!I22</f>
        <v>2.3909351071033793</v>
      </c>
      <c r="F46" s="118"/>
      <c r="Q46" s="87" t="e">
        <f t="shared" ca="1" si="3"/>
        <v>#VALUE!</v>
      </c>
      <c r="R46" s="87" t="e">
        <f t="shared" ca="1" si="4"/>
        <v>#VALUE!</v>
      </c>
      <c r="S46" s="87" t="e">
        <f t="shared" ca="1" si="4"/>
        <v>#VALUE!</v>
      </c>
      <c r="U46" s="118"/>
    </row>
    <row r="47" spans="1:29" ht="15" x14ac:dyDescent="0.25">
      <c r="A47" s="85">
        <v>12</v>
      </c>
      <c r="B47" s="73">
        <f>Модель!J23</f>
        <v>3.6802448370426077</v>
      </c>
      <c r="C47" s="73">
        <f>Модель!H23</f>
        <v>3.4704104909759308</v>
      </c>
      <c r="D47" s="73">
        <f>Модель!I23</f>
        <v>2.369215857410143</v>
      </c>
      <c r="F47" s="118"/>
      <c r="N47" s="54"/>
      <c r="Q47" s="87" t="e">
        <f t="shared" ca="1" si="3"/>
        <v>#VALUE!</v>
      </c>
      <c r="R47" s="87" t="e">
        <f t="shared" ca="1" si="4"/>
        <v>#VALUE!</v>
      </c>
      <c r="S47" s="87" t="e">
        <f t="shared" ca="1" si="4"/>
        <v>#VALUE!</v>
      </c>
      <c r="U47" s="118"/>
      <c r="AC47" s="54"/>
    </row>
    <row r="48" spans="1:29" ht="15" x14ac:dyDescent="0.25">
      <c r="A48" s="85">
        <v>13</v>
      </c>
      <c r="B48" s="73">
        <f>Модель!J24</f>
        <v>3.5232260419657009</v>
      </c>
      <c r="C48" s="73">
        <f>Модель!H24</f>
        <v>3.199480914862356</v>
      </c>
      <c r="D48" s="73">
        <f>Модель!I24</f>
        <v>2.4548448600085102</v>
      </c>
      <c r="G48" s="119" t="str">
        <f>D35</f>
        <v>X2</v>
      </c>
      <c r="H48" s="119"/>
      <c r="I48" s="119"/>
      <c r="J48" s="119"/>
      <c r="K48" s="119" t="str">
        <f>C35</f>
        <v>X1</v>
      </c>
      <c r="L48" s="119"/>
      <c r="M48" s="119"/>
      <c r="N48" s="119"/>
      <c r="Q48" s="87" t="e">
        <f t="shared" ca="1" si="3"/>
        <v>#VALUE!</v>
      </c>
      <c r="R48" s="87" t="e">
        <f t="shared" ca="1" si="4"/>
        <v>#VALUE!</v>
      </c>
      <c r="S48" s="87" t="e">
        <f t="shared" ca="1" si="4"/>
        <v>#VALUE!</v>
      </c>
      <c r="V48" s="119" t="str">
        <f>S35</f>
        <v>X2</v>
      </c>
      <c r="W48" s="119"/>
      <c r="X48" s="119"/>
      <c r="Y48" s="119"/>
      <c r="Z48" s="119" t="str">
        <f>R35</f>
        <v>X1</v>
      </c>
      <c r="AA48" s="119"/>
      <c r="AB48" s="119"/>
      <c r="AC48" s="119"/>
    </row>
    <row r="49" spans="1:30" ht="15" customHeight="1" x14ac:dyDescent="0.25">
      <c r="A49" s="85">
        <v>14</v>
      </c>
      <c r="B49" s="73">
        <f>Модель!J25</f>
        <v>3.6001012556913907</v>
      </c>
      <c r="C49" s="73">
        <f>Модель!H25</f>
        <v>3.4910814134231871</v>
      </c>
      <c r="D49" s="73">
        <f>Модель!I25</f>
        <v>2.0043213737826426</v>
      </c>
      <c r="F49" s="118" t="str">
        <f>B35</f>
        <v>Y</v>
      </c>
      <c r="O49" s="120" t="str">
        <f>D35</f>
        <v>X2</v>
      </c>
      <c r="Q49" s="87" t="e">
        <f t="shared" ca="1" si="3"/>
        <v>#VALUE!</v>
      </c>
      <c r="R49" s="87" t="e">
        <f t="shared" ca="1" si="4"/>
        <v>#VALUE!</v>
      </c>
      <c r="S49" s="87" t="e">
        <f t="shared" ca="1" si="4"/>
        <v>#VALUE!</v>
      </c>
      <c r="U49" s="120" t="str">
        <f>Q35</f>
        <v>Y</v>
      </c>
      <c r="AD49" s="121" t="str">
        <f>S35</f>
        <v>X2</v>
      </c>
    </row>
    <row r="50" spans="1:30" ht="15" customHeight="1" x14ac:dyDescent="0.25">
      <c r="A50" s="85">
        <v>15</v>
      </c>
      <c r="B50" s="73">
        <f>Модель!J26</f>
        <v>3.4723175463168419</v>
      </c>
      <c r="C50" s="73">
        <f>Модель!H26</f>
        <v>3.1852587652965849</v>
      </c>
      <c r="D50" s="73">
        <f>Модель!I26</f>
        <v>2.2671717284030137</v>
      </c>
      <c r="F50" s="118"/>
      <c r="O50" s="120"/>
      <c r="Q50" s="87" t="e">
        <f t="shared" ca="1" si="3"/>
        <v>#VALUE!</v>
      </c>
      <c r="R50" s="87" t="e">
        <f t="shared" ca="1" si="4"/>
        <v>#VALUE!</v>
      </c>
      <c r="S50" s="87" t="e">
        <f t="shared" ca="1" si="4"/>
        <v>#VALUE!</v>
      </c>
      <c r="U50" s="120"/>
      <c r="AD50" s="121"/>
    </row>
    <row r="51" spans="1:30" ht="15" x14ac:dyDescent="0.25">
      <c r="A51" s="85">
        <v>16</v>
      </c>
      <c r="B51" s="73">
        <f>Модель!J27</f>
        <v>3.599992177584098</v>
      </c>
      <c r="C51" s="73">
        <f>Модель!H27</f>
        <v>3.4132997640812519</v>
      </c>
      <c r="D51" s="73">
        <f>Модель!I27</f>
        <v>2.6857417386022635</v>
      </c>
      <c r="F51" s="118"/>
      <c r="O51" s="120"/>
      <c r="Q51" s="87" t="e">
        <f t="shared" ca="1" si="3"/>
        <v>#VALUE!</v>
      </c>
      <c r="R51" s="87" t="e">
        <f t="shared" ca="1" si="4"/>
        <v>#VALUE!</v>
      </c>
      <c r="S51" s="87" t="e">
        <f t="shared" ca="1" si="4"/>
        <v>#VALUE!</v>
      </c>
      <c r="U51" s="120"/>
      <c r="AD51" s="121"/>
    </row>
    <row r="52" spans="1:30" ht="15" x14ac:dyDescent="0.25">
      <c r="A52" s="85">
        <v>17</v>
      </c>
      <c r="B52" s="73">
        <f>Модель!J28</f>
        <v>3.5974757898703773</v>
      </c>
      <c r="C52" s="73">
        <f>Модель!H28</f>
        <v>3.3314272965207432</v>
      </c>
      <c r="D52" s="73">
        <f>Модель!I28</f>
        <v>2.6946051989335689</v>
      </c>
      <c r="F52" s="118"/>
      <c r="O52" s="120"/>
      <c r="Q52" s="87" t="e">
        <f t="shared" ca="1" si="3"/>
        <v>#VALUE!</v>
      </c>
      <c r="R52" s="87" t="e">
        <f t="shared" ca="1" si="4"/>
        <v>#VALUE!</v>
      </c>
      <c r="S52" s="87" t="e">
        <f t="shared" ca="1" si="4"/>
        <v>#VALUE!</v>
      </c>
      <c r="U52" s="120"/>
      <c r="AD52" s="121"/>
    </row>
    <row r="53" spans="1:30" ht="15" x14ac:dyDescent="0.25">
      <c r="A53" s="85">
        <v>18</v>
      </c>
      <c r="B53" s="73">
        <f>Модель!J29</f>
        <v>3.403120521175818</v>
      </c>
      <c r="C53" s="73">
        <f>Модель!H29</f>
        <v>3.0441476208787228</v>
      </c>
      <c r="D53" s="73">
        <f>Модель!I29</f>
        <v>2.4785664955938436</v>
      </c>
      <c r="F53" s="118"/>
      <c r="O53" s="120"/>
      <c r="Q53" s="87" t="e">
        <f t="shared" ca="1" si="3"/>
        <v>#VALUE!</v>
      </c>
      <c r="R53" s="87" t="e">
        <f t="shared" ca="1" si="4"/>
        <v>#VALUE!</v>
      </c>
      <c r="S53" s="87" t="e">
        <f t="shared" ca="1" si="4"/>
        <v>#VALUE!</v>
      </c>
      <c r="U53" s="120"/>
      <c r="AD53" s="121"/>
    </row>
    <row r="54" spans="1:30" ht="15" x14ac:dyDescent="0.25">
      <c r="A54" s="85">
        <v>19</v>
      </c>
      <c r="B54" s="73">
        <f>Модель!J30</f>
        <v>3.5276299008713385</v>
      </c>
      <c r="C54" s="73">
        <f>Модель!H30</f>
        <v>3.216957207361097</v>
      </c>
      <c r="D54" s="73">
        <f>Модель!I30</f>
        <v>2.5415792439465807</v>
      </c>
      <c r="F54" s="118"/>
      <c r="O54" s="120"/>
      <c r="Q54" s="87" t="e">
        <f t="shared" ca="1" si="3"/>
        <v>#VALUE!</v>
      </c>
      <c r="R54" s="87" t="e">
        <f t="shared" ca="1" si="4"/>
        <v>#VALUE!</v>
      </c>
      <c r="S54" s="87" t="e">
        <f t="shared" ca="1" si="4"/>
        <v>#VALUE!</v>
      </c>
      <c r="U54" s="120"/>
      <c r="AD54" s="121"/>
    </row>
    <row r="55" spans="1:30" ht="15" x14ac:dyDescent="0.25">
      <c r="A55" s="85">
        <v>20</v>
      </c>
      <c r="B55" s="73">
        <f>Модель!J31</f>
        <v>3.6291036501771363</v>
      </c>
      <c r="C55" s="73">
        <f>Модель!H31</f>
        <v>3.356790460351716</v>
      </c>
      <c r="D55" s="73">
        <f>Модель!I31</f>
        <v>2.6720978579357175</v>
      </c>
      <c r="F55" s="118"/>
      <c r="O55" s="120"/>
      <c r="Q55" s="87" t="e">
        <f t="shared" ca="1" si="3"/>
        <v>#VALUE!</v>
      </c>
      <c r="R55" s="87" t="e">
        <f t="shared" ca="1" si="4"/>
        <v>#VALUE!</v>
      </c>
      <c r="S55" s="87" t="e">
        <f t="shared" ca="1" si="4"/>
        <v>#VALUE!</v>
      </c>
      <c r="U55" s="120"/>
      <c r="AD55" s="121"/>
    </row>
    <row r="56" spans="1:30" ht="15" x14ac:dyDescent="0.25">
      <c r="A56" s="85">
        <v>21</v>
      </c>
      <c r="B56" s="73">
        <f>Модель!J32</f>
        <v>3.6606757883385241</v>
      </c>
      <c r="C56" s="73">
        <f>Модель!H32</f>
        <v>3.4502491083193609</v>
      </c>
      <c r="D56" s="73">
        <f>Модель!I32</f>
        <v>2.651278013998144</v>
      </c>
      <c r="F56" s="118"/>
      <c r="O56" s="120"/>
      <c r="Q56" s="87" t="e">
        <f t="shared" ca="1" si="3"/>
        <v>#VALUE!</v>
      </c>
      <c r="R56" s="87" t="e">
        <f t="shared" ca="1" si="4"/>
        <v>#VALUE!</v>
      </c>
      <c r="S56" s="87" t="e">
        <f t="shared" ca="1" si="4"/>
        <v>#VALUE!</v>
      </c>
      <c r="U56" s="120"/>
      <c r="AD56" s="121"/>
    </row>
    <row r="57" spans="1:30" ht="15" x14ac:dyDescent="0.25">
      <c r="A57" s="85">
        <v>22</v>
      </c>
      <c r="B57" s="73">
        <f>Модель!J33</f>
        <v>3.5547313766759667</v>
      </c>
      <c r="C57" s="73">
        <f>Модель!H33</f>
        <v>3.228913405994688</v>
      </c>
      <c r="D57" s="73">
        <f>Модель!I33</f>
        <v>2.5314789170422549</v>
      </c>
      <c r="F57" s="118"/>
      <c r="O57" s="120"/>
      <c r="Q57" s="87" t="e">
        <f t="shared" ca="1" si="3"/>
        <v>#VALUE!</v>
      </c>
      <c r="R57" s="87" t="e">
        <f t="shared" ca="1" si="4"/>
        <v>#VALUE!</v>
      </c>
      <c r="S57" s="87" t="e">
        <f t="shared" ca="1" si="4"/>
        <v>#VALUE!</v>
      </c>
      <c r="U57" s="120"/>
      <c r="AD57" s="121"/>
    </row>
    <row r="58" spans="1:30" ht="15" x14ac:dyDescent="0.25">
      <c r="A58" s="85">
        <v>23</v>
      </c>
      <c r="B58" s="73">
        <f>Модель!J34</f>
        <v>3.7230449916434449</v>
      </c>
      <c r="C58" s="73">
        <f>Модель!H34</f>
        <v>3.5498611884719429</v>
      </c>
      <c r="D58" s="73">
        <f>Модель!I34</f>
        <v>2.5587085705331658</v>
      </c>
      <c r="F58" s="118"/>
      <c r="O58" s="120"/>
      <c r="Q58" s="87" t="e">
        <f t="shared" ca="1" si="3"/>
        <v>#VALUE!</v>
      </c>
      <c r="R58" s="87" t="e">
        <f t="shared" ca="1" si="4"/>
        <v>#VALUE!</v>
      </c>
      <c r="S58" s="87" t="e">
        <f t="shared" ca="1" si="4"/>
        <v>#VALUE!</v>
      </c>
      <c r="U58" s="120"/>
      <c r="AD58" s="121"/>
    </row>
    <row r="59" spans="1:30" ht="15" x14ac:dyDescent="0.25">
      <c r="A59" s="85">
        <v>24</v>
      </c>
      <c r="B59" s="73">
        <f>Модель!J35</f>
        <v>3.4608978427565478</v>
      </c>
      <c r="C59" s="73">
        <f>Модель!H35</f>
        <v>3.2442771208018431</v>
      </c>
      <c r="D59" s="73">
        <f>Модель!I35</f>
        <v>2.5751878449276608</v>
      </c>
      <c r="F59" s="118"/>
      <c r="O59" s="120"/>
      <c r="Q59" s="87" t="e">
        <f t="shared" ca="1" si="3"/>
        <v>#VALUE!</v>
      </c>
      <c r="R59" s="87" t="e">
        <f t="shared" ca="1" si="4"/>
        <v>#VALUE!</v>
      </c>
      <c r="S59" s="87" t="e">
        <f t="shared" ca="1" si="4"/>
        <v>#VALUE!</v>
      </c>
      <c r="U59" s="120"/>
      <c r="AD59" s="121"/>
    </row>
    <row r="60" spans="1:30" ht="15" x14ac:dyDescent="0.25">
      <c r="A60" s="85">
        <v>25</v>
      </c>
      <c r="B60" s="73">
        <f>Модель!J36</f>
        <v>3.6044420662607233</v>
      </c>
      <c r="C60" s="73">
        <f>Модель!H36</f>
        <v>3.2709116394104814</v>
      </c>
      <c r="D60" s="73">
        <f>Модель!I36</f>
        <v>2.6646419755561257</v>
      </c>
      <c r="F60" s="118"/>
      <c r="O60" s="120"/>
      <c r="Q60" s="87" t="e">
        <f t="shared" ca="1" si="3"/>
        <v>#VALUE!</v>
      </c>
      <c r="R60" s="87" t="e">
        <f t="shared" ca="1" si="4"/>
        <v>#VALUE!</v>
      </c>
      <c r="S60" s="87" t="e">
        <f t="shared" ca="1" si="4"/>
        <v>#VALUE!</v>
      </c>
      <c r="U60" s="120"/>
      <c r="AD60" s="121"/>
    </row>
    <row r="61" spans="1:30" ht="15" x14ac:dyDescent="0.25">
      <c r="A61" s="85">
        <f>A60+1</f>
        <v>26</v>
      </c>
      <c r="B61" s="73">
        <f>Модель!J37</f>
        <v>3.6862786780672012</v>
      </c>
      <c r="C61" s="73">
        <f>Модель!H37</f>
        <v>3.4302363534115106</v>
      </c>
      <c r="D61" s="73">
        <f>Модель!I37</f>
        <v>2.4727564493172123</v>
      </c>
      <c r="F61" s="118"/>
      <c r="O61" s="120"/>
      <c r="U61" s="120"/>
      <c r="AD61" s="121"/>
    </row>
    <row r="62" spans="1:30" ht="15" x14ac:dyDescent="0.25">
      <c r="A62" s="85">
        <f t="shared" ref="A62:A69" si="5">A61+1</f>
        <v>27</v>
      </c>
      <c r="B62" s="73">
        <f>Модель!J38</f>
        <v>3.4752352226041281</v>
      </c>
      <c r="C62" s="73">
        <f>Модель!H38</f>
        <v>3.0744507189545911</v>
      </c>
      <c r="D62" s="73">
        <f>Модель!I38</f>
        <v>2.4727564493172123</v>
      </c>
    </row>
    <row r="63" spans="1:30" ht="37.5" customHeight="1" x14ac:dyDescent="0.25">
      <c r="A63" s="85">
        <f t="shared" si="5"/>
        <v>28</v>
      </c>
      <c r="B63" s="73">
        <f>Модель!J39</f>
        <v>3.5996647787884166</v>
      </c>
      <c r="C63" s="73">
        <f>Модель!H39</f>
        <v>3.1058506743851435</v>
      </c>
      <c r="D63" s="73">
        <f>Модель!I39</f>
        <v>2.6560982020128319</v>
      </c>
      <c r="G63" s="115" t="s">
        <v>130</v>
      </c>
      <c r="H63" s="115"/>
      <c r="I63" s="115"/>
      <c r="J63" s="115"/>
      <c r="K63" s="115"/>
      <c r="L63" s="115"/>
      <c r="M63" s="115"/>
      <c r="N63" s="115"/>
      <c r="Q63" t="s">
        <v>131</v>
      </c>
    </row>
    <row r="64" spans="1:30" ht="15" x14ac:dyDescent="0.25">
      <c r="A64" s="85">
        <f t="shared" si="5"/>
        <v>29</v>
      </c>
      <c r="B64" s="73">
        <f>Модель!J40</f>
        <v>3.3811150807098507</v>
      </c>
      <c r="C64" s="73">
        <f>Модель!H40</f>
        <v>3.0707764628434346</v>
      </c>
      <c r="D64" s="73">
        <f>Модель!I40</f>
        <v>2.6522463410033232</v>
      </c>
      <c r="G64" s="117" t="str">
        <f>C92</f>
        <v>X1</v>
      </c>
      <c r="H64" s="117"/>
      <c r="I64" s="117"/>
      <c r="J64" s="117"/>
      <c r="Q64" s="81" t="s">
        <v>196</v>
      </c>
      <c r="R64" s="81" t="s">
        <v>128</v>
      </c>
      <c r="S64" s="81" t="s">
        <v>197</v>
      </c>
    </row>
    <row r="65" spans="1:19" ht="15" x14ac:dyDescent="0.25">
      <c r="A65" s="85">
        <f t="shared" si="5"/>
        <v>30</v>
      </c>
      <c r="B65" s="73">
        <f>Модель!J41</f>
        <v>3.4224256763712044</v>
      </c>
      <c r="C65" s="73">
        <f>Модель!H41</f>
        <v>3.0845762779343309</v>
      </c>
      <c r="D65" s="73">
        <f>Модель!I41</f>
        <v>2.0644579892269186</v>
      </c>
      <c r="F65" s="118" t="str">
        <f>B92</f>
        <v>Y</v>
      </c>
      <c r="Q65" s="73" t="e">
        <f t="shared" ref="Q65:Q89" ca="1" si="6">C93</f>
        <v>#NAME?</v>
      </c>
      <c r="R65" s="73" t="e">
        <f t="shared" ref="R65:R89" ca="1" si="7">D93</f>
        <v>#NAME?</v>
      </c>
      <c r="S65" s="73" t="e">
        <f t="shared" ref="S65:S89" ca="1" si="8">B93-$C$28</f>
        <v>#NAME?</v>
      </c>
    </row>
    <row r="66" spans="1:19" ht="15" x14ac:dyDescent="0.25">
      <c r="A66" s="85">
        <f t="shared" si="5"/>
        <v>31</v>
      </c>
      <c r="B66" s="73">
        <f>Модель!J42</f>
        <v>3.5974757898703773</v>
      </c>
      <c r="C66" s="73">
        <f>Модель!H42</f>
        <v>3.4116197059632301</v>
      </c>
      <c r="D66" s="73">
        <f>Модель!I42</f>
        <v>2.4166405073382808</v>
      </c>
      <c r="F66" s="118"/>
      <c r="Q66" s="73" t="e">
        <f t="shared" ca="1" si="6"/>
        <v>#NAME?</v>
      </c>
      <c r="R66" s="73" t="e">
        <f t="shared" ca="1" si="7"/>
        <v>#NAME?</v>
      </c>
      <c r="S66" s="73" t="e">
        <f t="shared" ca="1" si="8"/>
        <v>#NAME?</v>
      </c>
    </row>
    <row r="67" spans="1:19" ht="15" x14ac:dyDescent="0.25">
      <c r="A67" s="85">
        <f t="shared" si="5"/>
        <v>32</v>
      </c>
      <c r="B67" s="73">
        <f>Модель!J43</f>
        <v>3.6559064181802152</v>
      </c>
      <c r="C67" s="73">
        <f>Модель!H43</f>
        <v>3.4528593357958521</v>
      </c>
      <c r="D67" s="73">
        <f>Модель!I43</f>
        <v>2.5340261060561349</v>
      </c>
      <c r="F67" s="118"/>
      <c r="Q67" s="73" t="e">
        <f t="shared" ca="1" si="6"/>
        <v>#NAME?</v>
      </c>
      <c r="R67" s="73" t="e">
        <f t="shared" ca="1" si="7"/>
        <v>#NAME?</v>
      </c>
      <c r="S67" s="73" t="e">
        <f t="shared" ca="1" si="8"/>
        <v>#NAME?</v>
      </c>
    </row>
    <row r="68" spans="1:19" ht="15" x14ac:dyDescent="0.25">
      <c r="A68" s="85">
        <f t="shared" si="5"/>
        <v>33</v>
      </c>
      <c r="B68" s="73">
        <f>Модель!J44</f>
        <v>3.7121444142148858</v>
      </c>
      <c r="C68" s="73">
        <f>Модель!H44</f>
        <v>3.4328090050331683</v>
      </c>
      <c r="D68" s="73">
        <f>Модель!I44</f>
        <v>2.4424797690644486</v>
      </c>
      <c r="F68" s="118"/>
      <c r="Q68" s="73" t="e">
        <f t="shared" ca="1" si="6"/>
        <v>#NAME?</v>
      </c>
      <c r="R68" s="73" t="e">
        <f t="shared" ca="1" si="7"/>
        <v>#NAME?</v>
      </c>
      <c r="S68" s="73" t="e">
        <f t="shared" ca="1" si="8"/>
        <v>#NAME?</v>
      </c>
    </row>
    <row r="69" spans="1:19" ht="15" x14ac:dyDescent="0.25">
      <c r="A69" s="85">
        <f t="shared" si="5"/>
        <v>34</v>
      </c>
      <c r="B69" s="73">
        <f>Модель!J45</f>
        <v>3.5246557123577773</v>
      </c>
      <c r="C69" s="73">
        <f>Модель!H45</f>
        <v>3.2143138974243999</v>
      </c>
      <c r="D69" s="73">
        <f>Модель!I45</f>
        <v>2.2174839442139063</v>
      </c>
      <c r="F69" s="118"/>
      <c r="Q69" s="73" t="e">
        <f t="shared" ca="1" si="6"/>
        <v>#NAME?</v>
      </c>
      <c r="R69" s="73" t="e">
        <f t="shared" ca="1" si="7"/>
        <v>#NAME?</v>
      </c>
      <c r="S69" s="73" t="e">
        <f t="shared" ca="1" si="8"/>
        <v>#NAME?</v>
      </c>
    </row>
    <row r="70" spans="1:19" ht="15" x14ac:dyDescent="0.25">
      <c r="A70" s="85"/>
      <c r="B70" s="73"/>
      <c r="C70" s="73"/>
      <c r="D70" s="73"/>
      <c r="F70" s="118"/>
      <c r="Q70" s="73" t="e">
        <f t="shared" ca="1" si="6"/>
        <v>#NAME?</v>
      </c>
      <c r="R70" s="73" t="e">
        <f t="shared" ca="1" si="7"/>
        <v>#NAME?</v>
      </c>
      <c r="S70" s="73" t="e">
        <f t="shared" ca="1" si="8"/>
        <v>#NAME?</v>
      </c>
    </row>
    <row r="71" spans="1:19" ht="15" x14ac:dyDescent="0.25">
      <c r="A71" s="85"/>
      <c r="B71" s="73"/>
      <c r="C71" s="73"/>
      <c r="D71" s="73"/>
      <c r="F71" s="118"/>
      <c r="Q71" s="73" t="e">
        <f t="shared" ca="1" si="6"/>
        <v>#NAME?</v>
      </c>
      <c r="R71" s="73" t="e">
        <f t="shared" ca="1" si="7"/>
        <v>#NAME?</v>
      </c>
      <c r="S71" s="73" t="e">
        <f t="shared" ca="1" si="8"/>
        <v>#NAME?</v>
      </c>
    </row>
    <row r="72" spans="1:19" ht="15" x14ac:dyDescent="0.25">
      <c r="A72" s="85"/>
      <c r="B72" s="73"/>
      <c r="C72" s="73"/>
      <c r="D72" s="73"/>
      <c r="F72" s="118"/>
      <c r="Q72" s="73" t="e">
        <f t="shared" ca="1" si="6"/>
        <v>#NAME?</v>
      </c>
      <c r="R72" s="73" t="e">
        <f t="shared" ca="1" si="7"/>
        <v>#NAME?</v>
      </c>
      <c r="S72" s="73" t="e">
        <f t="shared" ca="1" si="8"/>
        <v>#NAME?</v>
      </c>
    </row>
    <row r="73" spans="1:19" x14ac:dyDescent="0.2">
      <c r="F73" s="118"/>
      <c r="Q73" s="73" t="e">
        <f t="shared" ca="1" si="6"/>
        <v>#NAME?</v>
      </c>
      <c r="R73" s="73" t="e">
        <f t="shared" ca="1" si="7"/>
        <v>#NAME?</v>
      </c>
      <c r="S73" s="73" t="e">
        <f t="shared" ca="1" si="8"/>
        <v>#NAME?</v>
      </c>
    </row>
    <row r="74" spans="1:19" x14ac:dyDescent="0.2">
      <c r="F74" s="118"/>
      <c r="Q74" s="73" t="e">
        <f t="shared" ca="1" si="6"/>
        <v>#NAME?</v>
      </c>
      <c r="R74" s="73" t="e">
        <f t="shared" ca="1" si="7"/>
        <v>#NAME?</v>
      </c>
      <c r="S74" s="73" t="e">
        <f t="shared" ca="1" si="8"/>
        <v>#NAME?</v>
      </c>
    </row>
    <row r="75" spans="1:19" x14ac:dyDescent="0.2">
      <c r="F75" s="118"/>
      <c r="Q75" s="73" t="e">
        <f t="shared" ca="1" si="6"/>
        <v>#NAME?</v>
      </c>
      <c r="R75" s="73" t="e">
        <f t="shared" ca="1" si="7"/>
        <v>#NAME?</v>
      </c>
      <c r="S75" s="73" t="e">
        <f t="shared" ca="1" si="8"/>
        <v>#NAME?</v>
      </c>
    </row>
    <row r="76" spans="1:19" x14ac:dyDescent="0.2">
      <c r="F76" s="118"/>
      <c r="Q76" s="73" t="e">
        <f t="shared" ca="1" si="6"/>
        <v>#NAME?</v>
      </c>
      <c r="R76" s="73" t="e">
        <f t="shared" ca="1" si="7"/>
        <v>#NAME?</v>
      </c>
      <c r="S76" s="73" t="e">
        <f t="shared" ca="1" si="8"/>
        <v>#NAME?</v>
      </c>
    </row>
    <row r="77" spans="1:19" x14ac:dyDescent="0.2">
      <c r="Q77" s="73" t="e">
        <f t="shared" ca="1" si="6"/>
        <v>#NAME?</v>
      </c>
      <c r="R77" s="73" t="e">
        <f t="shared" ca="1" si="7"/>
        <v>#NAME?</v>
      </c>
      <c r="S77" s="73" t="e">
        <f t="shared" ca="1" si="8"/>
        <v>#NAME?</v>
      </c>
    </row>
    <row r="78" spans="1:19" x14ac:dyDescent="0.2">
      <c r="F78" s="118" t="str">
        <f>B92</f>
        <v>Y</v>
      </c>
      <c r="O78" s="120" t="str">
        <f>D92</f>
        <v>X2</v>
      </c>
      <c r="Q78" s="73" t="e">
        <f t="shared" ca="1" si="6"/>
        <v>#NAME?</v>
      </c>
      <c r="R78" s="73" t="e">
        <f t="shared" ca="1" si="7"/>
        <v>#NAME?</v>
      </c>
      <c r="S78" s="73" t="e">
        <f t="shared" ca="1" si="8"/>
        <v>#NAME?</v>
      </c>
    </row>
    <row r="79" spans="1:19" x14ac:dyDescent="0.2">
      <c r="F79" s="118"/>
      <c r="O79" s="120"/>
      <c r="Q79" s="73" t="e">
        <f t="shared" ca="1" si="6"/>
        <v>#NAME?</v>
      </c>
      <c r="R79" s="73" t="e">
        <f t="shared" ca="1" si="7"/>
        <v>#NAME?</v>
      </c>
      <c r="S79" s="73" t="e">
        <f t="shared" ca="1" si="8"/>
        <v>#NAME?</v>
      </c>
    </row>
    <row r="80" spans="1:19" x14ac:dyDescent="0.2">
      <c r="F80" s="118"/>
      <c r="O80" s="120"/>
      <c r="Q80" s="73" t="e">
        <f t="shared" ca="1" si="6"/>
        <v>#NAME?</v>
      </c>
      <c r="R80" s="73" t="e">
        <f t="shared" ca="1" si="7"/>
        <v>#NAME?</v>
      </c>
      <c r="S80" s="73" t="e">
        <f t="shared" ca="1" si="8"/>
        <v>#NAME?</v>
      </c>
    </row>
    <row r="81" spans="1:19" x14ac:dyDescent="0.2">
      <c r="F81" s="118"/>
      <c r="O81" s="120"/>
      <c r="Q81" s="73" t="e">
        <f t="shared" ca="1" si="6"/>
        <v>#NAME?</v>
      </c>
      <c r="R81" s="73" t="e">
        <f t="shared" ca="1" si="7"/>
        <v>#NAME?</v>
      </c>
      <c r="S81" s="73" t="e">
        <f t="shared" ca="1" si="8"/>
        <v>#NAME?</v>
      </c>
    </row>
    <row r="82" spans="1:19" x14ac:dyDescent="0.2">
      <c r="F82" s="118"/>
      <c r="O82" s="120"/>
      <c r="Q82" s="73" t="e">
        <f t="shared" ca="1" si="6"/>
        <v>#NAME?</v>
      </c>
      <c r="R82" s="73" t="e">
        <f t="shared" ca="1" si="7"/>
        <v>#NAME?</v>
      </c>
      <c r="S82" s="73" t="e">
        <f t="shared" ca="1" si="8"/>
        <v>#NAME?</v>
      </c>
    </row>
    <row r="83" spans="1:19" x14ac:dyDescent="0.2">
      <c r="F83" s="118"/>
      <c r="O83" s="120"/>
      <c r="Q83" s="73" t="e">
        <f t="shared" ca="1" si="6"/>
        <v>#NAME?</v>
      </c>
      <c r="R83" s="73" t="e">
        <f t="shared" ca="1" si="7"/>
        <v>#NAME?</v>
      </c>
      <c r="S83" s="73" t="e">
        <f t="shared" ca="1" si="8"/>
        <v>#NAME?</v>
      </c>
    </row>
    <row r="84" spans="1:19" x14ac:dyDescent="0.2">
      <c r="F84" s="118"/>
      <c r="O84" s="120"/>
      <c r="Q84" s="73" t="e">
        <f t="shared" ca="1" si="6"/>
        <v>#NAME?</v>
      </c>
      <c r="R84" s="73" t="e">
        <f t="shared" ca="1" si="7"/>
        <v>#NAME?</v>
      </c>
      <c r="S84" s="73" t="e">
        <f t="shared" ca="1" si="8"/>
        <v>#NAME?</v>
      </c>
    </row>
    <row r="85" spans="1:19" x14ac:dyDescent="0.2">
      <c r="F85" s="118"/>
      <c r="O85" s="120"/>
      <c r="Q85" s="73" t="e">
        <f t="shared" ca="1" si="6"/>
        <v>#NAME?</v>
      </c>
      <c r="R85" s="73" t="e">
        <f t="shared" ca="1" si="7"/>
        <v>#NAME?</v>
      </c>
      <c r="S85" s="73" t="e">
        <f t="shared" ca="1" si="8"/>
        <v>#NAME?</v>
      </c>
    </row>
    <row r="86" spans="1:19" x14ac:dyDescent="0.2">
      <c r="F86" s="118"/>
      <c r="O86" s="120"/>
      <c r="Q86" s="73" t="e">
        <f t="shared" ca="1" si="6"/>
        <v>#NAME?</v>
      </c>
      <c r="R86" s="73" t="e">
        <f t="shared" ca="1" si="7"/>
        <v>#NAME?</v>
      </c>
      <c r="S86" s="73" t="e">
        <f t="shared" ca="1" si="8"/>
        <v>#NAME?</v>
      </c>
    </row>
    <row r="87" spans="1:19" x14ac:dyDescent="0.2">
      <c r="F87" s="118"/>
      <c r="O87" s="120"/>
      <c r="Q87" s="73" t="e">
        <f t="shared" ca="1" si="6"/>
        <v>#NAME?</v>
      </c>
      <c r="R87" s="73" t="e">
        <f t="shared" ca="1" si="7"/>
        <v>#NAME?</v>
      </c>
      <c r="S87" s="73" t="e">
        <f t="shared" ca="1" si="8"/>
        <v>#NAME?</v>
      </c>
    </row>
    <row r="88" spans="1:19" x14ac:dyDescent="0.2">
      <c r="F88" s="118"/>
      <c r="O88" s="120"/>
      <c r="Q88" s="73" t="e">
        <f t="shared" ca="1" si="6"/>
        <v>#NAME?</v>
      </c>
      <c r="R88" s="73" t="e">
        <f t="shared" ca="1" si="7"/>
        <v>#NAME?</v>
      </c>
      <c r="S88" s="73" t="e">
        <f t="shared" ca="1" si="8"/>
        <v>#NAME?</v>
      </c>
    </row>
    <row r="89" spans="1:19" x14ac:dyDescent="0.2">
      <c r="F89" s="118"/>
      <c r="O89" s="120"/>
      <c r="Q89" s="73" t="e">
        <f t="shared" ca="1" si="6"/>
        <v>#NAME?</v>
      </c>
      <c r="R89" s="73" t="e">
        <f t="shared" ca="1" si="7"/>
        <v>#NAME?</v>
      </c>
      <c r="S89" s="73" t="e">
        <f t="shared" ca="1" si="8"/>
        <v>#NAME?</v>
      </c>
    </row>
    <row r="90" spans="1:19" x14ac:dyDescent="0.2">
      <c r="F90" s="118"/>
      <c r="O90" s="120"/>
    </row>
    <row r="91" spans="1:19" x14ac:dyDescent="0.2">
      <c r="A91" t="s">
        <v>129</v>
      </c>
      <c r="C91" s="88"/>
      <c r="D91" s="77"/>
      <c r="Q91" t="s">
        <v>135</v>
      </c>
    </row>
    <row r="92" spans="1:19" ht="38.25" x14ac:dyDescent="0.2">
      <c r="A92" s="81" t="str">
        <f>A35</f>
        <v>№ наблюдения</v>
      </c>
      <c r="B92" s="81" t="str">
        <f>B35</f>
        <v>Y</v>
      </c>
      <c r="C92" s="81" t="str">
        <f>C35</f>
        <v>X1</v>
      </c>
      <c r="D92" s="81" t="str">
        <f>D35</f>
        <v>X2</v>
      </c>
      <c r="Q92" s="81" t="s">
        <v>132</v>
      </c>
      <c r="R92" s="81" t="s">
        <v>133</v>
      </c>
      <c r="S92" s="81" t="s">
        <v>134</v>
      </c>
    </row>
    <row r="93" spans="1:19" x14ac:dyDescent="0.2">
      <c r="A93" s="64">
        <f t="shared" ref="A93:A117" si="9">A36</f>
        <v>1</v>
      </c>
      <c r="B93" s="73" t="e">
        <f t="shared" ref="B93:D117" ca="1" si="10">(B36-B$20)/B$21</f>
        <v>#NAME?</v>
      </c>
      <c r="C93" s="73" t="e">
        <f t="shared" ca="1" si="10"/>
        <v>#NAME?</v>
      </c>
      <c r="D93" s="73" t="e">
        <f t="shared" ca="1" si="10"/>
        <v>#NAME?</v>
      </c>
      <c r="P93">
        <v>1</v>
      </c>
      <c r="Q93" s="73" t="e">
        <f t="array" aca="1" ref="Q93:S93" ca="1">TRANSPOSE(MMULT($Q$24:$S$26,TRANSPOSE(Q65:S65)))</f>
        <v>#VALUE!</v>
      </c>
      <c r="R93" s="73" t="e">
        <f ca="1"/>
        <v>#VALUE!</v>
      </c>
      <c r="S93" s="73" t="e">
        <f ca="1"/>
        <v>#VALUE!</v>
      </c>
    </row>
    <row r="94" spans="1:19" x14ac:dyDescent="0.2">
      <c r="A94" s="64">
        <f t="shared" si="9"/>
        <v>2</v>
      </c>
      <c r="B94" s="73" t="e">
        <f t="shared" ca="1" si="10"/>
        <v>#NAME?</v>
      </c>
      <c r="C94" s="73" t="e">
        <f t="shared" ca="1" si="10"/>
        <v>#NAME?</v>
      </c>
      <c r="D94" s="73" t="e">
        <f t="shared" ca="1" si="10"/>
        <v>#NAME?</v>
      </c>
      <c r="P94">
        <v>2</v>
      </c>
      <c r="Q94" s="73" t="e">
        <f t="array" aca="1" ref="Q94:S94" ca="1">TRANSPOSE(MMULT($Q$24:$S$26,TRANSPOSE(Q66:S66)))</f>
        <v>#VALUE!</v>
      </c>
      <c r="R94" s="73" t="e">
        <f ca="1"/>
        <v>#VALUE!</v>
      </c>
      <c r="S94" s="73" t="e">
        <f ca="1"/>
        <v>#VALUE!</v>
      </c>
    </row>
    <row r="95" spans="1:19" x14ac:dyDescent="0.2">
      <c r="A95" s="64">
        <f t="shared" si="9"/>
        <v>3</v>
      </c>
      <c r="B95" s="73" t="e">
        <f t="shared" ca="1" si="10"/>
        <v>#NAME?</v>
      </c>
      <c r="C95" s="73" t="e">
        <f t="shared" ca="1" si="10"/>
        <v>#NAME?</v>
      </c>
      <c r="D95" s="73" t="e">
        <f t="shared" ca="1" si="10"/>
        <v>#NAME?</v>
      </c>
      <c r="P95">
        <v>3</v>
      </c>
      <c r="Q95" s="73" t="e">
        <f t="array" aca="1" ref="Q95:S95" ca="1">TRANSPOSE(MMULT($Q$24:$S$26,TRANSPOSE(Q67:S67)))</f>
        <v>#VALUE!</v>
      </c>
      <c r="R95" s="73" t="e">
        <f ca="1"/>
        <v>#VALUE!</v>
      </c>
      <c r="S95" s="73" t="e">
        <f ca="1"/>
        <v>#VALUE!</v>
      </c>
    </row>
    <row r="96" spans="1:19" x14ac:dyDescent="0.2">
      <c r="A96" s="64">
        <f t="shared" si="9"/>
        <v>4</v>
      </c>
      <c r="B96" s="73" t="e">
        <f t="shared" ca="1" si="10"/>
        <v>#NAME?</v>
      </c>
      <c r="C96" s="73" t="e">
        <f t="shared" ca="1" si="10"/>
        <v>#NAME?</v>
      </c>
      <c r="D96" s="73" t="e">
        <f t="shared" ca="1" si="10"/>
        <v>#NAME?</v>
      </c>
      <c r="P96">
        <v>4</v>
      </c>
      <c r="Q96" s="73" t="e">
        <f t="array" aca="1" ref="Q96:S96" ca="1">TRANSPOSE(MMULT($Q$24:$S$26,TRANSPOSE(Q68:S68)))</f>
        <v>#VALUE!</v>
      </c>
      <c r="R96" s="73" t="e">
        <f ca="1"/>
        <v>#VALUE!</v>
      </c>
      <c r="S96" s="73" t="e">
        <f ca="1"/>
        <v>#VALUE!</v>
      </c>
    </row>
    <row r="97" spans="1:19" x14ac:dyDescent="0.2">
      <c r="A97" s="64">
        <f t="shared" si="9"/>
        <v>5</v>
      </c>
      <c r="B97" s="73" t="e">
        <f t="shared" ca="1" si="10"/>
        <v>#NAME?</v>
      </c>
      <c r="C97" s="73" t="e">
        <f t="shared" ca="1" si="10"/>
        <v>#NAME?</v>
      </c>
      <c r="D97" s="73" t="e">
        <f t="shared" ca="1" si="10"/>
        <v>#NAME?</v>
      </c>
      <c r="P97">
        <v>5</v>
      </c>
      <c r="Q97" s="73" t="e">
        <f t="array" aca="1" ref="Q97:S97" ca="1">TRANSPOSE(MMULT($Q$24:$S$26,TRANSPOSE(Q69:S69)))</f>
        <v>#VALUE!</v>
      </c>
      <c r="R97" s="73" t="e">
        <f ca="1"/>
        <v>#VALUE!</v>
      </c>
      <c r="S97" s="73" t="e">
        <f ca="1"/>
        <v>#VALUE!</v>
      </c>
    </row>
    <row r="98" spans="1:19" x14ac:dyDescent="0.2">
      <c r="A98" s="64">
        <f t="shared" si="9"/>
        <v>6</v>
      </c>
      <c r="B98" s="73" t="e">
        <f t="shared" ca="1" si="10"/>
        <v>#NAME?</v>
      </c>
      <c r="C98" s="73" t="e">
        <f t="shared" ca="1" si="10"/>
        <v>#NAME?</v>
      </c>
      <c r="D98" s="73" t="e">
        <f t="shared" ca="1" si="10"/>
        <v>#NAME?</v>
      </c>
      <c r="P98">
        <v>6</v>
      </c>
      <c r="Q98" s="73" t="e">
        <f t="array" aca="1" ref="Q98:S98" ca="1">TRANSPOSE(MMULT($Q$24:$S$26,TRANSPOSE(Q70:S70)))</f>
        <v>#VALUE!</v>
      </c>
      <c r="R98" s="73" t="e">
        <f ca="1"/>
        <v>#VALUE!</v>
      </c>
      <c r="S98" s="73" t="e">
        <f ca="1"/>
        <v>#VALUE!</v>
      </c>
    </row>
    <row r="99" spans="1:19" x14ac:dyDescent="0.2">
      <c r="A99" s="64">
        <f t="shared" si="9"/>
        <v>7</v>
      </c>
      <c r="B99" s="73" t="e">
        <f t="shared" ca="1" si="10"/>
        <v>#NAME?</v>
      </c>
      <c r="C99" s="73" t="e">
        <f t="shared" ca="1" si="10"/>
        <v>#NAME?</v>
      </c>
      <c r="D99" s="73" t="e">
        <f t="shared" ca="1" si="10"/>
        <v>#NAME?</v>
      </c>
      <c r="P99">
        <v>7</v>
      </c>
      <c r="Q99" s="73" t="e">
        <f t="array" aca="1" ref="Q99:S99" ca="1">TRANSPOSE(MMULT($Q$24:$S$26,TRANSPOSE(Q71:S71)))</f>
        <v>#VALUE!</v>
      </c>
      <c r="R99" s="73" t="e">
        <f ca="1"/>
        <v>#VALUE!</v>
      </c>
      <c r="S99" s="73" t="e">
        <f ca="1"/>
        <v>#VALUE!</v>
      </c>
    </row>
    <row r="100" spans="1:19" x14ac:dyDescent="0.2">
      <c r="A100" s="64">
        <f t="shared" si="9"/>
        <v>8</v>
      </c>
      <c r="B100" s="73" t="e">
        <f t="shared" ca="1" si="10"/>
        <v>#NAME?</v>
      </c>
      <c r="C100" s="73" t="e">
        <f t="shared" ca="1" si="10"/>
        <v>#NAME?</v>
      </c>
      <c r="D100" s="73" t="e">
        <f t="shared" ca="1" si="10"/>
        <v>#NAME?</v>
      </c>
      <c r="P100">
        <v>8</v>
      </c>
      <c r="Q100" s="73" t="e">
        <f t="array" aca="1" ref="Q100:S100" ca="1">TRANSPOSE(MMULT($Q$24:$S$26,TRANSPOSE(Q72:S72)))</f>
        <v>#VALUE!</v>
      </c>
      <c r="R100" s="73" t="e">
        <f ca="1"/>
        <v>#VALUE!</v>
      </c>
      <c r="S100" s="73" t="e">
        <f ca="1"/>
        <v>#VALUE!</v>
      </c>
    </row>
    <row r="101" spans="1:19" x14ac:dyDescent="0.2">
      <c r="A101" s="64">
        <f t="shared" si="9"/>
        <v>9</v>
      </c>
      <c r="B101" s="73" t="e">
        <f t="shared" ca="1" si="10"/>
        <v>#NAME?</v>
      </c>
      <c r="C101" s="73" t="e">
        <f t="shared" ca="1" si="10"/>
        <v>#NAME?</v>
      </c>
      <c r="D101" s="73" t="e">
        <f t="shared" ca="1" si="10"/>
        <v>#NAME?</v>
      </c>
      <c r="P101">
        <v>9</v>
      </c>
      <c r="Q101" s="73" t="e">
        <f t="array" aca="1" ref="Q101:S101" ca="1">TRANSPOSE(MMULT($Q$24:$S$26,TRANSPOSE(Q73:S73)))</f>
        <v>#VALUE!</v>
      </c>
      <c r="R101" s="73" t="e">
        <f ca="1"/>
        <v>#VALUE!</v>
      </c>
      <c r="S101" s="73" t="e">
        <f ca="1"/>
        <v>#VALUE!</v>
      </c>
    </row>
    <row r="102" spans="1:19" x14ac:dyDescent="0.2">
      <c r="A102" s="64">
        <f t="shared" si="9"/>
        <v>10</v>
      </c>
      <c r="B102" s="73" t="e">
        <f t="shared" ca="1" si="10"/>
        <v>#NAME?</v>
      </c>
      <c r="C102" s="73" t="e">
        <f t="shared" ca="1" si="10"/>
        <v>#NAME?</v>
      </c>
      <c r="D102" s="73" t="e">
        <f t="shared" ca="1" si="10"/>
        <v>#NAME?</v>
      </c>
      <c r="P102">
        <v>10</v>
      </c>
      <c r="Q102" s="73" t="e">
        <f t="array" aca="1" ref="Q102:S102" ca="1">TRANSPOSE(MMULT($Q$24:$S$26,TRANSPOSE(Q74:S74)))</f>
        <v>#VALUE!</v>
      </c>
      <c r="R102" s="73" t="e">
        <f ca="1"/>
        <v>#VALUE!</v>
      </c>
      <c r="S102" s="73" t="e">
        <f ca="1"/>
        <v>#VALUE!</v>
      </c>
    </row>
    <row r="103" spans="1:19" x14ac:dyDescent="0.2">
      <c r="A103" s="64">
        <f t="shared" si="9"/>
        <v>11</v>
      </c>
      <c r="B103" s="73" t="e">
        <f t="shared" ca="1" si="10"/>
        <v>#NAME?</v>
      </c>
      <c r="C103" s="73" t="e">
        <f t="shared" ca="1" si="10"/>
        <v>#NAME?</v>
      </c>
      <c r="D103" s="73" t="e">
        <f t="shared" ca="1" si="10"/>
        <v>#NAME?</v>
      </c>
      <c r="P103">
        <v>11</v>
      </c>
      <c r="Q103" s="73" t="e">
        <f t="array" aca="1" ref="Q103:S103" ca="1">TRANSPOSE(MMULT($Q$24:$S$26,TRANSPOSE(Q75:S75)))</f>
        <v>#VALUE!</v>
      </c>
      <c r="R103" s="73" t="e">
        <f ca="1"/>
        <v>#VALUE!</v>
      </c>
      <c r="S103" s="73" t="e">
        <f ca="1"/>
        <v>#VALUE!</v>
      </c>
    </row>
    <row r="104" spans="1:19" x14ac:dyDescent="0.2">
      <c r="A104" s="64">
        <f t="shared" si="9"/>
        <v>12</v>
      </c>
      <c r="B104" s="73" t="e">
        <f t="shared" ca="1" si="10"/>
        <v>#NAME?</v>
      </c>
      <c r="C104" s="73" t="e">
        <f t="shared" ca="1" si="10"/>
        <v>#NAME?</v>
      </c>
      <c r="D104" s="73" t="e">
        <f t="shared" ca="1" si="10"/>
        <v>#NAME?</v>
      </c>
      <c r="P104">
        <v>12</v>
      </c>
      <c r="Q104" s="73" t="e">
        <f t="array" aca="1" ref="Q104:S104" ca="1">TRANSPOSE(MMULT($Q$24:$S$26,TRANSPOSE(Q76:S76)))</f>
        <v>#VALUE!</v>
      </c>
      <c r="R104" s="73" t="e">
        <f ca="1"/>
        <v>#VALUE!</v>
      </c>
      <c r="S104" s="73" t="e">
        <f ca="1"/>
        <v>#VALUE!</v>
      </c>
    </row>
    <row r="105" spans="1:19" x14ac:dyDescent="0.2">
      <c r="A105" s="64">
        <f t="shared" si="9"/>
        <v>13</v>
      </c>
      <c r="B105" s="73" t="e">
        <f t="shared" ca="1" si="10"/>
        <v>#NAME?</v>
      </c>
      <c r="C105" s="73" t="e">
        <f t="shared" ca="1" si="10"/>
        <v>#NAME?</v>
      </c>
      <c r="D105" s="73" t="e">
        <f t="shared" ca="1" si="10"/>
        <v>#NAME?</v>
      </c>
      <c r="P105">
        <v>13</v>
      </c>
      <c r="Q105" s="73" t="e">
        <f t="array" aca="1" ref="Q105:S105" ca="1">TRANSPOSE(MMULT($Q$24:$S$26,TRANSPOSE(Q77:S77)))</f>
        <v>#VALUE!</v>
      </c>
      <c r="R105" s="73" t="e">
        <f ca="1"/>
        <v>#VALUE!</v>
      </c>
      <c r="S105" s="73" t="e">
        <f ca="1"/>
        <v>#VALUE!</v>
      </c>
    </row>
    <row r="106" spans="1:19" x14ac:dyDescent="0.2">
      <c r="A106" s="64">
        <f t="shared" si="9"/>
        <v>14</v>
      </c>
      <c r="B106" s="73" t="e">
        <f t="shared" ca="1" si="10"/>
        <v>#NAME?</v>
      </c>
      <c r="C106" s="73" t="e">
        <f t="shared" ca="1" si="10"/>
        <v>#NAME?</v>
      </c>
      <c r="D106" s="73" t="e">
        <f t="shared" ca="1" si="10"/>
        <v>#NAME?</v>
      </c>
      <c r="P106">
        <v>14</v>
      </c>
      <c r="Q106" s="73" t="e">
        <f t="array" aca="1" ref="Q106:S106" ca="1">TRANSPOSE(MMULT($Q$24:$S$26,TRANSPOSE(Q78:S78)))</f>
        <v>#VALUE!</v>
      </c>
      <c r="R106" s="73" t="e">
        <f ca="1"/>
        <v>#VALUE!</v>
      </c>
      <c r="S106" s="73" t="e">
        <f ca="1"/>
        <v>#VALUE!</v>
      </c>
    </row>
    <row r="107" spans="1:19" x14ac:dyDescent="0.2">
      <c r="A107" s="64">
        <f t="shared" si="9"/>
        <v>15</v>
      </c>
      <c r="B107" s="73" t="e">
        <f t="shared" ca="1" si="10"/>
        <v>#NAME?</v>
      </c>
      <c r="C107" s="73" t="e">
        <f t="shared" ca="1" si="10"/>
        <v>#NAME?</v>
      </c>
      <c r="D107" s="73" t="e">
        <f t="shared" ca="1" si="10"/>
        <v>#NAME?</v>
      </c>
      <c r="P107">
        <v>15</v>
      </c>
      <c r="Q107" s="73" t="e">
        <f t="array" aca="1" ref="Q107:S107" ca="1">TRANSPOSE(MMULT($Q$24:$S$26,TRANSPOSE(Q79:S79)))</f>
        <v>#VALUE!</v>
      </c>
      <c r="R107" s="73" t="e">
        <f ca="1"/>
        <v>#VALUE!</v>
      </c>
      <c r="S107" s="73" t="e">
        <f ca="1"/>
        <v>#VALUE!</v>
      </c>
    </row>
    <row r="108" spans="1:19" x14ac:dyDescent="0.2">
      <c r="A108" s="64">
        <f t="shared" si="9"/>
        <v>16</v>
      </c>
      <c r="B108" s="73" t="e">
        <f t="shared" ca="1" si="10"/>
        <v>#NAME?</v>
      </c>
      <c r="C108" s="73" t="e">
        <f t="shared" ca="1" si="10"/>
        <v>#NAME?</v>
      </c>
      <c r="D108" s="73" t="e">
        <f t="shared" ca="1" si="10"/>
        <v>#NAME?</v>
      </c>
      <c r="P108">
        <v>16</v>
      </c>
      <c r="Q108" s="73" t="e">
        <f t="array" aca="1" ref="Q108:S108" ca="1">TRANSPOSE(MMULT($Q$24:$S$26,TRANSPOSE(Q80:S80)))</f>
        <v>#VALUE!</v>
      </c>
      <c r="R108" s="73" t="e">
        <f ca="1"/>
        <v>#VALUE!</v>
      </c>
      <c r="S108" s="73" t="e">
        <f ca="1"/>
        <v>#VALUE!</v>
      </c>
    </row>
    <row r="109" spans="1:19" x14ac:dyDescent="0.2">
      <c r="A109" s="64">
        <f t="shared" si="9"/>
        <v>17</v>
      </c>
      <c r="B109" s="73" t="e">
        <f t="shared" ca="1" si="10"/>
        <v>#NAME?</v>
      </c>
      <c r="C109" s="73" t="e">
        <f t="shared" ca="1" si="10"/>
        <v>#NAME?</v>
      </c>
      <c r="D109" s="73" t="e">
        <f t="shared" ca="1" si="10"/>
        <v>#NAME?</v>
      </c>
      <c r="P109">
        <v>17</v>
      </c>
      <c r="Q109" s="73" t="e">
        <f t="array" aca="1" ref="Q109:S109" ca="1">TRANSPOSE(MMULT($Q$24:$S$26,TRANSPOSE(Q81:S81)))</f>
        <v>#VALUE!</v>
      </c>
      <c r="R109" s="73" t="e">
        <f ca="1"/>
        <v>#VALUE!</v>
      </c>
      <c r="S109" s="73" t="e">
        <f ca="1"/>
        <v>#VALUE!</v>
      </c>
    </row>
    <row r="110" spans="1:19" x14ac:dyDescent="0.2">
      <c r="A110" s="64">
        <f t="shared" si="9"/>
        <v>18</v>
      </c>
      <c r="B110" s="73" t="e">
        <f t="shared" ca="1" si="10"/>
        <v>#NAME?</v>
      </c>
      <c r="C110" s="73" t="e">
        <f t="shared" ca="1" si="10"/>
        <v>#NAME?</v>
      </c>
      <c r="D110" s="73" t="e">
        <f t="shared" ca="1" si="10"/>
        <v>#NAME?</v>
      </c>
      <c r="P110">
        <v>18</v>
      </c>
      <c r="Q110" s="73" t="e">
        <f t="array" aca="1" ref="Q110:S110" ca="1">TRANSPOSE(MMULT($Q$24:$S$26,TRANSPOSE(Q82:S82)))</f>
        <v>#VALUE!</v>
      </c>
      <c r="R110" s="73" t="e">
        <f ca="1"/>
        <v>#VALUE!</v>
      </c>
      <c r="S110" s="73" t="e">
        <f ca="1"/>
        <v>#VALUE!</v>
      </c>
    </row>
    <row r="111" spans="1:19" x14ac:dyDescent="0.2">
      <c r="A111" s="64">
        <f t="shared" si="9"/>
        <v>19</v>
      </c>
      <c r="B111" s="73" t="e">
        <f t="shared" ca="1" si="10"/>
        <v>#NAME?</v>
      </c>
      <c r="C111" s="73" t="e">
        <f t="shared" ca="1" si="10"/>
        <v>#NAME?</v>
      </c>
      <c r="D111" s="73" t="e">
        <f t="shared" ca="1" si="10"/>
        <v>#NAME?</v>
      </c>
      <c r="P111">
        <v>19</v>
      </c>
      <c r="Q111" s="73" t="e">
        <f t="array" aca="1" ref="Q111:S111" ca="1">TRANSPOSE(MMULT($Q$24:$S$26,TRANSPOSE(Q83:S83)))</f>
        <v>#VALUE!</v>
      </c>
      <c r="R111" s="73" t="e">
        <f ca="1"/>
        <v>#VALUE!</v>
      </c>
      <c r="S111" s="73" t="e">
        <f ca="1"/>
        <v>#VALUE!</v>
      </c>
    </row>
    <row r="112" spans="1:19" x14ac:dyDescent="0.2">
      <c r="A112" s="64">
        <f t="shared" si="9"/>
        <v>20</v>
      </c>
      <c r="B112" s="73" t="e">
        <f t="shared" ca="1" si="10"/>
        <v>#NAME?</v>
      </c>
      <c r="C112" s="73" t="e">
        <f t="shared" ca="1" si="10"/>
        <v>#NAME?</v>
      </c>
      <c r="D112" s="73" t="e">
        <f t="shared" ca="1" si="10"/>
        <v>#NAME?</v>
      </c>
      <c r="P112">
        <v>20</v>
      </c>
      <c r="Q112" s="73" t="e">
        <f t="array" aca="1" ref="Q112:S112" ca="1">TRANSPOSE(MMULT($Q$24:$S$26,TRANSPOSE(Q84:S84)))</f>
        <v>#VALUE!</v>
      </c>
      <c r="R112" s="73" t="e">
        <f ca="1"/>
        <v>#VALUE!</v>
      </c>
      <c r="S112" s="73" t="e">
        <f ca="1"/>
        <v>#VALUE!</v>
      </c>
    </row>
    <row r="113" spans="1:19" x14ac:dyDescent="0.2">
      <c r="A113" s="64">
        <f t="shared" si="9"/>
        <v>21</v>
      </c>
      <c r="B113" s="73" t="e">
        <f t="shared" ca="1" si="10"/>
        <v>#NAME?</v>
      </c>
      <c r="C113" s="73" t="e">
        <f t="shared" ca="1" si="10"/>
        <v>#NAME?</v>
      </c>
      <c r="D113" s="73" t="e">
        <f t="shared" ca="1" si="10"/>
        <v>#NAME?</v>
      </c>
      <c r="P113">
        <v>21</v>
      </c>
      <c r="Q113" s="73" t="e">
        <f t="array" aca="1" ref="Q113:S113" ca="1">TRANSPOSE(MMULT($Q$24:$S$26,TRANSPOSE(Q85:S85)))</f>
        <v>#VALUE!</v>
      </c>
      <c r="R113" s="73" t="e">
        <f ca="1"/>
        <v>#VALUE!</v>
      </c>
      <c r="S113" s="73" t="e">
        <f ca="1"/>
        <v>#VALUE!</v>
      </c>
    </row>
    <row r="114" spans="1:19" x14ac:dyDescent="0.2">
      <c r="A114" s="64">
        <f t="shared" si="9"/>
        <v>22</v>
      </c>
      <c r="B114" s="73" t="e">
        <f t="shared" ca="1" si="10"/>
        <v>#NAME?</v>
      </c>
      <c r="C114" s="73" t="e">
        <f t="shared" ca="1" si="10"/>
        <v>#NAME?</v>
      </c>
      <c r="D114" s="73" t="e">
        <f t="shared" ca="1" si="10"/>
        <v>#NAME?</v>
      </c>
      <c r="P114">
        <v>22</v>
      </c>
      <c r="Q114" s="73" t="e">
        <f t="array" aca="1" ref="Q114:S114" ca="1">TRANSPOSE(MMULT($Q$24:$S$26,TRANSPOSE(Q86:S86)))</f>
        <v>#VALUE!</v>
      </c>
      <c r="R114" s="73" t="e">
        <f ca="1"/>
        <v>#VALUE!</v>
      </c>
      <c r="S114" s="73" t="e">
        <f ca="1"/>
        <v>#VALUE!</v>
      </c>
    </row>
    <row r="115" spans="1:19" x14ac:dyDescent="0.2">
      <c r="A115" s="64">
        <f t="shared" si="9"/>
        <v>23</v>
      </c>
      <c r="B115" s="73" t="e">
        <f t="shared" ca="1" si="10"/>
        <v>#NAME?</v>
      </c>
      <c r="C115" s="73" t="e">
        <f t="shared" ca="1" si="10"/>
        <v>#NAME?</v>
      </c>
      <c r="D115" s="73" t="e">
        <f t="shared" ca="1" si="10"/>
        <v>#NAME?</v>
      </c>
      <c r="P115">
        <v>23</v>
      </c>
      <c r="Q115" s="73" t="e">
        <f t="array" aca="1" ref="Q115:S115" ca="1">TRANSPOSE(MMULT($Q$24:$S$26,TRANSPOSE(Q87:S87)))</f>
        <v>#VALUE!</v>
      </c>
      <c r="R115" s="73" t="e">
        <f ca="1"/>
        <v>#VALUE!</v>
      </c>
      <c r="S115" s="73" t="e">
        <f ca="1"/>
        <v>#VALUE!</v>
      </c>
    </row>
    <row r="116" spans="1:19" x14ac:dyDescent="0.2">
      <c r="A116" s="64">
        <f t="shared" si="9"/>
        <v>24</v>
      </c>
      <c r="B116" s="73" t="e">
        <f t="shared" ca="1" si="10"/>
        <v>#NAME?</v>
      </c>
      <c r="C116" s="73" t="e">
        <f t="shared" ca="1" si="10"/>
        <v>#NAME?</v>
      </c>
      <c r="D116" s="73" t="e">
        <f t="shared" ca="1" si="10"/>
        <v>#NAME?</v>
      </c>
      <c r="P116">
        <v>24</v>
      </c>
      <c r="Q116" s="73" t="e">
        <f t="array" aca="1" ref="Q116:S116" ca="1">TRANSPOSE(MMULT($Q$24:$S$26,TRANSPOSE(Q88:S88)))</f>
        <v>#VALUE!</v>
      </c>
      <c r="R116" s="73" t="e">
        <f ca="1"/>
        <v>#VALUE!</v>
      </c>
      <c r="S116" s="73" t="e">
        <f ca="1"/>
        <v>#VALUE!</v>
      </c>
    </row>
    <row r="117" spans="1:19" x14ac:dyDescent="0.2">
      <c r="A117" s="64">
        <f t="shared" si="9"/>
        <v>25</v>
      </c>
      <c r="B117" s="73" t="e">
        <f t="shared" ca="1" si="10"/>
        <v>#NAME?</v>
      </c>
      <c r="C117" s="73" t="e">
        <f t="shared" ca="1" si="10"/>
        <v>#NAME?</v>
      </c>
      <c r="D117" s="73" t="e">
        <f t="shared" ca="1" si="10"/>
        <v>#NAME?</v>
      </c>
      <c r="P117">
        <v>25</v>
      </c>
      <c r="Q117" s="73" t="e">
        <f t="array" aca="1" ref="Q117:S117" ca="1">TRANSPOSE(MMULT($Q$24:$S$26,TRANSPOSE(Q89:S89)))</f>
        <v>#VALUE!</v>
      </c>
      <c r="R117" s="73" t="e">
        <f ca="1"/>
        <v>#VALUE!</v>
      </c>
      <c r="S117" s="73" t="e">
        <f ca="1"/>
        <v>#VALUE!</v>
      </c>
    </row>
  </sheetData>
  <mergeCells count="19">
    <mergeCell ref="AD49:AD61"/>
    <mergeCell ref="G63:N63"/>
    <mergeCell ref="G64:J64"/>
    <mergeCell ref="F65:F76"/>
    <mergeCell ref="F78:F90"/>
    <mergeCell ref="O78:O90"/>
    <mergeCell ref="G48:J48"/>
    <mergeCell ref="K48:N48"/>
    <mergeCell ref="V48:Y48"/>
    <mergeCell ref="Z48:AC48"/>
    <mergeCell ref="F49:F61"/>
    <mergeCell ref="O49:O61"/>
    <mergeCell ref="U49:U61"/>
    <mergeCell ref="G34:N34"/>
    <mergeCell ref="V34:AC34"/>
    <mergeCell ref="G35:J35"/>
    <mergeCell ref="V35:Y35"/>
    <mergeCell ref="F36:F47"/>
    <mergeCell ref="U36:U47"/>
  </mergeCells>
  <hyperlinks>
    <hyperlink ref="A1" r:id="rId1" xr:uid="{00000000-0004-0000-0200-000000000000}"/>
    <hyperlink ref="A2" r:id="rId2" xr:uid="{00000000-0004-0000-0200-000001000000}"/>
  </hyperlink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topLeftCell="A19" workbookViewId="0">
      <selection activeCell="E36" sqref="E36"/>
    </sheetView>
  </sheetViews>
  <sheetFormatPr defaultColWidth="8.125" defaultRowHeight="14.25" x14ac:dyDescent="0.2"/>
  <cols>
    <col min="1" max="1" width="22.625" customWidth="1"/>
    <col min="2" max="2" width="13.75" customWidth="1"/>
    <col min="3" max="4" width="8.125" customWidth="1"/>
    <col min="5" max="5" width="24.5" customWidth="1"/>
    <col min="6" max="6" width="16" customWidth="1"/>
    <col min="7" max="7" width="21.625" customWidth="1"/>
    <col min="8" max="8" width="14.5" customWidth="1"/>
    <col min="9" max="9" width="11.125" customWidth="1"/>
    <col min="10" max="10" width="13.75" customWidth="1"/>
    <col min="11" max="11" width="12.25" customWidth="1"/>
    <col min="12" max="12" width="13.75" customWidth="1"/>
    <col min="13" max="13" width="13.875" customWidth="1"/>
  </cols>
  <sheetData>
    <row r="1" spans="1:13" x14ac:dyDescent="0.2">
      <c r="E1" t="s">
        <v>136</v>
      </c>
    </row>
    <row r="3" spans="1:13" ht="15" x14ac:dyDescent="0.25">
      <c r="A3" s="11" t="s">
        <v>17</v>
      </c>
      <c r="B3" s="11" t="s">
        <v>18</v>
      </c>
      <c r="C3" s="11" t="s">
        <v>13</v>
      </c>
      <c r="E3" s="122" t="s">
        <v>137</v>
      </c>
      <c r="F3" s="122"/>
    </row>
    <row r="4" spans="1:13" x14ac:dyDescent="0.2">
      <c r="A4" s="13">
        <f>Модель!B12</f>
        <v>1757</v>
      </c>
      <c r="B4" s="13">
        <f>Модель!C12</f>
        <v>254</v>
      </c>
      <c r="C4" s="13">
        <f>Модель!D12</f>
        <v>2530</v>
      </c>
      <c r="E4" s="90" t="s">
        <v>138</v>
      </c>
      <c r="F4" s="90">
        <v>0.97958856132726702</v>
      </c>
    </row>
    <row r="5" spans="1:13" x14ac:dyDescent="0.2">
      <c r="A5" s="13">
        <f>Модель!B13</f>
        <v>1533</v>
      </c>
      <c r="B5" s="13">
        <f>Модель!C13</f>
        <v>430</v>
      </c>
      <c r="C5" s="13">
        <f>Модель!D13</f>
        <v>4659</v>
      </c>
      <c r="E5" s="90" t="s">
        <v>139</v>
      </c>
      <c r="F5" s="90">
        <v>0.95959374948322596</v>
      </c>
    </row>
    <row r="6" spans="1:13" x14ac:dyDescent="0.2">
      <c r="A6" s="13">
        <f>Модель!B14</f>
        <v>2023</v>
      </c>
      <c r="B6" s="13">
        <f>Модель!C14</f>
        <v>467</v>
      </c>
      <c r="C6" s="13">
        <f>Модель!D14</f>
        <v>3470</v>
      </c>
      <c r="E6" s="90" t="s">
        <v>140</v>
      </c>
      <c r="F6" s="90">
        <v>0.955920453981701</v>
      </c>
    </row>
    <row r="7" spans="1:13" x14ac:dyDescent="0.2">
      <c r="A7" s="13">
        <f>Модель!B15</f>
        <v>1834</v>
      </c>
      <c r="B7" s="13">
        <f>Модель!C15</f>
        <v>450</v>
      </c>
      <c r="C7" s="13">
        <f>Модель!D15</f>
        <v>3980</v>
      </c>
      <c r="E7" s="90" t="s">
        <v>80</v>
      </c>
      <c r="F7" s="90">
        <v>3.2594734475800999</v>
      </c>
    </row>
    <row r="8" spans="1:13" x14ac:dyDescent="0.2">
      <c r="A8" s="13">
        <f>Модель!B16</f>
        <v>2967</v>
      </c>
      <c r="B8" s="13">
        <f>Модель!C16</f>
        <v>108</v>
      </c>
      <c r="C8" s="13">
        <f>Модель!D16</f>
        <v>5607</v>
      </c>
      <c r="E8" s="91" t="s">
        <v>141</v>
      </c>
      <c r="F8" s="91">
        <v>34</v>
      </c>
    </row>
    <row r="9" spans="1:13" x14ac:dyDescent="0.2">
      <c r="A9" s="13">
        <f>Модель!B17</f>
        <v>1574</v>
      </c>
      <c r="B9" s="13">
        <f>Модель!C17</f>
        <v>417</v>
      </c>
      <c r="C9" s="13">
        <f>Модель!D17</f>
        <v>3456</v>
      </c>
    </row>
    <row r="10" spans="1:13" x14ac:dyDescent="0.2">
      <c r="A10" s="13">
        <f>Модель!B18</f>
        <v>2094</v>
      </c>
      <c r="B10" s="13">
        <f>Модель!C18</f>
        <v>337</v>
      </c>
      <c r="C10" s="13">
        <f>Модель!D18</f>
        <v>3977</v>
      </c>
      <c r="E10" t="s">
        <v>68</v>
      </c>
    </row>
    <row r="11" spans="1:13" ht="15" x14ac:dyDescent="0.25">
      <c r="A11" s="13">
        <f>Модель!B19</f>
        <v>2044</v>
      </c>
      <c r="B11" s="13">
        <f>Модель!C19</f>
        <v>495</v>
      </c>
      <c r="C11" s="13">
        <f>Модель!D19</f>
        <v>3913</v>
      </c>
      <c r="E11" s="89"/>
      <c r="F11" s="89" t="s">
        <v>70</v>
      </c>
      <c r="G11" s="89" t="s">
        <v>71</v>
      </c>
      <c r="H11" s="89" t="s">
        <v>72</v>
      </c>
      <c r="I11" s="89" t="s">
        <v>73</v>
      </c>
      <c r="J11" s="89" t="s">
        <v>142</v>
      </c>
    </row>
    <row r="12" spans="1:13" x14ac:dyDescent="0.2">
      <c r="A12" s="13">
        <f>Модель!B20</f>
        <v>1537</v>
      </c>
      <c r="B12" s="13">
        <f>Модель!C20</f>
        <v>358</v>
      </c>
      <c r="C12" s="13">
        <f>Модель!D20</f>
        <v>3399</v>
      </c>
      <c r="E12" s="90" t="s">
        <v>74</v>
      </c>
      <c r="F12" s="90">
        <v>2</v>
      </c>
      <c r="G12" s="90">
        <v>5550.8109225794497</v>
      </c>
      <c r="H12" s="90">
        <v>2775.4054612897198</v>
      </c>
      <c r="I12" s="90">
        <v>261.23510866056301</v>
      </c>
      <c r="J12" s="90">
        <v>4.6874222077497902E-16</v>
      </c>
    </row>
    <row r="13" spans="1:13" x14ac:dyDescent="0.2">
      <c r="A13" s="13">
        <f>Модель!B21</f>
        <v>1949</v>
      </c>
      <c r="B13" s="13">
        <f>Модель!C21</f>
        <v>101</v>
      </c>
      <c r="C13" s="13">
        <f>Модель!D21</f>
        <v>4308</v>
      </c>
      <c r="E13" s="90" t="s">
        <v>75</v>
      </c>
      <c r="F13" s="90">
        <v>22</v>
      </c>
      <c r="G13" s="90">
        <v>233.73167742055301</v>
      </c>
      <c r="H13" s="90">
        <v>10.6241671554797</v>
      </c>
      <c r="I13" s="90"/>
      <c r="J13" s="90"/>
    </row>
    <row r="14" spans="1:13" x14ac:dyDescent="0.2">
      <c r="A14" s="13">
        <f>Модель!B22</f>
        <v>1465</v>
      </c>
      <c r="B14" s="13">
        <f>Модель!C22</f>
        <v>246</v>
      </c>
      <c r="C14" s="13">
        <f>Модель!D22</f>
        <v>3289</v>
      </c>
      <c r="E14" s="91" t="s">
        <v>76</v>
      </c>
      <c r="F14" s="91">
        <v>24</v>
      </c>
      <c r="G14" s="91">
        <v>5784.5425999999998</v>
      </c>
      <c r="H14" s="91"/>
      <c r="I14" s="91"/>
      <c r="J14" s="91"/>
    </row>
    <row r="15" spans="1:13" x14ac:dyDescent="0.2">
      <c r="A15" s="13">
        <f>Модель!B23</f>
        <v>2954</v>
      </c>
      <c r="B15" s="13">
        <f>Модель!C23</f>
        <v>234</v>
      </c>
      <c r="C15" s="13">
        <f>Модель!D23</f>
        <v>4789</v>
      </c>
    </row>
    <row r="16" spans="1:13" ht="15" x14ac:dyDescent="0.25">
      <c r="A16" s="13">
        <f>Модель!B24</f>
        <v>1583</v>
      </c>
      <c r="B16" s="13">
        <f>Модель!C24</f>
        <v>285</v>
      </c>
      <c r="C16" s="13">
        <f>Модель!D24</f>
        <v>3336</v>
      </c>
      <c r="E16" s="89"/>
      <c r="F16" s="89" t="s">
        <v>143</v>
      </c>
      <c r="G16" s="89" t="s">
        <v>80</v>
      </c>
      <c r="H16" s="89" t="s">
        <v>57</v>
      </c>
      <c r="I16" s="89" t="s">
        <v>144</v>
      </c>
      <c r="J16" s="89" t="s">
        <v>145</v>
      </c>
      <c r="K16" s="89" t="s">
        <v>146</v>
      </c>
      <c r="L16" s="89" t="s">
        <v>147</v>
      </c>
      <c r="M16" s="89" t="s">
        <v>148</v>
      </c>
    </row>
    <row r="17" spans="1:13" x14ac:dyDescent="0.2">
      <c r="A17" s="13">
        <f>Модель!B25</f>
        <v>3098</v>
      </c>
      <c r="B17" s="13">
        <f>Модель!C25</f>
        <v>101</v>
      </c>
      <c r="C17" s="13">
        <f>Модель!D25</f>
        <v>3982</v>
      </c>
      <c r="E17" s="90" t="s">
        <v>91</v>
      </c>
      <c r="F17" s="90">
        <v>2.3412311451922099</v>
      </c>
      <c r="G17" s="90">
        <v>1.0967301681801001</v>
      </c>
      <c r="H17" s="90">
        <v>2.13473761652532</v>
      </c>
      <c r="I17" s="90">
        <v>4.4170124156749202E-2</v>
      </c>
      <c r="J17" s="90">
        <v>6.6751986645639E-2</v>
      </c>
      <c r="K17" s="90">
        <v>4.6157103037387799</v>
      </c>
      <c r="L17" s="90">
        <v>6.6751986645639E-2</v>
      </c>
      <c r="M17" s="90">
        <v>4.6157103037387799</v>
      </c>
    </row>
    <row r="18" spans="1:13" x14ac:dyDescent="0.2">
      <c r="A18" s="13">
        <f>Модель!B26</f>
        <v>1532</v>
      </c>
      <c r="B18" s="13">
        <f>Модель!C26</f>
        <v>185</v>
      </c>
      <c r="C18" s="13">
        <f>Модель!D26</f>
        <v>2967</v>
      </c>
      <c r="E18" s="90" t="s">
        <v>17</v>
      </c>
      <c r="F18" s="90">
        <v>1.61590721060925</v>
      </c>
      <c r="G18" s="90">
        <v>0.170734918281089</v>
      </c>
      <c r="H18" s="90">
        <v>9.4644213783434203</v>
      </c>
      <c r="I18" s="90">
        <v>3.25493157366569E-9</v>
      </c>
      <c r="J18" s="90">
        <v>1.2618246618353099</v>
      </c>
      <c r="K18" s="90">
        <v>1.9699897593832001</v>
      </c>
      <c r="L18" s="90">
        <v>1.2618246618353099</v>
      </c>
      <c r="M18" s="90">
        <v>1.9699897593832001</v>
      </c>
    </row>
    <row r="19" spans="1:13" x14ac:dyDescent="0.2">
      <c r="A19" s="13">
        <f>Модель!B27</f>
        <v>2590</v>
      </c>
      <c r="B19" s="13">
        <f>Модель!C27</f>
        <v>485</v>
      </c>
      <c r="C19" s="13">
        <f>Модель!D27</f>
        <v>3981</v>
      </c>
      <c r="E19" s="91" t="s">
        <v>18</v>
      </c>
      <c r="F19" s="91">
        <v>1.43848262555481E-2</v>
      </c>
      <c r="G19" s="91">
        <v>3.6130858743042E-3</v>
      </c>
      <c r="H19" s="91">
        <v>3.9813131367430699</v>
      </c>
      <c r="I19" s="91">
        <v>6.3124686224285103E-4</v>
      </c>
      <c r="J19" s="91">
        <v>6.8917447688041696E-3</v>
      </c>
      <c r="K19" s="91">
        <v>2.1877907742292101E-2</v>
      </c>
      <c r="L19" s="91">
        <v>6.8917447688041696E-3</v>
      </c>
      <c r="M19" s="91">
        <v>2.1877907742292101E-2</v>
      </c>
    </row>
    <row r="20" spans="1:13" x14ac:dyDescent="0.2">
      <c r="A20" s="13">
        <f>Модель!B28</f>
        <v>2145</v>
      </c>
      <c r="B20" s="13">
        <f>Модель!C28</f>
        <v>495</v>
      </c>
      <c r="C20" s="13">
        <f>Модель!D28</f>
        <v>3958</v>
      </c>
    </row>
    <row r="21" spans="1:13" x14ac:dyDescent="0.2">
      <c r="A21" s="13">
        <f>Модель!B29</f>
        <v>1107</v>
      </c>
      <c r="B21" s="13">
        <f>Модель!C29</f>
        <v>301</v>
      </c>
      <c r="C21" s="13">
        <f>Модель!D29</f>
        <v>2530</v>
      </c>
    </row>
    <row r="22" spans="1:13" x14ac:dyDescent="0.2">
      <c r="A22" s="13">
        <f>Модель!B30</f>
        <v>1648</v>
      </c>
      <c r="B22" s="13">
        <f>Модель!C30</f>
        <v>348</v>
      </c>
      <c r="C22" s="13">
        <f>Модель!D30</f>
        <v>3370</v>
      </c>
    </row>
    <row r="23" spans="1:13" x14ac:dyDescent="0.2">
      <c r="A23" s="13">
        <f>Модель!B31</f>
        <v>2274</v>
      </c>
      <c r="B23" s="13">
        <f>Модель!C31</f>
        <v>470</v>
      </c>
      <c r="C23" s="13">
        <f>Модель!D31</f>
        <v>4257</v>
      </c>
      <c r="E23" t="s">
        <v>149</v>
      </c>
    </row>
    <row r="24" spans="1:13" x14ac:dyDescent="0.2">
      <c r="A24" s="13">
        <f>Модель!B32</f>
        <v>2820</v>
      </c>
      <c r="B24" s="13">
        <f>Модель!C32</f>
        <v>448</v>
      </c>
      <c r="C24" s="13">
        <f>Модель!D32</f>
        <v>4578</v>
      </c>
    </row>
    <row r="25" spans="1:13" ht="15" x14ac:dyDescent="0.25">
      <c r="A25" s="13">
        <f>Модель!B33</f>
        <v>1694</v>
      </c>
      <c r="B25" s="13">
        <f>Модель!C33</f>
        <v>340</v>
      </c>
      <c r="C25" s="13">
        <f>Модель!D33</f>
        <v>3587</v>
      </c>
      <c r="E25" s="89" t="s">
        <v>150</v>
      </c>
      <c r="F25" s="89" t="s">
        <v>151</v>
      </c>
      <c r="G25" s="89" t="s">
        <v>15</v>
      </c>
    </row>
    <row r="26" spans="1:13" x14ac:dyDescent="0.2">
      <c r="A26" s="13">
        <f>Модель!B34</f>
        <v>3547</v>
      </c>
      <c r="B26" s="13">
        <f>Модель!C34</f>
        <v>362</v>
      </c>
      <c r="C26" s="13">
        <f>Модель!D34</f>
        <v>5285</v>
      </c>
      <c r="E26" s="90">
        <v>1</v>
      </c>
      <c r="F26" s="90">
        <v>21.708084322563899</v>
      </c>
      <c r="G26" s="90">
        <v>-5.02808432256393</v>
      </c>
    </row>
    <row r="27" spans="1:13" x14ac:dyDescent="0.2">
      <c r="A27" s="13">
        <f>Модель!B35</f>
        <v>1755</v>
      </c>
      <c r="B27" s="13">
        <f>Модель!C35</f>
        <v>376</v>
      </c>
      <c r="C27" s="13">
        <f>Модель!D35</f>
        <v>2890</v>
      </c>
      <c r="E27" s="90">
        <v>2</v>
      </c>
      <c r="F27" s="90">
        <v>10.3536145532406</v>
      </c>
      <c r="G27" s="90">
        <v>1.1463854467594501</v>
      </c>
    </row>
    <row r="28" spans="1:13" x14ac:dyDescent="0.2">
      <c r="A28" s="13">
        <f>Модель!B36</f>
        <v>1866</v>
      </c>
      <c r="B28" s="13">
        <f>Модель!C36</f>
        <v>462</v>
      </c>
      <c r="C28" s="13">
        <f>Модель!D36</f>
        <v>4022</v>
      </c>
      <c r="E28" s="90">
        <v>3</v>
      </c>
      <c r="F28" s="90">
        <v>12.079793703906301</v>
      </c>
      <c r="G28" s="90">
        <v>-4.9793703906329902E-2</v>
      </c>
    </row>
    <row r="29" spans="1:13" x14ac:dyDescent="0.2">
      <c r="E29" s="90">
        <v>4</v>
      </c>
      <c r="F29" s="90">
        <v>9.9556460880730704</v>
      </c>
      <c r="G29" s="90">
        <v>4.9243539119269304</v>
      </c>
    </row>
    <row r="30" spans="1:13" x14ac:dyDescent="0.2">
      <c r="E30" s="90">
        <v>5</v>
      </c>
      <c r="F30" s="90">
        <v>14.1943983471799</v>
      </c>
      <c r="G30" s="90">
        <v>-0.44439834717994797</v>
      </c>
    </row>
    <row r="31" spans="1:13" x14ac:dyDescent="0.2">
      <c r="E31" s="90">
        <v>6</v>
      </c>
      <c r="F31" s="90">
        <v>18.399574283787899</v>
      </c>
      <c r="G31" s="90">
        <v>-0.28957428378786398</v>
      </c>
    </row>
    <row r="32" spans="1:13" x14ac:dyDescent="0.2">
      <c r="E32" s="90">
        <v>7</v>
      </c>
      <c r="F32" s="90">
        <v>7.1553764545210097</v>
      </c>
      <c r="G32" s="90">
        <v>0.84462354547899099</v>
      </c>
    </row>
    <row r="33" spans="5:7" x14ac:dyDescent="0.2">
      <c r="E33" s="90">
        <v>8</v>
      </c>
      <c r="F33" s="90">
        <v>16.673395133122099</v>
      </c>
      <c r="G33" s="90">
        <v>1.1566048668779101</v>
      </c>
    </row>
    <row r="34" spans="5:7" x14ac:dyDescent="0.2">
      <c r="E34" s="90">
        <v>9</v>
      </c>
      <c r="F34" s="90">
        <v>71.820293796570098</v>
      </c>
      <c r="G34" s="90">
        <v>7.4197062034299401</v>
      </c>
    </row>
    <row r="35" spans="5:7" x14ac:dyDescent="0.2">
      <c r="E35" s="90">
        <v>10</v>
      </c>
      <c r="F35" s="90">
        <v>19.123587082845098</v>
      </c>
      <c r="G35" s="90">
        <v>2.3764129171549202</v>
      </c>
    </row>
    <row r="36" spans="5:7" x14ac:dyDescent="0.2">
      <c r="E36" s="90">
        <v>11</v>
      </c>
      <c r="F36" s="90">
        <v>38.092506978757399</v>
      </c>
      <c r="G36" s="90">
        <v>2.2374930212426301</v>
      </c>
    </row>
    <row r="37" spans="5:7" x14ac:dyDescent="0.2">
      <c r="E37" s="90">
        <v>12</v>
      </c>
      <c r="F37" s="90">
        <v>21.593040896227599</v>
      </c>
      <c r="G37" s="90">
        <v>-0.59304089622758804</v>
      </c>
    </row>
    <row r="38" spans="5:7" x14ac:dyDescent="0.2">
      <c r="E38" s="90">
        <v>13</v>
      </c>
      <c r="F38" s="90">
        <v>12.472990682794</v>
      </c>
      <c r="G38" s="90">
        <v>1.02700931720601</v>
      </c>
    </row>
    <row r="39" spans="5:7" x14ac:dyDescent="0.2">
      <c r="E39" s="90">
        <v>14</v>
      </c>
      <c r="F39" s="90">
        <v>18.682464138911001</v>
      </c>
      <c r="G39" s="90">
        <v>1.06753586108904</v>
      </c>
    </row>
    <row r="40" spans="5:7" x14ac:dyDescent="0.2">
      <c r="E40" s="90">
        <v>15</v>
      </c>
      <c r="F40" s="90">
        <v>23.328798203161</v>
      </c>
      <c r="G40" s="90">
        <v>0.67120179683895398</v>
      </c>
    </row>
    <row r="41" spans="5:7" x14ac:dyDescent="0.2">
      <c r="E41" s="90">
        <v>16</v>
      </c>
      <c r="F41" s="90">
        <v>29.662928425590099</v>
      </c>
      <c r="G41" s="90">
        <v>-0.66292842559008103</v>
      </c>
    </row>
    <row r="42" spans="5:7" x14ac:dyDescent="0.2">
      <c r="E42" s="90">
        <v>17</v>
      </c>
      <c r="F42" s="90">
        <v>14.913639659957401</v>
      </c>
      <c r="G42" s="90">
        <v>0.43636034004264701</v>
      </c>
    </row>
    <row r="43" spans="5:7" x14ac:dyDescent="0.2">
      <c r="E43" s="90">
        <v>18</v>
      </c>
      <c r="F43" s="90">
        <v>15.551378685189301</v>
      </c>
      <c r="G43" s="90">
        <v>3.4486213148106599</v>
      </c>
    </row>
    <row r="44" spans="5:7" x14ac:dyDescent="0.2">
      <c r="E44" s="90">
        <v>19</v>
      </c>
      <c r="F44" s="90">
        <v>7.7068065222196998</v>
      </c>
      <c r="G44" s="90">
        <v>1.7931934777803</v>
      </c>
    </row>
    <row r="45" spans="5:7" x14ac:dyDescent="0.2">
      <c r="E45" s="90">
        <v>20</v>
      </c>
      <c r="F45" s="90">
        <v>40.887969942321597</v>
      </c>
      <c r="G45" s="90">
        <v>-5.7879699423215696</v>
      </c>
    </row>
    <row r="46" spans="5:7" x14ac:dyDescent="0.2">
      <c r="E46" s="90">
        <v>21</v>
      </c>
      <c r="F46" s="90">
        <v>20.514178927061501</v>
      </c>
      <c r="G46" s="90">
        <v>-2.6141789270614799</v>
      </c>
    </row>
    <row r="47" spans="5:7" x14ac:dyDescent="0.2">
      <c r="E47" s="90">
        <v>22</v>
      </c>
      <c r="F47" s="90">
        <v>56.006527888026802</v>
      </c>
      <c r="G47" s="90">
        <v>-3.6865278880267698</v>
      </c>
    </row>
    <row r="48" spans="5:7" x14ac:dyDescent="0.2">
      <c r="E48" s="90">
        <v>23</v>
      </c>
      <c r="F48" s="90">
        <v>23.357567855672102</v>
      </c>
      <c r="G48" s="90">
        <v>-4.6075678556721398</v>
      </c>
    </row>
    <row r="49" spans="5:7" x14ac:dyDescent="0.2">
      <c r="E49" s="90">
        <v>24</v>
      </c>
      <c r="F49" s="90">
        <v>24.402853502339301</v>
      </c>
      <c r="G49" s="90">
        <v>-4.5728535023392904</v>
      </c>
    </row>
    <row r="50" spans="5:7" x14ac:dyDescent="0.2">
      <c r="E50" s="91">
        <v>25</v>
      </c>
      <c r="F50" s="91">
        <v>10.9625839259614</v>
      </c>
      <c r="G50" s="91">
        <v>-0.21258392596143899</v>
      </c>
    </row>
  </sheetData>
  <mergeCells count="1">
    <mergeCell ref="E3:F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вихідні дані з програми plc</vt:lpstr>
      <vt:lpstr>Модель</vt:lpstr>
      <vt:lpstr>Диаграмма рассеяния</vt:lpstr>
      <vt:lpstr>Надстройка</vt:lpstr>
      <vt:lpstr>'Диаграмма рассеяния'!cz</vt:lpstr>
      <vt:lpstr>'Диаграмма рассеяния'!sz</vt:lpstr>
      <vt:lpstr>'Диаграмма рассеяния'!ux</vt:lpstr>
      <vt:lpstr>'Диаграмма рассеяния'!uy</vt:lpstr>
      <vt:lpstr>'Диаграмма рассеяния'!uz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Yura</cp:lastModifiedBy>
  <dcterms:created xsi:type="dcterms:W3CDTF">2021-12-07T08:03:12Z</dcterms:created>
  <dcterms:modified xsi:type="dcterms:W3CDTF">2021-12-23T21:12:37Z</dcterms:modified>
</cp:coreProperties>
</file>