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filterPrivacy="1" defaultThemeVersion="124226"/>
  <xr:revisionPtr revIDLastSave="0" documentId="13_ncr:1_{AFF4E007-D74A-4CCF-BC13-84D7F4F453AF}" xr6:coauthVersionLast="47" xr6:coauthVersionMax="47" xr10:uidLastSave="{00000000-0000-0000-0000-000000000000}"/>
  <bookViews>
    <workbookView xWindow="-120" yWindow="-120" windowWidth="29040" windowHeight="15840" tabRatio="793" xr2:uid="{00000000-000D-0000-FFFF-FFFF00000000}"/>
  </bookViews>
  <sheets>
    <sheet name="Модель" sheetId="2" r:id="rId1"/>
    <sheet name="Диаграмма рассеяния" sheetId="1" r:id="rId2"/>
    <sheet name="Надстройка" sheetId="3" r:id="rId3"/>
    <sheet name="EXCEL2.RU" sheetId="4" r:id="rId4"/>
  </sheets>
  <externalReferences>
    <externalReference r:id="rId5"/>
    <externalReference r:id="rId6"/>
  </externalReferences>
  <definedNames>
    <definedName name="anscount" hidden="1">2</definedName>
    <definedName name="cz" localSheetId="1">'Диаграмма рассеяния'!$V$18</definedName>
    <definedName name="cz">'[1]Диагр расс (в плоск регрессии)'!$V$18</definedName>
    <definedName name="limcount" hidden="1">2</definedName>
    <definedName name="sencount" hidden="1">4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Модель!#REF!</definedName>
    <definedName name="solver_typ" localSheetId="0" hidden="1">1</definedName>
    <definedName name="solver_val" localSheetId="0" hidden="1">0</definedName>
    <definedName name="solver_ver" localSheetId="0" hidden="1">3</definedName>
    <definedName name="sz" localSheetId="1">'Диаграмма рассеяния'!$V$19</definedName>
    <definedName name="sz">'[1]Диагр расс (в плоск регрессии)'!$V$19</definedName>
    <definedName name="ux" localSheetId="1">'Диаграмма рассеяния'!$W$14</definedName>
    <definedName name="ux">'[1]Диагр расс (в плоск регрессии)'!$W$14</definedName>
    <definedName name="uy" localSheetId="1">'Диаграмма рассеяния'!$X$14</definedName>
    <definedName name="uy">'[1]Диагр расс (в плоск регрессии)'!$X$14</definedName>
    <definedName name="uz" localSheetId="1">'Диаграмма рассеяния'!$Y$14</definedName>
    <definedName name="uz">'[1]Диагр расс (в плоск регрессии)'!$Y$14</definedName>
    <definedName name="Xперемен">[2]Интервалы!$B$53:$B$113</definedName>
    <definedName name="Yперемен">[2]Интервалы!$C$53:$C$113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3" l="1"/>
  <c r="B5" i="3"/>
  <c r="C5" i="3"/>
  <c r="A6" i="3"/>
  <c r="B6" i="3"/>
  <c r="C6" i="3"/>
  <c r="A7" i="3"/>
  <c r="B7" i="3"/>
  <c r="C7" i="3"/>
  <c r="A8" i="3"/>
  <c r="B8" i="3"/>
  <c r="C8" i="3"/>
  <c r="A9" i="3"/>
  <c r="B9" i="3"/>
  <c r="C9" i="3"/>
  <c r="A10" i="3"/>
  <c r="B10" i="3"/>
  <c r="C10" i="3"/>
  <c r="A11" i="3"/>
  <c r="B11" i="3"/>
  <c r="C11" i="3"/>
  <c r="A12" i="3"/>
  <c r="B12" i="3"/>
  <c r="C12" i="3"/>
  <c r="A13" i="3"/>
  <c r="B13" i="3"/>
  <c r="C13" i="3"/>
  <c r="A14" i="3"/>
  <c r="B14" i="3"/>
  <c r="C14" i="3"/>
  <c r="A15" i="3"/>
  <c r="B15" i="3"/>
  <c r="C15" i="3"/>
  <c r="A16" i="3"/>
  <c r="B16" i="3"/>
  <c r="C16" i="3"/>
  <c r="A17" i="3"/>
  <c r="B17" i="3"/>
  <c r="C17" i="3"/>
  <c r="A18" i="3"/>
  <c r="B18" i="3"/>
  <c r="C18" i="3"/>
  <c r="A19" i="3"/>
  <c r="B19" i="3"/>
  <c r="C19" i="3"/>
  <c r="A20" i="3"/>
  <c r="B20" i="3"/>
  <c r="C20" i="3"/>
  <c r="A21" i="3"/>
  <c r="B21" i="3"/>
  <c r="C21" i="3"/>
  <c r="A22" i="3"/>
  <c r="B22" i="3"/>
  <c r="C22" i="3"/>
  <c r="A23" i="3"/>
  <c r="B23" i="3"/>
  <c r="C23" i="3"/>
  <c r="A24" i="3"/>
  <c r="B24" i="3"/>
  <c r="C24" i="3"/>
  <c r="A25" i="3"/>
  <c r="B25" i="3"/>
  <c r="C25" i="3"/>
  <c r="A26" i="3"/>
  <c r="B26" i="3"/>
  <c r="C26" i="3"/>
  <c r="A27" i="3"/>
  <c r="B27" i="3"/>
  <c r="C27" i="3"/>
  <c r="A28" i="3"/>
  <c r="B28" i="3"/>
  <c r="C28" i="3"/>
  <c r="B4" i="3"/>
  <c r="C4" i="3"/>
  <c r="A4" i="3"/>
  <c r="J38" i="2" l="1"/>
  <c r="J35" i="2" l="1"/>
  <c r="C76" i="2"/>
  <c r="C75" i="2"/>
  <c r="C74" i="2"/>
  <c r="B107" i="2" l="1"/>
  <c r="E102" i="2" l="1"/>
  <c r="D102" i="2"/>
  <c r="E83" i="2" l="1"/>
  <c r="G68" i="2" l="1"/>
  <c r="N13" i="2" l="1"/>
  <c r="J28" i="2" a="1"/>
  <c r="J28" i="2" s="1"/>
  <c r="J30" i="2" l="1"/>
  <c r="J29" i="2"/>
  <c r="A75" i="2" l="1"/>
  <c r="A76" i="2"/>
  <c r="A74" i="2"/>
  <c r="H36" i="2" l="1"/>
  <c r="D46" i="2"/>
  <c r="B60" i="2"/>
  <c r="C48" i="2" l="1"/>
  <c r="D38" i="2"/>
  <c r="A44" i="2"/>
  <c r="B8" i="2"/>
  <c r="B95" i="2" s="1"/>
  <c r="C37" i="1" l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D36" i="1"/>
  <c r="C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36" i="1"/>
  <c r="B6" i="2"/>
  <c r="M28" i="2" a="1"/>
  <c r="M28" i="2" s="1"/>
  <c r="H22" i="2" a="1"/>
  <c r="H22" i="2" s="1"/>
  <c r="H12" i="2" a="1"/>
  <c r="H13" i="2" s="1"/>
  <c r="K10" i="1"/>
  <c r="H14" i="1" s="1"/>
  <c r="R30" i="1"/>
  <c r="W24" i="1" s="1"/>
  <c r="B64" i="1"/>
  <c r="C64" i="1"/>
  <c r="G64" i="1" s="1"/>
  <c r="S35" i="1"/>
  <c r="F36" i="1"/>
  <c r="K48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B43" i="2" l="1"/>
  <c r="C97" i="2" s="1"/>
  <c r="D20" i="1"/>
  <c r="C21" i="1"/>
  <c r="C20" i="1"/>
  <c r="C19" i="1"/>
  <c r="C18" i="1"/>
  <c r="B20" i="1"/>
  <c r="D18" i="1"/>
  <c r="B18" i="1"/>
  <c r="B19" i="1"/>
  <c r="D19" i="1"/>
  <c r="D21" i="1"/>
  <c r="A8" i="1" a="1"/>
  <c r="A8" i="1" s="1"/>
  <c r="B13" i="1" s="1"/>
  <c r="B21" i="1"/>
  <c r="M30" i="2"/>
  <c r="M29" i="2"/>
  <c r="H24" i="2"/>
  <c r="H23" i="2"/>
  <c r="H14" i="2"/>
  <c r="J12" i="2"/>
  <c r="J13" i="2"/>
  <c r="I12" i="2"/>
  <c r="J14" i="2"/>
  <c r="I13" i="2"/>
  <c r="H12" i="2"/>
  <c r="H17" i="2" s="1" a="1"/>
  <c r="I14" i="2"/>
  <c r="Q35" i="1"/>
  <c r="U36" i="1" s="1"/>
  <c r="F49" i="1"/>
  <c r="G48" i="1"/>
  <c r="D17" i="1"/>
  <c r="D64" i="1"/>
  <c r="O78" i="1" s="1"/>
  <c r="O49" i="1"/>
  <c r="J14" i="1"/>
  <c r="I14" i="1"/>
  <c r="W25" i="1"/>
  <c r="V24" i="1"/>
  <c r="AD49" i="1"/>
  <c r="V48" i="1"/>
  <c r="C17" i="1"/>
  <c r="R35" i="1"/>
  <c r="N35" i="1"/>
  <c r="N36" i="1" s="1"/>
  <c r="F65" i="1"/>
  <c r="F78" i="1"/>
  <c r="V25" i="1"/>
  <c r="B17" i="1"/>
  <c r="G35" i="1"/>
  <c r="H18" i="2" l="1"/>
  <c r="B70" i="2" s="1"/>
  <c r="H19" i="2"/>
  <c r="B71" i="2" s="1"/>
  <c r="J19" i="2"/>
  <c r="D71" i="2" s="1"/>
  <c r="B76" i="2" s="1"/>
  <c r="C105" i="2" s="1"/>
  <c r="J17" i="2"/>
  <c r="D69" i="2" s="1"/>
  <c r="I18" i="2"/>
  <c r="C70" i="2" s="1"/>
  <c r="B75" i="2" s="1"/>
  <c r="C104" i="2" s="1"/>
  <c r="J18" i="2"/>
  <c r="D70" i="2" s="1"/>
  <c r="H17" i="2"/>
  <c r="I17" i="2"/>
  <c r="C69" i="2" s="1"/>
  <c r="I19" i="2"/>
  <c r="C71" i="2" s="1"/>
  <c r="U49" i="1"/>
  <c r="E86" i="2" a="1"/>
  <c r="E86" i="2" s="1"/>
  <c r="C77" i="1"/>
  <c r="Q77" i="1" s="1"/>
  <c r="D80" i="1"/>
  <c r="R80" i="1" s="1"/>
  <c r="C65" i="1"/>
  <c r="Q65" i="1" s="1"/>
  <c r="C86" i="1"/>
  <c r="Q86" i="1" s="1"/>
  <c r="C68" i="1"/>
  <c r="Q68" i="1" s="1"/>
  <c r="C87" i="1"/>
  <c r="Q87" i="1" s="1"/>
  <c r="D82" i="1"/>
  <c r="R82" i="1" s="1"/>
  <c r="D69" i="1"/>
  <c r="R69" i="1" s="1"/>
  <c r="D75" i="1"/>
  <c r="R75" i="1" s="1"/>
  <c r="D87" i="1"/>
  <c r="R87" i="1" s="1"/>
  <c r="D84" i="1"/>
  <c r="R84" i="1" s="1"/>
  <c r="D73" i="1"/>
  <c r="R73" i="1" s="1"/>
  <c r="C81" i="1"/>
  <c r="Q81" i="1" s="1"/>
  <c r="D81" i="1"/>
  <c r="R81" i="1" s="1"/>
  <c r="K14" i="1"/>
  <c r="D74" i="1"/>
  <c r="R74" i="1" s="1"/>
  <c r="C69" i="1"/>
  <c r="Q69" i="1" s="1"/>
  <c r="D71" i="1"/>
  <c r="R71" i="1" s="1"/>
  <c r="D68" i="1"/>
  <c r="R68" i="1" s="1"/>
  <c r="C66" i="1"/>
  <c r="Q66" i="1" s="1"/>
  <c r="B73" i="1"/>
  <c r="C88" i="1"/>
  <c r="Q88" i="1" s="1"/>
  <c r="D65" i="1"/>
  <c r="R65" i="1" s="1"/>
  <c r="D83" i="1"/>
  <c r="R83" i="1" s="1"/>
  <c r="C75" i="1"/>
  <c r="Q75" i="1" s="1"/>
  <c r="D67" i="1"/>
  <c r="R67" i="1" s="1"/>
  <c r="C85" i="1"/>
  <c r="Q85" i="1" s="1"/>
  <c r="D89" i="1"/>
  <c r="R89" i="1" s="1"/>
  <c r="C73" i="1"/>
  <c r="Q73" i="1" s="1"/>
  <c r="C79" i="1"/>
  <c r="Q79" i="1" s="1"/>
  <c r="C80" i="1"/>
  <c r="Q80" i="1" s="1"/>
  <c r="D85" i="1"/>
  <c r="R85" i="1" s="1"/>
  <c r="C71" i="1"/>
  <c r="Q71" i="1" s="1"/>
  <c r="C76" i="1"/>
  <c r="Q76" i="1" s="1"/>
  <c r="D78" i="1"/>
  <c r="R78" i="1" s="1"/>
  <c r="D66" i="1"/>
  <c r="R66" i="1" s="1"/>
  <c r="D79" i="1"/>
  <c r="R79" i="1" s="1"/>
  <c r="C70" i="1"/>
  <c r="Q70" i="1" s="1"/>
  <c r="C84" i="1"/>
  <c r="Q84" i="1" s="1"/>
  <c r="C72" i="1"/>
  <c r="Q72" i="1" s="1"/>
  <c r="D88" i="1"/>
  <c r="R88" i="1" s="1"/>
  <c r="D76" i="1"/>
  <c r="R76" i="1" s="1"/>
  <c r="D86" i="1"/>
  <c r="R86" i="1" s="1"/>
  <c r="D70" i="1"/>
  <c r="R70" i="1" s="1"/>
  <c r="D77" i="1"/>
  <c r="R77" i="1" s="1"/>
  <c r="C74" i="1"/>
  <c r="Q74" i="1" s="1"/>
  <c r="D72" i="1"/>
  <c r="R72" i="1" s="1"/>
  <c r="B79" i="1"/>
  <c r="B65" i="1"/>
  <c r="B74" i="1"/>
  <c r="B83" i="1"/>
  <c r="C89" i="1"/>
  <c r="Q89" i="1" s="1"/>
  <c r="C78" i="1"/>
  <c r="Q78" i="1" s="1"/>
  <c r="C82" i="1"/>
  <c r="Q82" i="1" s="1"/>
  <c r="C83" i="1"/>
  <c r="Q83" i="1" s="1"/>
  <c r="C67" i="1"/>
  <c r="Q67" i="1" s="1"/>
  <c r="B66" i="1"/>
  <c r="B82" i="1"/>
  <c r="B75" i="1"/>
  <c r="B88" i="1"/>
  <c r="B68" i="1"/>
  <c r="B76" i="1"/>
  <c r="B85" i="1"/>
  <c r="B81" i="1"/>
  <c r="B84" i="1"/>
  <c r="B71" i="1"/>
  <c r="B72" i="1"/>
  <c r="B69" i="1"/>
  <c r="B77" i="1"/>
  <c r="B67" i="1"/>
  <c r="B78" i="1"/>
  <c r="B70" i="1"/>
  <c r="B80" i="1"/>
  <c r="B86" i="1"/>
  <c r="B89" i="1"/>
  <c r="B87" i="1"/>
  <c r="B8" i="1"/>
  <c r="A13" i="1" s="1"/>
  <c r="C8" i="1"/>
  <c r="C13" i="1" s="1"/>
  <c r="Z48" i="1"/>
  <c r="V35" i="1"/>
  <c r="I28" i="2" l="1" a="1"/>
  <c r="B69" i="2"/>
  <c r="B74" i="2" s="1"/>
  <c r="C103" i="2" s="1"/>
  <c r="A25" i="1" a="1"/>
  <c r="C25" i="1" s="1"/>
  <c r="C28" i="1" s="1"/>
  <c r="I28" i="2" l="1"/>
  <c r="I30" i="2"/>
  <c r="B105" i="2" s="1"/>
  <c r="I29" i="2"/>
  <c r="B104" i="2" s="1"/>
  <c r="G47" i="2" a="1"/>
  <c r="G47" i="2" s="1"/>
  <c r="C46" i="2" s="1"/>
  <c r="E82" i="2" a="1"/>
  <c r="E82" i="2" s="1"/>
  <c r="E34" i="2"/>
  <c r="F34" i="2" s="1"/>
  <c r="E29" i="2"/>
  <c r="F29" i="2" s="1"/>
  <c r="E35" i="2"/>
  <c r="F35" i="2" s="1"/>
  <c r="E20" i="2"/>
  <c r="F20" i="2" s="1"/>
  <c r="E30" i="2"/>
  <c r="F30" i="2" s="1"/>
  <c r="E19" i="2"/>
  <c r="F19" i="2" s="1"/>
  <c r="E21" i="2"/>
  <c r="F21" i="2" s="1"/>
  <c r="B25" i="1"/>
  <c r="A28" i="1" s="1"/>
  <c r="H9" i="1" s="1"/>
  <c r="A25" i="1"/>
  <c r="B28" i="1" s="1"/>
  <c r="I9" i="1" s="1"/>
  <c r="S69" i="1"/>
  <c r="S71" i="1"/>
  <c r="S67" i="1"/>
  <c r="S74" i="1"/>
  <c r="S80" i="1"/>
  <c r="S70" i="1"/>
  <c r="S77" i="1"/>
  <c r="S83" i="1"/>
  <c r="S85" i="1"/>
  <c r="S87" i="1"/>
  <c r="S75" i="1"/>
  <c r="S79" i="1"/>
  <c r="S84" i="1"/>
  <c r="S66" i="1"/>
  <c r="S81" i="1"/>
  <c r="S89" i="1"/>
  <c r="S73" i="1"/>
  <c r="S68" i="1"/>
  <c r="S82" i="1"/>
  <c r="S78" i="1"/>
  <c r="S86" i="1"/>
  <c r="S65" i="1"/>
  <c r="S88" i="1"/>
  <c r="S72" i="1"/>
  <c r="S76" i="1"/>
  <c r="E32" i="2" l="1"/>
  <c r="F32" i="2" s="1"/>
  <c r="E15" i="2"/>
  <c r="F15" i="2" s="1"/>
  <c r="E33" i="2"/>
  <c r="F33" i="2" s="1"/>
  <c r="E25" i="2"/>
  <c r="F25" i="2" s="1"/>
  <c r="E28" i="2"/>
  <c r="F28" i="2" s="1"/>
  <c r="E16" i="2"/>
  <c r="F16" i="2" s="1"/>
  <c r="D74" i="2"/>
  <c r="B103" i="2"/>
  <c r="A100" i="2"/>
  <c r="E22" i="2"/>
  <c r="F22" i="2" s="1"/>
  <c r="E12" i="2"/>
  <c r="F12" i="2" s="1"/>
  <c r="E14" i="2"/>
  <c r="F14" i="2" s="1"/>
  <c r="E26" i="2"/>
  <c r="F26" i="2" s="1"/>
  <c r="E13" i="2"/>
  <c r="F13" i="2" s="1"/>
  <c r="E27" i="2"/>
  <c r="F27" i="2" s="1"/>
  <c r="E36" i="2"/>
  <c r="F36" i="2" s="1"/>
  <c r="E17" i="2"/>
  <c r="F17" i="2" s="1"/>
  <c r="E31" i="2"/>
  <c r="F31" i="2" s="1"/>
  <c r="E24" i="2"/>
  <c r="F24" i="2" s="1"/>
  <c r="E23" i="2"/>
  <c r="F23" i="2" s="1"/>
  <c r="B7" i="2"/>
  <c r="B9" i="2" s="1"/>
  <c r="B96" i="2" s="1"/>
  <c r="B97" i="2" s="1"/>
  <c r="E18" i="2"/>
  <c r="F18" i="2" s="1"/>
  <c r="K9" i="1"/>
  <c r="J13" i="1" s="1"/>
  <c r="H74" i="2" l="1"/>
  <c r="I74" i="2" s="1"/>
  <c r="H35" i="2"/>
  <c r="G69" i="2"/>
  <c r="G71" i="2"/>
  <c r="B51" i="2"/>
  <c r="H34" i="2" a="1"/>
  <c r="H34" i="2" s="1"/>
  <c r="J34" i="2" s="1"/>
  <c r="E38" i="2"/>
  <c r="B46" i="2" s="1"/>
  <c r="I13" i="1"/>
  <c r="H13" i="1"/>
  <c r="B44" i="2" l="1"/>
  <c r="G70" i="2"/>
  <c r="A60" i="2"/>
  <c r="B108" i="2" s="1"/>
  <c r="C95" i="2"/>
  <c r="D95" i="2" s="1"/>
  <c r="E46" i="2"/>
  <c r="C96" i="2"/>
  <c r="D96" i="2" s="1"/>
  <c r="B47" i="2"/>
  <c r="B86" i="2"/>
  <c r="C86" i="2"/>
  <c r="B45" i="2"/>
  <c r="K13" i="1"/>
  <c r="N14" i="1"/>
  <c r="H15" i="1" a="1"/>
  <c r="I15" i="1" s="1"/>
  <c r="I18" i="1" s="1"/>
  <c r="E95" i="2" l="1"/>
  <c r="F95" i="2" s="1"/>
  <c r="B48" i="2"/>
  <c r="B56" i="2" s="1"/>
  <c r="B57" i="2" s="1"/>
  <c r="A62" i="2"/>
  <c r="B109" i="2" s="1"/>
  <c r="D75" i="2"/>
  <c r="H75" i="2" s="1"/>
  <c r="I75" i="2" s="1"/>
  <c r="D76" i="2"/>
  <c r="H76" i="2" s="1"/>
  <c r="I76" i="2" s="1"/>
  <c r="B87" i="2"/>
  <c r="B88" i="2"/>
  <c r="C88" i="2"/>
  <c r="C87" i="2"/>
  <c r="C89" i="2" s="1"/>
  <c r="A53" i="2"/>
  <c r="J15" i="1"/>
  <c r="H18" i="1" s="1"/>
  <c r="H15" i="1"/>
  <c r="G20" i="1"/>
  <c r="E75" i="2" l="1"/>
  <c r="D104" i="2"/>
  <c r="E104" i="2" s="1"/>
  <c r="E76" i="2"/>
  <c r="D105" i="2"/>
  <c r="E105" i="2" s="1"/>
  <c r="E74" i="2"/>
  <c r="D103" i="2"/>
  <c r="E103" i="2" s="1"/>
  <c r="B89" i="2"/>
  <c r="G19" i="1"/>
  <c r="K15" i="1"/>
  <c r="N13" i="1" s="1"/>
  <c r="N15" i="1" s="1"/>
  <c r="H20" i="1"/>
  <c r="I19" i="1"/>
  <c r="K18" i="1" l="1" a="1"/>
  <c r="L20" i="1" s="1"/>
  <c r="L25" i="1" s="1"/>
  <c r="H25" i="1" s="1"/>
  <c r="K19" i="1" l="1"/>
  <c r="K24" i="1" s="1"/>
  <c r="G24" i="1" s="1"/>
  <c r="K18" i="1"/>
  <c r="K23" i="1" s="1"/>
  <c r="G23" i="1" s="1"/>
  <c r="L19" i="1"/>
  <c r="L24" i="1" s="1"/>
  <c r="H24" i="1" s="1"/>
  <c r="L18" i="1"/>
  <c r="L23" i="1" s="1"/>
  <c r="H23" i="1" s="1"/>
  <c r="M18" i="1"/>
  <c r="M23" i="1" s="1"/>
  <c r="I23" i="1" s="1"/>
  <c r="M19" i="1"/>
  <c r="M24" i="1" s="1"/>
  <c r="I24" i="1" s="1"/>
  <c r="M20" i="1"/>
  <c r="M25" i="1" s="1"/>
  <c r="I25" i="1" s="1"/>
  <c r="K20" i="1"/>
  <c r="K25" i="1" s="1"/>
  <c r="G25" i="1" s="1"/>
  <c r="G28" i="1" l="1" a="1"/>
  <c r="G28" i="1" s="1"/>
  <c r="H28" i="1" s="1"/>
  <c r="Q24" i="1" a="1"/>
  <c r="Q24" i="1" s="1"/>
  <c r="G29" i="1" l="1"/>
  <c r="H29" i="1" s="1"/>
  <c r="G30" i="1"/>
  <c r="H30" i="1" s="1"/>
  <c r="S24" i="1"/>
  <c r="R24" i="1"/>
  <c r="Q25" i="1"/>
  <c r="Q26" i="1"/>
  <c r="S26" i="1"/>
  <c r="R25" i="1"/>
  <c r="R26" i="1"/>
  <c r="S25" i="1"/>
  <c r="Q102" i="1" l="1" a="1"/>
  <c r="S102" i="1" s="1"/>
  <c r="Q45" i="1" s="1"/>
  <c r="Q109" i="1" a="1"/>
  <c r="S109" i="1" s="1"/>
  <c r="Q52" i="1" s="1"/>
  <c r="Q107" i="1" a="1"/>
  <c r="S107" i="1" s="1"/>
  <c r="Q50" i="1" s="1"/>
  <c r="Q112" i="1" a="1"/>
  <c r="R112" i="1" s="1"/>
  <c r="S55" i="1" s="1"/>
  <c r="Q94" i="1" a="1"/>
  <c r="Q94" i="1" s="1"/>
  <c r="R37" i="1" s="1"/>
  <c r="Q95" i="1" a="1"/>
  <c r="Q95" i="1" s="1"/>
  <c r="R38" i="1" s="1"/>
  <c r="Q105" i="1" a="1"/>
  <c r="S105" i="1" s="1"/>
  <c r="Q48" i="1" s="1"/>
  <c r="Q97" i="1" a="1"/>
  <c r="S97" i="1" s="1"/>
  <c r="Q40" i="1" s="1"/>
  <c r="Q101" i="1" a="1"/>
  <c r="R101" i="1" s="1"/>
  <c r="S44" i="1" s="1"/>
  <c r="Q98" i="1" a="1"/>
  <c r="R98" i="1" s="1"/>
  <c r="S41" i="1" s="1"/>
  <c r="Q103" i="1" a="1"/>
  <c r="Q103" i="1" s="1"/>
  <c r="R46" i="1" s="1"/>
  <c r="Q96" i="1" a="1"/>
  <c r="R96" i="1" s="1"/>
  <c r="S39" i="1" s="1"/>
  <c r="Q114" i="1" a="1"/>
  <c r="Q114" i="1" s="1"/>
  <c r="R57" i="1" s="1"/>
  <c r="Q100" i="1" a="1"/>
  <c r="S100" i="1" s="1"/>
  <c r="Q43" i="1" s="1"/>
  <c r="Q93" i="1" a="1"/>
  <c r="Q93" i="1" s="1"/>
  <c r="R36" i="1" s="1"/>
  <c r="Q115" i="1" a="1"/>
  <c r="S115" i="1" s="1"/>
  <c r="Q58" i="1" s="1"/>
  <c r="Q99" i="1" a="1"/>
  <c r="S99" i="1" s="1"/>
  <c r="Q42" i="1" s="1"/>
  <c r="Q108" i="1" a="1"/>
  <c r="S108" i="1" s="1"/>
  <c r="Q51" i="1" s="1"/>
  <c r="Q104" i="1" a="1"/>
  <c r="R104" i="1" s="1"/>
  <c r="S47" i="1" s="1"/>
  <c r="Q116" i="1" a="1"/>
  <c r="R116" i="1" s="1"/>
  <c r="S59" i="1" s="1"/>
  <c r="Q113" i="1" a="1"/>
  <c r="R113" i="1" s="1"/>
  <c r="S56" i="1" s="1"/>
  <c r="Q106" i="1" a="1"/>
  <c r="R106" i="1" s="1"/>
  <c r="S49" i="1" s="1"/>
  <c r="Q117" i="1" a="1"/>
  <c r="S117" i="1" s="1"/>
  <c r="Q60" i="1" s="1"/>
  <c r="Q110" i="1" a="1"/>
  <c r="R110" i="1" s="1"/>
  <c r="S53" i="1" s="1"/>
  <c r="Q111" i="1" a="1"/>
  <c r="Q111" i="1" s="1"/>
  <c r="R54" i="1" s="1"/>
  <c r="R108" i="1" l="1"/>
  <c r="S51" i="1" s="1"/>
  <c r="R105" i="1"/>
  <c r="S48" i="1" s="1"/>
  <c r="R94" i="1"/>
  <c r="S37" i="1" s="1"/>
  <c r="R107" i="1"/>
  <c r="S50" i="1" s="1"/>
  <c r="Q102" i="1"/>
  <c r="R45" i="1" s="1"/>
  <c r="R102" i="1"/>
  <c r="S45" i="1" s="1"/>
  <c r="S101" i="1"/>
  <c r="Q44" i="1" s="1"/>
  <c r="S94" i="1"/>
  <c r="Q37" i="1" s="1"/>
  <c r="Q113" i="1"/>
  <c r="R56" i="1" s="1"/>
  <c r="R109" i="1"/>
  <c r="S52" i="1" s="1"/>
  <c r="S113" i="1"/>
  <c r="Q56" i="1" s="1"/>
  <c r="Q101" i="1"/>
  <c r="R44" i="1" s="1"/>
  <c r="Q99" i="1"/>
  <c r="R42" i="1" s="1"/>
  <c r="S114" i="1"/>
  <c r="Q57" i="1" s="1"/>
  <c r="R99" i="1"/>
  <c r="S42" i="1" s="1"/>
  <c r="Q115" i="1"/>
  <c r="R58" i="1" s="1"/>
  <c r="R95" i="1"/>
  <c r="S38" i="1" s="1"/>
  <c r="Q109" i="1"/>
  <c r="R52" i="1" s="1"/>
  <c r="S111" i="1"/>
  <c r="Q54" i="1" s="1"/>
  <c r="S110" i="1"/>
  <c r="Q53" i="1" s="1"/>
  <c r="Q116" i="1"/>
  <c r="R59" i="1" s="1"/>
  <c r="S93" i="1"/>
  <c r="Q36" i="1" s="1"/>
  <c r="S112" i="1"/>
  <c r="Q55" i="1" s="1"/>
  <c r="S96" i="1"/>
  <c r="Q39" i="1" s="1"/>
  <c r="R115" i="1"/>
  <c r="S58" i="1" s="1"/>
  <c r="Q112" i="1"/>
  <c r="R55" i="1" s="1"/>
  <c r="Q96" i="1"/>
  <c r="R39" i="1" s="1"/>
  <c r="S104" i="1"/>
  <c r="Q47" i="1" s="1"/>
  <c r="R103" i="1"/>
  <c r="S46" i="1" s="1"/>
  <c r="R97" i="1"/>
  <c r="S40" i="1" s="1"/>
  <c r="S116" i="1"/>
  <c r="Q59" i="1" s="1"/>
  <c r="Q107" i="1"/>
  <c r="R50" i="1" s="1"/>
  <c r="Q110" i="1"/>
  <c r="R53" i="1" s="1"/>
  <c r="Q97" i="1"/>
  <c r="R40" i="1" s="1"/>
  <c r="R117" i="1"/>
  <c r="S60" i="1" s="1"/>
  <c r="Q104" i="1"/>
  <c r="R47" i="1" s="1"/>
  <c r="S106" i="1"/>
  <c r="Q49" i="1" s="1"/>
  <c r="S95" i="1"/>
  <c r="Q38" i="1" s="1"/>
  <c r="S98" i="1"/>
  <c r="Q41" i="1" s="1"/>
  <c r="R100" i="1"/>
  <c r="S43" i="1" s="1"/>
  <c r="S103" i="1"/>
  <c r="Q46" i="1" s="1"/>
  <c r="Q117" i="1"/>
  <c r="R60" i="1" s="1"/>
  <c r="Q105" i="1"/>
  <c r="R48" i="1" s="1"/>
  <c r="R93" i="1"/>
  <c r="S36" i="1" s="1"/>
  <c r="Q106" i="1"/>
  <c r="R49" i="1" s="1"/>
  <c r="R111" i="1"/>
  <c r="S54" i="1" s="1"/>
  <c r="Q100" i="1"/>
  <c r="R43" i="1" s="1"/>
  <c r="R114" i="1"/>
  <c r="S57" i="1" s="1"/>
  <c r="Q108" i="1"/>
  <c r="R51" i="1" s="1"/>
  <c r="Q98" i="1"/>
  <c r="R41" i="1" s="1"/>
</calcChain>
</file>

<file path=xl/sharedStrings.xml><?xml version="1.0" encoding="utf-8"?>
<sst xmlns="http://schemas.openxmlformats.org/spreadsheetml/2006/main" count="218" uniqueCount="167">
  <si>
    <t>Y (Прочность)</t>
  </si>
  <si>
    <t>X2 (Температура)</t>
  </si>
  <si>
    <t>X1 (Концентрация)</t>
  </si>
  <si>
    <t>После вращения (изменен порядок столбцов)</t>
  </si>
  <si>
    <t>До вращения (изменен порядок столбцов для удобства)</t>
  </si>
  <si>
    <t>Матричная диаграмма рассеяния (стандартная, для нормированных данных)</t>
  </si>
  <si>
    <t>Нормированные исходные данные</t>
  </si>
  <si>
    <t>excel2.ru</t>
  </si>
  <si>
    <t>Число диаграмм</t>
  </si>
  <si>
    <t>Число переменных</t>
  </si>
  <si>
    <t>№ наблюдения</t>
  </si>
  <si>
    <t>Матричная диаграмма рассеяния (вид сверху на плоскость регрессии и 2 вида вдоль плоскости)</t>
  </si>
  <si>
    <t>Координаты после поворота и смещения на b0</t>
  </si>
  <si>
    <t>Матричная диаграмма рассеяния (стандартная, для исходных данных)</t>
  </si>
  <si>
    <t>Исходные данные</t>
  </si>
  <si>
    <t>радианы</t>
  </si>
  <si>
    <t>градусы</t>
  </si>
  <si>
    <t>Вращение вокруг оси Z</t>
  </si>
  <si>
    <t>I - единичная матрица</t>
  </si>
  <si>
    <t>Вектор b (проверка)</t>
  </si>
  <si>
    <t>b0</t>
  </si>
  <si>
    <t>b2</t>
  </si>
  <si>
    <t>b1</t>
  </si>
  <si>
    <t>Матрица поворота вокруг оси Z</t>
  </si>
  <si>
    <t>Итоговая Матрица вращения (после поворота для вида на плоскость регрессии и поворота вокруг Z)</t>
  </si>
  <si>
    <t>Коэффициенты регрессии (нормированные исходные данные)</t>
  </si>
  <si>
    <t>Rz</t>
  </si>
  <si>
    <t>vx^2*коэфф</t>
  </si>
  <si>
    <t>Матрица вращения</t>
  </si>
  <si>
    <t>Ст.отклонение</t>
  </si>
  <si>
    <t>Среднее</t>
  </si>
  <si>
    <t>МАКС</t>
  </si>
  <si>
    <t>МИН</t>
  </si>
  <si>
    <t>vx^2</t>
  </si>
  <si>
    <t>vx</t>
  </si>
  <si>
    <t>коэфф</t>
  </si>
  <si>
    <t>с=[a x b]</t>
  </si>
  <si>
    <t>Векторное произведение</t>
  </si>
  <si>
    <t>cos</t>
  </si>
  <si>
    <t>b</t>
  </si>
  <si>
    <t>sin</t>
  </si>
  <si>
    <t>a</t>
  </si>
  <si>
    <t>модуль</t>
  </si>
  <si>
    <t>z</t>
  </si>
  <si>
    <t>y</t>
  </si>
  <si>
    <t>x</t>
  </si>
  <si>
    <t>Вектор оси Z</t>
  </si>
  <si>
    <t>Нормаль к плоскости регрессии</t>
  </si>
  <si>
    <t>В декартовых координатах</t>
  </si>
  <si>
    <t>Y</t>
  </si>
  <si>
    <t>Х2</t>
  </si>
  <si>
    <t>Х1</t>
  </si>
  <si>
    <t>Переменные регрессии</t>
  </si>
  <si>
    <t>Вычисленные коэффициенты регрессии (исходные данные)</t>
  </si>
  <si>
    <t>Построение диаграммы рассеяния относительно плоскости регрессии</t>
  </si>
  <si>
    <t>Перейти к статье &gt;&gt;&gt;</t>
  </si>
  <si>
    <t>Файл скачан с сайта excel2.ru &gt;&gt;&gt;</t>
  </si>
  <si>
    <t>Подробный разбор задачи (примера) множественной регрессии в MS EXCEL</t>
  </si>
  <si>
    <t>Расчет матрицы вращения через совмещение нормали к плоскости регрессии и вектора оси Z (0;0;1)</t>
  </si>
  <si>
    <t>х2</t>
  </si>
  <si>
    <t>х1</t>
  </si>
  <si>
    <t>единицы</t>
  </si>
  <si>
    <t>Оценки параметров модели</t>
  </si>
  <si>
    <t>n</t>
  </si>
  <si>
    <t>p</t>
  </si>
  <si>
    <t>SSres=SSE</t>
  </si>
  <si>
    <t>MSres</t>
  </si>
  <si>
    <t xml:space="preserve">X1 </t>
  </si>
  <si>
    <t xml:space="preserve">X2 </t>
  </si>
  <si>
    <t>SSt=SSr+SSres</t>
  </si>
  <si>
    <t>Такая запись м.б. удобна (коэффициент над соответствующей переменной)</t>
  </si>
  <si>
    <t>k</t>
  </si>
  <si>
    <t>число независимых переменных</t>
  </si>
  <si>
    <t>число оцениваемых параметров модели (коэффициентов регрессии)</t>
  </si>
  <si>
    <t>число наблюдений (размер выборки)</t>
  </si>
  <si>
    <t>SSr</t>
  </si>
  <si>
    <t>b'(X'y)</t>
  </si>
  <si>
    <t>MSr</t>
  </si>
  <si>
    <t>F0</t>
  </si>
  <si>
    <t>Уровень значимости альфа</t>
  </si>
  <si>
    <t>Отклонить Н0?</t>
  </si>
  <si>
    <t>р-значение</t>
  </si>
  <si>
    <t>Отклонить Н0 (Н0 - взаимосвязь между Х и Y незначимая)?</t>
  </si>
  <si>
    <t>t-статистика</t>
  </si>
  <si>
    <t>прогноз</t>
  </si>
  <si>
    <t>альфа</t>
  </si>
  <si>
    <t>уровень значимости</t>
  </si>
  <si>
    <t>DF</t>
  </si>
  <si>
    <t>tальфа,DF</t>
  </si>
  <si>
    <t>граница+</t>
  </si>
  <si>
    <t>граница-</t>
  </si>
  <si>
    <t>Исходные данные и основные расчеты</t>
  </si>
  <si>
    <t>Прогноз</t>
  </si>
  <si>
    <t>Остатки</t>
  </si>
  <si>
    <t>n-p</t>
  </si>
  <si>
    <t>число степеней свободы остатков модели (для SSE)</t>
  </si>
  <si>
    <t>матрица X'X</t>
  </si>
  <si>
    <t>Матрица X'y</t>
  </si>
  <si>
    <t>матрица обратная X'X</t>
  </si>
  <si>
    <t>Оценка дисперсии остатков модели σ2</t>
  </si>
  <si>
    <t>MSres=MSE - оценка дисперсии</t>
  </si>
  <si>
    <t>Среднее значение Y</t>
  </si>
  <si>
    <t>Тест на значимость Регрессии</t>
  </si>
  <si>
    <t>SSt</t>
  </si>
  <si>
    <t>критическое значение F-статистики</t>
  </si>
  <si>
    <t>Тест на значимость через р-значение</t>
  </si>
  <si>
    <t>Коэффициент детерминации R2</t>
  </si>
  <si>
    <t>Нормированный коэффициент детерминации (R2 adjusted)</t>
  </si>
  <si>
    <t>Тест на значимость коэффициентов регрессии</t>
  </si>
  <si>
    <t>Стандартные ошибки</t>
  </si>
  <si>
    <t>Матричный метод</t>
  </si>
  <si>
    <t>Функция ЛИНЕЙН()</t>
  </si>
  <si>
    <t>Прогнозное значение</t>
  </si>
  <si>
    <t>Значимый коэффициент?</t>
  </si>
  <si>
    <t>Доверительные интервалы для среднего и прогнозного значения</t>
  </si>
  <si>
    <t>стандартная ошибка</t>
  </si>
  <si>
    <t>для ст.ошибки</t>
  </si>
  <si>
    <t>среднее Y/Xi</t>
  </si>
  <si>
    <t>новое Yi</t>
  </si>
  <si>
    <t>Матрица ковариации</t>
  </si>
  <si>
    <t>Дисперсии каждого коэффициента регрессии можно вычислить через матрицу ковариации</t>
  </si>
  <si>
    <t>ширина интервала</t>
  </si>
  <si>
    <t>Дисперсионный анализ</t>
  </si>
  <si>
    <t>df</t>
  </si>
  <si>
    <t>SS</t>
  </si>
  <si>
    <t>MS</t>
  </si>
  <si>
    <t>F</t>
  </si>
  <si>
    <t>Регрессия</t>
  </si>
  <si>
    <t>Остаток</t>
  </si>
  <si>
    <t>Итого</t>
  </si>
  <si>
    <t>Уравнение регрессии</t>
  </si>
  <si>
    <t>х1-количество напитков</t>
  </si>
  <si>
    <t>х2-расстояние</t>
  </si>
  <si>
    <t>Прогнозирующий фактор</t>
  </si>
  <si>
    <t>Кол-во напитков</t>
  </si>
  <si>
    <t>Расстояние</t>
  </si>
  <si>
    <t>Стандартная ошибка</t>
  </si>
  <si>
    <t>Стандартная ошибка регрессии</t>
  </si>
  <si>
    <t>R2</t>
  </si>
  <si>
    <t>Нормир.R2</t>
  </si>
  <si>
    <t>Сдвиг</t>
  </si>
  <si>
    <t>Оценка</t>
  </si>
  <si>
    <t>Ст.ошибка регрессии</t>
  </si>
  <si>
    <t>Источник изменчивости</t>
  </si>
  <si>
    <r>
      <t>Через матрицу Х'X</t>
    </r>
    <r>
      <rPr>
        <b/>
        <vertAlign val="superscript"/>
        <sz val="10"/>
        <rFont val="Arial"/>
        <family val="2"/>
        <charset val="204"/>
      </rPr>
      <t>-1</t>
    </r>
  </si>
  <si>
    <t>Через ЛИНЕЙН()</t>
  </si>
  <si>
    <t>Сводная информация (итоговая таблица)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</si>
  <si>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</si>
  <si>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</si>
  <si>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</si>
  <si>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</si>
  <si>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</si>
  <si>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Наблюдения</t>
  </si>
  <si>
    <t>Y-пересечение</t>
  </si>
  <si>
    <t>Значимость F</t>
  </si>
  <si>
    <t>Коэффициенты</t>
  </si>
  <si>
    <t>P-Значение</t>
  </si>
  <si>
    <t>Нижние 95%</t>
  </si>
  <si>
    <t>Верхние 95%</t>
  </si>
  <si>
    <t>Нижние 95,0%</t>
  </si>
  <si>
    <t>Верхние 95,0%</t>
  </si>
  <si>
    <t>ВЫВОД ОСТАТКА</t>
  </si>
  <si>
    <t>Наблюдение</t>
  </si>
  <si>
    <t>Предсказанное y</t>
  </si>
  <si>
    <t>EXCEL2.RU - профессиональные приемы для всех &gt;&gt;&gt;</t>
  </si>
  <si>
    <t>Хорошая новость! Большинство задач, которые Вы хотите решить с помощью MS EXCEL – уже давно решены! 
На нашем сайте Вы найдете решения множества из наиболее часто встречающихся задач. Сайт содержит более 500 качественно оформленных статей с файлами примеров.</t>
  </si>
  <si>
    <t>Миссия нашего сайта - превратить Вашу работу в MS EXCEL в приятное времяпрепровождение и ускорить решение Ваших задач. Мы постоянно работаем над содержанием и оформлением нашего сайта и благодарим активных пользователей за поддержку и неоценимую помощь в нашей работе.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</si>
</sst>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-* #,##0.00\ _₽_-;\-* #,##0.00\ _₽_-;_-* &quot;-&quot;??\ _₽_-;_-@_-"/>
    <numFmt numFmtId="165" formatCode="0.0000"/>
    <numFmt numFmtId="166" formatCode="0.000"/>
    <numFmt numFmtId="167" formatCode="0.0"/>
    <numFmt numFmtId="168" formatCode="_(&quot;$&quot;* #,##0.00_);_(&quot;$&quot;* \(#,##0.00\);_(&quot;$&quot;* &quot;-&quot;??_);_(@_)"/>
    <numFmt numFmtId="169" formatCode="0.0%"/>
    <numFmt numFmtId="170" formatCode="_-* #,##0.00000000\ _₽_-;\-* #,##0.00000000\ _₽_-;_-* &quot;-&quot;??\ _₽_-;_-@_-"/>
    <numFmt numFmtId="171" formatCode="#,##0.0"/>
    <numFmt numFmtId="172" formatCode="0.00000"/>
    <numFmt numFmtId="173" formatCode="0.000000"/>
  </numFmts>
  <fonts count="2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i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4"/>
      <color theme="1" tint="0.14999847407452621"/>
      <name val="Calibri"/>
      <family val="2"/>
      <charset val="204"/>
      <scheme val="minor"/>
    </font>
    <font>
      <b/>
      <sz val="12"/>
      <color theme="1" tint="0.14999847407452621"/>
      <name val="Calibri"/>
      <family val="2"/>
      <charset val="204"/>
      <scheme val="minor"/>
    </font>
    <font>
      <sz val="20"/>
      <color theme="0"/>
      <name val="Calibri"/>
      <family val="2"/>
      <charset val="204"/>
      <scheme val="minor"/>
    </font>
    <font>
      <sz val="10"/>
      <name val="MS Sans Serif"/>
      <family val="2"/>
    </font>
    <font>
      <u/>
      <sz val="12"/>
      <color theme="10"/>
      <name val="Arial Narrow"/>
      <family val="2"/>
      <charset val="204"/>
    </font>
    <font>
      <sz val="12"/>
      <name val="Arial Narrow"/>
      <family val="2"/>
      <charset val="204"/>
    </font>
    <font>
      <sz val="8"/>
      <name val="Helv"/>
    </font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b/>
      <sz val="8"/>
      <name val="Arial"/>
      <family val="2"/>
      <charset val="204"/>
    </font>
    <font>
      <i/>
      <sz val="10"/>
      <name val="Calibri"/>
      <family val="2"/>
      <charset val="204"/>
      <scheme val="minor"/>
    </font>
    <font>
      <b/>
      <vertAlign val="superscript"/>
      <sz val="10"/>
      <name val="Arial"/>
      <family val="2"/>
      <charset val="204"/>
    </font>
    <font>
      <b/>
      <sz val="12"/>
      <name val="Arial"/>
      <family val="2"/>
      <charset val="204"/>
    </font>
    <font>
      <sz val="14"/>
      <color theme="2" tint="-0.74999237037263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1">
    <xf numFmtId="0" fontId="0" fillId="0" borderId="0"/>
    <xf numFmtId="0" fontId="6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168" fontId="6" fillId="0" borderId="0" applyFont="0" applyFill="0" applyBorder="0" applyAlignment="0" applyProtection="0"/>
    <xf numFmtId="0" fontId="16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9" fillId="0" borderId="0">
      <alignment horizontal="left"/>
    </xf>
    <xf numFmtId="9" fontId="20" fillId="0" borderId="0" applyFont="0" applyFill="0" applyBorder="0" applyAlignment="0" applyProtection="0"/>
    <xf numFmtId="164" fontId="20" fillId="0" borderId="0" applyFont="0" applyFill="0" applyBorder="0" applyAlignment="0" applyProtection="0"/>
  </cellStyleXfs>
  <cellXfs count="104">
    <xf numFmtId="0" fontId="0" fillId="0" borderId="0" xfId="0"/>
    <xf numFmtId="2" fontId="0" fillId="0" borderId="1" xfId="0" applyNumberFormat="1" applyBorder="1"/>
    <xf numFmtId="0" fontId="2" fillId="2" borderId="1" xfId="0" applyFont="1" applyFill="1" applyBorder="1" applyAlignment="1">
      <alignment vertical="top" wrapText="1"/>
    </xf>
    <xf numFmtId="0" fontId="0" fillId="0" borderId="1" xfId="0" applyBorder="1"/>
    <xf numFmtId="0" fontId="0" fillId="3" borderId="3" xfId="0" applyFill="1" applyBorder="1" applyAlignment="1">
      <alignment horizontal="centerContinuous"/>
    </xf>
    <xf numFmtId="0" fontId="0" fillId="0" borderId="4" xfId="0" applyBorder="1" applyAlignment="1">
      <alignment horizontal="centerContinuous" wrapText="1"/>
    </xf>
    <xf numFmtId="0" fontId="0" fillId="0" borderId="5" xfId="0" applyBorder="1" applyAlignment="1">
      <alignment horizontal="centerContinuous" wrapText="1"/>
    </xf>
    <xf numFmtId="0" fontId="3" fillId="0" borderId="6" xfId="0" applyFont="1" applyBorder="1" applyAlignment="1">
      <alignment horizontal="centerContinuous" vertical="top" wrapText="1"/>
    </xf>
    <xf numFmtId="2" fontId="0" fillId="0" borderId="0" xfId="0" applyNumberFormat="1"/>
    <xf numFmtId="165" fontId="0" fillId="0" borderId="0" xfId="0" applyNumberFormat="1"/>
    <xf numFmtId="165" fontId="0" fillId="0" borderId="1" xfId="0" applyNumberFormat="1" applyBorder="1"/>
    <xf numFmtId="0" fontId="4" fillId="0" borderId="1" xfId="0" applyFont="1" applyBorder="1"/>
    <xf numFmtId="0" fontId="0" fillId="3" borderId="1" xfId="0" applyFill="1" applyBorder="1" applyAlignment="1">
      <alignment horizontal="centerContinuous"/>
    </xf>
    <xf numFmtId="0" fontId="4" fillId="0" borderId="0" xfId="0" applyFont="1"/>
    <xf numFmtId="0" fontId="4" fillId="0" borderId="1" xfId="0" applyFont="1" applyBorder="1" applyAlignment="1"/>
    <xf numFmtId="0" fontId="0" fillId="0" borderId="0" xfId="0" applyAlignment="1">
      <alignment horizontal="centerContinuous"/>
    </xf>
    <xf numFmtId="0" fontId="4" fillId="0" borderId="3" xfId="0" applyFont="1" applyBorder="1" applyAlignment="1"/>
    <xf numFmtId="0" fontId="4" fillId="0" borderId="3" xfId="0" applyFont="1" applyBorder="1"/>
    <xf numFmtId="0" fontId="5" fillId="0" borderId="6" xfId="0" applyFont="1" applyBorder="1" applyAlignment="1">
      <alignment horizontal="centerContinuous" vertical="top" wrapText="1"/>
    </xf>
    <xf numFmtId="2" fontId="0" fillId="4" borderId="0" xfId="0" applyNumberFormat="1" applyFill="1"/>
    <xf numFmtId="0" fontId="0" fillId="4" borderId="0" xfId="0" applyFill="1"/>
    <xf numFmtId="0" fontId="4" fillId="4" borderId="0" xfId="0" applyFont="1" applyFill="1"/>
    <xf numFmtId="0" fontId="0" fillId="4" borderId="1" xfId="0" applyFill="1" applyBorder="1"/>
    <xf numFmtId="166" fontId="0" fillId="0" borderId="0" xfId="0" applyNumberFormat="1"/>
    <xf numFmtId="166" fontId="0" fillId="0" borderId="1" xfId="0" applyNumberFormat="1" applyBorder="1"/>
    <xf numFmtId="0" fontId="1" fillId="0" borderId="1" xfId="0" applyFont="1" applyBorder="1"/>
    <xf numFmtId="0" fontId="1" fillId="0" borderId="0" xfId="0" applyFont="1"/>
    <xf numFmtId="166" fontId="0" fillId="5" borderId="4" xfId="0" applyNumberFormat="1" applyFill="1" applyBorder="1"/>
    <xf numFmtId="166" fontId="0" fillId="5" borderId="1" xfId="0" applyNumberFormat="1" applyFill="1" applyBorder="1"/>
    <xf numFmtId="167" fontId="0" fillId="0" borderId="1" xfId="0" applyNumberFormat="1" applyBorder="1"/>
    <xf numFmtId="2" fontId="0" fillId="6" borderId="1" xfId="0" applyNumberFormat="1" applyFill="1" applyBorder="1"/>
    <xf numFmtId="2" fontId="0" fillId="0" borderId="1" xfId="0" applyNumberFormat="1" applyFill="1" applyBorder="1"/>
    <xf numFmtId="166" fontId="0" fillId="0" borderId="1" xfId="0" applyNumberFormat="1" applyFill="1" applyBorder="1"/>
    <xf numFmtId="2" fontId="7" fillId="0" borderId="1" xfId="1" applyNumberFormat="1" applyFont="1" applyBorder="1"/>
    <xf numFmtId="0" fontId="8" fillId="0" borderId="1" xfId="1" applyFont="1" applyBorder="1"/>
    <xf numFmtId="0" fontId="7" fillId="0" borderId="0" xfId="1" applyFont="1"/>
    <xf numFmtId="0" fontId="9" fillId="0" borderId="0" xfId="2" applyAlignment="1" applyProtection="1"/>
    <xf numFmtId="0" fontId="0" fillId="0" borderId="1" xfId="0" applyFill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4" fillId="0" borderId="0" xfId="0" applyFont="1" applyAlignment="1">
      <alignment horizontal="right"/>
    </xf>
    <xf numFmtId="0" fontId="11" fillId="0" borderId="1" xfId="0" applyFont="1" applyBorder="1" applyAlignment="1">
      <alignment wrapText="1"/>
    </xf>
    <xf numFmtId="0" fontId="0" fillId="7" borderId="0" xfId="0" applyFill="1"/>
    <xf numFmtId="0" fontId="1" fillId="7" borderId="0" xfId="0" applyFont="1" applyFill="1"/>
    <xf numFmtId="0" fontId="12" fillId="5" borderId="0" xfId="1" applyFont="1" applyFill="1"/>
    <xf numFmtId="0" fontId="13" fillId="2" borderId="0" xfId="0" applyFont="1" applyFill="1" applyAlignment="1">
      <alignment vertical="center"/>
    </xf>
    <xf numFmtId="0" fontId="14" fillId="2" borderId="0" xfId="0" applyFont="1" applyFill="1" applyAlignment="1"/>
    <xf numFmtId="0" fontId="9" fillId="2" borderId="0" xfId="2" applyFill="1" applyAlignment="1" applyProtection="1"/>
    <xf numFmtId="0" fontId="15" fillId="8" borderId="0" xfId="3" applyFont="1" applyFill="1" applyAlignment="1" applyProtection="1">
      <alignment vertical="center"/>
    </xf>
    <xf numFmtId="0" fontId="6" fillId="0" borderId="0" xfId="1"/>
    <xf numFmtId="0" fontId="6" fillId="0" borderId="0" xfId="1" applyAlignment="1">
      <alignment wrapText="1"/>
    </xf>
    <xf numFmtId="165" fontId="6" fillId="0" borderId="0" xfId="1" applyNumberFormat="1"/>
    <xf numFmtId="169" fontId="6" fillId="0" borderId="0" xfId="9" applyNumberFormat="1" applyFont="1"/>
    <xf numFmtId="170" fontId="6" fillId="0" borderId="0" xfId="10" applyNumberFormat="1" applyFont="1"/>
    <xf numFmtId="0" fontId="7" fillId="0" borderId="1" xfId="1" applyFont="1" applyBorder="1"/>
    <xf numFmtId="165" fontId="7" fillId="0" borderId="1" xfId="1" applyNumberFormat="1" applyFont="1" applyBorder="1"/>
    <xf numFmtId="0" fontId="6" fillId="0" borderId="1" xfId="1" applyBorder="1"/>
    <xf numFmtId="0" fontId="6" fillId="0" borderId="1" xfId="1" applyFont="1" applyBorder="1"/>
    <xf numFmtId="0" fontId="6" fillId="0" borderId="1" xfId="1" applyNumberFormat="1" applyFont="1" applyBorder="1"/>
    <xf numFmtId="0" fontId="21" fillId="0" borderId="1" xfId="1" applyFont="1" applyBorder="1"/>
    <xf numFmtId="0" fontId="22" fillId="0" borderId="0" xfId="1" applyFont="1"/>
    <xf numFmtId="0" fontId="21" fillId="0" borderId="0" xfId="1" applyFont="1"/>
    <xf numFmtId="0" fontId="21" fillId="0" borderId="1" xfId="1" applyFont="1" applyBorder="1" applyAlignment="1">
      <alignment horizontal="centerContinuous"/>
    </xf>
    <xf numFmtId="0" fontId="6" fillId="0" borderId="1" xfId="1" applyBorder="1" applyAlignment="1">
      <alignment wrapText="1"/>
    </xf>
    <xf numFmtId="0" fontId="6" fillId="3" borderId="1" xfId="1" applyFill="1" applyBorder="1"/>
    <xf numFmtId="0" fontId="23" fillId="0" borderId="1" xfId="1" applyFont="1" applyBorder="1" applyAlignment="1">
      <alignment horizontal="center"/>
    </xf>
    <xf numFmtId="0" fontId="6" fillId="4" borderId="1" xfId="1" applyFill="1" applyBorder="1"/>
    <xf numFmtId="0" fontId="24" fillId="0" borderId="0" xfId="1" applyFont="1"/>
    <xf numFmtId="0" fontId="7" fillId="9" borderId="1" xfId="1" applyFont="1" applyFill="1" applyBorder="1"/>
    <xf numFmtId="2" fontId="6" fillId="0" borderId="1" xfId="1" applyNumberFormat="1" applyBorder="1"/>
    <xf numFmtId="0" fontId="21" fillId="4" borderId="1" xfId="1" applyFont="1" applyFill="1" applyBorder="1"/>
    <xf numFmtId="0" fontId="6" fillId="4" borderId="1" xfId="1" applyNumberFormat="1" applyFont="1" applyFill="1" applyBorder="1"/>
    <xf numFmtId="0" fontId="7" fillId="0" borderId="1" xfId="1" applyFont="1" applyFill="1" applyBorder="1"/>
    <xf numFmtId="0" fontId="21" fillId="0" borderId="1" xfId="1" applyFont="1" applyBorder="1" applyAlignment="1">
      <alignment wrapText="1"/>
    </xf>
    <xf numFmtId="0" fontId="4" fillId="0" borderId="8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5" borderId="0" xfId="0" applyFill="1" applyBorder="1" applyAlignment="1"/>
    <xf numFmtId="0" fontId="0" fillId="0" borderId="9" xfId="0" applyFill="1" applyBorder="1" applyAlignment="1"/>
    <xf numFmtId="0" fontId="0" fillId="5" borderId="9" xfId="0" applyFill="1" applyBorder="1" applyAlignment="1"/>
    <xf numFmtId="4" fontId="0" fillId="0" borderId="9" xfId="0" applyNumberFormat="1" applyFill="1" applyBorder="1" applyAlignment="1"/>
    <xf numFmtId="171" fontId="0" fillId="5" borderId="0" xfId="0" applyNumberFormat="1" applyFill="1" applyBorder="1" applyAlignment="1"/>
    <xf numFmtId="171" fontId="0" fillId="5" borderId="9" xfId="0" applyNumberFormat="1" applyFill="1" applyBorder="1" applyAlignment="1"/>
    <xf numFmtId="2" fontId="0" fillId="5" borderId="0" xfId="0" applyNumberFormat="1" applyFill="1" applyBorder="1" applyAlignment="1"/>
    <xf numFmtId="0" fontId="6" fillId="0" borderId="0" xfId="1" applyAlignment="1">
      <alignment vertical="top"/>
    </xf>
    <xf numFmtId="0" fontId="21" fillId="0" borderId="1" xfId="1" applyFont="1" applyBorder="1" applyAlignment="1">
      <alignment vertical="top" wrapText="1"/>
    </xf>
    <xf numFmtId="0" fontId="21" fillId="0" borderId="1" xfId="1" applyFont="1" applyBorder="1" applyAlignment="1">
      <alignment vertical="top"/>
    </xf>
    <xf numFmtId="0" fontId="22" fillId="0" borderId="1" xfId="1" applyFont="1" applyBorder="1" applyAlignment="1">
      <alignment wrapText="1"/>
    </xf>
    <xf numFmtId="166" fontId="6" fillId="0" borderId="1" xfId="1" applyNumberFormat="1" applyBorder="1"/>
    <xf numFmtId="0" fontId="22" fillId="0" borderId="1" xfId="1" applyFont="1" applyBorder="1"/>
    <xf numFmtId="165" fontId="6" fillId="0" borderId="1" xfId="1" applyNumberFormat="1" applyBorder="1"/>
    <xf numFmtId="173" fontId="6" fillId="0" borderId="1" xfId="1" applyNumberFormat="1" applyBorder="1"/>
    <xf numFmtId="172" fontId="6" fillId="0" borderId="1" xfId="1" applyNumberFormat="1" applyBorder="1"/>
    <xf numFmtId="169" fontId="6" fillId="0" borderId="1" xfId="1" applyNumberFormat="1" applyBorder="1"/>
    <xf numFmtId="0" fontId="10" fillId="0" borderId="8" xfId="0" applyFont="1" applyFill="1" applyBorder="1" applyAlignment="1">
      <alignment horizontal="left"/>
    </xf>
    <xf numFmtId="0" fontId="8" fillId="0" borderId="1" xfId="1" applyFont="1" applyBorder="1" applyAlignment="1">
      <alignment wrapText="1"/>
    </xf>
    <xf numFmtId="0" fontId="26" fillId="5" borderId="0" xfId="1" applyFont="1" applyFill="1"/>
    <xf numFmtId="0" fontId="4" fillId="0" borderId="8" xfId="0" applyFont="1" applyFill="1" applyBorder="1" applyAlignment="1">
      <alignment horizontal="centerContinuous"/>
    </xf>
    <xf numFmtId="0" fontId="18" fillId="0" borderId="0" xfId="7"/>
    <xf numFmtId="0" fontId="27" fillId="10" borderId="0" xfId="7" applyFont="1" applyFill="1" applyAlignment="1">
      <alignment vertical="center" wrapText="1"/>
    </xf>
    <xf numFmtId="0" fontId="0" fillId="3" borderId="7" xfId="0" applyFill="1" applyBorder="1" applyAlignment="1">
      <alignment horizontal="center" vertical="center" textRotation="90"/>
    </xf>
    <xf numFmtId="0" fontId="0" fillId="3" borderId="2" xfId="0" applyFill="1" applyBorder="1" applyAlignment="1">
      <alignment horizontal="center" vertical="center" textRotation="90"/>
    </xf>
    <xf numFmtId="0" fontId="0" fillId="3" borderId="1" xfId="0" applyFill="1" applyBorder="1" applyAlignment="1">
      <alignment horizontal="center" vertical="center" textRotation="90"/>
    </xf>
    <xf numFmtId="0" fontId="0" fillId="3" borderId="3" xfId="0" applyFill="1" applyBorder="1" applyAlignment="1">
      <alignment horizontal="center" vertical="center" textRotation="90"/>
    </xf>
    <xf numFmtId="0" fontId="15" fillId="8" borderId="0" xfId="2" applyFont="1" applyFill="1" applyAlignment="1" applyProtection="1">
      <alignment horizontal="center" vertical="center"/>
    </xf>
  </cellXfs>
  <cellStyles count="11">
    <cellStyle name="Currency_TapePivot" xfId="4" xr:uid="{00000000-0005-0000-0000-000000000000}"/>
    <cellStyle name="Normal_ALLOC1" xfId="5" xr:uid="{00000000-0005-0000-0000-000001000000}"/>
    <cellStyle name="Гиперссылка" xfId="2" builtinId="8"/>
    <cellStyle name="Гиперссылка 2" xfId="6" xr:uid="{00000000-0005-0000-0000-000003000000}"/>
    <cellStyle name="Гиперссылка 3" xfId="3" xr:uid="{00000000-0005-0000-0000-000004000000}"/>
    <cellStyle name="Обычный" xfId="0" builtinId="0"/>
    <cellStyle name="Обычный 2" xfId="1" xr:uid="{00000000-0005-0000-0000-000006000000}"/>
    <cellStyle name="Обычный 2 2" xfId="7" xr:uid="{00000000-0005-0000-0000-000007000000}"/>
    <cellStyle name="Обычный 3" xfId="8" xr:uid="{00000000-0005-0000-0000-000008000000}"/>
    <cellStyle name="Процентный" xfId="9" builtinId="5"/>
    <cellStyle name="Финансовый" xfId="10" builtinId="3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519931102362193E-2"/>
          <c:y val="6.168066491688539E-2"/>
          <c:w val="0.80457923228346462"/>
          <c:h val="0.79914348206474195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'Диаграмма рассеяния'!$D$36:$D$60</c:f>
              <c:numCache>
                <c:formatCode>0.00</c:formatCode>
                <c:ptCount val="25"/>
                <c:pt idx="0">
                  <c:v>560</c:v>
                </c:pt>
                <c:pt idx="1">
                  <c:v>220</c:v>
                </c:pt>
                <c:pt idx="2">
                  <c:v>340</c:v>
                </c:pt>
                <c:pt idx="3">
                  <c:v>80</c:v>
                </c:pt>
                <c:pt idx="4">
                  <c:v>150</c:v>
                </c:pt>
                <c:pt idx="5">
                  <c:v>330</c:v>
                </c:pt>
                <c:pt idx="6">
                  <c:v>110</c:v>
                </c:pt>
                <c:pt idx="7">
                  <c:v>210</c:v>
                </c:pt>
                <c:pt idx="8">
                  <c:v>1460</c:v>
                </c:pt>
                <c:pt idx="9">
                  <c:v>605</c:v>
                </c:pt>
                <c:pt idx="10">
                  <c:v>688</c:v>
                </c:pt>
                <c:pt idx="11">
                  <c:v>215</c:v>
                </c:pt>
                <c:pt idx="12">
                  <c:v>255</c:v>
                </c:pt>
                <c:pt idx="13">
                  <c:v>462</c:v>
                </c:pt>
                <c:pt idx="14">
                  <c:v>448</c:v>
                </c:pt>
                <c:pt idx="15">
                  <c:v>776</c:v>
                </c:pt>
                <c:pt idx="16">
                  <c:v>200</c:v>
                </c:pt>
                <c:pt idx="17">
                  <c:v>132</c:v>
                </c:pt>
                <c:pt idx="18">
                  <c:v>36</c:v>
                </c:pt>
                <c:pt idx="19">
                  <c:v>770</c:v>
                </c:pt>
                <c:pt idx="20">
                  <c:v>140</c:v>
                </c:pt>
                <c:pt idx="21">
                  <c:v>810</c:v>
                </c:pt>
                <c:pt idx="22">
                  <c:v>450</c:v>
                </c:pt>
                <c:pt idx="23">
                  <c:v>635</c:v>
                </c:pt>
                <c:pt idx="24">
                  <c:v>150</c:v>
                </c:pt>
              </c:numCache>
            </c:numRef>
          </c:xVal>
          <c:yVal>
            <c:numRef>
              <c:f>'Диаграмма рассеяния'!$B$36:$B$60</c:f>
              <c:numCache>
                <c:formatCode>0.00</c:formatCode>
                <c:ptCount val="25"/>
                <c:pt idx="0">
                  <c:v>16.68</c:v>
                </c:pt>
                <c:pt idx="1">
                  <c:v>11.5</c:v>
                </c:pt>
                <c:pt idx="2">
                  <c:v>12.03</c:v>
                </c:pt>
                <c:pt idx="3">
                  <c:v>14.88</c:v>
                </c:pt>
                <c:pt idx="4">
                  <c:v>13.75</c:v>
                </c:pt>
                <c:pt idx="5">
                  <c:v>18.11</c:v>
                </c:pt>
                <c:pt idx="6">
                  <c:v>8</c:v>
                </c:pt>
                <c:pt idx="7">
                  <c:v>17.829999999999998</c:v>
                </c:pt>
                <c:pt idx="8">
                  <c:v>79.239999999999995</c:v>
                </c:pt>
                <c:pt idx="9">
                  <c:v>21.5</c:v>
                </c:pt>
                <c:pt idx="10">
                  <c:v>40.33</c:v>
                </c:pt>
                <c:pt idx="11">
                  <c:v>21</c:v>
                </c:pt>
                <c:pt idx="12">
                  <c:v>13.5</c:v>
                </c:pt>
                <c:pt idx="13">
                  <c:v>19.75</c:v>
                </c:pt>
                <c:pt idx="14">
                  <c:v>24</c:v>
                </c:pt>
                <c:pt idx="15">
                  <c:v>29</c:v>
                </c:pt>
                <c:pt idx="16">
                  <c:v>15.35</c:v>
                </c:pt>
                <c:pt idx="17">
                  <c:v>19</c:v>
                </c:pt>
                <c:pt idx="18">
                  <c:v>9.5</c:v>
                </c:pt>
                <c:pt idx="19">
                  <c:v>35.1</c:v>
                </c:pt>
                <c:pt idx="20">
                  <c:v>17.899999999999999</c:v>
                </c:pt>
                <c:pt idx="21">
                  <c:v>52.32</c:v>
                </c:pt>
                <c:pt idx="22">
                  <c:v>18.75</c:v>
                </c:pt>
                <c:pt idx="23">
                  <c:v>19.829999999999998</c:v>
                </c:pt>
                <c:pt idx="24">
                  <c:v>10.75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F5-4CBF-82EA-6B841F45B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53152"/>
        <c:axId val="32754688"/>
      </c:scatterChart>
      <c:valAx>
        <c:axId val="32753152"/>
        <c:scaling>
          <c:orientation val="minMax"/>
        </c:scaling>
        <c:delete val="0"/>
        <c:axPos val="b"/>
        <c:majorGridlines/>
        <c:numFmt formatCode="0.0" sourceLinked="0"/>
        <c:majorTickMark val="out"/>
        <c:minorTickMark val="none"/>
        <c:tickLblPos val="nextTo"/>
        <c:spPr>
          <a:ln w="22225">
            <a:solidFill>
              <a:schemeClr val="tx1"/>
            </a:solidFill>
          </a:ln>
        </c:spPr>
        <c:crossAx val="32754688"/>
        <c:crosses val="autoZero"/>
        <c:crossBetween val="midCat"/>
      </c:valAx>
      <c:valAx>
        <c:axId val="32754688"/>
        <c:scaling>
          <c:orientation val="minMax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spPr>
          <a:ln w="22225">
            <a:solidFill>
              <a:schemeClr val="tx1"/>
            </a:solidFill>
          </a:ln>
        </c:spPr>
        <c:crossAx val="327531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567125393002186"/>
          <c:y val="5.6935998384817284E-2"/>
          <c:w val="0.71979698157795802"/>
          <c:h val="0.81459398344437717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'Диаграмма рассеяния'!$C$36:$C$60</c:f>
              <c:numCache>
                <c:formatCode>0.00</c:formatCode>
                <c:ptCount val="25"/>
                <c:pt idx="0">
                  <c:v>7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7</c:v>
                </c:pt>
                <c:pt idx="6">
                  <c:v>2</c:v>
                </c:pt>
                <c:pt idx="7">
                  <c:v>7</c:v>
                </c:pt>
                <c:pt idx="8">
                  <c:v>30</c:v>
                </c:pt>
                <c:pt idx="9">
                  <c:v>5</c:v>
                </c:pt>
                <c:pt idx="10">
                  <c:v>16</c:v>
                </c:pt>
                <c:pt idx="11">
                  <c:v>10</c:v>
                </c:pt>
                <c:pt idx="12">
                  <c:v>4</c:v>
                </c:pt>
                <c:pt idx="13">
                  <c:v>6</c:v>
                </c:pt>
                <c:pt idx="14">
                  <c:v>9</c:v>
                </c:pt>
                <c:pt idx="15">
                  <c:v>10</c:v>
                </c:pt>
                <c:pt idx="16">
                  <c:v>6</c:v>
                </c:pt>
                <c:pt idx="17">
                  <c:v>7</c:v>
                </c:pt>
                <c:pt idx="18">
                  <c:v>3</c:v>
                </c:pt>
                <c:pt idx="19">
                  <c:v>17</c:v>
                </c:pt>
                <c:pt idx="20">
                  <c:v>10</c:v>
                </c:pt>
                <c:pt idx="21">
                  <c:v>26</c:v>
                </c:pt>
                <c:pt idx="22">
                  <c:v>9</c:v>
                </c:pt>
                <c:pt idx="23">
                  <c:v>8</c:v>
                </c:pt>
                <c:pt idx="24">
                  <c:v>4</c:v>
                </c:pt>
              </c:numCache>
            </c:numRef>
          </c:xVal>
          <c:yVal>
            <c:numRef>
              <c:f>'Диаграмма рассеяния'!$D$36:$D$60</c:f>
              <c:numCache>
                <c:formatCode>0.00</c:formatCode>
                <c:ptCount val="25"/>
                <c:pt idx="0">
                  <c:v>560</c:v>
                </c:pt>
                <c:pt idx="1">
                  <c:v>220</c:v>
                </c:pt>
                <c:pt idx="2">
                  <c:v>340</c:v>
                </c:pt>
                <c:pt idx="3">
                  <c:v>80</c:v>
                </c:pt>
                <c:pt idx="4">
                  <c:v>150</c:v>
                </c:pt>
                <c:pt idx="5">
                  <c:v>330</c:v>
                </c:pt>
                <c:pt idx="6">
                  <c:v>110</c:v>
                </c:pt>
                <c:pt idx="7">
                  <c:v>210</c:v>
                </c:pt>
                <c:pt idx="8">
                  <c:v>1460</c:v>
                </c:pt>
                <c:pt idx="9">
                  <c:v>605</c:v>
                </c:pt>
                <c:pt idx="10">
                  <c:v>688</c:v>
                </c:pt>
                <c:pt idx="11">
                  <c:v>215</c:v>
                </c:pt>
                <c:pt idx="12">
                  <c:v>255</c:v>
                </c:pt>
                <c:pt idx="13">
                  <c:v>462</c:v>
                </c:pt>
                <c:pt idx="14">
                  <c:v>448</c:v>
                </c:pt>
                <c:pt idx="15">
                  <c:v>776</c:v>
                </c:pt>
                <c:pt idx="16">
                  <c:v>200</c:v>
                </c:pt>
                <c:pt idx="17">
                  <c:v>132</c:v>
                </c:pt>
                <c:pt idx="18">
                  <c:v>36</c:v>
                </c:pt>
                <c:pt idx="19">
                  <c:v>770</c:v>
                </c:pt>
                <c:pt idx="20">
                  <c:v>140</c:v>
                </c:pt>
                <c:pt idx="21">
                  <c:v>810</c:v>
                </c:pt>
                <c:pt idx="22">
                  <c:v>450</c:v>
                </c:pt>
                <c:pt idx="23">
                  <c:v>635</c:v>
                </c:pt>
                <c:pt idx="24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DA-4C64-82DF-936C75B67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54912"/>
        <c:axId val="32456704"/>
      </c:scatterChart>
      <c:valAx>
        <c:axId val="32454912"/>
        <c:scaling>
          <c:orientation val="minMax"/>
        </c:scaling>
        <c:delete val="0"/>
        <c:axPos val="b"/>
        <c:majorGridlines/>
        <c:numFmt formatCode="0.0" sourceLinked="0"/>
        <c:majorTickMark val="out"/>
        <c:minorTickMark val="none"/>
        <c:tickLblPos val="nextTo"/>
        <c:spPr>
          <a:ln w="22225">
            <a:solidFill>
              <a:schemeClr val="tx1"/>
            </a:solidFill>
          </a:ln>
        </c:spPr>
        <c:crossAx val="32456704"/>
        <c:crosses val="autoZero"/>
        <c:crossBetween val="midCat"/>
      </c:valAx>
      <c:valAx>
        <c:axId val="32456704"/>
        <c:scaling>
          <c:orientation val="minMax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spPr>
          <a:ln w="22225">
            <a:solidFill>
              <a:schemeClr val="tx1"/>
            </a:solidFill>
          </a:ln>
        </c:spPr>
        <c:crossAx val="324549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'Диаграмма рассеяния'!$C$36:$C$60</c:f>
              <c:numCache>
                <c:formatCode>0.00</c:formatCode>
                <c:ptCount val="25"/>
                <c:pt idx="0">
                  <c:v>7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7</c:v>
                </c:pt>
                <c:pt idx="6">
                  <c:v>2</c:v>
                </c:pt>
                <c:pt idx="7">
                  <c:v>7</c:v>
                </c:pt>
                <c:pt idx="8">
                  <c:v>30</c:v>
                </c:pt>
                <c:pt idx="9">
                  <c:v>5</c:v>
                </c:pt>
                <c:pt idx="10">
                  <c:v>16</c:v>
                </c:pt>
                <c:pt idx="11">
                  <c:v>10</c:v>
                </c:pt>
                <c:pt idx="12">
                  <c:v>4</c:v>
                </c:pt>
                <c:pt idx="13">
                  <c:v>6</c:v>
                </c:pt>
                <c:pt idx="14">
                  <c:v>9</c:v>
                </c:pt>
                <c:pt idx="15">
                  <c:v>10</c:v>
                </c:pt>
                <c:pt idx="16">
                  <c:v>6</c:v>
                </c:pt>
                <c:pt idx="17">
                  <c:v>7</c:v>
                </c:pt>
                <c:pt idx="18">
                  <c:v>3</c:v>
                </c:pt>
                <c:pt idx="19">
                  <c:v>17</c:v>
                </c:pt>
                <c:pt idx="20">
                  <c:v>10</c:v>
                </c:pt>
                <c:pt idx="21">
                  <c:v>26</c:v>
                </c:pt>
                <c:pt idx="22">
                  <c:v>9</c:v>
                </c:pt>
                <c:pt idx="23">
                  <c:v>8</c:v>
                </c:pt>
                <c:pt idx="24">
                  <c:v>4</c:v>
                </c:pt>
              </c:numCache>
            </c:numRef>
          </c:xVal>
          <c:yVal>
            <c:numRef>
              <c:f>'Диаграмма рассеяния'!$B$36:$B$60</c:f>
              <c:numCache>
                <c:formatCode>0.00</c:formatCode>
                <c:ptCount val="25"/>
                <c:pt idx="0">
                  <c:v>16.68</c:v>
                </c:pt>
                <c:pt idx="1">
                  <c:v>11.5</c:v>
                </c:pt>
                <c:pt idx="2">
                  <c:v>12.03</c:v>
                </c:pt>
                <c:pt idx="3">
                  <c:v>14.88</c:v>
                </c:pt>
                <c:pt idx="4">
                  <c:v>13.75</c:v>
                </c:pt>
                <c:pt idx="5">
                  <c:v>18.11</c:v>
                </c:pt>
                <c:pt idx="6">
                  <c:v>8</c:v>
                </c:pt>
                <c:pt idx="7">
                  <c:v>17.829999999999998</c:v>
                </c:pt>
                <c:pt idx="8">
                  <c:v>79.239999999999995</c:v>
                </c:pt>
                <c:pt idx="9">
                  <c:v>21.5</c:v>
                </c:pt>
                <c:pt idx="10">
                  <c:v>40.33</c:v>
                </c:pt>
                <c:pt idx="11">
                  <c:v>21</c:v>
                </c:pt>
                <c:pt idx="12">
                  <c:v>13.5</c:v>
                </c:pt>
                <c:pt idx="13">
                  <c:v>19.75</c:v>
                </c:pt>
                <c:pt idx="14">
                  <c:v>24</c:v>
                </c:pt>
                <c:pt idx="15">
                  <c:v>29</c:v>
                </c:pt>
                <c:pt idx="16">
                  <c:v>15.35</c:v>
                </c:pt>
                <c:pt idx="17">
                  <c:v>19</c:v>
                </c:pt>
                <c:pt idx="18">
                  <c:v>9.5</c:v>
                </c:pt>
                <c:pt idx="19">
                  <c:v>35.1</c:v>
                </c:pt>
                <c:pt idx="20">
                  <c:v>17.899999999999999</c:v>
                </c:pt>
                <c:pt idx="21">
                  <c:v>52.32</c:v>
                </c:pt>
                <c:pt idx="22">
                  <c:v>18.75</c:v>
                </c:pt>
                <c:pt idx="23">
                  <c:v>19.829999999999998</c:v>
                </c:pt>
                <c:pt idx="24">
                  <c:v>10.75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1B-4B35-A0CA-9AD98794F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63872"/>
        <c:axId val="32486144"/>
      </c:scatterChart>
      <c:valAx>
        <c:axId val="32463872"/>
        <c:scaling>
          <c:orientation val="minMax"/>
        </c:scaling>
        <c:delete val="0"/>
        <c:axPos val="b"/>
        <c:majorGridlines/>
        <c:numFmt formatCode="0.0" sourceLinked="0"/>
        <c:majorTickMark val="out"/>
        <c:minorTickMark val="none"/>
        <c:tickLblPos val="nextTo"/>
        <c:spPr>
          <a:ln w="22225">
            <a:solidFill>
              <a:schemeClr val="tx1"/>
            </a:solidFill>
          </a:ln>
        </c:spPr>
        <c:crossAx val="32486144"/>
        <c:crosses val="autoZero"/>
        <c:crossBetween val="midCat"/>
      </c:valAx>
      <c:valAx>
        <c:axId val="32486144"/>
        <c:scaling>
          <c:orientation val="minMax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spPr>
          <a:ln w="19050">
            <a:solidFill>
              <a:schemeClr val="tx1"/>
            </a:solidFill>
          </a:ln>
        </c:spPr>
        <c:crossAx val="324638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519931102362193E-2"/>
          <c:y val="6.168066491688539E-2"/>
          <c:w val="0.80457923228346462"/>
          <c:h val="0.79914348206474195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'Диаграмма рассеяния'!$S$36:$S$60</c:f>
              <c:numCache>
                <c:formatCode>0.0000</c:formatCode>
                <c:ptCount val="25"/>
                <c:pt idx="0">
                  <c:v>0.58977911725398924</c:v>
                </c:pt>
                <c:pt idx="1">
                  <c:v>0.27673554088538088</c:v>
                </c:pt>
                <c:pt idx="2">
                  <c:v>0.53833877436090061</c:v>
                </c:pt>
                <c:pt idx="3">
                  <c:v>-0.18269163626614254</c:v>
                </c:pt>
                <c:pt idx="4">
                  <c:v>-0.19393190890574913</c:v>
                </c:pt>
                <c:pt idx="5">
                  <c:v>5.0890393062743511E-2</c:v>
                </c:pt>
                <c:pt idx="6">
                  <c:v>0.17607357480552874</c:v>
                </c:pt>
                <c:pt idx="7">
                  <c:v>-0.21454410378890906</c:v>
                </c:pt>
                <c:pt idx="8">
                  <c:v>-0.48383573876862973</c:v>
                </c:pt>
                <c:pt idx="9">
                  <c:v>0.80295689130175807</c:v>
                </c:pt>
                <c:pt idx="10">
                  <c:v>-0.3214897780165869</c:v>
                </c:pt>
                <c:pt idx="11">
                  <c:v>-0.53073215790863215</c:v>
                </c:pt>
                <c:pt idx="12">
                  <c:v>0.23180664232645451</c:v>
                </c:pt>
                <c:pt idx="13">
                  <c:v>0.41540410083265777</c:v>
                </c:pt>
                <c:pt idx="14">
                  <c:v>3.9958449554494777E-2</c:v>
                </c:pt>
                <c:pt idx="15">
                  <c:v>0.60763418187402363</c:v>
                </c:pt>
                <c:pt idx="16">
                  <c:v>-0.10606636458261554</c:v>
                </c:pt>
                <c:pt idx="17">
                  <c:v>-0.40779599908060971</c:v>
                </c:pt>
                <c:pt idx="18">
                  <c:v>-0.10619347024936901</c:v>
                </c:pt>
                <c:pt idx="19">
                  <c:v>-0.14997604760319042</c:v>
                </c:pt>
                <c:pt idx="20">
                  <c:v>-0.65180293694016078</c:v>
                </c:pt>
                <c:pt idx="21">
                  <c:v>-1.1605035575171052</c:v>
                </c:pt>
                <c:pt idx="22">
                  <c:v>0.1249104056505001</c:v>
                </c:pt>
                <c:pt idx="23">
                  <c:v>0.61713491110915886</c:v>
                </c:pt>
                <c:pt idx="24">
                  <c:v>3.7940716610109781E-2</c:v>
                </c:pt>
              </c:numCache>
            </c:numRef>
          </c:xVal>
          <c:yVal>
            <c:numRef>
              <c:f>'Диаграмма рассеяния'!$Q$36:$Q$60</c:f>
              <c:numCache>
                <c:formatCode>0.0000</c:formatCode>
                <c:ptCount val="25"/>
                <c:pt idx="0">
                  <c:v>0.25573736848740458</c:v>
                </c:pt>
                <c:pt idx="1">
                  <c:v>-5.8307215754293984E-2</c:v>
                </c:pt>
                <c:pt idx="2">
                  <c:v>2.5325969071561261E-3</c:v>
                </c:pt>
                <c:pt idx="3">
                  <c:v>-0.25046145413382487</c:v>
                </c:pt>
                <c:pt idx="4">
                  <c:v>2.2602895372685228E-2</c:v>
                </c:pt>
                <c:pt idx="5">
                  <c:v>1.4728266386704103E-2</c:v>
                </c:pt>
                <c:pt idx="6">
                  <c:v>-4.295906532712146E-2</c:v>
                </c:pt>
                <c:pt idx="7">
                  <c:v>-5.8826993753409079E-2</c:v>
                </c:pt>
                <c:pt idx="8">
                  <c:v>-0.37737953814729819</c:v>
                </c:pt>
                <c:pt idx="9">
                  <c:v>-0.12086861454279979</c:v>
                </c:pt>
                <c:pt idx="10">
                  <c:v>-0.11380289998194426</c:v>
                </c:pt>
                <c:pt idx="11">
                  <c:v>3.0163121474724663E-2</c:v>
                </c:pt>
                <c:pt idx="12">
                  <c:v>-5.223553213212262E-2</c:v>
                </c:pt>
                <c:pt idx="13">
                  <c:v>-5.4296784693068478E-2</c:v>
                </c:pt>
                <c:pt idx="14">
                  <c:v>-3.4138524781160307E-2</c:v>
                </c:pt>
                <c:pt idx="15">
                  <c:v>3.3717726310813989E-2</c:v>
                </c:pt>
                <c:pt idx="16">
                  <c:v>-2.2194067942335471E-2</c:v>
                </c:pt>
                <c:pt idx="17">
                  <c:v>-0.17540305280909305</c:v>
                </c:pt>
                <c:pt idx="18">
                  <c:v>-9.1205029943186577E-2</c:v>
                </c:pt>
                <c:pt idx="19">
                  <c:v>0.29438651123868265</c:v>
                </c:pt>
                <c:pt idx="20">
                  <c:v>0.13296181938751261</c:v>
                </c:pt>
                <c:pt idx="21">
                  <c:v>0.18750340695532475</c:v>
                </c:pt>
                <c:pt idx="22">
                  <c:v>0.23434914829270254</c:v>
                </c:pt>
                <c:pt idx="23">
                  <c:v>0.23258351414646414</c:v>
                </c:pt>
                <c:pt idx="24">
                  <c:v>1.0812398981482896E-2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47-41B3-A3F3-8C2F2DCB9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91872"/>
        <c:axId val="32593408"/>
      </c:scatterChart>
      <c:valAx>
        <c:axId val="32591872"/>
        <c:scaling>
          <c:orientation val="minMax"/>
          <c:max val="3"/>
          <c:min val="-3"/>
        </c:scaling>
        <c:delete val="0"/>
        <c:axPos val="b"/>
        <c:majorGridlines/>
        <c:numFmt formatCode="0" sourceLinked="0"/>
        <c:majorTickMark val="out"/>
        <c:minorTickMark val="none"/>
        <c:tickLblPos val="nextTo"/>
        <c:spPr>
          <a:ln w="22225">
            <a:solidFill>
              <a:schemeClr val="tx1"/>
            </a:solidFill>
          </a:ln>
        </c:spPr>
        <c:crossAx val="32593408"/>
        <c:crosses val="autoZero"/>
        <c:crossBetween val="midCat"/>
      </c:valAx>
      <c:valAx>
        <c:axId val="32593408"/>
        <c:scaling>
          <c:orientation val="minMax"/>
          <c:max val="3"/>
          <c:min val="-3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spPr>
          <a:ln w="22225">
            <a:solidFill>
              <a:schemeClr val="tx1"/>
            </a:solidFill>
          </a:ln>
        </c:spPr>
        <c:crossAx val="325918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'Диаграмма рассеяния'!$S$36:$S$60</c:f>
              <c:numCache>
                <c:formatCode>0.0000</c:formatCode>
                <c:ptCount val="25"/>
                <c:pt idx="0">
                  <c:v>0.58977911725398924</c:v>
                </c:pt>
                <c:pt idx="1">
                  <c:v>0.27673554088538088</c:v>
                </c:pt>
                <c:pt idx="2">
                  <c:v>0.53833877436090061</c:v>
                </c:pt>
                <c:pt idx="3">
                  <c:v>-0.18269163626614254</c:v>
                </c:pt>
                <c:pt idx="4">
                  <c:v>-0.19393190890574913</c:v>
                </c:pt>
                <c:pt idx="5">
                  <c:v>5.0890393062743511E-2</c:v>
                </c:pt>
                <c:pt idx="6">
                  <c:v>0.17607357480552874</c:v>
                </c:pt>
                <c:pt idx="7">
                  <c:v>-0.21454410378890906</c:v>
                </c:pt>
                <c:pt idx="8">
                  <c:v>-0.48383573876862973</c:v>
                </c:pt>
                <c:pt idx="9">
                  <c:v>0.80295689130175807</c:v>
                </c:pt>
                <c:pt idx="10">
                  <c:v>-0.3214897780165869</c:v>
                </c:pt>
                <c:pt idx="11">
                  <c:v>-0.53073215790863215</c:v>
                </c:pt>
                <c:pt idx="12">
                  <c:v>0.23180664232645451</c:v>
                </c:pt>
                <c:pt idx="13">
                  <c:v>0.41540410083265777</c:v>
                </c:pt>
                <c:pt idx="14">
                  <c:v>3.9958449554494777E-2</c:v>
                </c:pt>
                <c:pt idx="15">
                  <c:v>0.60763418187402363</c:v>
                </c:pt>
                <c:pt idx="16">
                  <c:v>-0.10606636458261554</c:v>
                </c:pt>
                <c:pt idx="17">
                  <c:v>-0.40779599908060971</c:v>
                </c:pt>
                <c:pt idx="18">
                  <c:v>-0.10619347024936901</c:v>
                </c:pt>
                <c:pt idx="19">
                  <c:v>-0.14997604760319042</c:v>
                </c:pt>
                <c:pt idx="20">
                  <c:v>-0.65180293694016078</c:v>
                </c:pt>
                <c:pt idx="21">
                  <c:v>-1.1605035575171052</c:v>
                </c:pt>
                <c:pt idx="22">
                  <c:v>0.1249104056505001</c:v>
                </c:pt>
                <c:pt idx="23">
                  <c:v>0.61713491110915886</c:v>
                </c:pt>
                <c:pt idx="24">
                  <c:v>3.7940716610109781E-2</c:v>
                </c:pt>
              </c:numCache>
            </c:numRef>
          </c:xVal>
          <c:yVal>
            <c:numRef>
              <c:f>'Диаграмма рассеяния'!$R$36:$R$60</c:f>
              <c:numCache>
                <c:formatCode>0.0000</c:formatCode>
                <c:ptCount val="25"/>
                <c:pt idx="0">
                  <c:v>4.44725078338572E-2</c:v>
                </c:pt>
                <c:pt idx="1">
                  <c:v>1.2045332128452542</c:v>
                </c:pt>
                <c:pt idx="2">
                  <c:v>0.94918753657332788</c:v>
                </c:pt>
                <c:pt idx="3">
                  <c:v>1.2811295901049577</c:v>
                </c:pt>
                <c:pt idx="4">
                  <c:v>1.0333198882704204</c:v>
                </c:pt>
                <c:pt idx="5">
                  <c:v>0.44478117929587963</c:v>
                </c:pt>
                <c:pt idx="6">
                  <c:v>1.6240529310948646</c:v>
                </c:pt>
                <c:pt idx="7">
                  <c:v>0.69101913413075278</c:v>
                </c:pt>
                <c:pt idx="8">
                  <c:v>-5.7447375038729254</c:v>
                </c:pt>
                <c:pt idx="9">
                  <c:v>-6.8350177783492241E-2</c:v>
                </c:pt>
                <c:pt idx="10">
                  <c:v>-1.7496878492602348</c:v>
                </c:pt>
                <c:pt idx="11">
                  <c:v>0.33876607790170515</c:v>
                </c:pt>
                <c:pt idx="12">
                  <c:v>0.9871831399838209</c:v>
                </c:pt>
                <c:pt idx="13">
                  <c:v>0.20103757603517497</c:v>
                </c:pt>
                <c:pt idx="14">
                  <c:v>-0.15318826322125773</c:v>
                </c:pt>
                <c:pt idx="15">
                  <c:v>-1.0561554174926153</c:v>
                </c:pt>
                <c:pt idx="16">
                  <c:v>0.876681593229375</c:v>
                </c:pt>
                <c:pt idx="17">
                  <c:v>0.80181924724183717</c:v>
                </c:pt>
                <c:pt idx="18">
                  <c:v>1.6393188548072517</c:v>
                </c:pt>
                <c:pt idx="19">
                  <c:v>-1.7960905633353643</c:v>
                </c:pt>
                <c:pt idx="20">
                  <c:v>0.59922514048702202</c:v>
                </c:pt>
                <c:pt idx="21">
                  <c:v>-3.182906300063177</c:v>
                </c:pt>
                <c:pt idx="22">
                  <c:v>3.4139931843100893E-2</c:v>
                </c:pt>
                <c:pt idx="23">
                  <c:v>-0.29345218591314476</c:v>
                </c:pt>
                <c:pt idx="24">
                  <c:v>1.2939007192636067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55-4893-8B93-B44BA3499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377472"/>
        <c:axId val="32383360"/>
      </c:scatterChart>
      <c:valAx>
        <c:axId val="32377472"/>
        <c:scaling>
          <c:orientation val="minMax"/>
          <c:max val="3"/>
          <c:min val="-3"/>
        </c:scaling>
        <c:delete val="0"/>
        <c:axPos val="b"/>
        <c:majorGridlines/>
        <c:numFmt formatCode="0.0" sourceLinked="0"/>
        <c:majorTickMark val="out"/>
        <c:minorTickMark val="none"/>
        <c:tickLblPos val="nextTo"/>
        <c:spPr>
          <a:ln w="22225">
            <a:solidFill>
              <a:schemeClr val="tx1"/>
            </a:solidFill>
          </a:ln>
        </c:spPr>
        <c:crossAx val="32383360"/>
        <c:crosses val="autoZero"/>
        <c:crossBetween val="midCat"/>
      </c:valAx>
      <c:valAx>
        <c:axId val="32383360"/>
        <c:scaling>
          <c:orientation val="minMax"/>
          <c:max val="3"/>
          <c:min val="-3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spPr>
          <a:ln w="22225">
            <a:solidFill>
              <a:schemeClr val="tx1"/>
            </a:solidFill>
          </a:ln>
        </c:spPr>
        <c:crossAx val="323774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'Диаграмма рассеяния'!$R$36:$R$60</c:f>
              <c:numCache>
                <c:formatCode>0.0000</c:formatCode>
                <c:ptCount val="25"/>
                <c:pt idx="0">
                  <c:v>4.44725078338572E-2</c:v>
                </c:pt>
                <c:pt idx="1">
                  <c:v>1.2045332128452542</c:v>
                </c:pt>
                <c:pt idx="2">
                  <c:v>0.94918753657332788</c:v>
                </c:pt>
                <c:pt idx="3">
                  <c:v>1.2811295901049577</c:v>
                </c:pt>
                <c:pt idx="4">
                  <c:v>1.0333198882704204</c:v>
                </c:pt>
                <c:pt idx="5">
                  <c:v>0.44478117929587963</c:v>
                </c:pt>
                <c:pt idx="6">
                  <c:v>1.6240529310948646</c:v>
                </c:pt>
                <c:pt idx="7">
                  <c:v>0.69101913413075278</c:v>
                </c:pt>
                <c:pt idx="8">
                  <c:v>-5.7447375038729254</c:v>
                </c:pt>
                <c:pt idx="9">
                  <c:v>-6.8350177783492241E-2</c:v>
                </c:pt>
                <c:pt idx="10">
                  <c:v>-1.7496878492602348</c:v>
                </c:pt>
                <c:pt idx="11">
                  <c:v>0.33876607790170515</c:v>
                </c:pt>
                <c:pt idx="12">
                  <c:v>0.9871831399838209</c:v>
                </c:pt>
                <c:pt idx="13">
                  <c:v>0.20103757603517497</c:v>
                </c:pt>
                <c:pt idx="14">
                  <c:v>-0.15318826322125773</c:v>
                </c:pt>
                <c:pt idx="15">
                  <c:v>-1.0561554174926153</c:v>
                </c:pt>
                <c:pt idx="16">
                  <c:v>0.876681593229375</c:v>
                </c:pt>
                <c:pt idx="17">
                  <c:v>0.80181924724183717</c:v>
                </c:pt>
                <c:pt idx="18">
                  <c:v>1.6393188548072517</c:v>
                </c:pt>
                <c:pt idx="19">
                  <c:v>-1.7960905633353643</c:v>
                </c:pt>
                <c:pt idx="20">
                  <c:v>0.59922514048702202</c:v>
                </c:pt>
                <c:pt idx="21">
                  <c:v>-3.182906300063177</c:v>
                </c:pt>
                <c:pt idx="22">
                  <c:v>3.4139931843100893E-2</c:v>
                </c:pt>
                <c:pt idx="23">
                  <c:v>-0.29345218591314476</c:v>
                </c:pt>
                <c:pt idx="24">
                  <c:v>1.2939007192636067</c:v>
                </c:pt>
              </c:numCache>
            </c:numRef>
          </c:xVal>
          <c:yVal>
            <c:numRef>
              <c:f>'Диаграмма рассеяния'!$Q$36:$Q$60</c:f>
              <c:numCache>
                <c:formatCode>0.0000</c:formatCode>
                <c:ptCount val="25"/>
                <c:pt idx="0">
                  <c:v>0.25573736848740458</c:v>
                </c:pt>
                <c:pt idx="1">
                  <c:v>-5.8307215754293984E-2</c:v>
                </c:pt>
                <c:pt idx="2">
                  <c:v>2.5325969071561261E-3</c:v>
                </c:pt>
                <c:pt idx="3">
                  <c:v>-0.25046145413382487</c:v>
                </c:pt>
                <c:pt idx="4">
                  <c:v>2.2602895372685228E-2</c:v>
                </c:pt>
                <c:pt idx="5">
                  <c:v>1.4728266386704103E-2</c:v>
                </c:pt>
                <c:pt idx="6">
                  <c:v>-4.295906532712146E-2</c:v>
                </c:pt>
                <c:pt idx="7">
                  <c:v>-5.8826993753409079E-2</c:v>
                </c:pt>
                <c:pt idx="8">
                  <c:v>-0.37737953814729819</c:v>
                </c:pt>
                <c:pt idx="9">
                  <c:v>-0.12086861454279979</c:v>
                </c:pt>
                <c:pt idx="10">
                  <c:v>-0.11380289998194426</c:v>
                </c:pt>
                <c:pt idx="11">
                  <c:v>3.0163121474724663E-2</c:v>
                </c:pt>
                <c:pt idx="12">
                  <c:v>-5.223553213212262E-2</c:v>
                </c:pt>
                <c:pt idx="13">
                  <c:v>-5.4296784693068478E-2</c:v>
                </c:pt>
                <c:pt idx="14">
                  <c:v>-3.4138524781160307E-2</c:v>
                </c:pt>
                <c:pt idx="15">
                  <c:v>3.3717726310813989E-2</c:v>
                </c:pt>
                <c:pt idx="16">
                  <c:v>-2.2194067942335471E-2</c:v>
                </c:pt>
                <c:pt idx="17">
                  <c:v>-0.17540305280909305</c:v>
                </c:pt>
                <c:pt idx="18">
                  <c:v>-9.1205029943186577E-2</c:v>
                </c:pt>
                <c:pt idx="19">
                  <c:v>0.29438651123868265</c:v>
                </c:pt>
                <c:pt idx="20">
                  <c:v>0.13296181938751261</c:v>
                </c:pt>
                <c:pt idx="21">
                  <c:v>0.18750340695532475</c:v>
                </c:pt>
                <c:pt idx="22">
                  <c:v>0.23434914829270254</c:v>
                </c:pt>
                <c:pt idx="23">
                  <c:v>0.23258351414646414</c:v>
                </c:pt>
                <c:pt idx="24">
                  <c:v>1.0812398981482896E-2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34-4C47-98C9-FDA55D9B64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03232"/>
        <c:axId val="32394240"/>
      </c:scatterChart>
      <c:valAx>
        <c:axId val="32703232"/>
        <c:scaling>
          <c:orientation val="minMax"/>
          <c:max val="3"/>
          <c:min val="-3"/>
        </c:scaling>
        <c:delete val="0"/>
        <c:axPos val="b"/>
        <c:majorGridlines/>
        <c:numFmt formatCode="0" sourceLinked="0"/>
        <c:majorTickMark val="out"/>
        <c:minorTickMark val="none"/>
        <c:tickLblPos val="nextTo"/>
        <c:spPr>
          <a:ln w="22225">
            <a:solidFill>
              <a:schemeClr val="tx1"/>
            </a:solidFill>
          </a:ln>
        </c:spPr>
        <c:crossAx val="32394240"/>
        <c:crosses val="autoZero"/>
        <c:crossBetween val="midCat"/>
      </c:valAx>
      <c:valAx>
        <c:axId val="32394240"/>
        <c:scaling>
          <c:orientation val="minMax"/>
          <c:max val="3"/>
          <c:min val="-3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spPr>
          <a:noFill/>
          <a:ln w="22225">
            <a:solidFill>
              <a:schemeClr val="tx1"/>
            </a:solidFill>
          </a:ln>
        </c:spPr>
        <c:crossAx val="327032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23395941495014E-2"/>
          <c:y val="6.168066491688539E-2"/>
          <c:w val="0.87107121143281496"/>
          <c:h val="0.87663867016622921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'Диаграмма рассеяния'!$C$65:$C$89</c:f>
              <c:numCache>
                <c:formatCode>0.00</c:formatCode>
                <c:ptCount val="25"/>
                <c:pt idx="0">
                  <c:v>-0.25575380573985362</c:v>
                </c:pt>
                <c:pt idx="1">
                  <c:v>-0.837012455148612</c:v>
                </c:pt>
                <c:pt idx="2">
                  <c:v>-0.837012455148612</c:v>
                </c:pt>
                <c:pt idx="3">
                  <c:v>-0.69169779279642241</c:v>
                </c:pt>
                <c:pt idx="4">
                  <c:v>-0.40106846809204322</c:v>
                </c:pt>
                <c:pt idx="5">
                  <c:v>-0.25575380573985362</c:v>
                </c:pt>
                <c:pt idx="6">
                  <c:v>-0.98232711750080159</c:v>
                </c:pt>
                <c:pt idx="7">
                  <c:v>-0.25575380573985362</c:v>
                </c:pt>
                <c:pt idx="8">
                  <c:v>3.0864834283605069</c:v>
                </c:pt>
                <c:pt idx="9">
                  <c:v>-0.54638313044423281</c:v>
                </c:pt>
                <c:pt idx="10">
                  <c:v>1.0520781554298526</c:v>
                </c:pt>
                <c:pt idx="11">
                  <c:v>0.1801901813167151</c:v>
                </c:pt>
                <c:pt idx="12">
                  <c:v>-0.69169779279642241</c:v>
                </c:pt>
                <c:pt idx="13">
                  <c:v>-0.40106846809204322</c:v>
                </c:pt>
                <c:pt idx="14">
                  <c:v>3.487551896452553E-2</c:v>
                </c:pt>
                <c:pt idx="15">
                  <c:v>0.1801901813167151</c:v>
                </c:pt>
                <c:pt idx="16">
                  <c:v>-0.40106846809204322</c:v>
                </c:pt>
                <c:pt idx="17">
                  <c:v>-0.25575380573985362</c:v>
                </c:pt>
                <c:pt idx="18">
                  <c:v>-0.837012455148612</c:v>
                </c:pt>
                <c:pt idx="19">
                  <c:v>1.1973928177820423</c:v>
                </c:pt>
                <c:pt idx="20">
                  <c:v>0.1801901813167151</c:v>
                </c:pt>
                <c:pt idx="21">
                  <c:v>2.5052247789517486</c:v>
                </c:pt>
                <c:pt idx="22">
                  <c:v>3.487551896452553E-2</c:v>
                </c:pt>
                <c:pt idx="23">
                  <c:v>-0.11043914338766406</c:v>
                </c:pt>
                <c:pt idx="24">
                  <c:v>-0.69169779279642241</c:v>
                </c:pt>
              </c:numCache>
            </c:numRef>
          </c:xVal>
          <c:yVal>
            <c:numRef>
              <c:f>'Диаграмма рассеяния'!$B$65:$B$89</c:f>
              <c:numCache>
                <c:formatCode>0.00</c:formatCode>
                <c:ptCount val="25"/>
                <c:pt idx="0">
                  <c:v>-0.36740970665688188</c:v>
                </c:pt>
                <c:pt idx="1">
                  <c:v>-0.70106718920994071</c:v>
                </c:pt>
                <c:pt idx="2">
                  <c:v>-0.66692848925760073</c:v>
                </c:pt>
                <c:pt idx="3">
                  <c:v>-0.48335246121199876</c:v>
                </c:pt>
                <c:pt idx="4">
                  <c:v>-0.55613874601604452</c:v>
                </c:pt>
                <c:pt idx="5">
                  <c:v>-0.27529962942698338</c:v>
                </c:pt>
                <c:pt idx="6">
                  <c:v>-0.92651143417822379</c:v>
                </c:pt>
                <c:pt idx="7">
                  <c:v>-0.29333516902444612</c:v>
                </c:pt>
                <c:pt idx="8">
                  <c:v>3.6622451405476282</c:v>
                </c:pt>
                <c:pt idx="9">
                  <c:v>-5.6940775014846366E-2</c:v>
                </c:pt>
                <c:pt idx="10">
                  <c:v>1.1559492629145163</c:v>
                </c:pt>
                <c:pt idx="11">
                  <c:v>-8.9147095724601083E-2</c:v>
                </c:pt>
                <c:pt idx="12">
                  <c:v>-0.57224190637092187</c:v>
                </c:pt>
                <c:pt idx="13">
                  <c:v>-0.16966289749898789</c:v>
                </c:pt>
                <c:pt idx="14">
                  <c:v>0.10409082853392723</c:v>
                </c:pt>
                <c:pt idx="15">
                  <c:v>0.42615403563147441</c:v>
                </c:pt>
                <c:pt idx="16">
                  <c:v>-0.45307851974482943</c:v>
                </c:pt>
                <c:pt idx="17">
                  <c:v>-0.21797237856361995</c:v>
                </c:pt>
                <c:pt idx="18">
                  <c:v>-0.82989247204895966</c:v>
                </c:pt>
                <c:pt idx="19">
                  <c:v>0.81907114829048211</c:v>
                </c:pt>
                <c:pt idx="20">
                  <c:v>-0.28882628412508043</c:v>
                </c:pt>
                <c:pt idx="21">
                  <c:v>1.9282568335344346</c:v>
                </c:pt>
                <c:pt idx="22">
                  <c:v>-0.23407553891849731</c:v>
                </c:pt>
                <c:pt idx="23">
                  <c:v>-0.16450988618542722</c:v>
                </c:pt>
                <c:pt idx="24">
                  <c:v>-0.74937667027457278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3C-4C16-AB83-F5A0F7669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26240"/>
        <c:axId val="32522240"/>
      </c:scatterChart>
      <c:valAx>
        <c:axId val="32426240"/>
        <c:scaling>
          <c:orientation val="minMax"/>
          <c:max val="3"/>
          <c:min val="-3"/>
        </c:scaling>
        <c:delete val="0"/>
        <c:axPos val="b"/>
        <c:majorGridlines/>
        <c:numFmt formatCode="0.0" sourceLinked="0"/>
        <c:majorTickMark val="out"/>
        <c:minorTickMark val="none"/>
        <c:tickLblPos val="nextTo"/>
        <c:spPr>
          <a:ln w="22225">
            <a:solidFill>
              <a:schemeClr val="tx1"/>
            </a:solidFill>
          </a:ln>
        </c:spPr>
        <c:crossAx val="32522240"/>
        <c:crosses val="autoZero"/>
        <c:crossBetween val="midCat"/>
      </c:valAx>
      <c:valAx>
        <c:axId val="32522240"/>
        <c:scaling>
          <c:orientation val="minMax"/>
          <c:max val="3"/>
          <c:min val="-3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spPr>
          <a:ln w="19050">
            <a:solidFill>
              <a:schemeClr val="tx1"/>
            </a:solidFill>
          </a:ln>
        </c:spPr>
        <c:crossAx val="324262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3882390188693595E-2"/>
          <c:y val="6.168066491688539E-2"/>
          <c:w val="0.86542278065907152"/>
          <c:h val="0.87606662628709875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'Диаграмма рассеяния'!$D$65:$D$89</c:f>
              <c:numCache>
                <c:formatCode>0.00</c:formatCode>
                <c:ptCount val="25"/>
                <c:pt idx="0">
                  <c:v>0.46348561039872127</c:v>
                </c:pt>
                <c:pt idx="1">
                  <c:v>-0.58206313917376551</c:v>
                </c:pt>
                <c:pt idx="2">
                  <c:v>-0.21304593344229955</c:v>
                </c:pt>
                <c:pt idx="3">
                  <c:v>-1.0125832125271423</c:v>
                </c:pt>
                <c:pt idx="4">
                  <c:v>-0.79732317585045387</c:v>
                </c:pt>
                <c:pt idx="5">
                  <c:v>-0.24379736725325504</c:v>
                </c:pt>
                <c:pt idx="6">
                  <c:v>-0.92032891109427584</c:v>
                </c:pt>
                <c:pt idx="7">
                  <c:v>-0.61281457298472097</c:v>
                </c:pt>
                <c:pt idx="8">
                  <c:v>3.2311146533847155</c:v>
                </c:pt>
                <c:pt idx="9">
                  <c:v>0.60186706254802091</c:v>
                </c:pt>
                <c:pt idx="10">
                  <c:v>0.85710396317895154</c:v>
                </c:pt>
                <c:pt idx="11">
                  <c:v>-0.59743885607924319</c:v>
                </c:pt>
                <c:pt idx="12">
                  <c:v>-0.47443312083542122</c:v>
                </c:pt>
                <c:pt idx="13">
                  <c:v>0.16212155905135744</c:v>
                </c:pt>
                <c:pt idx="14">
                  <c:v>0.11906955171601975</c:v>
                </c:pt>
                <c:pt idx="15">
                  <c:v>1.12771658071536</c:v>
                </c:pt>
                <c:pt idx="16">
                  <c:v>-0.64356600679567644</c:v>
                </c:pt>
                <c:pt idx="17">
                  <c:v>-0.85267575671017382</c:v>
                </c:pt>
                <c:pt idx="18">
                  <c:v>-1.1478895212953466</c:v>
                </c:pt>
                <c:pt idx="19">
                  <c:v>1.1092657204287866</c:v>
                </c:pt>
                <c:pt idx="20">
                  <c:v>-0.82807460966140944</c:v>
                </c:pt>
                <c:pt idx="21">
                  <c:v>1.2322714556726087</c:v>
                </c:pt>
                <c:pt idx="22">
                  <c:v>0.12521983847821086</c:v>
                </c:pt>
                <c:pt idx="23">
                  <c:v>0.69412136398088742</c:v>
                </c:pt>
                <c:pt idx="24">
                  <c:v>-0.79732317585045387</c:v>
                </c:pt>
              </c:numCache>
            </c:numRef>
          </c:xVal>
          <c:yVal>
            <c:numRef>
              <c:f>'Диаграмма рассеяния'!$B$65:$B$89</c:f>
              <c:numCache>
                <c:formatCode>0.00</c:formatCode>
                <c:ptCount val="25"/>
                <c:pt idx="0">
                  <c:v>-0.36740970665688188</c:v>
                </c:pt>
                <c:pt idx="1">
                  <c:v>-0.70106718920994071</c:v>
                </c:pt>
                <c:pt idx="2">
                  <c:v>-0.66692848925760073</c:v>
                </c:pt>
                <c:pt idx="3">
                  <c:v>-0.48335246121199876</c:v>
                </c:pt>
                <c:pt idx="4">
                  <c:v>-0.55613874601604452</c:v>
                </c:pt>
                <c:pt idx="5">
                  <c:v>-0.27529962942698338</c:v>
                </c:pt>
                <c:pt idx="6">
                  <c:v>-0.92651143417822379</c:v>
                </c:pt>
                <c:pt idx="7">
                  <c:v>-0.29333516902444612</c:v>
                </c:pt>
                <c:pt idx="8">
                  <c:v>3.6622451405476282</c:v>
                </c:pt>
                <c:pt idx="9">
                  <c:v>-5.6940775014846366E-2</c:v>
                </c:pt>
                <c:pt idx="10">
                  <c:v>1.1559492629145163</c:v>
                </c:pt>
                <c:pt idx="11">
                  <c:v>-8.9147095724601083E-2</c:v>
                </c:pt>
                <c:pt idx="12">
                  <c:v>-0.57224190637092187</c:v>
                </c:pt>
                <c:pt idx="13">
                  <c:v>-0.16966289749898789</c:v>
                </c:pt>
                <c:pt idx="14">
                  <c:v>0.10409082853392723</c:v>
                </c:pt>
                <c:pt idx="15">
                  <c:v>0.42615403563147441</c:v>
                </c:pt>
                <c:pt idx="16">
                  <c:v>-0.45307851974482943</c:v>
                </c:pt>
                <c:pt idx="17">
                  <c:v>-0.21797237856361995</c:v>
                </c:pt>
                <c:pt idx="18">
                  <c:v>-0.82989247204895966</c:v>
                </c:pt>
                <c:pt idx="19">
                  <c:v>0.81907114829048211</c:v>
                </c:pt>
                <c:pt idx="20">
                  <c:v>-0.28882628412508043</c:v>
                </c:pt>
                <c:pt idx="21">
                  <c:v>1.9282568335344346</c:v>
                </c:pt>
                <c:pt idx="22">
                  <c:v>-0.23407553891849731</c:v>
                </c:pt>
                <c:pt idx="23">
                  <c:v>-0.16450988618542722</c:v>
                </c:pt>
                <c:pt idx="24">
                  <c:v>-0.74937667027457278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9A-45A8-AF46-3ECECEC43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33504"/>
        <c:axId val="32543488"/>
      </c:scatterChart>
      <c:valAx>
        <c:axId val="32533504"/>
        <c:scaling>
          <c:orientation val="minMax"/>
          <c:max val="3"/>
          <c:min val="-3"/>
        </c:scaling>
        <c:delete val="0"/>
        <c:axPos val="b"/>
        <c:majorGridlines/>
        <c:numFmt formatCode="0.0" sourceLinked="0"/>
        <c:majorTickMark val="out"/>
        <c:minorTickMark val="none"/>
        <c:tickLblPos val="nextTo"/>
        <c:spPr>
          <a:ln w="22225">
            <a:solidFill>
              <a:schemeClr val="tx1"/>
            </a:solidFill>
          </a:ln>
        </c:spPr>
        <c:crossAx val="32543488"/>
        <c:crosses val="autoZero"/>
        <c:crossBetween val="midCat"/>
      </c:valAx>
      <c:valAx>
        <c:axId val="32543488"/>
        <c:scaling>
          <c:orientation val="minMax"/>
          <c:max val="3"/>
          <c:min val="-3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spPr>
          <a:ln w="22225">
            <a:solidFill>
              <a:schemeClr val="tx1"/>
            </a:solidFill>
          </a:ln>
        </c:spPr>
        <c:crossAx val="325335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0671154390310732E-2"/>
          <c:y val="5.6935998384817284E-2"/>
          <c:w val="0.84729704756915181"/>
          <c:h val="0.8812606501110438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</c:marker>
          <c:xVal>
            <c:numRef>
              <c:f>'Диаграмма рассеяния'!$C$65:$C$89</c:f>
              <c:numCache>
                <c:formatCode>0.00</c:formatCode>
                <c:ptCount val="25"/>
                <c:pt idx="0">
                  <c:v>-0.25575380573985362</c:v>
                </c:pt>
                <c:pt idx="1">
                  <c:v>-0.837012455148612</c:v>
                </c:pt>
                <c:pt idx="2">
                  <c:v>-0.837012455148612</c:v>
                </c:pt>
                <c:pt idx="3">
                  <c:v>-0.69169779279642241</c:v>
                </c:pt>
                <c:pt idx="4">
                  <c:v>-0.40106846809204322</c:v>
                </c:pt>
                <c:pt idx="5">
                  <c:v>-0.25575380573985362</c:v>
                </c:pt>
                <c:pt idx="6">
                  <c:v>-0.98232711750080159</c:v>
                </c:pt>
                <c:pt idx="7">
                  <c:v>-0.25575380573985362</c:v>
                </c:pt>
                <c:pt idx="8">
                  <c:v>3.0864834283605069</c:v>
                </c:pt>
                <c:pt idx="9">
                  <c:v>-0.54638313044423281</c:v>
                </c:pt>
                <c:pt idx="10">
                  <c:v>1.0520781554298526</c:v>
                </c:pt>
                <c:pt idx="11">
                  <c:v>0.1801901813167151</c:v>
                </c:pt>
                <c:pt idx="12">
                  <c:v>-0.69169779279642241</c:v>
                </c:pt>
                <c:pt idx="13">
                  <c:v>-0.40106846809204322</c:v>
                </c:pt>
                <c:pt idx="14">
                  <c:v>3.487551896452553E-2</c:v>
                </c:pt>
                <c:pt idx="15">
                  <c:v>0.1801901813167151</c:v>
                </c:pt>
                <c:pt idx="16">
                  <c:v>-0.40106846809204322</c:v>
                </c:pt>
                <c:pt idx="17">
                  <c:v>-0.25575380573985362</c:v>
                </c:pt>
                <c:pt idx="18">
                  <c:v>-0.837012455148612</c:v>
                </c:pt>
                <c:pt idx="19">
                  <c:v>1.1973928177820423</c:v>
                </c:pt>
                <c:pt idx="20">
                  <c:v>0.1801901813167151</c:v>
                </c:pt>
                <c:pt idx="21">
                  <c:v>2.5052247789517486</c:v>
                </c:pt>
                <c:pt idx="22">
                  <c:v>3.487551896452553E-2</c:v>
                </c:pt>
                <c:pt idx="23">
                  <c:v>-0.11043914338766406</c:v>
                </c:pt>
                <c:pt idx="24">
                  <c:v>-0.69169779279642241</c:v>
                </c:pt>
              </c:numCache>
            </c:numRef>
          </c:xVal>
          <c:yVal>
            <c:numRef>
              <c:f>'Диаграмма рассеяния'!$D$65:$D$89</c:f>
              <c:numCache>
                <c:formatCode>0.00</c:formatCode>
                <c:ptCount val="25"/>
                <c:pt idx="0">
                  <c:v>0.46348561039872127</c:v>
                </c:pt>
                <c:pt idx="1">
                  <c:v>-0.58206313917376551</c:v>
                </c:pt>
                <c:pt idx="2">
                  <c:v>-0.21304593344229955</c:v>
                </c:pt>
                <c:pt idx="3">
                  <c:v>-1.0125832125271423</c:v>
                </c:pt>
                <c:pt idx="4">
                  <c:v>-0.79732317585045387</c:v>
                </c:pt>
                <c:pt idx="5">
                  <c:v>-0.24379736725325504</c:v>
                </c:pt>
                <c:pt idx="6">
                  <c:v>-0.92032891109427584</c:v>
                </c:pt>
                <c:pt idx="7">
                  <c:v>-0.61281457298472097</c:v>
                </c:pt>
                <c:pt idx="8">
                  <c:v>3.2311146533847155</c:v>
                </c:pt>
                <c:pt idx="9">
                  <c:v>0.60186706254802091</c:v>
                </c:pt>
                <c:pt idx="10">
                  <c:v>0.85710396317895154</c:v>
                </c:pt>
                <c:pt idx="11">
                  <c:v>-0.59743885607924319</c:v>
                </c:pt>
                <c:pt idx="12">
                  <c:v>-0.47443312083542122</c:v>
                </c:pt>
                <c:pt idx="13">
                  <c:v>0.16212155905135744</c:v>
                </c:pt>
                <c:pt idx="14">
                  <c:v>0.11906955171601975</c:v>
                </c:pt>
                <c:pt idx="15">
                  <c:v>1.12771658071536</c:v>
                </c:pt>
                <c:pt idx="16">
                  <c:v>-0.64356600679567644</c:v>
                </c:pt>
                <c:pt idx="17">
                  <c:v>-0.85267575671017382</c:v>
                </c:pt>
                <c:pt idx="18">
                  <c:v>-1.1478895212953466</c:v>
                </c:pt>
                <c:pt idx="19">
                  <c:v>1.1092657204287866</c:v>
                </c:pt>
                <c:pt idx="20">
                  <c:v>-0.82807460966140944</c:v>
                </c:pt>
                <c:pt idx="21">
                  <c:v>1.2322714556726087</c:v>
                </c:pt>
                <c:pt idx="22">
                  <c:v>0.12521983847821086</c:v>
                </c:pt>
                <c:pt idx="23">
                  <c:v>0.69412136398088742</c:v>
                </c:pt>
                <c:pt idx="24">
                  <c:v>-0.79732317585045387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CE-4FEC-A977-5B0A773D4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67296"/>
        <c:axId val="32568832"/>
      </c:scatterChart>
      <c:valAx>
        <c:axId val="32567296"/>
        <c:scaling>
          <c:orientation val="minMax"/>
          <c:max val="3"/>
          <c:min val="-3"/>
        </c:scaling>
        <c:delete val="0"/>
        <c:axPos val="b"/>
        <c:majorGridlines/>
        <c:numFmt formatCode="0.0" sourceLinked="0"/>
        <c:majorTickMark val="out"/>
        <c:minorTickMark val="none"/>
        <c:tickLblPos val="nextTo"/>
        <c:spPr>
          <a:ln w="22225">
            <a:solidFill>
              <a:schemeClr val="tx1"/>
            </a:solidFill>
          </a:ln>
        </c:spPr>
        <c:crossAx val="32568832"/>
        <c:crosses val="autoZero"/>
        <c:crossBetween val="midCat"/>
      </c:valAx>
      <c:valAx>
        <c:axId val="32568832"/>
        <c:scaling>
          <c:orientation val="minMax"/>
          <c:max val="3"/>
          <c:min val="-3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spPr>
          <a:ln w="22225">
            <a:solidFill>
              <a:schemeClr val="tx1"/>
            </a:solidFill>
          </a:ln>
        </c:spPr>
        <c:crossAx val="325672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Scroll" dx="16" fmlaLink="$Q$30" horiz="1" inc="5" max="360" page="30" val="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png"/><Relationship Id="rId5" Type="http://schemas.openxmlformats.org/officeDocument/2006/relationships/image" Target="../media/image5.emf"/><Relationship Id="rId10" Type="http://schemas.openxmlformats.org/officeDocument/2006/relationships/image" Target="../media/image10.png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85725</xdr:colOff>
      <xdr:row>26</xdr:row>
      <xdr:rowOff>123825</xdr:rowOff>
    </xdr:from>
    <xdr:to>
      <xdr:col>16</xdr:col>
      <xdr:colOff>0</xdr:colOff>
      <xdr:row>29</xdr:row>
      <xdr:rowOff>114300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48775" y="5172075"/>
          <a:ext cx="17430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171450</xdr:colOff>
      <xdr:row>4</xdr:row>
      <xdr:rowOff>222565</xdr:rowOff>
    </xdr:from>
    <xdr:to>
      <xdr:col>1</xdr:col>
      <xdr:colOff>904875</xdr:colOff>
      <xdr:row>4</xdr:row>
      <xdr:rowOff>542924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194115"/>
          <a:ext cx="1914525" cy="3203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676275</xdr:colOff>
      <xdr:row>36</xdr:row>
      <xdr:rowOff>47625</xdr:rowOff>
    </xdr:from>
    <xdr:to>
      <xdr:col>15</xdr:col>
      <xdr:colOff>514350</xdr:colOff>
      <xdr:row>40</xdr:row>
      <xdr:rowOff>76006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6275" y="6715125"/>
          <a:ext cx="2466975" cy="6760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714376</xdr:colOff>
      <xdr:row>33</xdr:row>
      <xdr:rowOff>19050</xdr:rowOff>
    </xdr:from>
    <xdr:to>
      <xdr:col>13</xdr:col>
      <xdr:colOff>466726</xdr:colOff>
      <xdr:row>37</xdr:row>
      <xdr:rowOff>1106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6" y="6200775"/>
          <a:ext cx="1162050" cy="6297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752476</xdr:colOff>
      <xdr:row>30</xdr:row>
      <xdr:rowOff>123825</xdr:rowOff>
    </xdr:from>
    <xdr:to>
      <xdr:col>13</xdr:col>
      <xdr:colOff>238126</xdr:colOff>
      <xdr:row>33</xdr:row>
      <xdr:rowOff>51867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72476" y="5819775"/>
          <a:ext cx="895350" cy="4138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333375</xdr:colOff>
      <xdr:row>48</xdr:row>
      <xdr:rowOff>104775</xdr:rowOff>
    </xdr:from>
    <xdr:to>
      <xdr:col>9</xdr:col>
      <xdr:colOff>685800</xdr:colOff>
      <xdr:row>50</xdr:row>
      <xdr:rowOff>161925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4375" y="8201025"/>
          <a:ext cx="2543175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171450</xdr:colOff>
      <xdr:row>40</xdr:row>
      <xdr:rowOff>19051</xdr:rowOff>
    </xdr:from>
    <xdr:to>
      <xdr:col>4</xdr:col>
      <xdr:colOff>336550</xdr:colOff>
      <xdr:row>44</xdr:row>
      <xdr:rowOff>76201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6819901"/>
          <a:ext cx="22796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114300</xdr:colOff>
      <xdr:row>42</xdr:row>
      <xdr:rowOff>9525</xdr:rowOff>
    </xdr:from>
    <xdr:to>
      <xdr:col>9</xdr:col>
      <xdr:colOff>828675</xdr:colOff>
      <xdr:row>48</xdr:row>
      <xdr:rowOff>47625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7134225"/>
          <a:ext cx="2047875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152400</xdr:colOff>
      <xdr:row>58</xdr:row>
      <xdr:rowOff>57150</xdr:rowOff>
    </xdr:from>
    <xdr:to>
      <xdr:col>7</xdr:col>
      <xdr:colOff>352425</xdr:colOff>
      <xdr:row>61</xdr:row>
      <xdr:rowOff>133350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0" y="10934700"/>
          <a:ext cx="1857375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257175</xdr:colOff>
      <xdr:row>50</xdr:row>
      <xdr:rowOff>152400</xdr:rowOff>
    </xdr:from>
    <xdr:to>
      <xdr:col>3</xdr:col>
      <xdr:colOff>219075</xdr:colOff>
      <xdr:row>50</xdr:row>
      <xdr:rowOff>371475</xdr:rowOff>
    </xdr:to>
    <xdr:pic>
      <xdr:nvPicPr>
        <xdr:cNvPr id="18" name="Рисунок 17" descr="http://reliawiki.org/images/math/8/5/1/8515a01f9e6553c00fbab9249d7b615e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9410700"/>
          <a:ext cx="13335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209550</xdr:colOff>
      <xdr:row>71</xdr:row>
      <xdr:rowOff>85725</xdr:rowOff>
    </xdr:from>
    <xdr:to>
      <xdr:col>6</xdr:col>
      <xdr:colOff>381000</xdr:colOff>
      <xdr:row>72</xdr:row>
      <xdr:rowOff>476250</xdr:rowOff>
    </xdr:to>
    <xdr:pic>
      <xdr:nvPicPr>
        <xdr:cNvPr id="21" name="Рисунок 20" descr="http://reliawiki.org/images/math/c/0/1/c010881bbca7e2cd719e1fbbccb092f0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5325" y="12906375"/>
          <a:ext cx="97155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104775</xdr:colOff>
      <xdr:row>84</xdr:row>
      <xdr:rowOff>66675</xdr:rowOff>
    </xdr:from>
    <xdr:to>
      <xdr:col>5</xdr:col>
      <xdr:colOff>66675</xdr:colOff>
      <xdr:row>84</xdr:row>
      <xdr:rowOff>314325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15316200"/>
          <a:ext cx="866775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57150</xdr:colOff>
      <xdr:row>92</xdr:row>
      <xdr:rowOff>104776</xdr:rowOff>
    </xdr:from>
    <xdr:to>
      <xdr:col>13</xdr:col>
      <xdr:colOff>219075</xdr:colOff>
      <xdr:row>95</xdr:row>
      <xdr:rowOff>131971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6811626"/>
          <a:ext cx="5248275" cy="893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48</xdr:row>
      <xdr:rowOff>1</xdr:rowOff>
    </xdr:from>
    <xdr:to>
      <xdr:col>10</xdr:col>
      <xdr:colOff>0</xdr:colOff>
      <xdr:row>61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48</xdr:row>
      <xdr:rowOff>0</xdr:rowOff>
    </xdr:from>
    <xdr:to>
      <xdr:col>14</xdr:col>
      <xdr:colOff>0</xdr:colOff>
      <xdr:row>61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35</xdr:row>
      <xdr:rowOff>0</xdr:rowOff>
    </xdr:from>
    <xdr:to>
      <xdr:col>10</xdr:col>
      <xdr:colOff>0</xdr:colOff>
      <xdr:row>47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0</xdr:colOff>
      <xdr:row>48</xdr:row>
      <xdr:rowOff>0</xdr:rowOff>
    </xdr:from>
    <xdr:to>
      <xdr:col>25</xdr:col>
      <xdr:colOff>0</xdr:colOff>
      <xdr:row>61</xdr:row>
      <xdr:rowOff>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1</xdr:colOff>
      <xdr:row>47</xdr:row>
      <xdr:rowOff>190499</xdr:rowOff>
    </xdr:from>
    <xdr:to>
      <xdr:col>29</xdr:col>
      <xdr:colOff>0</xdr:colOff>
      <xdr:row>61</xdr:row>
      <xdr:rowOff>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0</xdr:colOff>
      <xdr:row>35</xdr:row>
      <xdr:rowOff>0</xdr:rowOff>
    </xdr:from>
    <xdr:to>
      <xdr:col>25</xdr:col>
      <xdr:colOff>0</xdr:colOff>
      <xdr:row>47</xdr:row>
      <xdr:rowOff>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30</xdr:row>
          <xdr:rowOff>0</xdr:rowOff>
        </xdr:from>
        <xdr:to>
          <xdr:col>19</xdr:col>
          <xdr:colOff>0</xdr:colOff>
          <xdr:row>31</xdr:row>
          <xdr:rowOff>0</xdr:rowOff>
        </xdr:to>
        <xdr:sp macro="" textlink="">
          <xdr:nvSpPr>
            <xdr:cNvPr id="1026" name="Scroll Ba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6</xdr:col>
      <xdr:colOff>0</xdr:colOff>
      <xdr:row>64</xdr:row>
      <xdr:rowOff>0</xdr:rowOff>
    </xdr:from>
    <xdr:to>
      <xdr:col>10</xdr:col>
      <xdr:colOff>0</xdr:colOff>
      <xdr:row>76</xdr:row>
      <xdr:rowOff>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0</xdr:colOff>
      <xdr:row>77</xdr:row>
      <xdr:rowOff>0</xdr:rowOff>
    </xdr:from>
    <xdr:to>
      <xdr:col>10</xdr:col>
      <xdr:colOff>0</xdr:colOff>
      <xdr:row>90</xdr:row>
      <xdr:rowOff>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0</xdr:colOff>
      <xdr:row>77</xdr:row>
      <xdr:rowOff>0</xdr:rowOff>
    </xdr:from>
    <xdr:to>
      <xdr:col>14</xdr:col>
      <xdr:colOff>0</xdr:colOff>
      <xdr:row>90</xdr:row>
      <xdr:rowOff>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_Multiple_Regression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_Simple_Regres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Коэффициенты"/>
      <sheetName val="Диагр расс (матричная)"/>
      <sheetName val="Диагр расс (в плоск регрессии)"/>
      <sheetName val="Тренд"/>
      <sheetName val="Статистика"/>
      <sheetName val="Интервалы"/>
      <sheetName val="Надстройка"/>
      <sheetName val="Матричная форма"/>
      <sheetName val="EXCEL2.RU"/>
    </sheetNames>
    <sheetDataSet>
      <sheetData sheetId="0" refreshError="1"/>
      <sheetData sheetId="1" refreshError="1"/>
      <sheetData sheetId="2">
        <row r="14">
          <cell r="W14">
            <v>0.99977393136379633</v>
          </cell>
          <cell r="X14">
            <v>2.1262317968162643E-2</v>
          </cell>
          <cell r="Y14">
            <v>0</v>
          </cell>
        </row>
        <row r="18">
          <cell r="V18">
            <v>-0.55808723839385066</v>
          </cell>
        </row>
        <row r="19">
          <cell r="V19">
            <v>0.82978228128945086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нейный"/>
      <sheetName val="Диаграмма рассеяния"/>
      <sheetName val="Матричная форма"/>
      <sheetName val="Интервалы"/>
      <sheetName val="Адекватность"/>
      <sheetName val="Надстройка"/>
      <sheetName val="EXCEL2.RU"/>
    </sheetNames>
    <sheetDataSet>
      <sheetData sheetId="0" refreshError="1"/>
      <sheetData sheetId="1" refreshError="1"/>
      <sheetData sheetId="2" refreshError="1"/>
      <sheetData sheetId="3">
        <row r="53">
          <cell r="B53">
            <v>400</v>
          </cell>
          <cell r="C53">
            <v>1861.8778078086916</v>
          </cell>
        </row>
        <row r="54">
          <cell r="B54">
            <v>410</v>
          </cell>
          <cell r="C54">
            <v>2083.3868376064643</v>
          </cell>
        </row>
        <row r="55">
          <cell r="B55">
            <v>420</v>
          </cell>
          <cell r="C55">
            <v>1186.9681527470932</v>
          </cell>
        </row>
        <row r="56">
          <cell r="B56">
            <v>430</v>
          </cell>
          <cell r="C56">
            <v>2075.67220921324</v>
          </cell>
        </row>
        <row r="57">
          <cell r="B57">
            <v>440</v>
          </cell>
          <cell r="C57">
            <v>1164.5543001707729</v>
          </cell>
        </row>
        <row r="58">
          <cell r="B58">
            <v>450</v>
          </cell>
          <cell r="C58">
            <v>1623.2375129496709</v>
          </cell>
        </row>
        <row r="59">
          <cell r="B59">
            <v>460</v>
          </cell>
          <cell r="C59">
            <v>2169.9357913451181</v>
          </cell>
        </row>
        <row r="60">
          <cell r="B60">
            <v>470</v>
          </cell>
          <cell r="C60">
            <v>762.26895570758438</v>
          </cell>
        </row>
        <row r="61">
          <cell r="B61">
            <v>480</v>
          </cell>
          <cell r="C61">
            <v>1734.5079825235032</v>
          </cell>
        </row>
        <row r="62">
          <cell r="B62">
            <v>490</v>
          </cell>
          <cell r="C62">
            <v>1417.7209642604039</v>
          </cell>
        </row>
        <row r="63">
          <cell r="B63">
            <v>500</v>
          </cell>
          <cell r="C63">
            <v>1146.8108782409595</v>
          </cell>
        </row>
        <row r="64">
          <cell r="B64">
            <v>510</v>
          </cell>
          <cell r="C64">
            <v>2205.5637447464237</v>
          </cell>
        </row>
        <row r="65">
          <cell r="B65">
            <v>520</v>
          </cell>
          <cell r="C65">
            <v>2442.2974639345903</v>
          </cell>
        </row>
        <row r="66">
          <cell r="B66">
            <v>530</v>
          </cell>
          <cell r="C66">
            <v>1847.8018795702126</v>
          </cell>
        </row>
        <row r="67">
          <cell r="B67">
            <v>540</v>
          </cell>
          <cell r="C67">
            <v>2579.5084210577552</v>
          </cell>
        </row>
        <row r="68">
          <cell r="B68">
            <v>550</v>
          </cell>
          <cell r="C68">
            <v>2308.8916725197719</v>
          </cell>
        </row>
        <row r="69">
          <cell r="B69">
            <v>560</v>
          </cell>
          <cell r="C69">
            <v>2747.6978933168325</v>
          </cell>
        </row>
        <row r="70">
          <cell r="B70">
            <v>570</v>
          </cell>
          <cell r="C70">
            <v>1193.0368252998069</v>
          </cell>
        </row>
        <row r="71">
          <cell r="B71">
            <v>580</v>
          </cell>
          <cell r="C71">
            <v>2500.7500712508458</v>
          </cell>
        </row>
        <row r="72">
          <cell r="B72">
            <v>590</v>
          </cell>
          <cell r="C72">
            <v>2221.881870556168</v>
          </cell>
        </row>
        <row r="73">
          <cell r="B73">
            <v>600</v>
          </cell>
          <cell r="C73">
            <v>2147.8783830950811</v>
          </cell>
        </row>
        <row r="74">
          <cell r="B74">
            <v>610</v>
          </cell>
          <cell r="C74">
            <v>2337.9091059575953</v>
          </cell>
        </row>
        <row r="75">
          <cell r="B75">
            <v>620</v>
          </cell>
          <cell r="C75">
            <v>2022.9607830979526</v>
          </cell>
        </row>
        <row r="76">
          <cell r="B76">
            <v>630</v>
          </cell>
          <cell r="C76">
            <v>2697.3952031504018</v>
          </cell>
        </row>
        <row r="77">
          <cell r="B77">
            <v>640</v>
          </cell>
          <cell r="C77">
            <v>2111.3637411829836</v>
          </cell>
        </row>
        <row r="78">
          <cell r="B78">
            <v>650</v>
          </cell>
          <cell r="C78">
            <v>2205.1356292578394</v>
          </cell>
        </row>
        <row r="79">
          <cell r="B79">
            <v>660</v>
          </cell>
          <cell r="C79">
            <v>2204.3475222296383</v>
          </cell>
        </row>
        <row r="80">
          <cell r="B80">
            <v>670</v>
          </cell>
          <cell r="C80">
            <v>2311.1542260484889</v>
          </cell>
        </row>
        <row r="81">
          <cell r="B81">
            <v>680</v>
          </cell>
          <cell r="C81">
            <v>2148.2358146153783</v>
          </cell>
        </row>
        <row r="82">
          <cell r="B82">
            <v>690</v>
          </cell>
          <cell r="C82">
            <v>1977.0666188189614</v>
          </cell>
        </row>
        <row r="83">
          <cell r="B83">
            <v>700</v>
          </cell>
          <cell r="C83">
            <v>2237.2696235523904</v>
          </cell>
        </row>
        <row r="84">
          <cell r="B84">
            <v>710</v>
          </cell>
          <cell r="C84">
            <v>2229.9888965822888</v>
          </cell>
        </row>
        <row r="85">
          <cell r="B85">
            <v>720</v>
          </cell>
          <cell r="C85">
            <v>2420.0886756193809</v>
          </cell>
        </row>
        <row r="86">
          <cell r="B86">
            <v>730</v>
          </cell>
          <cell r="C86">
            <v>2527.947572167559</v>
          </cell>
        </row>
        <row r="87">
          <cell r="B87">
            <v>740</v>
          </cell>
          <cell r="C87">
            <v>2240.2504739646965</v>
          </cell>
        </row>
        <row r="88">
          <cell r="B88">
            <v>750</v>
          </cell>
          <cell r="C88">
            <v>1916.4044203556086</v>
          </cell>
        </row>
        <row r="89">
          <cell r="B89">
            <v>760</v>
          </cell>
          <cell r="C89">
            <v>2081.5326974983905</v>
          </cell>
        </row>
        <row r="90">
          <cell r="B90">
            <v>770</v>
          </cell>
          <cell r="C90">
            <v>3002.3330618701088</v>
          </cell>
        </row>
        <row r="91">
          <cell r="B91">
            <v>780</v>
          </cell>
          <cell r="C91">
            <v>2376.8907989984327</v>
          </cell>
        </row>
        <row r="92">
          <cell r="B92">
            <v>790</v>
          </cell>
          <cell r="C92">
            <v>2645.3015556703185</v>
          </cell>
        </row>
        <row r="93">
          <cell r="B93">
            <v>800</v>
          </cell>
          <cell r="C93">
            <v>3033.4928307684368</v>
          </cell>
        </row>
        <row r="94">
          <cell r="B94">
            <v>810</v>
          </cell>
          <cell r="C94">
            <v>2982.7016466966102</v>
          </cell>
        </row>
        <row r="95">
          <cell r="B95">
            <v>820</v>
          </cell>
          <cell r="C95">
            <v>3045.2312636600082</v>
          </cell>
        </row>
        <row r="96">
          <cell r="B96">
            <v>830</v>
          </cell>
          <cell r="C96">
            <v>2245.5518454675439</v>
          </cell>
        </row>
        <row r="97">
          <cell r="B97">
            <v>840</v>
          </cell>
          <cell r="C97">
            <v>2110.7743067534539</v>
          </cell>
        </row>
        <row r="98">
          <cell r="B98">
            <v>850</v>
          </cell>
          <cell r="C98">
            <v>2632.9050782388331</v>
          </cell>
        </row>
        <row r="99">
          <cell r="B99">
            <v>860</v>
          </cell>
          <cell r="C99">
            <v>2465.1179590200081</v>
          </cell>
        </row>
        <row r="100">
          <cell r="B100">
            <v>870</v>
          </cell>
          <cell r="C100">
            <v>2899.5921524933742</v>
          </cell>
        </row>
        <row r="101">
          <cell r="B101">
            <v>880</v>
          </cell>
          <cell r="C101">
            <v>2192.1097859622155</v>
          </cell>
        </row>
        <row r="102">
          <cell r="B102">
            <v>890</v>
          </cell>
          <cell r="C102">
            <v>2431.3520641281393</v>
          </cell>
        </row>
        <row r="103">
          <cell r="B103">
            <v>900</v>
          </cell>
          <cell r="C103">
            <v>2621.884204083874</v>
          </cell>
        </row>
        <row r="104">
          <cell r="B104">
            <v>910</v>
          </cell>
          <cell r="C104">
            <v>2383.9962350184469</v>
          </cell>
        </row>
        <row r="105">
          <cell r="B105">
            <v>920</v>
          </cell>
          <cell r="C105">
            <v>2276.3147213267985</v>
          </cell>
        </row>
        <row r="106">
          <cell r="B106">
            <v>930</v>
          </cell>
          <cell r="C106">
            <v>3613.2271633270516</v>
          </cell>
        </row>
        <row r="107">
          <cell r="B107">
            <v>940</v>
          </cell>
          <cell r="C107">
            <v>2758.8245296184828</v>
          </cell>
        </row>
        <row r="108">
          <cell r="B108">
            <v>950</v>
          </cell>
          <cell r="C108">
            <v>3057.0589223407687</v>
          </cell>
        </row>
        <row r="109">
          <cell r="B109">
            <v>960</v>
          </cell>
          <cell r="C109">
            <v>2625.3610021158188</v>
          </cell>
        </row>
        <row r="110">
          <cell r="B110">
            <v>970</v>
          </cell>
          <cell r="C110">
            <v>2695.555168510065</v>
          </cell>
        </row>
        <row r="111">
          <cell r="B111">
            <v>980</v>
          </cell>
          <cell r="C111">
            <v>3332.2454947633037</v>
          </cell>
        </row>
        <row r="112">
          <cell r="B112">
            <v>990</v>
          </cell>
          <cell r="C112">
            <v>2006.3811889416306</v>
          </cell>
        </row>
        <row r="113">
          <cell r="B113">
            <v>1000</v>
          </cell>
          <cell r="C113">
            <v>3420.621112229167</v>
          </cell>
        </row>
      </sheetData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xcel2.ru/articles/podrobnyy-razbor-zadachi-primera-mnozhestvennoy-regressii-v-ms-excel?utm_source=organic_file&amp;utm_medium=file&amp;utm_campaign=file_download" TargetMode="External"/><Relationship Id="rId1" Type="http://schemas.openxmlformats.org/officeDocument/2006/relationships/hyperlink" Target="http://www.excel2.r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excel2.ru/articles/podrobnyy-razbor-zadachi-primera-mnozhestvennoy-regressii-v-ms-excel?utm_source=organic_file&amp;utm_medium=file&amp;utm_campaign=file_download" TargetMode="External"/><Relationship Id="rId1" Type="http://schemas.openxmlformats.org/officeDocument/2006/relationships/hyperlink" Target="http://www.excel2.ru/" TargetMode="External"/><Relationship Id="rId6" Type="http://schemas.openxmlformats.org/officeDocument/2006/relationships/ctrlProp" Target="../ctrlProps/ctrlProp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excel2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9"/>
  <sheetViews>
    <sheetView tabSelected="1" topLeftCell="A7" workbookViewId="0">
      <selection activeCell="I28" sqref="I28"/>
    </sheetView>
  </sheetViews>
  <sheetFormatPr defaultRowHeight="12.75" x14ac:dyDescent="0.2"/>
  <cols>
    <col min="1" max="1" width="17.7109375" style="49" customWidth="1"/>
    <col min="2" max="2" width="16.42578125" style="49" customWidth="1"/>
    <col min="3" max="3" width="20.5703125" style="49" customWidth="1"/>
    <col min="4" max="4" width="11.140625" style="49" customWidth="1"/>
    <col min="5" max="5" width="13.5703125" style="49" bestFit="1" customWidth="1"/>
    <col min="6" max="6" width="12" style="49" bestFit="1" customWidth="1"/>
    <col min="7" max="7" width="12.85546875" style="49" customWidth="1"/>
    <col min="8" max="8" width="10.7109375" style="49" bestFit="1" customWidth="1"/>
    <col min="9" max="9" width="9.28515625" style="49" bestFit="1" customWidth="1"/>
    <col min="10" max="10" width="13.140625" style="49" bestFit="1" customWidth="1"/>
    <col min="11" max="11" width="9.140625" style="49"/>
    <col min="12" max="12" width="12" style="49" bestFit="1" customWidth="1"/>
    <col min="13" max="16384" width="9.140625" style="49"/>
  </cols>
  <sheetData>
    <row r="1" spans="1:14" ht="26.25" x14ac:dyDescent="0.2">
      <c r="A1" s="48" t="s">
        <v>56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</row>
    <row r="2" spans="1:14" ht="15.75" x14ac:dyDescent="0.25">
      <c r="A2" s="47" t="s">
        <v>55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</row>
    <row r="3" spans="1:14" ht="18.75" x14ac:dyDescent="0.2">
      <c r="A3" s="45" t="s">
        <v>57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</row>
    <row r="4" spans="1:14" ht="15.75" x14ac:dyDescent="0.25">
      <c r="A4" s="44" t="s">
        <v>91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</row>
    <row r="5" spans="1:14" ht="53.25" customHeight="1" x14ac:dyDescent="0.2">
      <c r="L5" s="50"/>
    </row>
    <row r="6" spans="1:14" x14ac:dyDescent="0.2">
      <c r="A6" s="56" t="s">
        <v>63</v>
      </c>
      <c r="B6" s="56">
        <f>COUNT(B12:B36)</f>
        <v>25</v>
      </c>
      <c r="C6" s="60" t="s">
        <v>74</v>
      </c>
      <c r="L6" s="50"/>
    </row>
    <row r="7" spans="1:14" x14ac:dyDescent="0.2">
      <c r="A7" s="56" t="s">
        <v>64</v>
      </c>
      <c r="B7" s="56">
        <f>COUNT(I28:I30)</f>
        <v>3</v>
      </c>
      <c r="C7" s="60" t="s">
        <v>73</v>
      </c>
      <c r="L7" s="50"/>
    </row>
    <row r="8" spans="1:14" x14ac:dyDescent="0.2">
      <c r="A8" s="56" t="s">
        <v>71</v>
      </c>
      <c r="B8" s="56">
        <f>COUNTA(B11:C11)</f>
        <v>2</v>
      </c>
      <c r="C8" s="60" t="s">
        <v>72</v>
      </c>
      <c r="L8" s="50"/>
    </row>
    <row r="9" spans="1:14" x14ac:dyDescent="0.2">
      <c r="A9" s="56" t="s">
        <v>94</v>
      </c>
      <c r="B9" s="56">
        <f>B6-B7</f>
        <v>22</v>
      </c>
      <c r="C9" s="60" t="s">
        <v>95</v>
      </c>
      <c r="L9" s="50"/>
    </row>
    <row r="10" spans="1:14" x14ac:dyDescent="0.2">
      <c r="L10" s="50"/>
    </row>
    <row r="11" spans="1:14" x14ac:dyDescent="0.2">
      <c r="A11" s="59" t="s">
        <v>61</v>
      </c>
      <c r="B11" s="70" t="s">
        <v>131</v>
      </c>
      <c r="C11" s="70" t="s">
        <v>132</v>
      </c>
      <c r="D11" s="70" t="s">
        <v>44</v>
      </c>
      <c r="E11" s="59" t="s">
        <v>92</v>
      </c>
      <c r="F11" s="59" t="s">
        <v>93</v>
      </c>
      <c r="H11" s="62" t="s">
        <v>96</v>
      </c>
      <c r="I11" s="62"/>
      <c r="J11" s="62"/>
      <c r="L11" s="61" t="s">
        <v>112</v>
      </c>
    </row>
    <row r="12" spans="1:14" x14ac:dyDescent="0.2">
      <c r="A12" s="56">
        <v>1</v>
      </c>
      <c r="B12" s="58">
        <v>7</v>
      </c>
      <c r="C12" s="58">
        <v>560</v>
      </c>
      <c r="D12" s="57">
        <v>16.68</v>
      </c>
      <c r="E12" s="57">
        <f t="shared" ref="E12:E36" si="0">$I$28+$I$29*B12+$I$30*C12</f>
        <v>21.708084322563931</v>
      </c>
      <c r="F12" s="57">
        <f>D12-E12</f>
        <v>-5.0280843225639309</v>
      </c>
      <c r="H12" s="56">
        <f t="array" ref="H12:J14">MMULT(TRANSPOSE(A12:C36),A12:C36)</f>
        <v>25</v>
      </c>
      <c r="I12" s="56">
        <v>219</v>
      </c>
      <c r="J12" s="56">
        <v>10232</v>
      </c>
      <c r="L12" s="59" t="s">
        <v>60</v>
      </c>
      <c r="M12" s="59" t="s">
        <v>59</v>
      </c>
      <c r="N12" s="59" t="s">
        <v>44</v>
      </c>
    </row>
    <row r="13" spans="1:14" x14ac:dyDescent="0.2">
      <c r="A13" s="56">
        <v>1</v>
      </c>
      <c r="B13" s="58">
        <v>3</v>
      </c>
      <c r="C13" s="58">
        <v>220</v>
      </c>
      <c r="D13" s="57">
        <v>11.5</v>
      </c>
      <c r="E13" s="57">
        <f t="shared" si="0"/>
        <v>10.353614553240602</v>
      </c>
      <c r="F13" s="57">
        <f t="shared" ref="F13:F36" si="1">D13-E13</f>
        <v>1.1463854467593979</v>
      </c>
      <c r="H13" s="56">
        <v>219</v>
      </c>
      <c r="I13" s="56">
        <v>3055</v>
      </c>
      <c r="J13" s="56">
        <v>133899</v>
      </c>
      <c r="L13" s="71">
        <v>12.5</v>
      </c>
      <c r="M13" s="71">
        <v>300</v>
      </c>
      <c r="N13" s="57">
        <f>TREND(D12:D36,B12:C36,L13:M13)</f>
        <v>26.855519154472312</v>
      </c>
    </row>
    <row r="14" spans="1:14" x14ac:dyDescent="0.2">
      <c r="A14" s="56">
        <v>1</v>
      </c>
      <c r="B14" s="58">
        <v>3</v>
      </c>
      <c r="C14" s="58">
        <v>340</v>
      </c>
      <c r="D14" s="57">
        <v>12.03</v>
      </c>
      <c r="E14" s="57">
        <f t="shared" si="0"/>
        <v>12.079793703906375</v>
      </c>
      <c r="F14" s="57">
        <f t="shared" si="1"/>
        <v>-4.9793703906376052E-2</v>
      </c>
      <c r="H14" s="56">
        <v>10232</v>
      </c>
      <c r="I14" s="56">
        <v>133899</v>
      </c>
      <c r="J14" s="56">
        <v>6725688</v>
      </c>
    </row>
    <row r="15" spans="1:14" x14ac:dyDescent="0.2">
      <c r="A15" s="56">
        <v>1</v>
      </c>
      <c r="B15" s="58">
        <v>4</v>
      </c>
      <c r="C15" s="58">
        <v>80</v>
      </c>
      <c r="D15" s="57">
        <v>14.88</v>
      </c>
      <c r="E15" s="57">
        <f t="shared" si="0"/>
        <v>9.955646088073113</v>
      </c>
      <c r="F15" s="57">
        <f t="shared" si="1"/>
        <v>4.9243539119268878</v>
      </c>
    </row>
    <row r="16" spans="1:14" x14ac:dyDescent="0.2">
      <c r="A16" s="56">
        <v>1</v>
      </c>
      <c r="B16" s="58">
        <v>6</v>
      </c>
      <c r="C16" s="58">
        <v>150</v>
      </c>
      <c r="D16" s="57">
        <v>13.75</v>
      </c>
      <c r="E16" s="57">
        <f t="shared" si="0"/>
        <v>14.194398347179966</v>
      </c>
      <c r="F16" s="57">
        <f t="shared" si="1"/>
        <v>-0.44439834717996618</v>
      </c>
      <c r="H16" s="62" t="s">
        <v>98</v>
      </c>
      <c r="I16" s="62"/>
      <c r="J16" s="62"/>
    </row>
    <row r="17" spans="1:13" x14ac:dyDescent="0.2">
      <c r="A17" s="56">
        <v>1</v>
      </c>
      <c r="B17" s="58">
        <v>7</v>
      </c>
      <c r="C17" s="58">
        <v>330</v>
      </c>
      <c r="D17" s="57">
        <v>18.11</v>
      </c>
      <c r="E17" s="57">
        <f t="shared" si="0"/>
        <v>18.399574283787867</v>
      </c>
      <c r="F17" s="57">
        <f t="shared" si="1"/>
        <v>-0.28957428378786787</v>
      </c>
      <c r="H17" s="56">
        <f t="array" ref="H17:J19">MINVERSE(H12:J14)</f>
        <v>0.11321518611235105</v>
      </c>
      <c r="I17" s="56">
        <v>-4.4485932353407051E-3</v>
      </c>
      <c r="J17" s="56">
        <v>-8.3672569807384634E-5</v>
      </c>
    </row>
    <row r="18" spans="1:13" x14ac:dyDescent="0.2">
      <c r="A18" s="56">
        <v>1</v>
      </c>
      <c r="B18" s="58">
        <v>2</v>
      </c>
      <c r="C18" s="58">
        <v>110</v>
      </c>
      <c r="D18" s="57">
        <v>8</v>
      </c>
      <c r="E18" s="57">
        <f t="shared" si="0"/>
        <v>7.1553764545210674</v>
      </c>
      <c r="F18" s="57">
        <f t="shared" si="1"/>
        <v>0.84462354547893259</v>
      </c>
      <c r="H18" s="56">
        <v>-4.4485932353406938E-3</v>
      </c>
      <c r="I18" s="56">
        <v>2.7437832908544747E-3</v>
      </c>
      <c r="J18" s="56">
        <v>-4.7857086572870677E-5</v>
      </c>
    </row>
    <row r="19" spans="1:13" x14ac:dyDescent="0.2">
      <c r="A19" s="56">
        <v>1</v>
      </c>
      <c r="B19" s="58">
        <v>7</v>
      </c>
      <c r="C19" s="58">
        <v>210</v>
      </c>
      <c r="D19" s="57">
        <v>17.829999999999998</v>
      </c>
      <c r="E19" s="57">
        <f t="shared" si="0"/>
        <v>16.673395133122096</v>
      </c>
      <c r="F19" s="57">
        <f t="shared" si="1"/>
        <v>1.1566048668779025</v>
      </c>
      <c r="H19" s="56">
        <v>-8.3672569807385122E-5</v>
      </c>
      <c r="I19" s="56">
        <v>-4.785708657287065E-5</v>
      </c>
      <c r="J19" s="56">
        <v>1.2287447424397281E-6</v>
      </c>
    </row>
    <row r="20" spans="1:13" x14ac:dyDescent="0.2">
      <c r="A20" s="56">
        <v>1</v>
      </c>
      <c r="B20" s="58">
        <v>30</v>
      </c>
      <c r="C20" s="58">
        <v>1460</v>
      </c>
      <c r="D20" s="57">
        <v>79.239999999999995</v>
      </c>
      <c r="E20" s="57">
        <f t="shared" si="0"/>
        <v>71.820293796569828</v>
      </c>
      <c r="F20" s="57">
        <f t="shared" si="1"/>
        <v>7.4197062034301666</v>
      </c>
    </row>
    <row r="21" spans="1:13" x14ac:dyDescent="0.2">
      <c r="A21" s="56">
        <v>1</v>
      </c>
      <c r="B21" s="58">
        <v>5</v>
      </c>
      <c r="C21" s="58">
        <v>605</v>
      </c>
      <c r="D21" s="57">
        <v>21.5</v>
      </c>
      <c r="E21" s="57">
        <f t="shared" si="0"/>
        <v>19.123587082845109</v>
      </c>
      <c r="F21" s="57">
        <f t="shared" si="1"/>
        <v>2.3764129171548909</v>
      </c>
      <c r="H21" s="59" t="s">
        <v>97</v>
      </c>
    </row>
    <row r="22" spans="1:13" x14ac:dyDescent="0.2">
      <c r="A22" s="56">
        <v>1</v>
      </c>
      <c r="B22" s="58">
        <v>16</v>
      </c>
      <c r="C22" s="58">
        <v>688</v>
      </c>
      <c r="D22" s="57">
        <v>40.33</v>
      </c>
      <c r="E22" s="57">
        <f t="shared" si="0"/>
        <v>38.092506978757285</v>
      </c>
      <c r="F22" s="57">
        <f t="shared" si="1"/>
        <v>2.2374930212427131</v>
      </c>
      <c r="H22" s="56">
        <f t="array" ref="H22:H24">MMULT(TRANSPOSE(A12:C36),D12:D36)</f>
        <v>559.6</v>
      </c>
    </row>
    <row r="23" spans="1:13" x14ac:dyDescent="0.2">
      <c r="A23" s="56">
        <v>1</v>
      </c>
      <c r="B23" s="58">
        <v>10</v>
      </c>
      <c r="C23" s="58">
        <v>215</v>
      </c>
      <c r="D23" s="57">
        <v>21</v>
      </c>
      <c r="E23" s="57">
        <f t="shared" si="0"/>
        <v>21.593040896227567</v>
      </c>
      <c r="F23" s="57">
        <f t="shared" si="1"/>
        <v>-0.59304089622756706</v>
      </c>
      <c r="H23" s="56">
        <v>7375.44</v>
      </c>
    </row>
    <row r="24" spans="1:13" x14ac:dyDescent="0.2">
      <c r="A24" s="56">
        <v>1</v>
      </c>
      <c r="B24" s="58">
        <v>4</v>
      </c>
      <c r="C24" s="58">
        <v>255</v>
      </c>
      <c r="D24" s="57">
        <v>13.5</v>
      </c>
      <c r="E24" s="57">
        <f t="shared" si="0"/>
        <v>12.47299068279403</v>
      </c>
      <c r="F24" s="57">
        <f t="shared" si="1"/>
        <v>1.0270093172059696</v>
      </c>
      <c r="H24" s="56">
        <v>337071.69</v>
      </c>
    </row>
    <row r="25" spans="1:13" x14ac:dyDescent="0.2">
      <c r="A25" s="56">
        <v>1</v>
      </c>
      <c r="B25" s="58">
        <v>6</v>
      </c>
      <c r="C25" s="58">
        <v>462</v>
      </c>
      <c r="D25" s="57">
        <v>19.75</v>
      </c>
      <c r="E25" s="57">
        <f t="shared" si="0"/>
        <v>18.682464138910973</v>
      </c>
      <c r="F25" s="57">
        <f t="shared" si="1"/>
        <v>1.0675358610890271</v>
      </c>
    </row>
    <row r="26" spans="1:13" x14ac:dyDescent="0.2">
      <c r="A26" s="56">
        <v>1</v>
      </c>
      <c r="B26" s="58">
        <v>9</v>
      </c>
      <c r="C26" s="58">
        <v>448</v>
      </c>
      <c r="D26" s="57">
        <v>24</v>
      </c>
      <c r="E26" s="57">
        <f t="shared" si="0"/>
        <v>23.328798203161032</v>
      </c>
      <c r="F26" s="57">
        <f t="shared" si="1"/>
        <v>0.67120179683896808</v>
      </c>
      <c r="H26" s="61" t="s">
        <v>62</v>
      </c>
    </row>
    <row r="27" spans="1:13" x14ac:dyDescent="0.2">
      <c r="A27" s="56">
        <v>1</v>
      </c>
      <c r="B27" s="58">
        <v>10</v>
      </c>
      <c r="C27" s="58">
        <v>776</v>
      </c>
      <c r="D27" s="57">
        <v>29</v>
      </c>
      <c r="E27" s="57">
        <f t="shared" si="0"/>
        <v>29.662928425590053</v>
      </c>
      <c r="F27" s="57">
        <f t="shared" si="1"/>
        <v>-0.66292842559005294</v>
      </c>
      <c r="H27" s="49" t="s">
        <v>110</v>
      </c>
      <c r="L27" s="49" t="s">
        <v>111</v>
      </c>
    </row>
    <row r="28" spans="1:13" x14ac:dyDescent="0.2">
      <c r="A28" s="56">
        <v>1</v>
      </c>
      <c r="B28" s="58">
        <v>6</v>
      </c>
      <c r="C28" s="58">
        <v>200</v>
      </c>
      <c r="D28" s="57">
        <v>15.35</v>
      </c>
      <c r="E28" s="57">
        <f t="shared" si="0"/>
        <v>14.913639659957372</v>
      </c>
      <c r="F28" s="57">
        <f t="shared" si="1"/>
        <v>0.43636034004262747</v>
      </c>
      <c r="H28" s="56" t="s">
        <v>20</v>
      </c>
      <c r="I28" s="56">
        <f t="array" ref="I28:I30">MMULT(H17:J19,H22:H24)</f>
        <v>2.3412311451922889</v>
      </c>
      <c r="J28" s="56">
        <f t="array" ref="J28:J30">MMULT(
MINVERSE(MMULT(TRANSPOSE(A12:C36),A12:C36)),
MMULT(TRANSPOSE(A12:C36),D12:D36)
)</f>
        <v>2.3412311451922889</v>
      </c>
      <c r="L28" s="56" t="s">
        <v>21</v>
      </c>
      <c r="M28" s="56">
        <f t="array" ref="M28:M30">TRANSPOSE(LINEST(D12:D36,B12:C36))</f>
        <v>1.4384826255548114E-2</v>
      </c>
    </row>
    <row r="29" spans="1:13" x14ac:dyDescent="0.2">
      <c r="A29" s="56">
        <v>1</v>
      </c>
      <c r="B29" s="58">
        <v>7</v>
      </c>
      <c r="C29" s="58">
        <v>132</v>
      </c>
      <c r="D29" s="57">
        <v>19</v>
      </c>
      <c r="E29" s="57">
        <f t="shared" si="0"/>
        <v>15.551378685189345</v>
      </c>
      <c r="F29" s="57">
        <f t="shared" si="1"/>
        <v>3.448621314810655</v>
      </c>
      <c r="H29" s="56" t="s">
        <v>22</v>
      </c>
      <c r="I29" s="56">
        <v>1.6159072106092438</v>
      </c>
      <c r="J29" s="56">
        <v>1.6159072106092438</v>
      </c>
      <c r="L29" s="56" t="s">
        <v>22</v>
      </c>
      <c r="M29" s="56">
        <v>1.6159072106092534</v>
      </c>
    </row>
    <row r="30" spans="1:13" x14ac:dyDescent="0.2">
      <c r="A30" s="56">
        <v>1</v>
      </c>
      <c r="B30" s="57">
        <v>3</v>
      </c>
      <c r="C30" s="58">
        <v>36</v>
      </c>
      <c r="D30" s="57">
        <v>9.5</v>
      </c>
      <c r="E30" s="57">
        <f t="shared" si="0"/>
        <v>7.7068065222197522</v>
      </c>
      <c r="F30" s="57">
        <f t="shared" si="1"/>
        <v>1.7931934777802478</v>
      </c>
      <c r="H30" s="56" t="s">
        <v>21</v>
      </c>
      <c r="I30" s="56">
        <v>1.43848262555481E-2</v>
      </c>
      <c r="J30" s="56">
        <v>1.43848262555481E-2</v>
      </c>
      <c r="L30" s="56" t="s">
        <v>20</v>
      </c>
      <c r="M30" s="56">
        <v>2.3412311451922099</v>
      </c>
    </row>
    <row r="31" spans="1:13" x14ac:dyDescent="0.2">
      <c r="A31" s="56">
        <v>1</v>
      </c>
      <c r="B31" s="58">
        <v>17</v>
      </c>
      <c r="C31" s="58">
        <v>770</v>
      </c>
      <c r="D31" s="57">
        <v>35.1</v>
      </c>
      <c r="E31" s="57">
        <f t="shared" si="0"/>
        <v>40.887969942321469</v>
      </c>
      <c r="F31" s="57">
        <f t="shared" si="1"/>
        <v>-5.7879699423214674</v>
      </c>
    </row>
    <row r="32" spans="1:13" x14ac:dyDescent="0.2">
      <c r="A32" s="56">
        <v>1</v>
      </c>
      <c r="B32" s="58">
        <v>10</v>
      </c>
      <c r="C32" s="58">
        <v>140</v>
      </c>
      <c r="D32" s="57">
        <v>17.899999999999999</v>
      </c>
      <c r="E32" s="57">
        <f t="shared" si="0"/>
        <v>20.514178927061462</v>
      </c>
      <c r="F32" s="57">
        <f t="shared" si="1"/>
        <v>-2.614178927061463</v>
      </c>
      <c r="H32" s="61" t="s">
        <v>99</v>
      </c>
    </row>
    <row r="33" spans="1:10" x14ac:dyDescent="0.2">
      <c r="A33" s="56">
        <v>1</v>
      </c>
      <c r="B33" s="58">
        <v>26</v>
      </c>
      <c r="C33" s="58">
        <v>810</v>
      </c>
      <c r="D33" s="57">
        <v>52.32</v>
      </c>
      <c r="E33" s="57">
        <f t="shared" si="0"/>
        <v>56.006527888026589</v>
      </c>
      <c r="F33" s="57">
        <f t="shared" si="1"/>
        <v>-3.686527888026589</v>
      </c>
      <c r="H33" s="56" t="s">
        <v>65</v>
      </c>
      <c r="J33" s="56" t="s">
        <v>100</v>
      </c>
    </row>
    <row r="34" spans="1:10" x14ac:dyDescent="0.2">
      <c r="A34" s="56">
        <v>1</v>
      </c>
      <c r="B34" s="58">
        <v>9</v>
      </c>
      <c r="C34" s="58">
        <v>450</v>
      </c>
      <c r="D34" s="57">
        <v>18.75</v>
      </c>
      <c r="E34" s="57">
        <f t="shared" si="0"/>
        <v>23.35756785567213</v>
      </c>
      <c r="F34" s="57">
        <f t="shared" si="1"/>
        <v>-4.60756785567213</v>
      </c>
      <c r="H34" s="56">
        <f t="array" ref="H34">MMULT(TRANSPOSE(F12:F36),F12:F36)</f>
        <v>233.73167742055276</v>
      </c>
      <c r="J34" s="56">
        <f>H34/B9</f>
        <v>10.62416715547967</v>
      </c>
    </row>
    <row r="35" spans="1:10" x14ac:dyDescent="0.2">
      <c r="A35" s="56">
        <v>1</v>
      </c>
      <c r="B35" s="58">
        <v>8</v>
      </c>
      <c r="C35" s="58">
        <v>635</v>
      </c>
      <c r="D35" s="57">
        <v>19.829999999999998</v>
      </c>
      <c r="E35" s="57">
        <f t="shared" si="0"/>
        <v>24.402853502339283</v>
      </c>
      <c r="F35" s="57">
        <f t="shared" si="1"/>
        <v>-4.5728535023392851</v>
      </c>
      <c r="H35" s="56">
        <f>SUMSQ(F12:F36)</f>
        <v>233.73167742055276</v>
      </c>
      <c r="J35" s="56">
        <f>J38^2</f>
        <v>10.624167155479679</v>
      </c>
    </row>
    <row r="36" spans="1:10" x14ac:dyDescent="0.2">
      <c r="A36" s="56">
        <v>1</v>
      </c>
      <c r="B36" s="58">
        <v>4</v>
      </c>
      <c r="C36" s="58">
        <v>150</v>
      </c>
      <c r="D36" s="57">
        <v>10.75</v>
      </c>
      <c r="E36" s="57">
        <f t="shared" si="0"/>
        <v>10.962583925961479</v>
      </c>
      <c r="F36" s="57">
        <f t="shared" si="1"/>
        <v>-0.21258392596147857</v>
      </c>
      <c r="H36" s="56">
        <f>INDEX(LINEST(D12:D36,B12:C36,,TRUE),5,2)</f>
        <v>233.73167742055293</v>
      </c>
    </row>
    <row r="37" spans="1:10" x14ac:dyDescent="0.2">
      <c r="H37" s="51"/>
      <c r="J37" s="61" t="s">
        <v>137</v>
      </c>
    </row>
    <row r="38" spans="1:10" x14ac:dyDescent="0.2">
      <c r="A38" s="56" t="s">
        <v>101</v>
      </c>
      <c r="B38" s="56"/>
      <c r="C38" s="56"/>
      <c r="D38" s="56">
        <f>AVERAGE(D12:D36)</f>
        <v>22.384</v>
      </c>
      <c r="E38" s="56">
        <f>AVERAGE(E12:E36)</f>
        <v>22.383999999999997</v>
      </c>
      <c r="H38" s="51"/>
      <c r="J38" s="56">
        <f>INDEX(LINEST(D12:D36,B12:C36,TRUE,TRUE),3,2)</f>
        <v>3.2594734475800964</v>
      </c>
    </row>
    <row r="40" spans="1:10" x14ac:dyDescent="0.2">
      <c r="A40" s="61" t="s">
        <v>102</v>
      </c>
    </row>
    <row r="41" spans="1:10" x14ac:dyDescent="0.2">
      <c r="A41" s="49" t="s">
        <v>69</v>
      </c>
    </row>
    <row r="43" spans="1:10" x14ac:dyDescent="0.2">
      <c r="A43" s="56" t="s">
        <v>103</v>
      </c>
      <c r="B43" s="56">
        <f>SUMSQ(D12:D36)-SUM(D12:D36)^2/B6</f>
        <v>5784.5425999999952</v>
      </c>
    </row>
    <row r="44" spans="1:10" x14ac:dyDescent="0.2">
      <c r="A44" s="56" t="str">
        <f>H33</f>
        <v>SSres=SSE</v>
      </c>
      <c r="B44" s="56">
        <f>H34</f>
        <v>233.73167742055276</v>
      </c>
    </row>
    <row r="45" spans="1:10" x14ac:dyDescent="0.2">
      <c r="A45" s="56" t="s">
        <v>66</v>
      </c>
      <c r="B45" s="56">
        <f>J34</f>
        <v>10.62416715547967</v>
      </c>
    </row>
    <row r="46" spans="1:10" x14ac:dyDescent="0.2">
      <c r="A46" s="56" t="s">
        <v>75</v>
      </c>
      <c r="B46" s="56">
        <f>SUMXMY2(E12:E36,A12:A36*E38)</f>
        <v>5550.8109225793951</v>
      </c>
      <c r="C46" s="56">
        <f>G47-SUM(D12:D36)^2/B6</f>
        <v>5550.810922579416</v>
      </c>
      <c r="D46" s="56">
        <f>INDEX(LINEST(D12:D36,B12:C36,,TRUE),5,1)</f>
        <v>5550.810922579446</v>
      </c>
      <c r="E46" s="56">
        <f>B43-B44</f>
        <v>5550.8109225794424</v>
      </c>
      <c r="G46" s="59" t="s">
        <v>76</v>
      </c>
    </row>
    <row r="47" spans="1:10" x14ac:dyDescent="0.2">
      <c r="A47" s="56" t="s">
        <v>77</v>
      </c>
      <c r="B47" s="56">
        <f>B46/B8</f>
        <v>2775.4054612896975</v>
      </c>
      <c r="G47" s="56">
        <f t="array" ref="G47">MMULT(TRANSPOSE(I28:I30),H22:H24)</f>
        <v>18076.897322579418</v>
      </c>
    </row>
    <row r="48" spans="1:10" x14ac:dyDescent="0.2">
      <c r="A48" s="56" t="s">
        <v>78</v>
      </c>
      <c r="B48" s="56">
        <f>B47/B45</f>
        <v>261.23510866056125</v>
      </c>
      <c r="C48" s="56">
        <f>INDEX(LINEST(D12:D36,B12:C36,,TRUE),4,1)</f>
        <v>261.23510866056341</v>
      </c>
    </row>
    <row r="50" spans="1:2" ht="25.5" x14ac:dyDescent="0.2">
      <c r="A50" s="63" t="s">
        <v>79</v>
      </c>
      <c r="B50" s="66">
        <v>0.05</v>
      </c>
    </row>
    <row r="51" spans="1:2" ht="38.25" x14ac:dyDescent="0.2">
      <c r="A51" s="63" t="s">
        <v>104</v>
      </c>
      <c r="B51" s="56">
        <f>_xlfn.F.INV.RT(B50,B8, B9)</f>
        <v>3.4433567793667246</v>
      </c>
    </row>
    <row r="52" spans="1:2" x14ac:dyDescent="0.2">
      <c r="A52" s="49" t="s">
        <v>82</v>
      </c>
    </row>
    <row r="53" spans="1:2" x14ac:dyDescent="0.2">
      <c r="A53" s="56" t="b">
        <f>B48&gt;B51</f>
        <v>1</v>
      </c>
    </row>
    <row r="55" spans="1:2" x14ac:dyDescent="0.2">
      <c r="A55" s="61" t="s">
        <v>105</v>
      </c>
    </row>
    <row r="56" spans="1:2" x14ac:dyDescent="0.2">
      <c r="A56" s="56" t="s">
        <v>81</v>
      </c>
      <c r="B56" s="56">
        <f>_xlfn.F.DIST.RT(B48,B8,B6-B7)</f>
        <v>4.6874222077501866E-16</v>
      </c>
    </row>
    <row r="57" spans="1:2" x14ac:dyDescent="0.2">
      <c r="A57" s="56" t="s">
        <v>80</v>
      </c>
      <c r="B57" s="56" t="b">
        <f>B56&lt;B50</f>
        <v>1</v>
      </c>
    </row>
    <row r="59" spans="1:2" x14ac:dyDescent="0.2">
      <c r="A59" s="61" t="s">
        <v>106</v>
      </c>
    </row>
    <row r="60" spans="1:2" x14ac:dyDescent="0.2">
      <c r="A60" s="52">
        <f>B46/B43</f>
        <v>0.95959374948321752</v>
      </c>
      <c r="B60" s="52">
        <f>INDEX(LINEST(D12:D36,B12:C36,,TRUE),3,1)</f>
        <v>0.95959374948322573</v>
      </c>
    </row>
    <row r="61" spans="1:2" x14ac:dyDescent="0.2">
      <c r="A61" s="61" t="s">
        <v>107</v>
      </c>
    </row>
    <row r="62" spans="1:2" x14ac:dyDescent="0.2">
      <c r="A62" s="52">
        <f>1-B45/B43*(B6-1)</f>
        <v>0.95592045398170078</v>
      </c>
    </row>
    <row r="64" spans="1:2" x14ac:dyDescent="0.2">
      <c r="A64" s="61" t="s">
        <v>108</v>
      </c>
    </row>
    <row r="65" spans="1:9" x14ac:dyDescent="0.2">
      <c r="A65" s="60" t="s">
        <v>120</v>
      </c>
    </row>
    <row r="67" spans="1:9" x14ac:dyDescent="0.2">
      <c r="A67" s="60" t="s">
        <v>119</v>
      </c>
    </row>
    <row r="68" spans="1:9" x14ac:dyDescent="0.2">
      <c r="A68" s="56"/>
      <c r="B68" s="65">
        <v>0</v>
      </c>
      <c r="C68" s="65">
        <v>1</v>
      </c>
      <c r="D68" s="65">
        <v>2</v>
      </c>
      <c r="F68" s="54" t="s">
        <v>85</v>
      </c>
      <c r="G68" s="72">
        <f>B50</f>
        <v>0.05</v>
      </c>
      <c r="H68" s="67" t="s">
        <v>86</v>
      </c>
    </row>
    <row r="69" spans="1:9" x14ac:dyDescent="0.2">
      <c r="A69" s="65">
        <v>0</v>
      </c>
      <c r="B69" s="64">
        <f t="shared" ref="B69:D71" si="2">H17</f>
        <v>0.11321518611235105</v>
      </c>
      <c r="C69" s="56">
        <f t="shared" si="2"/>
        <v>-4.4485932353407051E-3</v>
      </c>
      <c r="D69" s="56">
        <f t="shared" si="2"/>
        <v>-8.3672569807384634E-5</v>
      </c>
      <c r="F69" s="54" t="s">
        <v>87</v>
      </c>
      <c r="G69" s="54">
        <f>B9</f>
        <v>22</v>
      </c>
      <c r="H69" s="35"/>
    </row>
    <row r="70" spans="1:9" x14ac:dyDescent="0.2">
      <c r="A70" s="65">
        <v>1</v>
      </c>
      <c r="B70" s="56">
        <f t="shared" si="2"/>
        <v>-4.4485932353406938E-3</v>
      </c>
      <c r="C70" s="64">
        <f t="shared" si="2"/>
        <v>2.7437832908544747E-3</v>
      </c>
      <c r="D70" s="56">
        <f t="shared" si="2"/>
        <v>-4.7857086572870677E-5</v>
      </c>
      <c r="F70" s="54" t="s">
        <v>88</v>
      </c>
      <c r="G70" s="55">
        <f>_xlfn.T.INV.2T(G68,G69)</f>
        <v>2.0738730679040258</v>
      </c>
      <c r="H70" s="35"/>
    </row>
    <row r="71" spans="1:9" x14ac:dyDescent="0.2">
      <c r="A71" s="65">
        <v>2</v>
      </c>
      <c r="B71" s="56">
        <f t="shared" si="2"/>
        <v>-8.3672569807385122E-5</v>
      </c>
      <c r="C71" s="56">
        <f t="shared" si="2"/>
        <v>-4.785708657287065E-5</v>
      </c>
      <c r="D71" s="64">
        <f t="shared" si="2"/>
        <v>1.2287447424397281E-6</v>
      </c>
      <c r="G71" s="55">
        <f>-_xlfn.T.INV(B50/2,B9)</f>
        <v>2.0738730679040258</v>
      </c>
    </row>
    <row r="73" spans="1:9" ht="39.75" x14ac:dyDescent="0.2">
      <c r="A73" s="73" t="s">
        <v>109</v>
      </c>
      <c r="B73" s="73" t="s">
        <v>144</v>
      </c>
      <c r="C73" s="73" t="s">
        <v>145</v>
      </c>
      <c r="D73" s="73" t="s">
        <v>83</v>
      </c>
      <c r="E73" s="94" t="s">
        <v>113</v>
      </c>
      <c r="H73" s="73" t="s">
        <v>81</v>
      </c>
      <c r="I73" s="94" t="s">
        <v>113</v>
      </c>
    </row>
    <row r="74" spans="1:9" x14ac:dyDescent="0.2">
      <c r="A74" s="56" t="str">
        <f>"se(b"&amp;A69&amp;")"</f>
        <v>se(b0)</v>
      </c>
      <c r="B74" s="56">
        <f>$J$38*SQRT(B69)</f>
        <v>1.0967301681801038</v>
      </c>
      <c r="C74" s="56">
        <f>INDEX(LINEST($D$12:$D$36,$B$12:$C$36,TRUE,TRUE),2,3)</f>
        <v>1.0967301681801043</v>
      </c>
      <c r="D74" s="56">
        <f>I28/B74</f>
        <v>2.1347376165253937</v>
      </c>
      <c r="E74" s="68" t="b">
        <f>ABS(D74)&gt;$G$70</f>
        <v>1</v>
      </c>
      <c r="F74" s="53"/>
      <c r="H74" s="56">
        <f>_xlfn.T.DIST.2T(ABS(D74),$B$6-$B$7)</f>
        <v>4.4170124156742513E-2</v>
      </c>
      <c r="I74" s="68" t="b">
        <f>G68&gt;H74</f>
        <v>1</v>
      </c>
    </row>
    <row r="75" spans="1:9" x14ac:dyDescent="0.2">
      <c r="A75" s="56" t="str">
        <f>"se(b"&amp;A70&amp;")"</f>
        <v>se(b1)</v>
      </c>
      <c r="B75" s="56">
        <f>$J$38*SQRT(C70)</f>
        <v>0.17073491828108878</v>
      </c>
      <c r="C75" s="56">
        <f>INDEX(LINEST($D$12:$D$36,$B$12:$C$36,TRUE,TRUE),2,2)</f>
        <v>0.17073491828108878</v>
      </c>
      <c r="D75" s="56">
        <f>I29/B75</f>
        <v>9.4644213783433635</v>
      </c>
      <c r="E75" s="68" t="b">
        <f t="shared" ref="E75:E76" si="3">ABS(D75)&gt;$G$70</f>
        <v>1</v>
      </c>
      <c r="H75" s="56">
        <f>_xlfn.T.DIST.2T(ABS(D75),$B$6-$B$7)</f>
        <v>3.2549315736660391E-9</v>
      </c>
      <c r="I75" s="68" t="b">
        <f t="shared" ref="I75:I76" si="4">G69&gt;H75</f>
        <v>1</v>
      </c>
    </row>
    <row r="76" spans="1:9" x14ac:dyDescent="0.2">
      <c r="A76" s="56" t="str">
        <f>"se(b"&amp;A71&amp;")"</f>
        <v>se(b2)</v>
      </c>
      <c r="B76" s="56">
        <f>$J$38*SQRT(D71)</f>
        <v>3.6130858743041935E-3</v>
      </c>
      <c r="C76" s="56">
        <f>INDEX(LINEST($D$12:$D$36,$B$12:$C$36,TRUE,TRUE),2,1)</f>
        <v>3.6130858743041953E-3</v>
      </c>
      <c r="D76" s="56">
        <f>I30/B76</f>
        <v>3.9813131367430681</v>
      </c>
      <c r="E76" s="68" t="b">
        <f t="shared" si="3"/>
        <v>1</v>
      </c>
      <c r="H76" s="56">
        <f>_xlfn.T.DIST.2T(ABS(D76),$B$6-$B$7)</f>
        <v>6.3124686224285569E-4</v>
      </c>
      <c r="I76" s="68" t="b">
        <f t="shared" si="4"/>
        <v>1</v>
      </c>
    </row>
    <row r="79" spans="1:9" x14ac:dyDescent="0.2">
      <c r="A79" s="61" t="s">
        <v>114</v>
      </c>
    </row>
    <row r="81" spans="1:6" x14ac:dyDescent="0.2">
      <c r="A81" s="56" t="s">
        <v>61</v>
      </c>
      <c r="B81" s="57" t="s">
        <v>60</v>
      </c>
      <c r="C81" s="57" t="s">
        <v>59</v>
      </c>
      <c r="E81" s="59" t="s">
        <v>84</v>
      </c>
    </row>
    <row r="82" spans="1:6" x14ac:dyDescent="0.2">
      <c r="A82" s="66">
        <v>1</v>
      </c>
      <c r="B82" s="66">
        <v>8</v>
      </c>
      <c r="C82" s="66">
        <v>275</v>
      </c>
      <c r="E82" s="56">
        <f t="array" ref="E82">SUMPRODUCT(A82:C82,TRANSPOSE(I28:I30))</f>
        <v>19.224316050341969</v>
      </c>
    </row>
    <row r="83" spans="1:6" x14ac:dyDescent="0.2">
      <c r="E83" s="56">
        <f>TREND(D12:D36,B12:C36,B82:C82)</f>
        <v>19.224316050341969</v>
      </c>
    </row>
    <row r="85" spans="1:6" ht="25.5" x14ac:dyDescent="0.2">
      <c r="A85" s="56"/>
      <c r="B85" s="73" t="s">
        <v>117</v>
      </c>
      <c r="C85" s="59" t="s">
        <v>118</v>
      </c>
    </row>
    <row r="86" spans="1:6" ht="25.5" x14ac:dyDescent="0.2">
      <c r="A86" s="63" t="s">
        <v>115</v>
      </c>
      <c r="B86" s="56">
        <f>SQRT(J34*E86)</f>
        <v>0.75724065663840145</v>
      </c>
      <c r="C86" s="56">
        <f>SQRT(J34*(1+E86))</f>
        <v>3.3462786147518901</v>
      </c>
      <c r="E86" s="57">
        <f t="array" ref="E86">MMULT(MMULT(A82:C82,MINVERSE(H12:J14)),TRANSPOSE(A82:C82))</f>
        <v>5.397255179389808E-2</v>
      </c>
      <c r="F86" s="60" t="s">
        <v>116</v>
      </c>
    </row>
    <row r="87" spans="1:6" x14ac:dyDescent="0.2">
      <c r="A87" s="56" t="s">
        <v>89</v>
      </c>
      <c r="B87" s="69">
        <f>$E$82+$G$70*B$86</f>
        <v>20.79473705406631</v>
      </c>
      <c r="C87" s="69">
        <f>$E$82+$G$70*C$86</f>
        <v>26.164073147179103</v>
      </c>
    </row>
    <row r="88" spans="1:6" x14ac:dyDescent="0.2">
      <c r="A88" s="56" t="s">
        <v>90</v>
      </c>
      <c r="B88" s="69">
        <f>$E$82-$G$70*B$86</f>
        <v>17.653895046617627</v>
      </c>
      <c r="C88" s="69">
        <f>$E$82-$G$70*C$86</f>
        <v>12.284558953504833</v>
      </c>
    </row>
    <row r="89" spans="1:6" x14ac:dyDescent="0.2">
      <c r="A89" s="56" t="s">
        <v>121</v>
      </c>
      <c r="B89" s="69">
        <f>B87-B88</f>
        <v>3.1408420074486827</v>
      </c>
      <c r="C89" s="69">
        <f>C87-C88</f>
        <v>13.87951419367427</v>
      </c>
    </row>
    <row r="92" spans="1:6" ht="15.75" x14ac:dyDescent="0.25">
      <c r="A92" s="95" t="s">
        <v>146</v>
      </c>
      <c r="B92" s="95"/>
      <c r="C92" s="95"/>
      <c r="D92" s="95"/>
      <c r="E92" s="95"/>
      <c r="F92" s="95"/>
    </row>
    <row r="93" spans="1:6" ht="38.25" customHeight="1" thickBot="1" x14ac:dyDescent="0.3">
      <c r="A93" s="26" t="s">
        <v>122</v>
      </c>
      <c r="B93"/>
      <c r="C93"/>
      <c r="D93"/>
      <c r="E93"/>
      <c r="F93"/>
    </row>
    <row r="94" spans="1:6" ht="15" x14ac:dyDescent="0.25">
      <c r="A94" s="93" t="s">
        <v>143</v>
      </c>
      <c r="B94" s="74" t="s">
        <v>123</v>
      </c>
      <c r="C94" s="74" t="s">
        <v>124</v>
      </c>
      <c r="D94" s="74" t="s">
        <v>125</v>
      </c>
      <c r="E94" s="74" t="s">
        <v>126</v>
      </c>
      <c r="F94" s="74" t="s">
        <v>81</v>
      </c>
    </row>
    <row r="95" spans="1:6" ht="15" x14ac:dyDescent="0.25">
      <c r="A95" s="75" t="s">
        <v>127</v>
      </c>
      <c r="B95" s="76">
        <f>B8</f>
        <v>2</v>
      </c>
      <c r="C95" s="80">
        <f>B46</f>
        <v>5550.8109225793951</v>
      </c>
      <c r="D95" s="80">
        <f>C95/B95</f>
        <v>2775.4054612896975</v>
      </c>
      <c r="E95" s="82">
        <f>D95/D96</f>
        <v>261.23510866056125</v>
      </c>
      <c r="F95" s="76">
        <f>_xlfn.F.DIST.RT(E95,B95,B96)</f>
        <v>4.6874222077501866E-16</v>
      </c>
    </row>
    <row r="96" spans="1:6" ht="15" x14ac:dyDescent="0.25">
      <c r="A96" s="75" t="s">
        <v>128</v>
      </c>
      <c r="B96" s="76">
        <f>B9</f>
        <v>22</v>
      </c>
      <c r="C96" s="80">
        <f>B44</f>
        <v>233.73167742055276</v>
      </c>
      <c r="D96" s="80">
        <f>C96/B96</f>
        <v>10.62416715547967</v>
      </c>
      <c r="E96" s="75"/>
      <c r="F96" s="75"/>
    </row>
    <row r="97" spans="1:6" ht="15.75" thickBot="1" x14ac:dyDescent="0.3">
      <c r="A97" s="77" t="s">
        <v>129</v>
      </c>
      <c r="B97" s="78">
        <f>B95+B96</f>
        <v>24</v>
      </c>
      <c r="C97" s="81">
        <f>B43</f>
        <v>5784.5425999999952</v>
      </c>
      <c r="D97" s="79"/>
      <c r="E97" s="77"/>
      <c r="F97" s="77"/>
    </row>
    <row r="99" spans="1:6" x14ac:dyDescent="0.2">
      <c r="A99" s="61" t="s">
        <v>130</v>
      </c>
    </row>
    <row r="100" spans="1:6" x14ac:dyDescent="0.2">
      <c r="A100" s="60" t="str">
        <f>"Время обслуживания="&amp;TEXT(I28,"0,000")&amp;IF(I29=ABS(I29),"+","")&amp;TEXT(I29,"0,000")&amp;"*"&amp;A104&amp;IF(I30=ABS(I30),"+","")&amp;TEXT(I30,"0,000")&amp;"*"&amp;A105</f>
        <v>Время обслуживания=2,341+1,616*Кол-во напитков+0,014*Расстояние</v>
      </c>
    </row>
    <row r="102" spans="1:6" ht="38.25" x14ac:dyDescent="0.2">
      <c r="A102" s="84" t="s">
        <v>133</v>
      </c>
      <c r="B102" s="85" t="s">
        <v>141</v>
      </c>
      <c r="C102" s="84" t="s">
        <v>136</v>
      </c>
      <c r="D102" s="85" t="str">
        <f>D73</f>
        <v>t-статистика</v>
      </c>
      <c r="E102" s="85" t="str">
        <f>F94</f>
        <v>р-значение</v>
      </c>
      <c r="F102" s="83"/>
    </row>
    <row r="103" spans="1:6" x14ac:dyDescent="0.2">
      <c r="A103" s="86" t="s">
        <v>140</v>
      </c>
      <c r="B103" s="87">
        <f>I28</f>
        <v>2.3412311451922889</v>
      </c>
      <c r="C103" s="87">
        <f>B74</f>
        <v>1.0967301681801038</v>
      </c>
      <c r="D103" s="69">
        <f>D74</f>
        <v>2.1347376165253937</v>
      </c>
      <c r="E103" s="87">
        <f>_xlfn.T.DIST.2T(D103,$B$9)</f>
        <v>4.4170124156742513E-2</v>
      </c>
    </row>
    <row r="104" spans="1:6" x14ac:dyDescent="0.2">
      <c r="A104" s="88" t="s">
        <v>134</v>
      </c>
      <c r="B104" s="89">
        <f>I29</f>
        <v>1.6159072106092438</v>
      </c>
      <c r="C104" s="89">
        <f>B75</f>
        <v>0.17073491828108878</v>
      </c>
      <c r="D104" s="69">
        <f>D75</f>
        <v>9.4644213783433635</v>
      </c>
      <c r="E104" s="87">
        <f t="shared" ref="E104:E105" si="5">_xlfn.T.DIST.2T(D104,$B$9)</f>
        <v>3.2549315736660391E-9</v>
      </c>
    </row>
    <row r="105" spans="1:6" x14ac:dyDescent="0.2">
      <c r="A105" s="88" t="s">
        <v>135</v>
      </c>
      <c r="B105" s="90">
        <f>I30</f>
        <v>1.43848262555481E-2</v>
      </c>
      <c r="C105" s="90">
        <f>B76</f>
        <v>3.6130858743041935E-3</v>
      </c>
      <c r="D105" s="69">
        <f>D76</f>
        <v>3.9813131367430681</v>
      </c>
      <c r="E105" s="87">
        <f t="shared" si="5"/>
        <v>6.3124686224285569E-4</v>
      </c>
    </row>
    <row r="107" spans="1:6" x14ac:dyDescent="0.2">
      <c r="A107" s="56" t="s">
        <v>142</v>
      </c>
      <c r="B107" s="91">
        <f>J38</f>
        <v>3.2594734475800964</v>
      </c>
    </row>
    <row r="108" spans="1:6" x14ac:dyDescent="0.2">
      <c r="A108" s="56" t="s">
        <v>138</v>
      </c>
      <c r="B108" s="92">
        <f>A60</f>
        <v>0.95959374948321752</v>
      </c>
    </row>
    <row r="109" spans="1:6" x14ac:dyDescent="0.2">
      <c r="A109" s="56" t="s">
        <v>139</v>
      </c>
      <c r="B109" s="92">
        <f>A62</f>
        <v>0.95592045398170078</v>
      </c>
    </row>
  </sheetData>
  <conditionalFormatting sqref="E74:E76">
    <cfRule type="cellIs" dxfId="1" priority="2" operator="equal">
      <formula>TRUE</formula>
    </cfRule>
  </conditionalFormatting>
  <conditionalFormatting sqref="I74:I76">
    <cfRule type="cellIs" dxfId="0" priority="1" operator="equal">
      <formula>TRUE</formula>
    </cfRule>
  </conditionalFormatting>
  <hyperlinks>
    <hyperlink ref="A1:C1" r:id="rId1" display="Файл скачан с сайта excel2.ru &gt;&gt;&gt;" xr:uid="{00000000-0004-0000-0000-000000000000}"/>
    <hyperlink ref="A2" r:id="rId2" xr:uid="{00000000-0004-0000-0000-000001000000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17"/>
  <sheetViews>
    <sheetView topLeftCell="A2" zoomScaleNormal="100" workbookViewId="0">
      <selection activeCell="A2" sqref="A2"/>
    </sheetView>
  </sheetViews>
  <sheetFormatPr defaultRowHeight="15" x14ac:dyDescent="0.25"/>
  <cols>
    <col min="1" max="1" width="11" customWidth="1"/>
    <col min="2" max="4" width="13.85546875" customWidth="1"/>
    <col min="5" max="5" width="4.28515625" customWidth="1"/>
    <col min="6" max="6" width="3.7109375" bestFit="1" customWidth="1"/>
    <col min="7" max="7" width="11.5703125" customWidth="1"/>
    <col min="8" max="8" width="9.28515625" bestFit="1" customWidth="1"/>
    <col min="9" max="9" width="8.7109375" customWidth="1"/>
    <col min="11" max="14" width="10" customWidth="1"/>
    <col min="15" max="15" width="3.7109375" customWidth="1"/>
    <col min="16" max="16" width="2.85546875" customWidth="1"/>
    <col min="17" max="17" width="11.7109375" customWidth="1"/>
    <col min="18" max="18" width="14.42578125" customWidth="1"/>
    <col min="19" max="19" width="12.7109375" customWidth="1"/>
    <col min="20" max="20" width="8" customWidth="1"/>
    <col min="21" max="21" width="3.7109375" bestFit="1" customWidth="1"/>
    <col min="30" max="30" width="3.7109375" bestFit="1" customWidth="1"/>
  </cols>
  <sheetData>
    <row r="1" spans="1:30" ht="26.25" x14ac:dyDescent="0.25">
      <c r="A1" s="48" t="s">
        <v>56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</row>
    <row r="2" spans="1:30" ht="15.75" x14ac:dyDescent="0.25">
      <c r="A2" s="47" t="s">
        <v>55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</row>
    <row r="3" spans="1:30" ht="18.75" x14ac:dyDescent="0.25">
      <c r="A3" s="45" t="s">
        <v>57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</row>
    <row r="4" spans="1:30" ht="15.75" x14ac:dyDescent="0.25">
      <c r="A4" s="44" t="s">
        <v>54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</row>
    <row r="6" spans="1:30" x14ac:dyDescent="0.25">
      <c r="A6" s="13" t="s">
        <v>53</v>
      </c>
      <c r="G6" s="43" t="s">
        <v>58</v>
      </c>
      <c r="H6" s="42"/>
      <c r="I6" s="42"/>
      <c r="J6" s="42"/>
      <c r="K6" s="42"/>
      <c r="L6" s="42"/>
      <c r="M6" s="42"/>
      <c r="N6" s="42"/>
    </row>
    <row r="7" spans="1:30" ht="24.75" x14ac:dyDescent="0.25">
      <c r="A7" s="25" t="s">
        <v>21</v>
      </c>
      <c r="B7" s="25" t="s">
        <v>22</v>
      </c>
      <c r="C7" s="25" t="s">
        <v>20</v>
      </c>
      <c r="G7" s="41" t="s">
        <v>52</v>
      </c>
      <c r="H7" s="25" t="s">
        <v>51</v>
      </c>
      <c r="I7" s="25" t="s">
        <v>50</v>
      </c>
      <c r="J7" s="25" t="s">
        <v>49</v>
      </c>
      <c r="K7" s="36"/>
    </row>
    <row r="8" spans="1:30" ht="36.75" x14ac:dyDescent="0.25">
      <c r="A8" s="24">
        <f t="array" ref="A8:C8">LINEST(B36:B60,C36:D60)</f>
        <v>1.4384826255548114E-2</v>
      </c>
      <c r="B8" s="24">
        <v>1.6159072106092534</v>
      </c>
      <c r="C8" s="24">
        <v>2.3412311451922099</v>
      </c>
      <c r="G8" s="41" t="s">
        <v>48</v>
      </c>
      <c r="H8" s="25" t="s">
        <v>45</v>
      </c>
      <c r="I8" s="25" t="s">
        <v>44</v>
      </c>
      <c r="J8" s="25" t="s">
        <v>43</v>
      </c>
      <c r="K8" s="25" t="s">
        <v>42</v>
      </c>
    </row>
    <row r="9" spans="1:30" x14ac:dyDescent="0.25">
      <c r="F9" s="40" t="s">
        <v>47</v>
      </c>
      <c r="G9" s="25" t="s">
        <v>41</v>
      </c>
      <c r="H9" s="28">
        <f>A28</f>
        <v>0.71627219194103031</v>
      </c>
      <c r="I9" s="28">
        <f>B28</f>
        <v>0.30130778980148509</v>
      </c>
      <c r="J9" s="32">
        <v>-1</v>
      </c>
      <c r="K9" s="3">
        <f>SQRT(SUMSQ(H9:J9))</f>
        <v>1.2664249828328025</v>
      </c>
    </row>
    <row r="10" spans="1:30" x14ac:dyDescent="0.25">
      <c r="F10" s="40" t="s">
        <v>46</v>
      </c>
      <c r="G10" s="25" t="s">
        <v>39</v>
      </c>
      <c r="H10" s="32">
        <v>0</v>
      </c>
      <c r="I10" s="32">
        <v>0</v>
      </c>
      <c r="J10" s="37">
        <v>1</v>
      </c>
      <c r="K10" s="3">
        <f>SQRT(SUMSQ(H10:J10))</f>
        <v>1</v>
      </c>
    </row>
    <row r="11" spans="1:30" x14ac:dyDescent="0.25">
      <c r="A11" s="39" t="s">
        <v>70</v>
      </c>
    </row>
    <row r="12" spans="1:30" x14ac:dyDescent="0.25">
      <c r="A12" s="25" t="s">
        <v>22</v>
      </c>
      <c r="B12" s="25" t="s">
        <v>21</v>
      </c>
      <c r="C12" s="25" t="s">
        <v>20</v>
      </c>
      <c r="G12" s="3"/>
      <c r="H12" s="3">
        <v>1</v>
      </c>
      <c r="I12" s="3">
        <v>1</v>
      </c>
      <c r="J12" s="3">
        <v>1</v>
      </c>
      <c r="K12" s="25" t="s">
        <v>42</v>
      </c>
    </row>
    <row r="13" spans="1:30" x14ac:dyDescent="0.25">
      <c r="A13" s="32">
        <f>B8</f>
        <v>1.6159072106092534</v>
      </c>
      <c r="B13" s="32">
        <f>A8</f>
        <v>1.4384826255548114E-2</v>
      </c>
      <c r="C13" s="31">
        <f>C8</f>
        <v>2.3412311451922099</v>
      </c>
      <c r="G13" s="25" t="s">
        <v>41</v>
      </c>
      <c r="H13" s="24">
        <f t="shared" ref="H13:J14" si="0">H9/$K9</f>
        <v>0.56558596178262133</v>
      </c>
      <c r="I13" s="24">
        <f t="shared" si="0"/>
        <v>0.23791996674568502</v>
      </c>
      <c r="J13" s="24">
        <f t="shared" si="0"/>
        <v>-0.78962434692590333</v>
      </c>
      <c r="K13" s="3">
        <f>SQRT(SUMSQ(H13:J13))</f>
        <v>1</v>
      </c>
      <c r="M13" s="3" t="s">
        <v>40</v>
      </c>
      <c r="N13" s="3">
        <f>K15</f>
        <v>0.61359057256597471</v>
      </c>
    </row>
    <row r="14" spans="1:30" x14ac:dyDescent="0.25">
      <c r="G14" s="25" t="s">
        <v>39</v>
      </c>
      <c r="H14" s="24">
        <f t="shared" si="0"/>
        <v>0</v>
      </c>
      <c r="I14" s="24">
        <f t="shared" si="0"/>
        <v>0</v>
      </c>
      <c r="J14" s="24">
        <f t="shared" si="0"/>
        <v>1</v>
      </c>
      <c r="K14" s="3">
        <f>SQRT(SUMSQ(H14:J14))</f>
        <v>1</v>
      </c>
      <c r="M14" s="3" t="s">
        <v>38</v>
      </c>
      <c r="N14" s="3">
        <f>SUMPRODUCT(H13:J13,H14:J14)</f>
        <v>-0.78962434692590333</v>
      </c>
    </row>
    <row r="15" spans="1:30" x14ac:dyDescent="0.25">
      <c r="F15" s="38" t="s">
        <v>37</v>
      </c>
      <c r="G15" s="25" t="s">
        <v>36</v>
      </c>
      <c r="H15" s="3">
        <f t="array" ref="H15:J15">TRANSPOSE(MINVERSE(H12:J14))*MDETERM(H12:J14)</f>
        <v>0.23791996674568505</v>
      </c>
      <c r="I15" s="3">
        <v>-0.56558596178262133</v>
      </c>
      <c r="J15" s="3">
        <v>0</v>
      </c>
      <c r="K15" s="3">
        <f>SQRT(SUMSQ(H15:J15))</f>
        <v>0.61359057256597471</v>
      </c>
      <c r="M15" s="37" t="s">
        <v>35</v>
      </c>
      <c r="N15" s="3">
        <f>(1-N14)/(N13*N13)</f>
        <v>4.7534017619795046</v>
      </c>
    </row>
    <row r="17" spans="1:24" x14ac:dyDescent="0.25">
      <c r="A17" s="35"/>
      <c r="B17" s="34" t="str">
        <f>B35</f>
        <v>Y</v>
      </c>
      <c r="C17" s="34" t="str">
        <f>C35</f>
        <v xml:space="preserve">X1 </v>
      </c>
      <c r="D17" s="34" t="str">
        <f>D35</f>
        <v xml:space="preserve">X2 </v>
      </c>
      <c r="G17" s="26" t="s">
        <v>34</v>
      </c>
      <c r="K17" s="26" t="s">
        <v>33</v>
      </c>
    </row>
    <row r="18" spans="1:24" x14ac:dyDescent="0.25">
      <c r="A18" s="34" t="s">
        <v>32</v>
      </c>
      <c r="B18" s="33">
        <f>MIN(B$36:B$60)</f>
        <v>8</v>
      </c>
      <c r="C18" s="33">
        <f>MIN(C$36:C$60)</f>
        <v>2</v>
      </c>
      <c r="D18" s="33">
        <f>MIN(D$36:D$60)</f>
        <v>36</v>
      </c>
      <c r="G18" s="3">
        <v>0</v>
      </c>
      <c r="H18" s="3">
        <f>-J15</f>
        <v>0</v>
      </c>
      <c r="I18" s="3">
        <f>I15</f>
        <v>-0.56558596178262133</v>
      </c>
      <c r="K18" s="3">
        <f t="array" ref="K18:M20">MMULT(G18:I20,G18:I20)</f>
        <v>-0.31988748016557278</v>
      </c>
      <c r="L18" s="3">
        <v>-0.13456419321914756</v>
      </c>
      <c r="M18" s="3">
        <v>0</v>
      </c>
    </row>
    <row r="19" spans="1:24" x14ac:dyDescent="0.25">
      <c r="A19" s="34" t="s">
        <v>31</v>
      </c>
      <c r="B19" s="33">
        <f>MAX(B$36:B$60)</f>
        <v>79.239999999999995</v>
      </c>
      <c r="C19" s="33">
        <f>MAX(C$36:C$60)</f>
        <v>30</v>
      </c>
      <c r="D19" s="33">
        <f>MAX(D$36:D$60)</f>
        <v>1460</v>
      </c>
      <c r="G19" s="3">
        <f>J15</f>
        <v>0</v>
      </c>
      <c r="H19" s="3">
        <v>0</v>
      </c>
      <c r="I19" s="3">
        <f>-H15</f>
        <v>-0.23791996674568505</v>
      </c>
      <c r="K19" s="3">
        <v>-0.13456419321914756</v>
      </c>
      <c r="L19" s="3">
        <v>-5.6605910576267883E-2</v>
      </c>
      <c r="M19" s="3">
        <v>0</v>
      </c>
    </row>
    <row r="20" spans="1:24" x14ac:dyDescent="0.25">
      <c r="A20" s="34" t="s">
        <v>30</v>
      </c>
      <c r="B20" s="33">
        <f>AVERAGE(B$36:B$60)</f>
        <v>22.384</v>
      </c>
      <c r="C20" s="33">
        <f>AVERAGE(C$36:C$60)</f>
        <v>8.76</v>
      </c>
      <c r="D20" s="33">
        <f>AVERAGE(D$36:D$60)</f>
        <v>409.28</v>
      </c>
      <c r="G20" s="3">
        <f>-I15</f>
        <v>0.56558596178262133</v>
      </c>
      <c r="H20" s="3">
        <f>H15</f>
        <v>0.23791996674568505</v>
      </c>
      <c r="I20" s="3">
        <v>0</v>
      </c>
      <c r="K20" s="3">
        <v>0</v>
      </c>
      <c r="L20" s="3">
        <v>0</v>
      </c>
      <c r="M20" s="3">
        <v>-0.37649339074184068</v>
      </c>
    </row>
    <row r="21" spans="1:24" x14ac:dyDescent="0.25">
      <c r="A21" s="34" t="s">
        <v>29</v>
      </c>
      <c r="B21" s="33">
        <f>_xlfn.STDEV.S(B$36:B$60)</f>
        <v>15.524902844569853</v>
      </c>
      <c r="C21" s="33">
        <f>_xlfn.STDEV.S(C$36:C$60)</f>
        <v>6.8816180267918581</v>
      </c>
      <c r="D21" s="33">
        <f>_xlfn.STDEV.S(D$36:D$60)</f>
        <v>325.18808916276953</v>
      </c>
    </row>
    <row r="22" spans="1:24" x14ac:dyDescent="0.25">
      <c r="G22" s="26" t="s">
        <v>28</v>
      </c>
      <c r="K22" s="26" t="s">
        <v>27</v>
      </c>
      <c r="V22" s="26" t="s">
        <v>26</v>
      </c>
    </row>
    <row r="23" spans="1:24" x14ac:dyDescent="0.25">
      <c r="A23" t="s">
        <v>25</v>
      </c>
      <c r="G23" s="30">
        <f t="shared" ref="G23:I25" si="1">K28+G18+K23</f>
        <v>-0.52055371185421739</v>
      </c>
      <c r="H23" s="30">
        <f t="shared" si="1"/>
        <v>-0.63963767314724651</v>
      </c>
      <c r="I23" s="30">
        <f t="shared" si="1"/>
        <v>-0.56558596178262133</v>
      </c>
      <c r="K23" s="29">
        <f t="shared" ref="K23:M25" si="2">K18*$N$15</f>
        <v>-1.5205537118542174</v>
      </c>
      <c r="L23" s="29">
        <f t="shared" si="2"/>
        <v>-0.63963767314724651</v>
      </c>
      <c r="M23" s="29">
        <f t="shared" si="2"/>
        <v>0</v>
      </c>
      <c r="Q23" s="26" t="s">
        <v>24</v>
      </c>
      <c r="V23" s="26" t="s">
        <v>23</v>
      </c>
    </row>
    <row r="24" spans="1:24" x14ac:dyDescent="0.25">
      <c r="A24" s="25" t="s">
        <v>21</v>
      </c>
      <c r="B24" s="25" t="s">
        <v>22</v>
      </c>
      <c r="C24" s="25" t="s">
        <v>20</v>
      </c>
      <c r="G24" s="30">
        <f t="shared" si="1"/>
        <v>-0.63963767314724651</v>
      </c>
      <c r="H24" s="30">
        <f t="shared" si="1"/>
        <v>0.73092936492831395</v>
      </c>
      <c r="I24" s="30">
        <f t="shared" si="1"/>
        <v>-0.23791996674568505</v>
      </c>
      <c r="K24" s="29">
        <f t="shared" si="2"/>
        <v>-0.63963767314724651</v>
      </c>
      <c r="L24" s="29">
        <f t="shared" si="2"/>
        <v>-0.26907063507168605</v>
      </c>
      <c r="M24" s="29">
        <f t="shared" si="2"/>
        <v>0</v>
      </c>
      <c r="Q24" s="1">
        <f t="array" ref="Q24:S26">MMULT(V24:X26,G23:I25)</f>
        <v>-0.52055371185421739</v>
      </c>
      <c r="R24" s="1">
        <v>-0.63963767314724651</v>
      </c>
      <c r="S24" s="1">
        <v>-0.56558596178262133</v>
      </c>
      <c r="V24" s="3">
        <f>COS(R30)</f>
        <v>1</v>
      </c>
      <c r="W24" s="3">
        <f>-SIN(R30)</f>
        <v>0</v>
      </c>
      <c r="X24" s="3">
        <v>0</v>
      </c>
    </row>
    <row r="25" spans="1:24" x14ac:dyDescent="0.25">
      <c r="A25" s="32">
        <f t="array" ref="A25:C25">LINEST(B65:B89,C65:D89)</f>
        <v>0.30130778980148509</v>
      </c>
      <c r="B25" s="32">
        <v>0.71627219194103031</v>
      </c>
      <c r="C25" s="31">
        <v>-8.507591249311676E-17</v>
      </c>
      <c r="G25" s="30">
        <f t="shared" si="1"/>
        <v>0.56558596178262133</v>
      </c>
      <c r="H25" s="30">
        <f t="shared" si="1"/>
        <v>0.23791996674568505</v>
      </c>
      <c r="I25" s="30">
        <f t="shared" si="1"/>
        <v>-0.78962434692590366</v>
      </c>
      <c r="K25" s="29">
        <f t="shared" si="2"/>
        <v>0</v>
      </c>
      <c r="L25" s="29">
        <f t="shared" si="2"/>
        <v>0</v>
      </c>
      <c r="M25" s="29">
        <f t="shared" si="2"/>
        <v>-1.7896243469259037</v>
      </c>
      <c r="Q25" s="1">
        <v>-0.63963767314724651</v>
      </c>
      <c r="R25" s="1">
        <v>0.73092936492831395</v>
      </c>
      <c r="S25" s="1">
        <v>-0.23791996674568505</v>
      </c>
      <c r="V25" s="3">
        <f>SIN(R30)</f>
        <v>0</v>
      </c>
      <c r="W25" s="3">
        <f>COS(R30)</f>
        <v>1</v>
      </c>
      <c r="X25" s="3">
        <v>0</v>
      </c>
    </row>
    <row r="26" spans="1:24" x14ac:dyDescent="0.25">
      <c r="Q26" s="1">
        <v>0.56558596178262133</v>
      </c>
      <c r="R26" s="1">
        <v>0.23791996674568505</v>
      </c>
      <c r="S26" s="1">
        <v>-0.78962434692590366</v>
      </c>
      <c r="V26" s="3">
        <v>0</v>
      </c>
      <c r="W26" s="3">
        <v>0</v>
      </c>
      <c r="X26" s="3">
        <v>1</v>
      </c>
    </row>
    <row r="27" spans="1:24" x14ac:dyDescent="0.25">
      <c r="A27" s="25" t="s">
        <v>22</v>
      </c>
      <c r="B27" s="25" t="s">
        <v>21</v>
      </c>
      <c r="C27" s="25" t="s">
        <v>20</v>
      </c>
      <c r="G27" t="s">
        <v>19</v>
      </c>
      <c r="K27" s="26" t="s">
        <v>18</v>
      </c>
    </row>
    <row r="28" spans="1:24" x14ac:dyDescent="0.25">
      <c r="A28" s="28">
        <f>B25</f>
        <v>0.71627219194103031</v>
      </c>
      <c r="B28" s="27">
        <f>A25</f>
        <v>0.30130778980148509</v>
      </c>
      <c r="C28" s="1">
        <f>C25</f>
        <v>-8.507591249311676E-17</v>
      </c>
      <c r="G28" s="24">
        <f t="array" ref="G28:G30">MMULT(G23:I25,TRANSPOSE(H13:J13))</f>
        <v>-5.5511151231257827E-17</v>
      </c>
      <c r="H28" t="b">
        <f>H14=G28</f>
        <v>0</v>
      </c>
      <c r="K28" s="3">
        <v>1</v>
      </c>
      <c r="L28" s="3">
        <v>0</v>
      </c>
      <c r="M28" s="3">
        <v>0</v>
      </c>
      <c r="Q28" s="26" t="s">
        <v>17</v>
      </c>
    </row>
    <row r="29" spans="1:24" x14ac:dyDescent="0.25">
      <c r="G29" s="24">
        <v>-8.3266726846886741E-17</v>
      </c>
      <c r="H29" t="b">
        <f>I14=G29</f>
        <v>0</v>
      </c>
      <c r="K29" s="3">
        <v>0</v>
      </c>
      <c r="L29" s="3">
        <v>1</v>
      </c>
      <c r="M29" s="3">
        <v>0</v>
      </c>
      <c r="Q29" s="25" t="s">
        <v>16</v>
      </c>
      <c r="R29" s="25" t="s">
        <v>15</v>
      </c>
    </row>
    <row r="30" spans="1:24" x14ac:dyDescent="0.25">
      <c r="G30" s="24">
        <v>1.0000000000000002</v>
      </c>
      <c r="H30" s="23" t="b">
        <f>J14=G30</f>
        <v>1</v>
      </c>
      <c r="K30" s="3">
        <v>0</v>
      </c>
      <c r="L30" s="3">
        <v>0</v>
      </c>
      <c r="M30" s="3">
        <v>1</v>
      </c>
      <c r="Q30" s="22">
        <v>0</v>
      </c>
      <c r="R30" s="3">
        <f>Q30/180*PI()</f>
        <v>0</v>
      </c>
    </row>
    <row r="31" spans="1:24" ht="25.5" customHeight="1" x14ac:dyDescent="0.25">
      <c r="Q31" s="8"/>
      <c r="R31" s="8"/>
    </row>
    <row r="32" spans="1:24" x14ac:dyDescent="0.25">
      <c r="Q32" s="8"/>
      <c r="R32" s="8"/>
    </row>
    <row r="33" spans="1:29" x14ac:dyDescent="0.25">
      <c r="C33" s="8"/>
      <c r="D33" s="8"/>
    </row>
    <row r="34" spans="1:29" ht="37.5" x14ac:dyDescent="0.25">
      <c r="A34" s="21" t="s">
        <v>14</v>
      </c>
      <c r="B34" s="20"/>
      <c r="C34" s="19"/>
      <c r="D34" s="19"/>
      <c r="G34" s="7" t="s">
        <v>13</v>
      </c>
      <c r="H34" s="6"/>
      <c r="I34" s="6"/>
      <c r="J34" s="6"/>
      <c r="K34" s="6"/>
      <c r="L34" s="6"/>
      <c r="M34" s="6"/>
      <c r="N34" s="5"/>
      <c r="Q34" t="s">
        <v>12</v>
      </c>
      <c r="V34" s="18" t="s">
        <v>11</v>
      </c>
      <c r="W34" s="6"/>
      <c r="X34" s="6"/>
      <c r="Y34" s="6"/>
      <c r="Z34" s="6"/>
      <c r="AA34" s="6"/>
      <c r="AB34" s="6"/>
      <c r="AC34" s="5"/>
    </row>
    <row r="35" spans="1:29" ht="29.25" customHeight="1" x14ac:dyDescent="0.25">
      <c r="A35" s="2" t="s">
        <v>10</v>
      </c>
      <c r="B35" s="2" t="s">
        <v>49</v>
      </c>
      <c r="C35" s="2" t="s">
        <v>67</v>
      </c>
      <c r="D35" s="2" t="s">
        <v>68</v>
      </c>
      <c r="F35" s="15"/>
      <c r="G35" s="4" t="str">
        <f>C35</f>
        <v xml:space="preserve">X1 </v>
      </c>
      <c r="H35" s="4"/>
      <c r="I35" s="4"/>
      <c r="J35" s="4"/>
      <c r="L35" s="16" t="s">
        <v>9</v>
      </c>
      <c r="M35" s="17"/>
      <c r="N35" s="16">
        <f>COUNTA(B35:D35)</f>
        <v>3</v>
      </c>
      <c r="Q35" s="2" t="str">
        <f>B35</f>
        <v>Y</v>
      </c>
      <c r="R35" s="2" t="str">
        <f>C35</f>
        <v xml:space="preserve">X1 </v>
      </c>
      <c r="S35" s="2" t="str">
        <f>D35</f>
        <v xml:space="preserve">X2 </v>
      </c>
      <c r="U35" s="15"/>
      <c r="V35" s="4" t="str">
        <f>R35</f>
        <v xml:space="preserve">X1 </v>
      </c>
      <c r="W35" s="4"/>
      <c r="X35" s="4"/>
      <c r="Y35" s="4"/>
    </row>
    <row r="36" spans="1:29" x14ac:dyDescent="0.25">
      <c r="A36" s="11">
        <v>1</v>
      </c>
      <c r="B36" s="1">
        <f>Модель!D12</f>
        <v>16.68</v>
      </c>
      <c r="C36" s="1">
        <f>Модель!B12</f>
        <v>7</v>
      </c>
      <c r="D36" s="1">
        <f>Модель!C12</f>
        <v>560</v>
      </c>
      <c r="F36" s="101" t="str">
        <f>B35</f>
        <v>Y</v>
      </c>
      <c r="L36" s="14" t="s">
        <v>8</v>
      </c>
      <c r="M36" s="11"/>
      <c r="N36" s="14">
        <f>COMBIN(N35,2)</f>
        <v>3</v>
      </c>
      <c r="Q36" s="10">
        <f t="shared" ref="Q36:Q60" si="3">S93</f>
        <v>0.25573736848740458</v>
      </c>
      <c r="R36" s="10">
        <f t="shared" ref="R36:S60" si="4">Q93</f>
        <v>4.44725078338572E-2</v>
      </c>
      <c r="S36" s="10">
        <f t="shared" si="4"/>
        <v>0.58977911725398924</v>
      </c>
      <c r="U36" s="99" t="str">
        <f>Q35</f>
        <v>Y</v>
      </c>
    </row>
    <row r="37" spans="1:29" ht="15" customHeight="1" x14ac:dyDescent="0.25">
      <c r="A37" s="11">
        <v>2</v>
      </c>
      <c r="B37" s="1">
        <f>Модель!D13</f>
        <v>11.5</v>
      </c>
      <c r="C37" s="1">
        <f>Модель!B13</f>
        <v>3</v>
      </c>
      <c r="D37" s="1">
        <f>Модель!C13</f>
        <v>220</v>
      </c>
      <c r="F37" s="101"/>
      <c r="Q37" s="10">
        <f t="shared" si="3"/>
        <v>-5.8307215754293984E-2</v>
      </c>
      <c r="R37" s="10">
        <f t="shared" si="4"/>
        <v>1.2045332128452542</v>
      </c>
      <c r="S37" s="10">
        <f t="shared" si="4"/>
        <v>0.27673554088538088</v>
      </c>
      <c r="U37" s="100"/>
    </row>
    <row r="38" spans="1:29" x14ac:dyDescent="0.25">
      <c r="A38" s="11">
        <v>3</v>
      </c>
      <c r="B38" s="1">
        <f>Модель!D14</f>
        <v>12.03</v>
      </c>
      <c r="C38" s="1">
        <f>Модель!B14</f>
        <v>3</v>
      </c>
      <c r="D38" s="1">
        <f>Модель!C14</f>
        <v>340</v>
      </c>
      <c r="F38" s="101"/>
      <c r="Q38" s="10">
        <f t="shared" si="3"/>
        <v>2.5325969071561261E-3</v>
      </c>
      <c r="R38" s="10">
        <f t="shared" si="4"/>
        <v>0.94918753657332788</v>
      </c>
      <c r="S38" s="10">
        <f t="shared" si="4"/>
        <v>0.53833877436090061</v>
      </c>
      <c r="U38" s="100"/>
    </row>
    <row r="39" spans="1:29" x14ac:dyDescent="0.25">
      <c r="A39" s="11">
        <v>4</v>
      </c>
      <c r="B39" s="1">
        <f>Модель!D15</f>
        <v>14.88</v>
      </c>
      <c r="C39" s="1">
        <f>Модель!B15</f>
        <v>4</v>
      </c>
      <c r="D39" s="1">
        <f>Модель!C15</f>
        <v>80</v>
      </c>
      <c r="F39" s="101"/>
      <c r="Q39" s="10">
        <f t="shared" si="3"/>
        <v>-0.25046145413382487</v>
      </c>
      <c r="R39" s="10">
        <f t="shared" si="4"/>
        <v>1.2811295901049577</v>
      </c>
      <c r="S39" s="10">
        <f t="shared" si="4"/>
        <v>-0.18269163626614254</v>
      </c>
      <c r="U39" s="100"/>
    </row>
    <row r="40" spans="1:29" x14ac:dyDescent="0.25">
      <c r="A40" s="11">
        <v>5</v>
      </c>
      <c r="B40" s="1">
        <f>Модель!D16</f>
        <v>13.75</v>
      </c>
      <c r="C40" s="1">
        <f>Модель!B16</f>
        <v>6</v>
      </c>
      <c r="D40" s="1">
        <f>Модель!C16</f>
        <v>150</v>
      </c>
      <c r="F40" s="101"/>
      <c r="Q40" s="10">
        <f t="shared" si="3"/>
        <v>2.2602895372685228E-2</v>
      </c>
      <c r="R40" s="10">
        <f t="shared" si="4"/>
        <v>1.0333198882704204</v>
      </c>
      <c r="S40" s="10">
        <f t="shared" si="4"/>
        <v>-0.19393190890574913</v>
      </c>
      <c r="U40" s="100"/>
    </row>
    <row r="41" spans="1:29" x14ac:dyDescent="0.25">
      <c r="A41" s="11">
        <v>6</v>
      </c>
      <c r="B41" s="1">
        <f>Модель!D17</f>
        <v>18.11</v>
      </c>
      <c r="C41" s="1">
        <f>Модель!B17</f>
        <v>7</v>
      </c>
      <c r="D41" s="1">
        <f>Модель!C17</f>
        <v>330</v>
      </c>
      <c r="F41" s="101"/>
      <c r="Q41" s="10">
        <f t="shared" si="3"/>
        <v>1.4728266386704103E-2</v>
      </c>
      <c r="R41" s="10">
        <f t="shared" si="4"/>
        <v>0.44478117929587963</v>
      </c>
      <c r="S41" s="10">
        <f t="shared" si="4"/>
        <v>5.0890393062743511E-2</v>
      </c>
      <c r="U41" s="100"/>
    </row>
    <row r="42" spans="1:29" x14ac:dyDescent="0.25">
      <c r="A42" s="11">
        <v>7</v>
      </c>
      <c r="B42" s="1">
        <f>Модель!D18</f>
        <v>8</v>
      </c>
      <c r="C42" s="1">
        <f>Модель!B18</f>
        <v>2</v>
      </c>
      <c r="D42" s="1">
        <f>Модель!C18</f>
        <v>110</v>
      </c>
      <c r="F42" s="101"/>
      <c r="Q42" s="10">
        <f t="shared" si="3"/>
        <v>-4.295906532712146E-2</v>
      </c>
      <c r="R42" s="10">
        <f t="shared" si="4"/>
        <v>1.6240529310948646</v>
      </c>
      <c r="S42" s="10">
        <f t="shared" si="4"/>
        <v>0.17607357480552874</v>
      </c>
      <c r="U42" s="100"/>
    </row>
    <row r="43" spans="1:29" x14ac:dyDescent="0.25">
      <c r="A43" s="11">
        <v>8</v>
      </c>
      <c r="B43" s="1">
        <f>Модель!D19</f>
        <v>17.829999999999998</v>
      </c>
      <c r="C43" s="1">
        <f>Модель!B19</f>
        <v>7</v>
      </c>
      <c r="D43" s="1">
        <f>Модель!C19</f>
        <v>210</v>
      </c>
      <c r="F43" s="101"/>
      <c r="Q43" s="10">
        <f t="shared" si="3"/>
        <v>-5.8826993753409079E-2</v>
      </c>
      <c r="R43" s="10">
        <f t="shared" si="4"/>
        <v>0.69101913413075278</v>
      </c>
      <c r="S43" s="10">
        <f t="shared" si="4"/>
        <v>-0.21454410378890906</v>
      </c>
      <c r="U43" s="100"/>
    </row>
    <row r="44" spans="1:29" x14ac:dyDescent="0.25">
      <c r="A44" s="11">
        <v>9</v>
      </c>
      <c r="B44" s="1">
        <f>Модель!D20</f>
        <v>79.239999999999995</v>
      </c>
      <c r="C44" s="1">
        <f>Модель!B20</f>
        <v>30</v>
      </c>
      <c r="D44" s="1">
        <f>Модель!C20</f>
        <v>1460</v>
      </c>
      <c r="F44" s="101"/>
      <c r="Q44" s="10">
        <f t="shared" si="3"/>
        <v>-0.37737953814729819</v>
      </c>
      <c r="R44" s="10">
        <f t="shared" si="4"/>
        <v>-5.7447375038729254</v>
      </c>
      <c r="S44" s="10">
        <f t="shared" si="4"/>
        <v>-0.48383573876862973</v>
      </c>
      <c r="U44" s="100"/>
    </row>
    <row r="45" spans="1:29" x14ac:dyDescent="0.25">
      <c r="A45" s="11">
        <v>10</v>
      </c>
      <c r="B45" s="1">
        <f>Модель!D21</f>
        <v>21.5</v>
      </c>
      <c r="C45" s="1">
        <f>Модель!B21</f>
        <v>5</v>
      </c>
      <c r="D45" s="1">
        <f>Модель!C21</f>
        <v>605</v>
      </c>
      <c r="F45" s="101"/>
      <c r="Q45" s="10">
        <f t="shared" si="3"/>
        <v>-0.12086861454279979</v>
      </c>
      <c r="R45" s="10">
        <f t="shared" si="4"/>
        <v>-6.8350177783492241E-2</v>
      </c>
      <c r="S45" s="10">
        <f t="shared" si="4"/>
        <v>0.80295689130175807</v>
      </c>
      <c r="U45" s="100"/>
    </row>
    <row r="46" spans="1:29" x14ac:dyDescent="0.25">
      <c r="A46" s="11">
        <v>11</v>
      </c>
      <c r="B46" s="1">
        <f>Модель!D22</f>
        <v>40.33</v>
      </c>
      <c r="C46" s="1">
        <f>Модель!B22</f>
        <v>16</v>
      </c>
      <c r="D46" s="1">
        <f>Модель!C22</f>
        <v>688</v>
      </c>
      <c r="F46" s="101"/>
      <c r="Q46" s="10">
        <f t="shared" si="3"/>
        <v>-0.11380289998194426</v>
      </c>
      <c r="R46" s="10">
        <f t="shared" si="4"/>
        <v>-1.7496878492602348</v>
      </c>
      <c r="S46" s="10">
        <f t="shared" si="4"/>
        <v>-0.3214897780165869</v>
      </c>
      <c r="U46" s="100"/>
    </row>
    <row r="47" spans="1:29" x14ac:dyDescent="0.25">
      <c r="A47" s="11">
        <v>12</v>
      </c>
      <c r="B47" s="1">
        <f>Модель!D23</f>
        <v>21</v>
      </c>
      <c r="C47" s="1">
        <f>Модель!B23</f>
        <v>10</v>
      </c>
      <c r="D47" s="1">
        <f>Модель!C23</f>
        <v>215</v>
      </c>
      <c r="F47" s="101"/>
      <c r="N47" s="13" t="s">
        <v>7</v>
      </c>
      <c r="Q47" s="10">
        <f t="shared" si="3"/>
        <v>3.0163121474724663E-2</v>
      </c>
      <c r="R47" s="10">
        <f t="shared" si="4"/>
        <v>0.33876607790170515</v>
      </c>
      <c r="S47" s="10">
        <f t="shared" si="4"/>
        <v>-0.53073215790863215</v>
      </c>
      <c r="U47" s="102"/>
      <c r="AC47" s="13" t="s">
        <v>7</v>
      </c>
    </row>
    <row r="48" spans="1:29" x14ac:dyDescent="0.25">
      <c r="A48" s="11">
        <v>13</v>
      </c>
      <c r="B48" s="1">
        <f>Модель!D24</f>
        <v>13.5</v>
      </c>
      <c r="C48" s="1">
        <f>Модель!B24</f>
        <v>4</v>
      </c>
      <c r="D48" s="1">
        <f>Модель!C24</f>
        <v>255</v>
      </c>
      <c r="G48" s="12" t="str">
        <f>D35</f>
        <v xml:space="preserve">X2 </v>
      </c>
      <c r="H48" s="12"/>
      <c r="I48" s="12"/>
      <c r="J48" s="12"/>
      <c r="K48" s="12" t="str">
        <f>C35</f>
        <v xml:space="preserve">X1 </v>
      </c>
      <c r="L48" s="12"/>
      <c r="M48" s="12"/>
      <c r="N48" s="12"/>
      <c r="Q48" s="10">
        <f t="shared" si="3"/>
        <v>-5.223553213212262E-2</v>
      </c>
      <c r="R48" s="10">
        <f t="shared" si="4"/>
        <v>0.9871831399838209</v>
      </c>
      <c r="S48" s="10">
        <f t="shared" si="4"/>
        <v>0.23180664232645451</v>
      </c>
      <c r="V48" s="12" t="str">
        <f>S35</f>
        <v xml:space="preserve">X2 </v>
      </c>
      <c r="W48" s="12"/>
      <c r="X48" s="12"/>
      <c r="Y48" s="12"/>
      <c r="Z48" s="12" t="str">
        <f>R35</f>
        <v xml:space="preserve">X1 </v>
      </c>
      <c r="AA48" s="12"/>
      <c r="AB48" s="12"/>
      <c r="AC48" s="12"/>
    </row>
    <row r="49" spans="1:30" ht="15" customHeight="1" x14ac:dyDescent="0.25">
      <c r="A49" s="11">
        <v>14</v>
      </c>
      <c r="B49" s="1">
        <f>Модель!D25</f>
        <v>19.75</v>
      </c>
      <c r="C49" s="1">
        <f>Модель!B25</f>
        <v>6</v>
      </c>
      <c r="D49" s="1">
        <f>Модель!C25</f>
        <v>462</v>
      </c>
      <c r="F49" s="101" t="str">
        <f>B35</f>
        <v>Y</v>
      </c>
      <c r="O49" s="100" t="str">
        <f>D35</f>
        <v xml:space="preserve">X2 </v>
      </c>
      <c r="Q49" s="10">
        <f t="shared" si="3"/>
        <v>-5.4296784693068478E-2</v>
      </c>
      <c r="R49" s="10">
        <f t="shared" si="4"/>
        <v>0.20103757603517497</v>
      </c>
      <c r="S49" s="10">
        <f t="shared" si="4"/>
        <v>0.41540410083265777</v>
      </c>
      <c r="U49" s="100" t="str">
        <f>Q35</f>
        <v>Y</v>
      </c>
      <c r="AD49" s="99" t="str">
        <f>S35</f>
        <v xml:space="preserve">X2 </v>
      </c>
    </row>
    <row r="50" spans="1:30" ht="15" customHeight="1" x14ac:dyDescent="0.25">
      <c r="A50" s="11">
        <v>15</v>
      </c>
      <c r="B50" s="1">
        <f>Модель!D26</f>
        <v>24</v>
      </c>
      <c r="C50" s="1">
        <f>Модель!B26</f>
        <v>9</v>
      </c>
      <c r="D50" s="1">
        <f>Модель!C26</f>
        <v>448</v>
      </c>
      <c r="F50" s="101"/>
      <c r="O50" s="100"/>
      <c r="Q50" s="10">
        <f t="shared" si="3"/>
        <v>-3.4138524781160307E-2</v>
      </c>
      <c r="R50" s="10">
        <f t="shared" si="4"/>
        <v>-0.15318826322125773</v>
      </c>
      <c r="S50" s="10">
        <f t="shared" si="4"/>
        <v>3.9958449554494777E-2</v>
      </c>
      <c r="U50" s="100"/>
      <c r="AD50" s="100"/>
    </row>
    <row r="51" spans="1:30" x14ac:dyDescent="0.25">
      <c r="A51" s="11">
        <v>16</v>
      </c>
      <c r="B51" s="1">
        <f>Модель!D27</f>
        <v>29</v>
      </c>
      <c r="C51" s="1">
        <f>Модель!B27</f>
        <v>10</v>
      </c>
      <c r="D51" s="1">
        <f>Модель!C27</f>
        <v>776</v>
      </c>
      <c r="F51" s="101"/>
      <c r="O51" s="100"/>
      <c r="Q51" s="10">
        <f t="shared" si="3"/>
        <v>3.3717726310813989E-2</v>
      </c>
      <c r="R51" s="10">
        <f t="shared" si="4"/>
        <v>-1.0561554174926153</v>
      </c>
      <c r="S51" s="10">
        <f t="shared" si="4"/>
        <v>0.60763418187402363</v>
      </c>
      <c r="U51" s="100"/>
      <c r="AD51" s="100"/>
    </row>
    <row r="52" spans="1:30" x14ac:dyDescent="0.25">
      <c r="A52" s="11">
        <v>17</v>
      </c>
      <c r="B52" s="1">
        <f>Модель!D28</f>
        <v>15.35</v>
      </c>
      <c r="C52" s="1">
        <f>Модель!B28</f>
        <v>6</v>
      </c>
      <c r="D52" s="1">
        <f>Модель!C28</f>
        <v>200</v>
      </c>
      <c r="F52" s="101"/>
      <c r="O52" s="100"/>
      <c r="Q52" s="10">
        <f t="shared" si="3"/>
        <v>-2.2194067942335471E-2</v>
      </c>
      <c r="R52" s="10">
        <f t="shared" si="4"/>
        <v>0.876681593229375</v>
      </c>
      <c r="S52" s="10">
        <f t="shared" si="4"/>
        <v>-0.10606636458261554</v>
      </c>
      <c r="U52" s="100"/>
      <c r="AD52" s="100"/>
    </row>
    <row r="53" spans="1:30" x14ac:dyDescent="0.25">
      <c r="A53" s="11">
        <v>18</v>
      </c>
      <c r="B53" s="1">
        <f>Модель!D29</f>
        <v>19</v>
      </c>
      <c r="C53" s="1">
        <f>Модель!B29</f>
        <v>7</v>
      </c>
      <c r="D53" s="1">
        <f>Модель!C29</f>
        <v>132</v>
      </c>
      <c r="F53" s="101"/>
      <c r="O53" s="100"/>
      <c r="Q53" s="10">
        <f t="shared" si="3"/>
        <v>-0.17540305280909305</v>
      </c>
      <c r="R53" s="10">
        <f t="shared" si="4"/>
        <v>0.80181924724183717</v>
      </c>
      <c r="S53" s="10">
        <f t="shared" si="4"/>
        <v>-0.40779599908060971</v>
      </c>
      <c r="U53" s="100"/>
      <c r="AD53" s="100"/>
    </row>
    <row r="54" spans="1:30" x14ac:dyDescent="0.25">
      <c r="A54" s="11">
        <v>19</v>
      </c>
      <c r="B54" s="1">
        <f>Модель!D30</f>
        <v>9.5</v>
      </c>
      <c r="C54" s="1">
        <f>Модель!B30</f>
        <v>3</v>
      </c>
      <c r="D54" s="1">
        <f>Модель!C30</f>
        <v>36</v>
      </c>
      <c r="F54" s="101"/>
      <c r="O54" s="100"/>
      <c r="Q54" s="10">
        <f t="shared" si="3"/>
        <v>-9.1205029943186577E-2</v>
      </c>
      <c r="R54" s="10">
        <f t="shared" si="4"/>
        <v>1.6393188548072517</v>
      </c>
      <c r="S54" s="10">
        <f t="shared" si="4"/>
        <v>-0.10619347024936901</v>
      </c>
      <c r="U54" s="100"/>
      <c r="AD54" s="100"/>
    </row>
    <row r="55" spans="1:30" x14ac:dyDescent="0.25">
      <c r="A55" s="11">
        <v>20</v>
      </c>
      <c r="B55" s="1">
        <f>Модель!D31</f>
        <v>35.1</v>
      </c>
      <c r="C55" s="1">
        <f>Модель!B31</f>
        <v>17</v>
      </c>
      <c r="D55" s="1">
        <f>Модель!C31</f>
        <v>770</v>
      </c>
      <c r="F55" s="101"/>
      <c r="O55" s="100"/>
      <c r="Q55" s="10">
        <f t="shared" si="3"/>
        <v>0.29438651123868265</v>
      </c>
      <c r="R55" s="10">
        <f t="shared" si="4"/>
        <v>-1.7960905633353643</v>
      </c>
      <c r="S55" s="10">
        <f t="shared" si="4"/>
        <v>-0.14997604760319042</v>
      </c>
      <c r="U55" s="100"/>
      <c r="AD55" s="100"/>
    </row>
    <row r="56" spans="1:30" x14ac:dyDescent="0.25">
      <c r="A56" s="11">
        <v>21</v>
      </c>
      <c r="B56" s="1">
        <f>Модель!D32</f>
        <v>17.899999999999999</v>
      </c>
      <c r="C56" s="1">
        <f>Модель!B32</f>
        <v>10</v>
      </c>
      <c r="D56" s="1">
        <f>Модель!C32</f>
        <v>140</v>
      </c>
      <c r="F56" s="101"/>
      <c r="O56" s="100"/>
      <c r="Q56" s="10">
        <f t="shared" si="3"/>
        <v>0.13296181938751261</v>
      </c>
      <c r="R56" s="10">
        <f t="shared" si="4"/>
        <v>0.59922514048702202</v>
      </c>
      <c r="S56" s="10">
        <f t="shared" si="4"/>
        <v>-0.65180293694016078</v>
      </c>
      <c r="U56" s="100"/>
      <c r="AD56" s="100"/>
    </row>
    <row r="57" spans="1:30" x14ac:dyDescent="0.25">
      <c r="A57" s="11">
        <v>22</v>
      </c>
      <c r="B57" s="1">
        <f>Модель!D33</f>
        <v>52.32</v>
      </c>
      <c r="C57" s="1">
        <f>Модель!B33</f>
        <v>26</v>
      </c>
      <c r="D57" s="1">
        <f>Модель!C33</f>
        <v>810</v>
      </c>
      <c r="F57" s="101"/>
      <c r="O57" s="100"/>
      <c r="Q57" s="10">
        <f t="shared" si="3"/>
        <v>0.18750340695532475</v>
      </c>
      <c r="R57" s="10">
        <f t="shared" si="4"/>
        <v>-3.182906300063177</v>
      </c>
      <c r="S57" s="10">
        <f t="shared" si="4"/>
        <v>-1.1605035575171052</v>
      </c>
      <c r="U57" s="100"/>
      <c r="AD57" s="100"/>
    </row>
    <row r="58" spans="1:30" x14ac:dyDescent="0.25">
      <c r="A58" s="11">
        <v>23</v>
      </c>
      <c r="B58" s="1">
        <f>Модель!D34</f>
        <v>18.75</v>
      </c>
      <c r="C58" s="1">
        <f>Модель!B34</f>
        <v>9</v>
      </c>
      <c r="D58" s="1">
        <f>Модель!C34</f>
        <v>450</v>
      </c>
      <c r="F58" s="101"/>
      <c r="O58" s="100"/>
      <c r="Q58" s="10">
        <f t="shared" si="3"/>
        <v>0.23434914829270254</v>
      </c>
      <c r="R58" s="10">
        <f t="shared" si="4"/>
        <v>3.4139931843100893E-2</v>
      </c>
      <c r="S58" s="10">
        <f t="shared" si="4"/>
        <v>0.1249104056505001</v>
      </c>
      <c r="U58" s="100"/>
      <c r="AD58" s="100"/>
    </row>
    <row r="59" spans="1:30" x14ac:dyDescent="0.25">
      <c r="A59" s="11">
        <v>24</v>
      </c>
      <c r="B59" s="1">
        <f>Модель!D35</f>
        <v>19.829999999999998</v>
      </c>
      <c r="C59" s="1">
        <f>Модель!B35</f>
        <v>8</v>
      </c>
      <c r="D59" s="1">
        <f>Модель!C35</f>
        <v>635</v>
      </c>
      <c r="F59" s="101"/>
      <c r="O59" s="100"/>
      <c r="Q59" s="10">
        <f t="shared" si="3"/>
        <v>0.23258351414646414</v>
      </c>
      <c r="R59" s="10">
        <f t="shared" si="4"/>
        <v>-0.29345218591314476</v>
      </c>
      <c r="S59" s="10">
        <f t="shared" si="4"/>
        <v>0.61713491110915886</v>
      </c>
      <c r="U59" s="100"/>
      <c r="AD59" s="100"/>
    </row>
    <row r="60" spans="1:30" x14ac:dyDescent="0.25">
      <c r="A60" s="11">
        <v>25</v>
      </c>
      <c r="B60" s="1">
        <f>Модель!D36</f>
        <v>10.75</v>
      </c>
      <c r="C60" s="1">
        <f>Модель!B36</f>
        <v>4</v>
      </c>
      <c r="D60" s="1">
        <f>Модель!C36</f>
        <v>150</v>
      </c>
      <c r="F60" s="101"/>
      <c r="O60" s="100"/>
      <c r="Q60" s="10">
        <f t="shared" si="3"/>
        <v>1.0812398981482896E-2</v>
      </c>
      <c r="R60" s="10">
        <f t="shared" si="4"/>
        <v>1.2939007192636067</v>
      </c>
      <c r="S60" s="10">
        <f t="shared" si="4"/>
        <v>3.7940716610109781E-2</v>
      </c>
      <c r="U60" s="100"/>
      <c r="AD60" s="100"/>
    </row>
    <row r="61" spans="1:30" x14ac:dyDescent="0.25">
      <c r="F61" s="101"/>
      <c r="O61" s="100"/>
      <c r="U61" s="100"/>
      <c r="AD61" s="100"/>
    </row>
    <row r="62" spans="1:30" x14ac:dyDescent="0.25">
      <c r="C62" s="9"/>
      <c r="D62" s="8"/>
    </row>
    <row r="63" spans="1:30" ht="37.5" x14ac:dyDescent="0.25">
      <c r="A63" t="s">
        <v>6</v>
      </c>
      <c r="C63" s="9"/>
      <c r="D63" s="8"/>
      <c r="G63" s="7" t="s">
        <v>5</v>
      </c>
      <c r="H63" s="6"/>
      <c r="I63" s="6"/>
      <c r="J63" s="6"/>
      <c r="K63" s="6"/>
      <c r="L63" s="6"/>
      <c r="M63" s="6"/>
      <c r="N63" s="5"/>
      <c r="Q63" t="s">
        <v>4</v>
      </c>
    </row>
    <row r="64" spans="1:30" ht="38.25" x14ac:dyDescent="0.25">
      <c r="A64" s="2" t="str">
        <f>A35</f>
        <v>№ наблюдения</v>
      </c>
      <c r="B64" s="2" t="str">
        <f>B35</f>
        <v>Y</v>
      </c>
      <c r="C64" s="2" t="str">
        <f>C35</f>
        <v xml:space="preserve">X1 </v>
      </c>
      <c r="D64" s="2" t="str">
        <f>D35</f>
        <v xml:space="preserve">X2 </v>
      </c>
      <c r="G64" s="4" t="str">
        <f>C64</f>
        <v xml:space="preserve">X1 </v>
      </c>
      <c r="H64" s="4"/>
      <c r="I64" s="4"/>
      <c r="J64" s="4"/>
      <c r="Q64" s="2" t="s">
        <v>2</v>
      </c>
      <c r="R64" s="2" t="s">
        <v>1</v>
      </c>
      <c r="S64" s="2" t="s">
        <v>0</v>
      </c>
    </row>
    <row r="65" spans="1:19" x14ac:dyDescent="0.25">
      <c r="A65" s="3">
        <f t="shared" ref="A65:A89" si="5">A36</f>
        <v>1</v>
      </c>
      <c r="B65" s="1">
        <f t="shared" ref="B65:D89" si="6">(B36-B$20)/B$21</f>
        <v>-0.36740970665688188</v>
      </c>
      <c r="C65" s="1">
        <f t="shared" si="6"/>
        <v>-0.25575380573985362</v>
      </c>
      <c r="D65" s="1">
        <f t="shared" si="6"/>
        <v>0.46348561039872127</v>
      </c>
      <c r="F65" s="101" t="str">
        <f>B64</f>
        <v>Y</v>
      </c>
      <c r="Q65" s="1">
        <f t="shared" ref="Q65:Q89" si="7">C65</f>
        <v>-0.25575380573985362</v>
      </c>
      <c r="R65" s="1">
        <f t="shared" ref="R65:R89" si="8">D65</f>
        <v>0.46348561039872127</v>
      </c>
      <c r="S65" s="1">
        <f t="shared" ref="S65:S89" si="9">B65-$C$28</f>
        <v>-0.36740970665688177</v>
      </c>
    </row>
    <row r="66" spans="1:19" x14ac:dyDescent="0.25">
      <c r="A66" s="3">
        <f t="shared" si="5"/>
        <v>2</v>
      </c>
      <c r="B66" s="1">
        <f t="shared" si="6"/>
        <v>-0.70106718920994071</v>
      </c>
      <c r="C66" s="1">
        <f t="shared" si="6"/>
        <v>-0.837012455148612</v>
      </c>
      <c r="D66" s="1">
        <f t="shared" si="6"/>
        <v>-0.58206313917376551</v>
      </c>
      <c r="F66" s="101"/>
      <c r="Q66" s="1">
        <f t="shared" si="7"/>
        <v>-0.837012455148612</v>
      </c>
      <c r="R66" s="1">
        <f t="shared" si="8"/>
        <v>-0.58206313917376551</v>
      </c>
      <c r="S66" s="1">
        <f t="shared" si="9"/>
        <v>-0.7010671892099406</v>
      </c>
    </row>
    <row r="67" spans="1:19" x14ac:dyDescent="0.25">
      <c r="A67" s="3">
        <f t="shared" si="5"/>
        <v>3</v>
      </c>
      <c r="B67" s="1">
        <f t="shared" si="6"/>
        <v>-0.66692848925760073</v>
      </c>
      <c r="C67" s="1">
        <f t="shared" si="6"/>
        <v>-0.837012455148612</v>
      </c>
      <c r="D67" s="1">
        <f t="shared" si="6"/>
        <v>-0.21304593344229955</v>
      </c>
      <c r="F67" s="101"/>
      <c r="Q67" s="1">
        <f t="shared" si="7"/>
        <v>-0.837012455148612</v>
      </c>
      <c r="R67" s="1">
        <f t="shared" si="8"/>
        <v>-0.21304593344229955</v>
      </c>
      <c r="S67" s="1">
        <f t="shared" si="9"/>
        <v>-0.66692848925760062</v>
      </c>
    </row>
    <row r="68" spans="1:19" x14ac:dyDescent="0.25">
      <c r="A68" s="3">
        <f t="shared" si="5"/>
        <v>4</v>
      </c>
      <c r="B68" s="1">
        <f t="shared" si="6"/>
        <v>-0.48335246121199876</v>
      </c>
      <c r="C68" s="1">
        <f t="shared" si="6"/>
        <v>-0.69169779279642241</v>
      </c>
      <c r="D68" s="1">
        <f t="shared" si="6"/>
        <v>-1.0125832125271423</v>
      </c>
      <c r="F68" s="101"/>
      <c r="Q68" s="1">
        <f t="shared" si="7"/>
        <v>-0.69169779279642241</v>
      </c>
      <c r="R68" s="1">
        <f t="shared" si="8"/>
        <v>-1.0125832125271423</v>
      </c>
      <c r="S68" s="1">
        <f t="shared" si="9"/>
        <v>-0.48335246121199865</v>
      </c>
    </row>
    <row r="69" spans="1:19" x14ac:dyDescent="0.25">
      <c r="A69" s="3">
        <f t="shared" si="5"/>
        <v>5</v>
      </c>
      <c r="B69" s="1">
        <f t="shared" si="6"/>
        <v>-0.55613874601604452</v>
      </c>
      <c r="C69" s="1">
        <f t="shared" si="6"/>
        <v>-0.40106846809204322</v>
      </c>
      <c r="D69" s="1">
        <f t="shared" si="6"/>
        <v>-0.79732317585045387</v>
      </c>
      <c r="F69" s="101"/>
      <c r="Q69" s="1">
        <f t="shared" si="7"/>
        <v>-0.40106846809204322</v>
      </c>
      <c r="R69" s="1">
        <f t="shared" si="8"/>
        <v>-0.79732317585045387</v>
      </c>
      <c r="S69" s="1">
        <f t="shared" si="9"/>
        <v>-0.55613874601604441</v>
      </c>
    </row>
    <row r="70" spans="1:19" x14ac:dyDescent="0.25">
      <c r="A70" s="3">
        <f t="shared" si="5"/>
        <v>6</v>
      </c>
      <c r="B70" s="1">
        <f t="shared" si="6"/>
        <v>-0.27529962942698338</v>
      </c>
      <c r="C70" s="1">
        <f t="shared" si="6"/>
        <v>-0.25575380573985362</v>
      </c>
      <c r="D70" s="1">
        <f t="shared" si="6"/>
        <v>-0.24379736725325504</v>
      </c>
      <c r="F70" s="101"/>
      <c r="Q70" s="1">
        <f t="shared" si="7"/>
        <v>-0.25575380573985362</v>
      </c>
      <c r="R70" s="1">
        <f t="shared" si="8"/>
        <v>-0.24379736725325504</v>
      </c>
      <c r="S70" s="1">
        <f t="shared" si="9"/>
        <v>-0.27529962942698327</v>
      </c>
    </row>
    <row r="71" spans="1:19" x14ac:dyDescent="0.25">
      <c r="A71" s="3">
        <f t="shared" si="5"/>
        <v>7</v>
      </c>
      <c r="B71" s="1">
        <f t="shared" si="6"/>
        <v>-0.92651143417822379</v>
      </c>
      <c r="C71" s="1">
        <f t="shared" si="6"/>
        <v>-0.98232711750080159</v>
      </c>
      <c r="D71" s="1">
        <f t="shared" si="6"/>
        <v>-0.92032891109427584</v>
      </c>
      <c r="F71" s="101"/>
      <c r="Q71" s="1">
        <f t="shared" si="7"/>
        <v>-0.98232711750080159</v>
      </c>
      <c r="R71" s="1">
        <f t="shared" si="8"/>
        <v>-0.92032891109427584</v>
      </c>
      <c r="S71" s="1">
        <f t="shared" si="9"/>
        <v>-0.92651143417822368</v>
      </c>
    </row>
    <row r="72" spans="1:19" x14ac:dyDescent="0.25">
      <c r="A72" s="3">
        <f t="shared" si="5"/>
        <v>8</v>
      </c>
      <c r="B72" s="1">
        <f t="shared" si="6"/>
        <v>-0.29333516902444612</v>
      </c>
      <c r="C72" s="1">
        <f t="shared" si="6"/>
        <v>-0.25575380573985362</v>
      </c>
      <c r="D72" s="1">
        <f t="shared" si="6"/>
        <v>-0.61281457298472097</v>
      </c>
      <c r="F72" s="101"/>
      <c r="Q72" s="1">
        <f t="shared" si="7"/>
        <v>-0.25575380573985362</v>
      </c>
      <c r="R72" s="1">
        <f t="shared" si="8"/>
        <v>-0.61281457298472097</v>
      </c>
      <c r="S72" s="1">
        <f t="shared" si="9"/>
        <v>-0.29333516902444601</v>
      </c>
    </row>
    <row r="73" spans="1:19" x14ac:dyDescent="0.25">
      <c r="A73" s="3">
        <f t="shared" si="5"/>
        <v>9</v>
      </c>
      <c r="B73" s="1">
        <f t="shared" si="6"/>
        <v>3.6622451405476282</v>
      </c>
      <c r="C73" s="1">
        <f t="shared" si="6"/>
        <v>3.0864834283605069</v>
      </c>
      <c r="D73" s="1">
        <f t="shared" si="6"/>
        <v>3.2311146533847155</v>
      </c>
      <c r="F73" s="101"/>
      <c r="Q73" s="1">
        <f t="shared" si="7"/>
        <v>3.0864834283605069</v>
      </c>
      <c r="R73" s="1">
        <f t="shared" si="8"/>
        <v>3.2311146533847155</v>
      </c>
      <c r="S73" s="1">
        <f t="shared" si="9"/>
        <v>3.6622451405476282</v>
      </c>
    </row>
    <row r="74" spans="1:19" x14ac:dyDescent="0.25">
      <c r="A74" s="3">
        <f t="shared" si="5"/>
        <v>10</v>
      </c>
      <c r="B74" s="1">
        <f t="shared" si="6"/>
        <v>-5.6940775014846366E-2</v>
      </c>
      <c r="C74" s="1">
        <f t="shared" si="6"/>
        <v>-0.54638313044423281</v>
      </c>
      <c r="D74" s="1">
        <f t="shared" si="6"/>
        <v>0.60186706254802091</v>
      </c>
      <c r="F74" s="101"/>
      <c r="Q74" s="1">
        <f t="shared" si="7"/>
        <v>-0.54638313044423281</v>
      </c>
      <c r="R74" s="1">
        <f t="shared" si="8"/>
        <v>0.60186706254802091</v>
      </c>
      <c r="S74" s="1">
        <f t="shared" si="9"/>
        <v>-5.6940775014846283E-2</v>
      </c>
    </row>
    <row r="75" spans="1:19" x14ac:dyDescent="0.25">
      <c r="A75" s="3">
        <f t="shared" si="5"/>
        <v>11</v>
      </c>
      <c r="B75" s="1">
        <f t="shared" si="6"/>
        <v>1.1559492629145163</v>
      </c>
      <c r="C75" s="1">
        <f t="shared" si="6"/>
        <v>1.0520781554298526</v>
      </c>
      <c r="D75" s="1">
        <f t="shared" si="6"/>
        <v>0.85710396317895154</v>
      </c>
      <c r="F75" s="101"/>
      <c r="Q75" s="1">
        <f t="shared" si="7"/>
        <v>1.0520781554298526</v>
      </c>
      <c r="R75" s="1">
        <f t="shared" si="8"/>
        <v>0.85710396317895154</v>
      </c>
      <c r="S75" s="1">
        <f t="shared" si="9"/>
        <v>1.1559492629145163</v>
      </c>
    </row>
    <row r="76" spans="1:19" x14ac:dyDescent="0.25">
      <c r="A76" s="3">
        <f t="shared" si="5"/>
        <v>12</v>
      </c>
      <c r="B76" s="1">
        <f t="shared" si="6"/>
        <v>-8.9147095724601083E-2</v>
      </c>
      <c r="C76" s="1">
        <f t="shared" si="6"/>
        <v>0.1801901813167151</v>
      </c>
      <c r="D76" s="1">
        <f t="shared" si="6"/>
        <v>-0.59743885607924319</v>
      </c>
      <c r="F76" s="101"/>
      <c r="Q76" s="1">
        <f t="shared" si="7"/>
        <v>0.1801901813167151</v>
      </c>
      <c r="R76" s="1">
        <f t="shared" si="8"/>
        <v>-0.59743885607924319</v>
      </c>
      <c r="S76" s="1">
        <f t="shared" si="9"/>
        <v>-8.9147095724601E-2</v>
      </c>
    </row>
    <row r="77" spans="1:19" x14ac:dyDescent="0.25">
      <c r="A77" s="3">
        <f t="shared" si="5"/>
        <v>13</v>
      </c>
      <c r="B77" s="1">
        <f t="shared" si="6"/>
        <v>-0.57224190637092187</v>
      </c>
      <c r="C77" s="1">
        <f t="shared" si="6"/>
        <v>-0.69169779279642241</v>
      </c>
      <c r="D77" s="1">
        <f t="shared" si="6"/>
        <v>-0.47443312083542122</v>
      </c>
      <c r="Q77" s="1">
        <f t="shared" si="7"/>
        <v>-0.69169779279642241</v>
      </c>
      <c r="R77" s="1">
        <f t="shared" si="8"/>
        <v>-0.47443312083542122</v>
      </c>
      <c r="S77" s="1">
        <f t="shared" si="9"/>
        <v>-0.57224190637092176</v>
      </c>
    </row>
    <row r="78" spans="1:19" x14ac:dyDescent="0.25">
      <c r="A78" s="3">
        <f t="shared" si="5"/>
        <v>14</v>
      </c>
      <c r="B78" s="1">
        <f t="shared" si="6"/>
        <v>-0.16966289749898789</v>
      </c>
      <c r="C78" s="1">
        <f t="shared" si="6"/>
        <v>-0.40106846809204322</v>
      </c>
      <c r="D78" s="1">
        <f t="shared" si="6"/>
        <v>0.16212155905135744</v>
      </c>
      <c r="F78" s="101" t="str">
        <f>B64</f>
        <v>Y</v>
      </c>
      <c r="O78" s="100" t="str">
        <f>D64</f>
        <v xml:space="preserve">X2 </v>
      </c>
      <c r="Q78" s="1">
        <f t="shared" si="7"/>
        <v>-0.40106846809204322</v>
      </c>
      <c r="R78" s="1">
        <f t="shared" si="8"/>
        <v>0.16212155905135744</v>
      </c>
      <c r="S78" s="1">
        <f t="shared" si="9"/>
        <v>-0.1696628974989878</v>
      </c>
    </row>
    <row r="79" spans="1:19" x14ac:dyDescent="0.25">
      <c r="A79" s="3">
        <f t="shared" si="5"/>
        <v>15</v>
      </c>
      <c r="B79" s="1">
        <f t="shared" si="6"/>
        <v>0.10409082853392723</v>
      </c>
      <c r="C79" s="1">
        <f t="shared" si="6"/>
        <v>3.487551896452553E-2</v>
      </c>
      <c r="D79" s="1">
        <f t="shared" si="6"/>
        <v>0.11906955171601975</v>
      </c>
      <c r="F79" s="101"/>
      <c r="O79" s="100"/>
      <c r="Q79" s="1">
        <f t="shared" si="7"/>
        <v>3.487551896452553E-2</v>
      </c>
      <c r="R79" s="1">
        <f t="shared" si="8"/>
        <v>0.11906955171601975</v>
      </c>
      <c r="S79" s="1">
        <f t="shared" si="9"/>
        <v>0.10409082853392732</v>
      </c>
    </row>
    <row r="80" spans="1:19" x14ac:dyDescent="0.25">
      <c r="A80" s="3">
        <f t="shared" si="5"/>
        <v>16</v>
      </c>
      <c r="B80" s="1">
        <f t="shared" si="6"/>
        <v>0.42615403563147441</v>
      </c>
      <c r="C80" s="1">
        <f t="shared" si="6"/>
        <v>0.1801901813167151</v>
      </c>
      <c r="D80" s="1">
        <f t="shared" si="6"/>
        <v>1.12771658071536</v>
      </c>
      <c r="F80" s="101"/>
      <c r="O80" s="100"/>
      <c r="Q80" s="1">
        <f t="shared" si="7"/>
        <v>0.1801901813167151</v>
      </c>
      <c r="R80" s="1">
        <f t="shared" si="8"/>
        <v>1.12771658071536</v>
      </c>
      <c r="S80" s="1">
        <f t="shared" si="9"/>
        <v>0.42615403563147453</v>
      </c>
    </row>
    <row r="81" spans="1:19" x14ac:dyDescent="0.25">
      <c r="A81" s="3">
        <f t="shared" si="5"/>
        <v>17</v>
      </c>
      <c r="B81" s="1">
        <f t="shared" si="6"/>
        <v>-0.45307851974482943</v>
      </c>
      <c r="C81" s="1">
        <f t="shared" si="6"/>
        <v>-0.40106846809204322</v>
      </c>
      <c r="D81" s="1">
        <f t="shared" si="6"/>
        <v>-0.64356600679567644</v>
      </c>
      <c r="F81" s="101"/>
      <c r="O81" s="100"/>
      <c r="Q81" s="1">
        <f t="shared" si="7"/>
        <v>-0.40106846809204322</v>
      </c>
      <c r="R81" s="1">
        <f t="shared" si="8"/>
        <v>-0.64356600679567644</v>
      </c>
      <c r="S81" s="1">
        <f t="shared" si="9"/>
        <v>-0.45307851974482932</v>
      </c>
    </row>
    <row r="82" spans="1:19" x14ac:dyDescent="0.25">
      <c r="A82" s="3">
        <f t="shared" si="5"/>
        <v>18</v>
      </c>
      <c r="B82" s="1">
        <f t="shared" si="6"/>
        <v>-0.21797237856361995</v>
      </c>
      <c r="C82" s="1">
        <f t="shared" si="6"/>
        <v>-0.25575380573985362</v>
      </c>
      <c r="D82" s="1">
        <f t="shared" si="6"/>
        <v>-0.85267575671017382</v>
      </c>
      <c r="F82" s="101"/>
      <c r="O82" s="100"/>
      <c r="Q82" s="1">
        <f t="shared" si="7"/>
        <v>-0.25575380573985362</v>
      </c>
      <c r="R82" s="1">
        <f t="shared" si="8"/>
        <v>-0.85267575671017382</v>
      </c>
      <c r="S82" s="1">
        <f t="shared" si="9"/>
        <v>-0.21797237856361987</v>
      </c>
    </row>
    <row r="83" spans="1:19" x14ac:dyDescent="0.25">
      <c r="A83" s="3">
        <f t="shared" si="5"/>
        <v>19</v>
      </c>
      <c r="B83" s="1">
        <f t="shared" si="6"/>
        <v>-0.82989247204895966</v>
      </c>
      <c r="C83" s="1">
        <f t="shared" si="6"/>
        <v>-0.837012455148612</v>
      </c>
      <c r="D83" s="1">
        <f t="shared" si="6"/>
        <v>-1.1478895212953466</v>
      </c>
      <c r="F83" s="101"/>
      <c r="O83" s="100"/>
      <c r="Q83" s="1">
        <f t="shared" si="7"/>
        <v>-0.837012455148612</v>
      </c>
      <c r="R83" s="1">
        <f t="shared" si="8"/>
        <v>-1.1478895212953466</v>
      </c>
      <c r="S83" s="1">
        <f t="shared" si="9"/>
        <v>-0.82989247204895955</v>
      </c>
    </row>
    <row r="84" spans="1:19" x14ac:dyDescent="0.25">
      <c r="A84" s="3">
        <f t="shared" si="5"/>
        <v>20</v>
      </c>
      <c r="B84" s="1">
        <f t="shared" si="6"/>
        <v>0.81907114829048211</v>
      </c>
      <c r="C84" s="1">
        <f t="shared" si="6"/>
        <v>1.1973928177820423</v>
      </c>
      <c r="D84" s="1">
        <f t="shared" si="6"/>
        <v>1.1092657204287866</v>
      </c>
      <c r="F84" s="101"/>
      <c r="O84" s="100"/>
      <c r="Q84" s="1">
        <f t="shared" si="7"/>
        <v>1.1973928177820423</v>
      </c>
      <c r="R84" s="1">
        <f t="shared" si="8"/>
        <v>1.1092657204287866</v>
      </c>
      <c r="S84" s="1">
        <f t="shared" si="9"/>
        <v>0.81907114829048222</v>
      </c>
    </row>
    <row r="85" spans="1:19" x14ac:dyDescent="0.25">
      <c r="A85" s="3">
        <f t="shared" si="5"/>
        <v>21</v>
      </c>
      <c r="B85" s="1">
        <f t="shared" si="6"/>
        <v>-0.28882628412508043</v>
      </c>
      <c r="C85" s="1">
        <f t="shared" si="6"/>
        <v>0.1801901813167151</v>
      </c>
      <c r="D85" s="1">
        <f t="shared" si="6"/>
        <v>-0.82807460966140944</v>
      </c>
      <c r="F85" s="101"/>
      <c r="O85" s="100"/>
      <c r="Q85" s="1">
        <f t="shared" si="7"/>
        <v>0.1801901813167151</v>
      </c>
      <c r="R85" s="1">
        <f t="shared" si="8"/>
        <v>-0.82807460966140944</v>
      </c>
      <c r="S85" s="1">
        <f t="shared" si="9"/>
        <v>-0.28882628412508032</v>
      </c>
    </row>
    <row r="86" spans="1:19" x14ac:dyDescent="0.25">
      <c r="A86" s="3">
        <f t="shared" si="5"/>
        <v>22</v>
      </c>
      <c r="B86" s="1">
        <f t="shared" si="6"/>
        <v>1.9282568335344346</v>
      </c>
      <c r="C86" s="1">
        <f t="shared" si="6"/>
        <v>2.5052247789517486</v>
      </c>
      <c r="D86" s="1">
        <f t="shared" si="6"/>
        <v>1.2322714556726087</v>
      </c>
      <c r="F86" s="101"/>
      <c r="O86" s="100"/>
      <c r="Q86" s="1">
        <f t="shared" si="7"/>
        <v>2.5052247789517486</v>
      </c>
      <c r="R86" s="1">
        <f t="shared" si="8"/>
        <v>1.2322714556726087</v>
      </c>
      <c r="S86" s="1">
        <f t="shared" si="9"/>
        <v>1.9282568335344346</v>
      </c>
    </row>
    <row r="87" spans="1:19" x14ac:dyDescent="0.25">
      <c r="A87" s="3">
        <f t="shared" si="5"/>
        <v>23</v>
      </c>
      <c r="B87" s="1">
        <f t="shared" si="6"/>
        <v>-0.23407553891849731</v>
      </c>
      <c r="C87" s="1">
        <f t="shared" si="6"/>
        <v>3.487551896452553E-2</v>
      </c>
      <c r="D87" s="1">
        <f t="shared" si="6"/>
        <v>0.12521983847821086</v>
      </c>
      <c r="F87" s="101"/>
      <c r="O87" s="100"/>
      <c r="Q87" s="1">
        <f t="shared" si="7"/>
        <v>3.487551896452553E-2</v>
      </c>
      <c r="R87" s="1">
        <f t="shared" si="8"/>
        <v>0.12521983847821086</v>
      </c>
      <c r="S87" s="1">
        <f t="shared" si="9"/>
        <v>-0.23407553891849722</v>
      </c>
    </row>
    <row r="88" spans="1:19" x14ac:dyDescent="0.25">
      <c r="A88" s="3">
        <f t="shared" si="5"/>
        <v>24</v>
      </c>
      <c r="B88" s="1">
        <f t="shared" si="6"/>
        <v>-0.16450988618542722</v>
      </c>
      <c r="C88" s="1">
        <f t="shared" si="6"/>
        <v>-0.11043914338766406</v>
      </c>
      <c r="D88" s="1">
        <f t="shared" si="6"/>
        <v>0.69412136398088742</v>
      </c>
      <c r="F88" s="101"/>
      <c r="O88" s="100"/>
      <c r="Q88" s="1">
        <f t="shared" si="7"/>
        <v>-0.11043914338766406</v>
      </c>
      <c r="R88" s="1">
        <f t="shared" si="8"/>
        <v>0.69412136398088742</v>
      </c>
      <c r="S88" s="1">
        <f t="shared" si="9"/>
        <v>-0.16450988618542714</v>
      </c>
    </row>
    <row r="89" spans="1:19" x14ac:dyDescent="0.25">
      <c r="A89" s="3">
        <f t="shared" si="5"/>
        <v>25</v>
      </c>
      <c r="B89" s="1">
        <f t="shared" si="6"/>
        <v>-0.74937667027457278</v>
      </c>
      <c r="C89" s="1">
        <f t="shared" si="6"/>
        <v>-0.69169779279642241</v>
      </c>
      <c r="D89" s="1">
        <f t="shared" si="6"/>
        <v>-0.79732317585045387</v>
      </c>
      <c r="F89" s="101"/>
      <c r="O89" s="100"/>
      <c r="Q89" s="1">
        <f t="shared" si="7"/>
        <v>-0.69169779279642241</v>
      </c>
      <c r="R89" s="1">
        <f t="shared" si="8"/>
        <v>-0.79732317585045387</v>
      </c>
      <c r="S89" s="1">
        <f t="shared" si="9"/>
        <v>-0.74937667027457266</v>
      </c>
    </row>
    <row r="90" spans="1:19" x14ac:dyDescent="0.25">
      <c r="F90" s="101"/>
      <c r="O90" s="100"/>
    </row>
    <row r="91" spans="1:19" x14ac:dyDescent="0.25">
      <c r="Q91" t="s">
        <v>3</v>
      </c>
    </row>
    <row r="92" spans="1:19" ht="38.25" x14ac:dyDescent="0.25">
      <c r="Q92" s="2" t="s">
        <v>2</v>
      </c>
      <c r="R92" s="2" t="s">
        <v>1</v>
      </c>
      <c r="S92" s="2" t="s">
        <v>0</v>
      </c>
    </row>
    <row r="93" spans="1:19" x14ac:dyDescent="0.25">
      <c r="P93">
        <v>1</v>
      </c>
      <c r="Q93" s="1">
        <f t="array" ref="Q93:S93">TRANSPOSE(MMULT($Q$24:$S$26,TRANSPOSE(Q65:S65)))</f>
        <v>4.44725078338572E-2</v>
      </c>
      <c r="R93" s="1">
        <v>0.58977911725398924</v>
      </c>
      <c r="S93" s="1">
        <v>0.25573736848740458</v>
      </c>
    </row>
    <row r="94" spans="1:19" x14ac:dyDescent="0.25">
      <c r="P94">
        <v>2</v>
      </c>
      <c r="Q94" s="1">
        <f t="array" ref="Q94:S94">TRANSPOSE(MMULT($Q$24:$S$26,TRANSPOSE(Q66:S66)))</f>
        <v>1.2045332128452542</v>
      </c>
      <c r="R94" s="1">
        <v>0.27673554088538088</v>
      </c>
      <c r="S94" s="1">
        <v>-5.8307215754293984E-2</v>
      </c>
    </row>
    <row r="95" spans="1:19" x14ac:dyDescent="0.25">
      <c r="P95">
        <v>3</v>
      </c>
      <c r="Q95" s="1">
        <f t="array" ref="Q95:S95">TRANSPOSE(MMULT($Q$24:$S$26,TRANSPOSE(Q67:S67)))</f>
        <v>0.94918753657332788</v>
      </c>
      <c r="R95" s="1">
        <v>0.53833877436090061</v>
      </c>
      <c r="S95" s="1">
        <v>2.5325969071561261E-3</v>
      </c>
    </row>
    <row r="96" spans="1:19" x14ac:dyDescent="0.25">
      <c r="P96">
        <v>4</v>
      </c>
      <c r="Q96" s="1">
        <f t="array" ref="Q96:S96">TRANSPOSE(MMULT($Q$24:$S$26,TRANSPOSE(Q68:S68)))</f>
        <v>1.2811295901049577</v>
      </c>
      <c r="R96" s="1">
        <v>-0.18269163626614254</v>
      </c>
      <c r="S96" s="1">
        <v>-0.25046145413382487</v>
      </c>
    </row>
    <row r="97" spans="16:19" x14ac:dyDescent="0.25">
      <c r="P97">
        <v>5</v>
      </c>
      <c r="Q97" s="1">
        <f t="array" ref="Q97:S97">TRANSPOSE(MMULT($Q$24:$S$26,TRANSPOSE(Q69:S69)))</f>
        <v>1.0333198882704204</v>
      </c>
      <c r="R97" s="1">
        <v>-0.19393190890574913</v>
      </c>
      <c r="S97" s="1">
        <v>2.2602895372685228E-2</v>
      </c>
    </row>
    <row r="98" spans="16:19" x14ac:dyDescent="0.25">
      <c r="P98">
        <v>6</v>
      </c>
      <c r="Q98" s="1">
        <f t="array" ref="Q98:S98">TRANSPOSE(MMULT($Q$24:$S$26,TRANSPOSE(Q70:S70)))</f>
        <v>0.44478117929587963</v>
      </c>
      <c r="R98" s="1">
        <v>5.0890393062743511E-2</v>
      </c>
      <c r="S98" s="1">
        <v>1.4728266386704103E-2</v>
      </c>
    </row>
    <row r="99" spans="16:19" x14ac:dyDescent="0.25">
      <c r="P99">
        <v>7</v>
      </c>
      <c r="Q99" s="1">
        <f t="array" ref="Q99:S99">TRANSPOSE(MMULT($Q$24:$S$26,TRANSPOSE(Q71:S71)))</f>
        <v>1.6240529310948646</v>
      </c>
      <c r="R99" s="1">
        <v>0.17607357480552874</v>
      </c>
      <c r="S99" s="1">
        <v>-4.295906532712146E-2</v>
      </c>
    </row>
    <row r="100" spans="16:19" x14ac:dyDescent="0.25">
      <c r="P100">
        <v>8</v>
      </c>
      <c r="Q100" s="1">
        <f t="array" ref="Q100:S100">TRANSPOSE(MMULT($Q$24:$S$26,TRANSPOSE(Q72:S72)))</f>
        <v>0.69101913413075278</v>
      </c>
      <c r="R100" s="1">
        <v>-0.21454410378890906</v>
      </c>
      <c r="S100" s="1">
        <v>-5.8826993753409079E-2</v>
      </c>
    </row>
    <row r="101" spans="16:19" x14ac:dyDescent="0.25">
      <c r="P101">
        <v>9</v>
      </c>
      <c r="Q101" s="1">
        <f t="array" ref="Q101:S101">TRANSPOSE(MMULT($Q$24:$S$26,TRANSPOSE(Q73:S73)))</f>
        <v>-5.7447375038729254</v>
      </c>
      <c r="R101" s="1">
        <v>-0.48383573876862973</v>
      </c>
      <c r="S101" s="1">
        <v>-0.37737953814729819</v>
      </c>
    </row>
    <row r="102" spans="16:19" x14ac:dyDescent="0.25">
      <c r="P102">
        <v>10</v>
      </c>
      <c r="Q102" s="1">
        <f t="array" ref="Q102:S102">TRANSPOSE(MMULT($Q$24:$S$26,TRANSPOSE(Q74:S74)))</f>
        <v>-6.8350177783492241E-2</v>
      </c>
      <c r="R102" s="1">
        <v>0.80295689130175807</v>
      </c>
      <c r="S102" s="1">
        <v>-0.12086861454279979</v>
      </c>
    </row>
    <row r="103" spans="16:19" x14ac:dyDescent="0.25">
      <c r="P103">
        <v>11</v>
      </c>
      <c r="Q103" s="1">
        <f t="array" ref="Q103:S103">TRANSPOSE(MMULT($Q$24:$S$26,TRANSPOSE(Q75:S75)))</f>
        <v>-1.7496878492602348</v>
      </c>
      <c r="R103" s="1">
        <v>-0.3214897780165869</v>
      </c>
      <c r="S103" s="1">
        <v>-0.11380289998194426</v>
      </c>
    </row>
    <row r="104" spans="16:19" x14ac:dyDescent="0.25">
      <c r="P104">
        <v>12</v>
      </c>
      <c r="Q104" s="1">
        <f t="array" ref="Q104:S104">TRANSPOSE(MMULT($Q$24:$S$26,TRANSPOSE(Q76:S76)))</f>
        <v>0.33876607790170515</v>
      </c>
      <c r="R104" s="1">
        <v>-0.53073215790863215</v>
      </c>
      <c r="S104" s="1">
        <v>3.0163121474724663E-2</v>
      </c>
    </row>
    <row r="105" spans="16:19" x14ac:dyDescent="0.25">
      <c r="P105">
        <v>13</v>
      </c>
      <c r="Q105" s="1">
        <f t="array" ref="Q105:S105">TRANSPOSE(MMULT($Q$24:$S$26,TRANSPOSE(Q77:S77)))</f>
        <v>0.9871831399838209</v>
      </c>
      <c r="R105" s="1">
        <v>0.23180664232645451</v>
      </c>
      <c r="S105" s="1">
        <v>-5.223553213212262E-2</v>
      </c>
    </row>
    <row r="106" spans="16:19" x14ac:dyDescent="0.25">
      <c r="P106">
        <v>14</v>
      </c>
      <c r="Q106" s="1">
        <f t="array" ref="Q106:S106">TRANSPOSE(MMULT($Q$24:$S$26,TRANSPOSE(Q78:S78)))</f>
        <v>0.20103757603517497</v>
      </c>
      <c r="R106" s="1">
        <v>0.41540410083265777</v>
      </c>
      <c r="S106" s="1">
        <v>-5.4296784693068478E-2</v>
      </c>
    </row>
    <row r="107" spans="16:19" x14ac:dyDescent="0.25">
      <c r="P107">
        <v>15</v>
      </c>
      <c r="Q107" s="1">
        <f t="array" ref="Q107:S107">TRANSPOSE(MMULT($Q$24:$S$26,TRANSPOSE(Q79:S79)))</f>
        <v>-0.15318826322125773</v>
      </c>
      <c r="R107" s="1">
        <v>3.9958449554494777E-2</v>
      </c>
      <c r="S107" s="1">
        <v>-3.4138524781160307E-2</v>
      </c>
    </row>
    <row r="108" spans="16:19" x14ac:dyDescent="0.25">
      <c r="P108">
        <v>16</v>
      </c>
      <c r="Q108" s="1">
        <f t="array" ref="Q108:S108">TRANSPOSE(MMULT($Q$24:$S$26,TRANSPOSE(Q80:S80)))</f>
        <v>-1.0561554174926153</v>
      </c>
      <c r="R108" s="1">
        <v>0.60763418187402363</v>
      </c>
      <c r="S108" s="1">
        <v>3.3717726310813989E-2</v>
      </c>
    </row>
    <row r="109" spans="16:19" x14ac:dyDescent="0.25">
      <c r="P109">
        <v>17</v>
      </c>
      <c r="Q109" s="1">
        <f t="array" ref="Q109:S109">TRANSPOSE(MMULT($Q$24:$S$26,TRANSPOSE(Q81:S81)))</f>
        <v>0.876681593229375</v>
      </c>
      <c r="R109" s="1">
        <v>-0.10606636458261554</v>
      </c>
      <c r="S109" s="1">
        <v>-2.2194067942335471E-2</v>
      </c>
    </row>
    <row r="110" spans="16:19" x14ac:dyDescent="0.25">
      <c r="P110">
        <v>18</v>
      </c>
      <c r="Q110" s="1">
        <f t="array" ref="Q110:S110">TRANSPOSE(MMULT($Q$24:$S$26,TRANSPOSE(Q82:S82)))</f>
        <v>0.80181924724183717</v>
      </c>
      <c r="R110" s="1">
        <v>-0.40779599908060971</v>
      </c>
      <c r="S110" s="1">
        <v>-0.17540305280909305</v>
      </c>
    </row>
    <row r="111" spans="16:19" x14ac:dyDescent="0.25">
      <c r="P111">
        <v>19</v>
      </c>
      <c r="Q111" s="1">
        <f t="array" ref="Q111:S111">TRANSPOSE(MMULT($Q$24:$S$26,TRANSPOSE(Q83:S83)))</f>
        <v>1.6393188548072517</v>
      </c>
      <c r="R111" s="1">
        <v>-0.10619347024936901</v>
      </c>
      <c r="S111" s="1">
        <v>-9.1205029943186577E-2</v>
      </c>
    </row>
    <row r="112" spans="16:19" x14ac:dyDescent="0.25">
      <c r="P112">
        <v>20</v>
      </c>
      <c r="Q112" s="1">
        <f t="array" ref="Q112:S112">TRANSPOSE(MMULT($Q$24:$S$26,TRANSPOSE(Q84:S84)))</f>
        <v>-1.7960905633353643</v>
      </c>
      <c r="R112" s="1">
        <v>-0.14997604760319042</v>
      </c>
      <c r="S112" s="1">
        <v>0.29438651123868265</v>
      </c>
    </row>
    <row r="113" spans="16:19" x14ac:dyDescent="0.25">
      <c r="P113">
        <v>21</v>
      </c>
      <c r="Q113" s="1">
        <f t="array" ref="Q113:S113">TRANSPOSE(MMULT($Q$24:$S$26,TRANSPOSE(Q85:S85)))</f>
        <v>0.59922514048702202</v>
      </c>
      <c r="R113" s="1">
        <v>-0.65180293694016078</v>
      </c>
      <c r="S113" s="1">
        <v>0.13296181938751261</v>
      </c>
    </row>
    <row r="114" spans="16:19" x14ac:dyDescent="0.25">
      <c r="P114">
        <v>22</v>
      </c>
      <c r="Q114" s="1">
        <f t="array" ref="Q114:S114">TRANSPOSE(MMULT($Q$24:$S$26,TRANSPOSE(Q86:S86)))</f>
        <v>-3.182906300063177</v>
      </c>
      <c r="R114" s="1">
        <v>-1.1605035575171052</v>
      </c>
      <c r="S114" s="1">
        <v>0.18750340695532475</v>
      </c>
    </row>
    <row r="115" spans="16:19" x14ac:dyDescent="0.25">
      <c r="P115">
        <v>23</v>
      </c>
      <c r="Q115" s="1">
        <f t="array" ref="Q115:S115">TRANSPOSE(MMULT($Q$24:$S$26,TRANSPOSE(Q87:S87)))</f>
        <v>3.4139931843100893E-2</v>
      </c>
      <c r="R115" s="1">
        <v>0.1249104056505001</v>
      </c>
      <c r="S115" s="1">
        <v>0.23434914829270254</v>
      </c>
    </row>
    <row r="116" spans="16:19" x14ac:dyDescent="0.25">
      <c r="P116">
        <v>24</v>
      </c>
      <c r="Q116" s="1">
        <f t="array" ref="Q116:S116">TRANSPOSE(MMULT($Q$24:$S$26,TRANSPOSE(Q88:S88)))</f>
        <v>-0.29345218591314476</v>
      </c>
      <c r="R116" s="1">
        <v>0.61713491110915886</v>
      </c>
      <c r="S116" s="1">
        <v>0.23258351414646414</v>
      </c>
    </row>
    <row r="117" spans="16:19" x14ac:dyDescent="0.25">
      <c r="P117">
        <v>25</v>
      </c>
      <c r="Q117" s="1">
        <f t="array" ref="Q117:S117">TRANSPOSE(MMULT($Q$24:$S$26,TRANSPOSE(Q89:S89)))</f>
        <v>1.2939007192636067</v>
      </c>
      <c r="R117" s="1">
        <v>3.7940716610109781E-2</v>
      </c>
      <c r="S117" s="1">
        <v>1.0812398981482896E-2</v>
      </c>
    </row>
  </sheetData>
  <mergeCells count="9">
    <mergeCell ref="AD49:AD61"/>
    <mergeCell ref="F65:F76"/>
    <mergeCell ref="F78:F90"/>
    <mergeCell ref="O78:O90"/>
    <mergeCell ref="F36:F47"/>
    <mergeCell ref="U36:U47"/>
    <mergeCell ref="F49:F61"/>
    <mergeCell ref="O49:O61"/>
    <mergeCell ref="U49:U61"/>
  </mergeCells>
  <hyperlinks>
    <hyperlink ref="A1:C1" r:id="rId1" display="Файл скачан с сайта excel2.ru &gt;&gt;&gt;" xr:uid="{00000000-0004-0000-0100-000000000000}"/>
    <hyperlink ref="A2" r:id="rId2" xr:uid="{00000000-0004-0000-0100-000001000000}"/>
  </hyperlinks>
  <pageMargins left="0.7" right="0.7" top="0.75" bottom="0.75" header="0.3" footer="0.3"/>
  <pageSetup orientation="portrait" r:id="rId3"/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6" name="Scroll Bar 2">
              <controlPr defaultSize="0" autoPict="0">
                <anchor moveWithCells="1">
                  <from>
                    <xdr:col>16</xdr:col>
                    <xdr:colOff>0</xdr:colOff>
                    <xdr:row>30</xdr:row>
                    <xdr:rowOff>0</xdr:rowOff>
                  </from>
                  <to>
                    <xdr:col>19</xdr:col>
                    <xdr:colOff>0</xdr:colOff>
                    <xdr:row>31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0"/>
  <sheetViews>
    <sheetView workbookViewId="0">
      <selection activeCell="I4" sqref="I4"/>
    </sheetView>
  </sheetViews>
  <sheetFormatPr defaultRowHeight="15" x14ac:dyDescent="0.25"/>
  <cols>
    <col min="1" max="1" width="24.28515625" bestFit="1" customWidth="1"/>
    <col min="2" max="2" width="14.7109375" bestFit="1" customWidth="1"/>
    <col min="5" max="5" width="26.28515625" bestFit="1" customWidth="1"/>
    <col min="6" max="6" width="17.140625" bestFit="1" customWidth="1"/>
    <col min="7" max="7" width="23.28515625" bestFit="1" customWidth="1"/>
    <col min="8" max="8" width="15.5703125" bestFit="1" customWidth="1"/>
    <col min="9" max="9" width="12" bestFit="1" customWidth="1"/>
    <col min="10" max="10" width="14.7109375" bestFit="1" customWidth="1"/>
    <col min="11" max="11" width="13.140625" bestFit="1" customWidth="1"/>
    <col min="12" max="12" width="14.7109375" bestFit="1" customWidth="1"/>
    <col min="13" max="13" width="14.85546875" bestFit="1" customWidth="1"/>
  </cols>
  <sheetData>
    <row r="1" spans="1:13" x14ac:dyDescent="0.25">
      <c r="E1" t="s">
        <v>147</v>
      </c>
    </row>
    <row r="2" spans="1:13" ht="15.75" thickBot="1" x14ac:dyDescent="0.3"/>
    <row r="3" spans="1:13" x14ac:dyDescent="0.25">
      <c r="A3" s="70" t="s">
        <v>131</v>
      </c>
      <c r="B3" s="70" t="s">
        <v>132</v>
      </c>
      <c r="C3" s="70" t="s">
        <v>44</v>
      </c>
      <c r="E3" s="96" t="s">
        <v>148</v>
      </c>
      <c r="F3" s="96"/>
    </row>
    <row r="4" spans="1:13" x14ac:dyDescent="0.25">
      <c r="A4" s="58">
        <f>Модель!B12</f>
        <v>7</v>
      </c>
      <c r="B4" s="58">
        <f>Модель!C12</f>
        <v>560</v>
      </c>
      <c r="C4" s="58">
        <f>Модель!D12</f>
        <v>16.68</v>
      </c>
      <c r="E4" s="75" t="s">
        <v>149</v>
      </c>
      <c r="F4" s="75">
        <v>0.97958856132726746</v>
      </c>
    </row>
    <row r="5" spans="1:13" x14ac:dyDescent="0.25">
      <c r="A5" s="58">
        <f>Модель!B13</f>
        <v>3</v>
      </c>
      <c r="B5" s="58">
        <f>Модель!C13</f>
        <v>220</v>
      </c>
      <c r="C5" s="58">
        <f>Модель!D13</f>
        <v>11.5</v>
      </c>
      <c r="E5" s="75" t="s">
        <v>150</v>
      </c>
      <c r="F5" s="75">
        <v>0.95959374948322596</v>
      </c>
    </row>
    <row r="6" spans="1:13" x14ac:dyDescent="0.25">
      <c r="A6" s="58">
        <f>Модель!B14</f>
        <v>3</v>
      </c>
      <c r="B6" s="58">
        <f>Модель!C14</f>
        <v>340</v>
      </c>
      <c r="C6" s="58">
        <f>Модель!D14</f>
        <v>12.03</v>
      </c>
      <c r="E6" s="75" t="s">
        <v>151</v>
      </c>
      <c r="F6" s="75">
        <v>0.955920453981701</v>
      </c>
    </row>
    <row r="7" spans="1:13" x14ac:dyDescent="0.25">
      <c r="A7" s="58">
        <f>Модель!B15</f>
        <v>4</v>
      </c>
      <c r="B7" s="58">
        <f>Модель!C15</f>
        <v>80</v>
      </c>
      <c r="C7" s="58">
        <f>Модель!D15</f>
        <v>14.88</v>
      </c>
      <c r="E7" s="75" t="s">
        <v>136</v>
      </c>
      <c r="F7" s="75">
        <v>3.2594734475800999</v>
      </c>
    </row>
    <row r="8" spans="1:13" ht="15.75" thickBot="1" x14ac:dyDescent="0.3">
      <c r="A8" s="58">
        <f>Модель!B16</f>
        <v>6</v>
      </c>
      <c r="B8" s="58">
        <f>Модель!C16</f>
        <v>150</v>
      </c>
      <c r="C8" s="58">
        <f>Модель!D16</f>
        <v>13.75</v>
      </c>
      <c r="E8" s="77" t="s">
        <v>152</v>
      </c>
      <c r="F8" s="77">
        <v>25</v>
      </c>
    </row>
    <row r="9" spans="1:13" x14ac:dyDescent="0.25">
      <c r="A9" s="58">
        <f>Модель!B17</f>
        <v>7</v>
      </c>
      <c r="B9" s="58">
        <f>Модель!C17</f>
        <v>330</v>
      </c>
      <c r="C9" s="58">
        <f>Модель!D17</f>
        <v>18.11</v>
      </c>
    </row>
    <row r="10" spans="1:13" ht="15.75" thickBot="1" x14ac:dyDescent="0.3">
      <c r="A10" s="58">
        <f>Модель!B18</f>
        <v>2</v>
      </c>
      <c r="B10" s="58">
        <f>Модель!C18</f>
        <v>110</v>
      </c>
      <c r="C10" s="58">
        <f>Модель!D18</f>
        <v>8</v>
      </c>
      <c r="E10" t="s">
        <v>122</v>
      </c>
    </row>
    <row r="11" spans="1:13" x14ac:dyDescent="0.25">
      <c r="A11" s="58">
        <f>Модель!B19</f>
        <v>7</v>
      </c>
      <c r="B11" s="58">
        <f>Модель!C19</f>
        <v>210</v>
      </c>
      <c r="C11" s="58">
        <f>Модель!D19</f>
        <v>17.829999999999998</v>
      </c>
      <c r="E11" s="74"/>
      <c r="F11" s="74" t="s">
        <v>123</v>
      </c>
      <c r="G11" s="74" t="s">
        <v>124</v>
      </c>
      <c r="H11" s="74" t="s">
        <v>125</v>
      </c>
      <c r="I11" s="74" t="s">
        <v>126</v>
      </c>
      <c r="J11" s="74" t="s">
        <v>154</v>
      </c>
    </row>
    <row r="12" spans="1:13" x14ac:dyDescent="0.25">
      <c r="A12" s="58">
        <f>Модель!B20</f>
        <v>30</v>
      </c>
      <c r="B12" s="58">
        <f>Модель!C20</f>
        <v>1460</v>
      </c>
      <c r="C12" s="58">
        <f>Модель!D20</f>
        <v>79.239999999999995</v>
      </c>
      <c r="E12" s="75" t="s">
        <v>127</v>
      </c>
      <c r="F12" s="75">
        <v>2</v>
      </c>
      <c r="G12" s="75">
        <v>5550.810922579446</v>
      </c>
      <c r="H12" s="75">
        <v>2775.405461289723</v>
      </c>
      <c r="I12" s="75">
        <v>261.23510866056341</v>
      </c>
      <c r="J12" s="75">
        <v>4.6874222077497872E-16</v>
      </c>
    </row>
    <row r="13" spans="1:13" x14ac:dyDescent="0.25">
      <c r="A13" s="58">
        <f>Модель!B21</f>
        <v>5</v>
      </c>
      <c r="B13" s="58">
        <f>Модель!C21</f>
        <v>605</v>
      </c>
      <c r="C13" s="58">
        <f>Модель!D21</f>
        <v>21.5</v>
      </c>
      <c r="E13" s="75" t="s">
        <v>128</v>
      </c>
      <c r="F13" s="75">
        <v>22</v>
      </c>
      <c r="G13" s="75">
        <v>233.73167742055293</v>
      </c>
      <c r="H13" s="75">
        <v>10.624167155479679</v>
      </c>
      <c r="I13" s="75"/>
      <c r="J13" s="75"/>
    </row>
    <row r="14" spans="1:13" ht="15.75" thickBot="1" x14ac:dyDescent="0.3">
      <c r="A14" s="58">
        <f>Модель!B22</f>
        <v>16</v>
      </c>
      <c r="B14" s="58">
        <f>Модель!C22</f>
        <v>688</v>
      </c>
      <c r="C14" s="58">
        <f>Модель!D22</f>
        <v>40.33</v>
      </c>
      <c r="E14" s="77" t="s">
        <v>129</v>
      </c>
      <c r="F14" s="77">
        <v>24</v>
      </c>
      <c r="G14" s="77">
        <v>5784.5425999999989</v>
      </c>
      <c r="H14" s="77"/>
      <c r="I14" s="77"/>
      <c r="J14" s="77"/>
    </row>
    <row r="15" spans="1:13" ht="15.75" thickBot="1" x14ac:dyDescent="0.3">
      <c r="A15" s="58">
        <f>Модель!B23</f>
        <v>10</v>
      </c>
      <c r="B15" s="58">
        <f>Модель!C23</f>
        <v>215</v>
      </c>
      <c r="C15" s="58">
        <f>Модель!D23</f>
        <v>21</v>
      </c>
    </row>
    <row r="16" spans="1:13" x14ac:dyDescent="0.25">
      <c r="A16" s="58">
        <f>Модель!B24</f>
        <v>4</v>
      </c>
      <c r="B16" s="58">
        <f>Модель!C24</f>
        <v>255</v>
      </c>
      <c r="C16" s="58">
        <f>Модель!D24</f>
        <v>13.5</v>
      </c>
      <c r="E16" s="74"/>
      <c r="F16" s="74" t="s">
        <v>155</v>
      </c>
      <c r="G16" s="74" t="s">
        <v>136</v>
      </c>
      <c r="H16" s="74" t="s">
        <v>83</v>
      </c>
      <c r="I16" s="74" t="s">
        <v>156</v>
      </c>
      <c r="J16" s="74" t="s">
        <v>157</v>
      </c>
      <c r="K16" s="74" t="s">
        <v>158</v>
      </c>
      <c r="L16" s="74" t="s">
        <v>159</v>
      </c>
      <c r="M16" s="74" t="s">
        <v>160</v>
      </c>
    </row>
    <row r="17" spans="1:13" x14ac:dyDescent="0.25">
      <c r="A17" s="58">
        <f>Модель!B25</f>
        <v>6</v>
      </c>
      <c r="B17" s="58">
        <f>Модель!C25</f>
        <v>462</v>
      </c>
      <c r="C17" s="58">
        <f>Модель!D25</f>
        <v>19.75</v>
      </c>
      <c r="E17" s="75" t="s">
        <v>153</v>
      </c>
      <c r="F17" s="75">
        <v>2.3412311451922099</v>
      </c>
      <c r="G17" s="75">
        <v>1.0967301681801043</v>
      </c>
      <c r="H17" s="75">
        <v>2.1347376165253205</v>
      </c>
      <c r="I17" s="75">
        <v>4.4170124156749167E-2</v>
      </c>
      <c r="J17" s="75">
        <v>6.6751986645638972E-2</v>
      </c>
      <c r="K17" s="75">
        <v>4.6157103037387808</v>
      </c>
      <c r="L17" s="75">
        <v>6.6751986645638972E-2</v>
      </c>
      <c r="M17" s="75">
        <v>4.6157103037387808</v>
      </c>
    </row>
    <row r="18" spans="1:13" x14ac:dyDescent="0.25">
      <c r="A18" s="58">
        <f>Модель!B26</f>
        <v>9</v>
      </c>
      <c r="B18" s="58">
        <f>Модель!C26</f>
        <v>448</v>
      </c>
      <c r="C18" s="58">
        <f>Модель!D26</f>
        <v>24</v>
      </c>
      <c r="E18" s="75" t="s">
        <v>131</v>
      </c>
      <c r="F18" s="75">
        <v>1.6159072106092534</v>
      </c>
      <c r="G18" s="75">
        <v>0.17073491828108878</v>
      </c>
      <c r="H18" s="75">
        <v>9.4644213783434203</v>
      </c>
      <c r="I18" s="75">
        <v>3.2549315736656896E-9</v>
      </c>
      <c r="J18" s="75">
        <v>1.2618246618353086</v>
      </c>
      <c r="K18" s="75">
        <v>1.9699897593831981</v>
      </c>
      <c r="L18" s="75">
        <v>1.2618246618353086</v>
      </c>
      <c r="M18" s="75">
        <v>1.9699897593831981</v>
      </c>
    </row>
    <row r="19" spans="1:13" ht="15.75" thickBot="1" x14ac:dyDescent="0.3">
      <c r="A19" s="58">
        <f>Модель!B27</f>
        <v>10</v>
      </c>
      <c r="B19" s="58">
        <f>Модель!C27</f>
        <v>776</v>
      </c>
      <c r="C19" s="58">
        <f>Модель!D27</f>
        <v>29</v>
      </c>
      <c r="E19" s="77" t="s">
        <v>132</v>
      </c>
      <c r="F19" s="77">
        <v>1.4384826255548114E-2</v>
      </c>
      <c r="G19" s="77">
        <v>3.6130858743041953E-3</v>
      </c>
      <c r="H19" s="77">
        <v>3.9813131367430703</v>
      </c>
      <c r="I19" s="77">
        <v>6.3124686224285103E-4</v>
      </c>
      <c r="J19" s="77">
        <v>6.8917447688041731E-3</v>
      </c>
      <c r="K19" s="77">
        <v>2.1877907742292056E-2</v>
      </c>
      <c r="L19" s="77">
        <v>6.8917447688041731E-3</v>
      </c>
      <c r="M19" s="77">
        <v>2.1877907742292056E-2</v>
      </c>
    </row>
    <row r="20" spans="1:13" x14ac:dyDescent="0.25">
      <c r="A20" s="58">
        <f>Модель!B28</f>
        <v>6</v>
      </c>
      <c r="B20" s="58">
        <f>Модель!C28</f>
        <v>200</v>
      </c>
      <c r="C20" s="58">
        <f>Модель!D28</f>
        <v>15.35</v>
      </c>
    </row>
    <row r="21" spans="1:13" x14ac:dyDescent="0.25">
      <c r="A21" s="58">
        <f>Модель!B29</f>
        <v>7</v>
      </c>
      <c r="B21" s="58">
        <f>Модель!C29</f>
        <v>132</v>
      </c>
      <c r="C21" s="58">
        <f>Модель!D29</f>
        <v>19</v>
      </c>
    </row>
    <row r="22" spans="1:13" x14ac:dyDescent="0.25">
      <c r="A22" s="58">
        <f>Модель!B30</f>
        <v>3</v>
      </c>
      <c r="B22" s="58">
        <f>Модель!C30</f>
        <v>36</v>
      </c>
      <c r="C22" s="58">
        <f>Модель!D30</f>
        <v>9.5</v>
      </c>
    </row>
    <row r="23" spans="1:13" x14ac:dyDescent="0.25">
      <c r="A23" s="58">
        <f>Модель!B31</f>
        <v>17</v>
      </c>
      <c r="B23" s="58">
        <f>Модель!C31</f>
        <v>770</v>
      </c>
      <c r="C23" s="58">
        <f>Модель!D31</f>
        <v>35.1</v>
      </c>
      <c r="E23" t="s">
        <v>161</v>
      </c>
    </row>
    <row r="24" spans="1:13" ht="15.75" thickBot="1" x14ac:dyDescent="0.3">
      <c r="A24" s="58">
        <f>Модель!B32</f>
        <v>10</v>
      </c>
      <c r="B24" s="58">
        <f>Модель!C32</f>
        <v>140</v>
      </c>
      <c r="C24" s="58">
        <f>Модель!D32</f>
        <v>17.899999999999999</v>
      </c>
    </row>
    <row r="25" spans="1:13" x14ac:dyDescent="0.25">
      <c r="A25" s="58">
        <f>Модель!B33</f>
        <v>26</v>
      </c>
      <c r="B25" s="58">
        <f>Модель!C33</f>
        <v>810</v>
      </c>
      <c r="C25" s="58">
        <f>Модель!D33</f>
        <v>52.32</v>
      </c>
      <c r="E25" s="74" t="s">
        <v>162</v>
      </c>
      <c r="F25" s="74" t="s">
        <v>163</v>
      </c>
      <c r="G25" s="74" t="s">
        <v>93</v>
      </c>
    </row>
    <row r="26" spans="1:13" x14ac:dyDescent="0.25">
      <c r="A26" s="58">
        <f>Модель!B34</f>
        <v>9</v>
      </c>
      <c r="B26" s="58">
        <f>Модель!C34</f>
        <v>450</v>
      </c>
      <c r="C26" s="58">
        <f>Модель!D34</f>
        <v>18.75</v>
      </c>
      <c r="E26" s="75">
        <v>1</v>
      </c>
      <c r="F26" s="75">
        <v>21.708084322563927</v>
      </c>
      <c r="G26" s="75">
        <v>-5.0280843225639273</v>
      </c>
    </row>
    <row r="27" spans="1:13" x14ac:dyDescent="0.25">
      <c r="A27" s="58">
        <f>Модель!B35</f>
        <v>8</v>
      </c>
      <c r="B27" s="58">
        <f>Модель!C35</f>
        <v>635</v>
      </c>
      <c r="C27" s="58">
        <f>Модель!D35</f>
        <v>19.829999999999998</v>
      </c>
      <c r="E27" s="75">
        <v>2</v>
      </c>
      <c r="F27" s="75">
        <v>10.353614553240554</v>
      </c>
      <c r="G27" s="75">
        <v>1.1463854467594459</v>
      </c>
    </row>
    <row r="28" spans="1:13" x14ac:dyDescent="0.25">
      <c r="A28" s="58">
        <f>Модель!B36</f>
        <v>4</v>
      </c>
      <c r="B28" s="58">
        <f>Модель!C36</f>
        <v>150</v>
      </c>
      <c r="C28" s="58">
        <f>Модель!D36</f>
        <v>10.75</v>
      </c>
      <c r="E28" s="75">
        <v>3</v>
      </c>
      <c r="F28" s="75">
        <v>12.079793703906329</v>
      </c>
      <c r="G28" s="75">
        <v>-4.9793703906329867E-2</v>
      </c>
    </row>
    <row r="29" spans="1:13" x14ac:dyDescent="0.25">
      <c r="E29" s="75">
        <v>4</v>
      </c>
      <c r="F29" s="75">
        <v>9.9556460880730722</v>
      </c>
      <c r="G29" s="75">
        <v>4.9243539119269286</v>
      </c>
    </row>
    <row r="30" spans="1:13" x14ac:dyDescent="0.25">
      <c r="E30" s="75">
        <v>5</v>
      </c>
      <c r="F30" s="75">
        <v>14.194398347179948</v>
      </c>
      <c r="G30" s="75">
        <v>-0.44439834717994842</v>
      </c>
    </row>
    <row r="31" spans="1:13" x14ac:dyDescent="0.25">
      <c r="E31" s="75">
        <v>6</v>
      </c>
      <c r="F31" s="75">
        <v>18.399574283787864</v>
      </c>
      <c r="G31" s="75">
        <v>-0.28957428378786432</v>
      </c>
    </row>
    <row r="32" spans="1:13" x14ac:dyDescent="0.25">
      <c r="E32" s="75">
        <v>7</v>
      </c>
      <c r="F32" s="75">
        <v>7.1553764545210088</v>
      </c>
      <c r="G32" s="75">
        <v>0.84462354547899121</v>
      </c>
    </row>
    <row r="33" spans="5:7" x14ac:dyDescent="0.25">
      <c r="E33" s="75">
        <v>8</v>
      </c>
      <c r="F33" s="75">
        <v>16.673395133122089</v>
      </c>
      <c r="G33" s="75">
        <v>1.1566048668779096</v>
      </c>
    </row>
    <row r="34" spans="5:7" x14ac:dyDescent="0.25">
      <c r="E34" s="75">
        <v>9</v>
      </c>
      <c r="F34" s="75">
        <v>71.820293796570056</v>
      </c>
      <c r="G34" s="75">
        <v>7.4197062034299393</v>
      </c>
    </row>
    <row r="35" spans="5:7" x14ac:dyDescent="0.25">
      <c r="E35" s="75">
        <v>10</v>
      </c>
      <c r="F35" s="75">
        <v>19.123587082845084</v>
      </c>
      <c r="G35" s="75">
        <v>2.3764129171549158</v>
      </c>
    </row>
    <row r="36" spans="5:7" x14ac:dyDescent="0.25">
      <c r="E36" s="75">
        <v>11</v>
      </c>
      <c r="F36" s="75">
        <v>38.09250697875737</v>
      </c>
      <c r="G36" s="75">
        <v>2.2374930212426278</v>
      </c>
    </row>
    <row r="37" spans="5:7" x14ac:dyDescent="0.25">
      <c r="E37" s="75">
        <v>12</v>
      </c>
      <c r="F37" s="75">
        <v>21.593040896227588</v>
      </c>
      <c r="G37" s="75">
        <v>-0.59304089622758838</v>
      </c>
    </row>
    <row r="38" spans="5:7" x14ac:dyDescent="0.25">
      <c r="E38" s="75">
        <v>13</v>
      </c>
      <c r="F38" s="75">
        <v>12.472990682793991</v>
      </c>
      <c r="G38" s="75">
        <v>1.0270093172060086</v>
      </c>
    </row>
    <row r="39" spans="5:7" x14ac:dyDescent="0.25">
      <c r="E39" s="75">
        <v>14</v>
      </c>
      <c r="F39" s="75">
        <v>18.682464138910959</v>
      </c>
      <c r="G39" s="75">
        <v>1.0675358610890413</v>
      </c>
    </row>
    <row r="40" spans="5:7" x14ac:dyDescent="0.25">
      <c r="E40" s="75">
        <v>15</v>
      </c>
      <c r="F40" s="75">
        <v>23.328798203161046</v>
      </c>
      <c r="G40" s="75">
        <v>0.67120179683895387</v>
      </c>
    </row>
    <row r="41" spans="5:7" x14ac:dyDescent="0.25">
      <c r="E41" s="75">
        <v>16</v>
      </c>
      <c r="F41" s="75">
        <v>29.662928425590081</v>
      </c>
      <c r="G41" s="75">
        <v>-0.66292842559008136</v>
      </c>
    </row>
    <row r="42" spans="5:7" x14ac:dyDescent="0.25">
      <c r="E42" s="75">
        <v>17</v>
      </c>
      <c r="F42" s="75">
        <v>14.913639659957353</v>
      </c>
      <c r="G42" s="75">
        <v>0.43636034004264701</v>
      </c>
    </row>
    <row r="43" spans="5:7" x14ac:dyDescent="0.25">
      <c r="E43" s="75">
        <v>18</v>
      </c>
      <c r="F43" s="75">
        <v>15.551378685189336</v>
      </c>
      <c r="G43" s="75">
        <v>3.4486213148106639</v>
      </c>
    </row>
    <row r="44" spans="5:7" x14ac:dyDescent="0.25">
      <c r="E44" s="75">
        <v>19</v>
      </c>
      <c r="F44" s="75">
        <v>7.7068065222197015</v>
      </c>
      <c r="G44" s="75">
        <v>1.7931934777802985</v>
      </c>
    </row>
    <row r="45" spans="5:7" x14ac:dyDescent="0.25">
      <c r="E45" s="75">
        <v>20</v>
      </c>
      <c r="F45" s="75">
        <v>40.887969942321568</v>
      </c>
      <c r="G45" s="75">
        <v>-5.7879699423215669</v>
      </c>
    </row>
    <row r="46" spans="5:7" x14ac:dyDescent="0.25">
      <c r="E46" s="75">
        <v>21</v>
      </c>
      <c r="F46" s="75">
        <v>20.514178927061479</v>
      </c>
      <c r="G46" s="75">
        <v>-2.6141789270614808</v>
      </c>
    </row>
    <row r="47" spans="5:7" x14ac:dyDescent="0.25">
      <c r="E47" s="75">
        <v>22</v>
      </c>
      <c r="F47" s="75">
        <v>56.006527888026767</v>
      </c>
      <c r="G47" s="75">
        <v>-3.6865278880267667</v>
      </c>
    </row>
    <row r="48" spans="5:7" x14ac:dyDescent="0.25">
      <c r="E48" s="75">
        <v>23</v>
      </c>
      <c r="F48" s="75">
        <v>23.357567855672141</v>
      </c>
      <c r="G48" s="75">
        <v>-4.6075678556721407</v>
      </c>
    </row>
    <row r="49" spans="5:7" x14ac:dyDescent="0.25">
      <c r="E49" s="75">
        <v>24</v>
      </c>
      <c r="F49" s="75">
        <v>24.402853502339291</v>
      </c>
      <c r="G49" s="75">
        <v>-4.5728535023392922</v>
      </c>
    </row>
    <row r="50" spans="5:7" ht="15.75" thickBot="1" x14ac:dyDescent="0.3">
      <c r="E50" s="77">
        <v>25</v>
      </c>
      <c r="F50" s="77">
        <v>10.962583925961439</v>
      </c>
      <c r="G50" s="77">
        <v>-0.21258392596143949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499984740745262"/>
  </sheetPr>
  <dimension ref="A1:G4"/>
  <sheetViews>
    <sheetView showGridLines="0" workbookViewId="0">
      <selection sqref="A1:G1"/>
    </sheetView>
  </sheetViews>
  <sheetFormatPr defaultColWidth="0" defaultRowHeight="15.75" customHeight="1" zeroHeight="1" x14ac:dyDescent="0.25"/>
  <cols>
    <col min="1" max="1" width="93.42578125" style="97" customWidth="1"/>
    <col min="2" max="16384" width="9.140625" style="97" hidden="1"/>
  </cols>
  <sheetData>
    <row r="1" spans="1:7" ht="36.75" customHeight="1" x14ac:dyDescent="0.25">
      <c r="A1" s="103" t="s">
        <v>164</v>
      </c>
      <c r="B1" s="103"/>
      <c r="C1" s="103"/>
      <c r="D1" s="103"/>
      <c r="E1" s="103"/>
      <c r="F1" s="103"/>
      <c r="G1" s="103"/>
    </row>
    <row r="2" spans="1:7" ht="107.25" customHeight="1" x14ac:dyDescent="0.25">
      <c r="A2" s="98" t="s">
        <v>165</v>
      </c>
    </row>
    <row r="3" spans="1:7" ht="105" customHeight="1" x14ac:dyDescent="0.25">
      <c r="A3" s="98" t="s">
        <v>166</v>
      </c>
    </row>
    <row r="4" spans="1:7" ht="28.5" hidden="1" customHeight="1" x14ac:dyDescent="0.25"/>
  </sheetData>
  <sheetProtection sheet="1" objects="1" scenarios="1" selectLockedCells="1"/>
  <mergeCells count="1">
    <mergeCell ref="A1:G1"/>
  </mergeCells>
  <hyperlinks>
    <hyperlink ref="A1" r:id="rId1" display="Файл скачан с сайта excel2.ru" xr:uid="{00000000-0004-0000-03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5</vt:i4>
      </vt:variant>
    </vt:vector>
  </HeadingPairs>
  <TitlesOfParts>
    <vt:vector size="9" baseType="lpstr">
      <vt:lpstr>Модель</vt:lpstr>
      <vt:lpstr>Диаграмма рассеяния</vt:lpstr>
      <vt:lpstr>Надстройка</vt:lpstr>
      <vt:lpstr>EXCEL2.RU</vt:lpstr>
      <vt:lpstr>'Диаграмма рассеяния'!cz</vt:lpstr>
      <vt:lpstr>'Диаграмма рассеяния'!sz</vt:lpstr>
      <vt:lpstr>'Диаграмма рассеяния'!ux</vt:lpstr>
      <vt:lpstr>'Диаграмма рассеяния'!uy</vt:lpstr>
      <vt:lpstr>'Диаграмма рассеяния'!uz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2018-09-16T07:31:33Z</dcterms:created>
  <dcterms:modified xsi:type="dcterms:W3CDTF">2021-12-23T21:12:36Z</dcterms:modified>
</cp:coreProperties>
</file>