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陌潇\Desktop\实习\实习资料\"/>
    </mc:Choice>
  </mc:AlternateContent>
  <xr:revisionPtr revIDLastSave="0" documentId="13_ncr:1_{01774724-0CF3-464D-B792-733E30CD8094}" xr6:coauthVersionLast="47" xr6:coauthVersionMax="47" xr10:uidLastSave="{00000000-0000-0000-0000-000000000000}"/>
  <bookViews>
    <workbookView xWindow="-110" yWindow="-110" windowWidth="19420" windowHeight="10420" tabRatio="601" activeTab="1" xr2:uid="{00000000-000D-0000-FFFF-FFFF00000000}"/>
  </bookViews>
  <sheets>
    <sheet name="三大板块" sheetId="3" r:id="rId1"/>
    <sheet name="SW通信" sheetId="1" r:id="rId2"/>
    <sheet name="陆股通" sheetId="4" state="hidden" r:id="rId3"/>
  </sheets>
  <externalReferences>
    <externalReference r:id="rId4"/>
    <externalReference r:id="rId5"/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E7" i="4" l="1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C2" i="4"/>
  <c r="B2" i="4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1" i="1"/>
  <c r="D1" i="3"/>
  <c r="D6" i="3"/>
  <c r="D5" i="3"/>
  <c r="D4" i="3"/>
  <c r="F5" i="3"/>
  <c r="F4" i="3"/>
  <c r="F6" i="3"/>
  <c r="E4" i="3"/>
  <c r="E5" i="3"/>
  <c r="F7" i="3"/>
  <c r="E7" i="3"/>
  <c r="D7" i="3"/>
  <c r="E6" i="3"/>
  <c r="E4" i="1" l="1"/>
  <c r="F8" i="1"/>
  <c r="F40" i="1"/>
  <c r="F80" i="1"/>
  <c r="F92" i="1"/>
  <c r="F28" i="1"/>
  <c r="F52" i="1"/>
  <c r="F64" i="1"/>
  <c r="F76" i="1"/>
  <c r="F84" i="1"/>
  <c r="F100" i="1"/>
  <c r="E12" i="1"/>
  <c r="F60" i="1"/>
  <c r="F26" i="1"/>
  <c r="F34" i="1"/>
  <c r="F38" i="1"/>
  <c r="F46" i="1"/>
  <c r="F54" i="1"/>
  <c r="F62" i="1"/>
  <c r="F70" i="1"/>
  <c r="F78" i="1"/>
  <c r="F86" i="1"/>
  <c r="E90" i="1"/>
  <c r="F94" i="1"/>
  <c r="E98" i="1"/>
  <c r="F36" i="1"/>
  <c r="F56" i="1"/>
  <c r="F14" i="1"/>
  <c r="F22" i="1"/>
  <c r="F30" i="1"/>
  <c r="F48" i="1"/>
  <c r="F68" i="1"/>
  <c r="E6" i="1"/>
  <c r="F136" i="1"/>
  <c r="E7" i="1"/>
  <c r="E19" i="1"/>
  <c r="F23" i="1"/>
  <c r="E35" i="1"/>
  <c r="F20" i="1"/>
  <c r="F44" i="1"/>
  <c r="F72" i="1"/>
  <c r="F10" i="1"/>
  <c r="F21" i="1"/>
  <c r="E56" i="1"/>
  <c r="E64" i="1"/>
  <c r="E72" i="1"/>
  <c r="E80" i="1"/>
  <c r="E88" i="1"/>
  <c r="E96" i="1"/>
  <c r="E108" i="1"/>
  <c r="F111" i="1"/>
  <c r="E111" i="1"/>
  <c r="F114" i="1"/>
  <c r="E124" i="1"/>
  <c r="F127" i="1"/>
  <c r="E127" i="1"/>
  <c r="F130" i="1"/>
  <c r="E140" i="1"/>
  <c r="F143" i="1"/>
  <c r="E143" i="1"/>
  <c r="F146" i="1"/>
  <c r="E156" i="1"/>
  <c r="F32" i="1"/>
  <c r="F43" i="1"/>
  <c r="E43" i="1"/>
  <c r="F51" i="1"/>
  <c r="E51" i="1"/>
  <c r="F59" i="1"/>
  <c r="E59" i="1"/>
  <c r="F67" i="1"/>
  <c r="E67" i="1"/>
  <c r="F75" i="1"/>
  <c r="E75" i="1"/>
  <c r="F83" i="1"/>
  <c r="E83" i="1"/>
  <c r="F88" i="1"/>
  <c r="F91" i="1"/>
  <c r="E91" i="1"/>
  <c r="F96" i="1"/>
  <c r="F99" i="1"/>
  <c r="E99" i="1"/>
  <c r="E102" i="1"/>
  <c r="F105" i="1"/>
  <c r="E105" i="1"/>
  <c r="F108" i="1"/>
  <c r="E118" i="1"/>
  <c r="F121" i="1"/>
  <c r="E121" i="1"/>
  <c r="F124" i="1"/>
  <c r="E134" i="1"/>
  <c r="F137" i="1"/>
  <c r="E137" i="1"/>
  <c r="F140" i="1"/>
  <c r="E150" i="1"/>
  <c r="F153" i="1"/>
  <c r="E153" i="1"/>
  <c r="E9" i="1"/>
  <c r="E3" i="1"/>
  <c r="E14" i="1"/>
  <c r="E23" i="1"/>
  <c r="E40" i="1"/>
  <c r="F3" i="1"/>
  <c r="E21" i="1"/>
  <c r="E28" i="1"/>
  <c r="F5" i="1"/>
  <c r="E10" i="1"/>
  <c r="F12" i="1"/>
  <c r="F17" i="1"/>
  <c r="E26" i="1"/>
  <c r="F33" i="1"/>
  <c r="E33" i="1"/>
  <c r="E38" i="1"/>
  <c r="E46" i="1"/>
  <c r="E54" i="1"/>
  <c r="E62" i="1"/>
  <c r="E70" i="1"/>
  <c r="E78" i="1"/>
  <c r="E86" i="1"/>
  <c r="E94" i="1"/>
  <c r="F102" i="1"/>
  <c r="E112" i="1"/>
  <c r="F115" i="1"/>
  <c r="E115" i="1"/>
  <c r="F118" i="1"/>
  <c r="E128" i="1"/>
  <c r="F131" i="1"/>
  <c r="E131" i="1"/>
  <c r="F134" i="1"/>
  <c r="E144" i="1"/>
  <c r="F147" i="1"/>
  <c r="E147" i="1"/>
  <c r="F150" i="1"/>
  <c r="F16" i="1"/>
  <c r="E30" i="1"/>
  <c r="F6" i="1"/>
  <c r="E24" i="1"/>
  <c r="F31" i="1"/>
  <c r="F41" i="1"/>
  <c r="E41" i="1"/>
  <c r="F49" i="1"/>
  <c r="E49" i="1"/>
  <c r="F57" i="1"/>
  <c r="E57" i="1"/>
  <c r="F65" i="1"/>
  <c r="E65" i="1"/>
  <c r="F73" i="1"/>
  <c r="E73" i="1"/>
  <c r="F81" i="1"/>
  <c r="E81" i="1"/>
  <c r="F89" i="1"/>
  <c r="E89" i="1"/>
  <c r="F97" i="1"/>
  <c r="E97" i="1"/>
  <c r="E106" i="1"/>
  <c r="F109" i="1"/>
  <c r="E109" i="1"/>
  <c r="F112" i="1"/>
  <c r="E122" i="1"/>
  <c r="F125" i="1"/>
  <c r="E125" i="1"/>
  <c r="F128" i="1"/>
  <c r="E138" i="1"/>
  <c r="F141" i="1"/>
  <c r="E141" i="1"/>
  <c r="F144" i="1"/>
  <c r="E154" i="1"/>
  <c r="E16" i="1"/>
  <c r="F18" i="1"/>
  <c r="F7" i="1"/>
  <c r="E8" i="1"/>
  <c r="F15" i="1"/>
  <c r="F13" i="1"/>
  <c r="E15" i="1"/>
  <c r="E31" i="1"/>
  <c r="E36" i="1"/>
  <c r="E44" i="1"/>
  <c r="E52" i="1"/>
  <c r="E60" i="1"/>
  <c r="E68" i="1"/>
  <c r="E76" i="1"/>
  <c r="E84" i="1"/>
  <c r="E92" i="1"/>
  <c r="E100" i="1"/>
  <c r="F103" i="1"/>
  <c r="E103" i="1"/>
  <c r="F106" i="1"/>
  <c r="E116" i="1"/>
  <c r="F119" i="1"/>
  <c r="E119" i="1"/>
  <c r="F122" i="1"/>
  <c r="E132" i="1"/>
  <c r="F135" i="1"/>
  <c r="E135" i="1"/>
  <c r="F138" i="1"/>
  <c r="E148" i="1"/>
  <c r="F151" i="1"/>
  <c r="E151" i="1"/>
  <c r="F154" i="1"/>
  <c r="F19" i="1"/>
  <c r="F4" i="1"/>
  <c r="E5" i="1"/>
  <c r="E22" i="1"/>
  <c r="F24" i="1"/>
  <c r="F29" i="1"/>
  <c r="F11" i="1"/>
  <c r="E13" i="1"/>
  <c r="E20" i="1"/>
  <c r="F27" i="1"/>
  <c r="E29" i="1"/>
  <c r="E34" i="1"/>
  <c r="F39" i="1"/>
  <c r="E39" i="1"/>
  <c r="F47" i="1"/>
  <c r="E47" i="1"/>
  <c r="F55" i="1"/>
  <c r="E55" i="1"/>
  <c r="F63" i="1"/>
  <c r="E63" i="1"/>
  <c r="F71" i="1"/>
  <c r="E71" i="1"/>
  <c r="F79" i="1"/>
  <c r="E79" i="1"/>
  <c r="F87" i="1"/>
  <c r="E87" i="1"/>
  <c r="F95" i="1"/>
  <c r="E95" i="1"/>
  <c r="E110" i="1"/>
  <c r="F113" i="1"/>
  <c r="E113" i="1"/>
  <c r="F116" i="1"/>
  <c r="E126" i="1"/>
  <c r="F129" i="1"/>
  <c r="E129" i="1"/>
  <c r="F132" i="1"/>
  <c r="E142" i="1"/>
  <c r="F145" i="1"/>
  <c r="E145" i="1"/>
  <c r="F148" i="1"/>
  <c r="F35" i="1"/>
  <c r="E48" i="1"/>
  <c r="E17" i="1"/>
  <c r="F9" i="1"/>
  <c r="E11" i="1"/>
  <c r="E18" i="1"/>
  <c r="F25" i="1"/>
  <c r="E27" i="1"/>
  <c r="E42" i="1"/>
  <c r="E50" i="1"/>
  <c r="E58" i="1"/>
  <c r="E66" i="1"/>
  <c r="E74" i="1"/>
  <c r="E82" i="1"/>
  <c r="E104" i="1"/>
  <c r="F107" i="1"/>
  <c r="E107" i="1"/>
  <c r="F110" i="1"/>
  <c r="E120" i="1"/>
  <c r="F123" i="1"/>
  <c r="E123" i="1"/>
  <c r="F126" i="1"/>
  <c r="E136" i="1"/>
  <c r="F139" i="1"/>
  <c r="E139" i="1"/>
  <c r="F142" i="1"/>
  <c r="E152" i="1"/>
  <c r="F155" i="1"/>
  <c r="E25" i="1"/>
  <c r="E32" i="1"/>
  <c r="F37" i="1"/>
  <c r="E37" i="1"/>
  <c r="F42" i="1"/>
  <c r="F45" i="1"/>
  <c r="E45" i="1"/>
  <c r="F50" i="1"/>
  <c r="F53" i="1"/>
  <c r="E53" i="1"/>
  <c r="F58" i="1"/>
  <c r="F61" i="1"/>
  <c r="E61" i="1"/>
  <c r="F66" i="1"/>
  <c r="F69" i="1"/>
  <c r="E69" i="1"/>
  <c r="F74" i="1"/>
  <c r="F77" i="1"/>
  <c r="E77" i="1"/>
  <c r="F82" i="1"/>
  <c r="F85" i="1"/>
  <c r="E85" i="1"/>
  <c r="F90" i="1"/>
  <c r="F93" i="1"/>
  <c r="E93" i="1"/>
  <c r="F98" i="1"/>
  <c r="F101" i="1"/>
  <c r="E101" i="1"/>
  <c r="F104" i="1"/>
  <c r="E114" i="1"/>
  <c r="F117" i="1"/>
  <c r="E117" i="1"/>
  <c r="F120" i="1"/>
  <c r="E130" i="1"/>
  <c r="F133" i="1"/>
  <c r="E133" i="1"/>
  <c r="E146" i="1"/>
  <c r="F149" i="1"/>
  <c r="E149" i="1"/>
  <c r="F152" i="1"/>
  <c r="F156" i="1"/>
  <c r="E155" i="1"/>
  <c r="I4" i="1" l="1"/>
  <c r="J7" i="1"/>
  <c r="J4" i="1"/>
  <c r="I5" i="1"/>
  <c r="I8" i="1"/>
  <c r="J5" i="1"/>
  <c r="I6" i="1"/>
  <c r="J6" i="1"/>
  <c r="J8" i="1"/>
  <c r="I7" i="1"/>
  <c r="L6" i="1"/>
  <c r="K5" i="1"/>
  <c r="L8" i="1"/>
  <c r="L5" i="1"/>
  <c r="L7" i="1"/>
  <c r="K6" i="1"/>
  <c r="K8" i="1"/>
  <c r="K7" i="1"/>
  <c r="L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Chrissy</author>
  </authors>
  <commentList>
    <comment ref="C1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<sst xmlns="http://schemas.openxmlformats.org/spreadsheetml/2006/main" count="350" uniqueCount="342">
  <si>
    <r>
      <rPr>
        <b/>
        <sz val="8"/>
        <color indexed="9"/>
        <rFont val="华文楷体"/>
        <family val="3"/>
        <charset val="134"/>
      </rPr>
      <t>现价</t>
    </r>
  </si>
  <si>
    <r>
      <rPr>
        <b/>
        <sz val="8"/>
        <color indexed="9"/>
        <rFont val="华文楷体"/>
        <family val="3"/>
        <charset val="134"/>
      </rPr>
      <t>涨跌幅</t>
    </r>
  </si>
  <si>
    <r>
      <rPr>
        <b/>
        <sz val="8"/>
        <color indexed="9"/>
        <rFont val="华文楷体"/>
        <family val="3"/>
        <charset val="134"/>
      </rPr>
      <t>涨跌</t>
    </r>
  </si>
  <si>
    <t>000001.SH</t>
  </si>
  <si>
    <r>
      <rPr>
        <sz val="8"/>
        <color theme="1"/>
        <rFont val="华文楷体"/>
        <family val="3"/>
        <charset val="134"/>
      </rPr>
      <t>上证综指</t>
    </r>
  </si>
  <si>
    <t>399001.SZ</t>
  </si>
  <si>
    <r>
      <rPr>
        <sz val="8"/>
        <color theme="1"/>
        <rFont val="华文楷体"/>
        <family val="3"/>
        <charset val="134"/>
      </rPr>
      <t>深圳成指</t>
    </r>
  </si>
  <si>
    <t>399006.SZ</t>
  </si>
  <si>
    <r>
      <rPr>
        <sz val="8"/>
        <color theme="1"/>
        <rFont val="华文楷体"/>
        <family val="3"/>
        <charset val="134"/>
      </rPr>
      <t>创业板指</t>
    </r>
  </si>
  <si>
    <t>801770.SI</t>
  </si>
  <si>
    <r>
      <rPr>
        <sz val="8"/>
        <color theme="1"/>
        <rFont val="Arial"/>
        <family val="2"/>
      </rPr>
      <t>SW</t>
    </r>
    <r>
      <rPr>
        <sz val="8"/>
        <color theme="1"/>
        <rFont val="华文楷体"/>
        <family val="3"/>
        <charset val="134"/>
      </rPr>
      <t>通信</t>
    </r>
  </si>
  <si>
    <t>代码</t>
  </si>
  <si>
    <t>名称</t>
  </si>
  <si>
    <t>日期</t>
  </si>
  <si>
    <t>时间</t>
  </si>
  <si>
    <t>现价</t>
  </si>
  <si>
    <t>涨跌幅</t>
  </si>
  <si>
    <t>涨跌</t>
  </si>
  <si>
    <t>Code</t>
  </si>
  <si>
    <t>Name</t>
  </si>
  <si>
    <t>rt_date</t>
  </si>
  <si>
    <t>rt_time</t>
  </si>
  <si>
    <t>rt_last</t>
  </si>
  <si>
    <t>rt_pct_chg</t>
  </si>
  <si>
    <t>rt_chg</t>
  </si>
  <si>
    <t>深证成指</t>
  </si>
  <si>
    <t>创业板指</t>
  </si>
  <si>
    <t>通信(申万)</t>
  </si>
  <si>
    <t>简称</t>
  </si>
  <si>
    <r>
      <rPr>
        <b/>
        <sz val="8"/>
        <color indexed="9"/>
        <rFont val="华文楷体"/>
        <family val="3"/>
        <charset val="134"/>
      </rPr>
      <t>排序</t>
    </r>
  </si>
  <si>
    <r>
      <rPr>
        <b/>
        <sz val="8"/>
        <color indexed="9"/>
        <rFont val="华文楷体"/>
        <family val="3"/>
        <charset val="134"/>
      </rPr>
      <t>涨幅前五</t>
    </r>
  </si>
  <si>
    <r>
      <rPr>
        <b/>
        <sz val="8"/>
        <color indexed="9"/>
        <rFont val="华文楷体"/>
        <family val="3"/>
        <charset val="134"/>
      </rPr>
      <t>涨幅</t>
    </r>
  </si>
  <si>
    <r>
      <rPr>
        <b/>
        <sz val="8"/>
        <color indexed="9"/>
        <rFont val="华文楷体"/>
        <family val="3"/>
        <charset val="134"/>
      </rPr>
      <t>跌幅前五</t>
    </r>
  </si>
  <si>
    <r>
      <rPr>
        <b/>
        <sz val="8"/>
        <color indexed="9"/>
        <rFont val="华文楷体"/>
        <family val="3"/>
        <charset val="134"/>
      </rPr>
      <t>跌幅</t>
    </r>
  </si>
  <si>
    <t>000032.SZ</t>
  </si>
  <si>
    <t>深桑达A</t>
  </si>
  <si>
    <t>000063.SZ</t>
  </si>
  <si>
    <t>中兴通讯</t>
  </si>
  <si>
    <t>000070.SZ</t>
  </si>
  <si>
    <t>特发信息</t>
  </si>
  <si>
    <t>000586.SZ</t>
  </si>
  <si>
    <t>汇源通信</t>
  </si>
  <si>
    <t>000687.SZ</t>
  </si>
  <si>
    <t>华讯方舟</t>
  </si>
  <si>
    <t>000815.SZ</t>
  </si>
  <si>
    <t>美利云</t>
  </si>
  <si>
    <t>000836.SZ</t>
  </si>
  <si>
    <t>富通鑫茂</t>
  </si>
  <si>
    <t>000851.SZ</t>
  </si>
  <si>
    <t>高鸿股份</t>
  </si>
  <si>
    <t>000889.SZ</t>
  </si>
  <si>
    <t>中嘉博创</t>
  </si>
  <si>
    <t>000938.SZ</t>
  </si>
  <si>
    <t>紫光股份</t>
  </si>
  <si>
    <t>000971.SZ</t>
  </si>
  <si>
    <t>*ST高升</t>
  </si>
  <si>
    <t>000988.SZ</t>
  </si>
  <si>
    <t>华工科技</t>
  </si>
  <si>
    <t>002089.SZ</t>
  </si>
  <si>
    <t>*ST新海</t>
  </si>
  <si>
    <t>002093.SZ</t>
  </si>
  <si>
    <t>国脉科技</t>
  </si>
  <si>
    <t>002104.SZ</t>
  </si>
  <si>
    <t>恒宝股份</t>
  </si>
  <si>
    <t>002115.SZ</t>
  </si>
  <si>
    <t>三维通信</t>
  </si>
  <si>
    <t>002123.SZ</t>
  </si>
  <si>
    <t>梦网集团</t>
  </si>
  <si>
    <t>002139.SZ</t>
  </si>
  <si>
    <t>拓邦股份</t>
  </si>
  <si>
    <t>002148.SZ</t>
  </si>
  <si>
    <t>北纬科技</t>
  </si>
  <si>
    <t>002151.SZ</t>
  </si>
  <si>
    <t>北斗星通</t>
  </si>
  <si>
    <t>002161.SZ</t>
  </si>
  <si>
    <t>远望谷</t>
  </si>
  <si>
    <t>002194.SZ</t>
  </si>
  <si>
    <t>武汉凡谷</t>
  </si>
  <si>
    <t>002231.SZ</t>
  </si>
  <si>
    <t>奥维通信</t>
  </si>
  <si>
    <t>002281.SZ</t>
  </si>
  <si>
    <t>光迅科技</t>
  </si>
  <si>
    <t>002296.SZ</t>
  </si>
  <si>
    <t>辉煌科技</t>
  </si>
  <si>
    <t>002301.SZ</t>
  </si>
  <si>
    <t>齐心集团</t>
  </si>
  <si>
    <t>002309.SZ</t>
  </si>
  <si>
    <t>中利集团</t>
  </si>
  <si>
    <t>002313.SZ</t>
  </si>
  <si>
    <t>日海智能</t>
  </si>
  <si>
    <t>002316.SZ</t>
  </si>
  <si>
    <t>亚联发展</t>
  </si>
  <si>
    <t>002335.SZ</t>
  </si>
  <si>
    <t>科华恒盛</t>
  </si>
  <si>
    <t>002359.SZ</t>
  </si>
  <si>
    <t>*ST北讯</t>
  </si>
  <si>
    <t>002383.SZ</t>
  </si>
  <si>
    <t>合众思壮</t>
  </si>
  <si>
    <t>002396.SZ</t>
  </si>
  <si>
    <t>星网锐捷</t>
  </si>
  <si>
    <t>002402.SZ</t>
  </si>
  <si>
    <t>和而泰</t>
  </si>
  <si>
    <t>002416.SZ</t>
  </si>
  <si>
    <t>爱施德</t>
  </si>
  <si>
    <t>002417.SZ</t>
  </si>
  <si>
    <t>深南股份</t>
  </si>
  <si>
    <t>002446.SZ</t>
  </si>
  <si>
    <t>盛路通信</t>
  </si>
  <si>
    <t>002465.SZ</t>
  </si>
  <si>
    <t>海格通信</t>
  </si>
  <si>
    <t>002467.SZ</t>
  </si>
  <si>
    <t>二六三</t>
  </si>
  <si>
    <t>002491.SZ</t>
  </si>
  <si>
    <t>通鼎互联</t>
  </si>
  <si>
    <t>002518.SZ</t>
  </si>
  <si>
    <t>科士达</t>
  </si>
  <si>
    <t>002519.SZ</t>
  </si>
  <si>
    <t>银河电子</t>
  </si>
  <si>
    <t>002544.SZ</t>
  </si>
  <si>
    <t>杰赛科技</t>
  </si>
  <si>
    <t>002547.SZ</t>
  </si>
  <si>
    <t>春兴精工</t>
  </si>
  <si>
    <t>002583.SZ</t>
  </si>
  <si>
    <t>海能达</t>
  </si>
  <si>
    <t>002771.SZ</t>
  </si>
  <si>
    <t>真视通</t>
  </si>
  <si>
    <t>002792.SZ</t>
  </si>
  <si>
    <t>通宇通讯</t>
  </si>
  <si>
    <t>002796.SZ</t>
  </si>
  <si>
    <t>世嘉科技</t>
  </si>
  <si>
    <t>002813.SZ</t>
  </si>
  <si>
    <t>路畅科技</t>
  </si>
  <si>
    <t>002829.SZ</t>
  </si>
  <si>
    <t>星网宇达</t>
  </si>
  <si>
    <t>002841.SZ</t>
  </si>
  <si>
    <t>视源股份</t>
  </si>
  <si>
    <t>002848.SZ</t>
  </si>
  <si>
    <t>高斯贝尔</t>
  </si>
  <si>
    <t>002869.SZ</t>
  </si>
  <si>
    <t>金溢科技</t>
  </si>
  <si>
    <t>002881.SZ</t>
  </si>
  <si>
    <t>美格智能</t>
  </si>
  <si>
    <t>002897.SZ</t>
  </si>
  <si>
    <t>意华股份</t>
  </si>
  <si>
    <t>002902.SZ</t>
  </si>
  <si>
    <t>铭普光磁</t>
  </si>
  <si>
    <t>002912.SZ</t>
  </si>
  <si>
    <t>中新赛克</t>
  </si>
  <si>
    <t>002929.SZ</t>
  </si>
  <si>
    <t>润建股份</t>
  </si>
  <si>
    <t>300007.SZ</t>
  </si>
  <si>
    <t>汉威科技</t>
  </si>
  <si>
    <t>300017.SZ</t>
  </si>
  <si>
    <t>网宿科技</t>
  </si>
  <si>
    <t>300025.SZ</t>
  </si>
  <si>
    <t>华星创业</t>
  </si>
  <si>
    <t>300045.SZ</t>
  </si>
  <si>
    <t>华力创通</t>
  </si>
  <si>
    <t>300047.SZ</t>
  </si>
  <si>
    <t>天源迪科</t>
  </si>
  <si>
    <t>300050.SZ</t>
  </si>
  <si>
    <t>世纪鼎利</t>
  </si>
  <si>
    <t>300053.SZ</t>
  </si>
  <si>
    <t>欧比特</t>
  </si>
  <si>
    <t>300066.SZ</t>
  </si>
  <si>
    <t>三川智慧</t>
  </si>
  <si>
    <t>300074.SZ</t>
  </si>
  <si>
    <t>华平股份</t>
  </si>
  <si>
    <t>300098.SZ</t>
  </si>
  <si>
    <t>高新兴</t>
  </si>
  <si>
    <t>300101.SZ</t>
  </si>
  <si>
    <t>振芯科技</t>
  </si>
  <si>
    <t>300134.SZ</t>
  </si>
  <si>
    <t>大富科技</t>
  </si>
  <si>
    <t>300177.SZ</t>
  </si>
  <si>
    <t>中海达</t>
  </si>
  <si>
    <t>300183.SZ</t>
  </si>
  <si>
    <t>东软载波</t>
  </si>
  <si>
    <t>300205.SZ</t>
  </si>
  <si>
    <t>天喻信息</t>
  </si>
  <si>
    <t>300209.SZ</t>
  </si>
  <si>
    <t>天泽信息</t>
  </si>
  <si>
    <t>300211.SZ</t>
  </si>
  <si>
    <t>亿通科技</t>
  </si>
  <si>
    <t>300213.SZ</t>
  </si>
  <si>
    <t>佳讯飞鸿</t>
  </si>
  <si>
    <t>300250.SZ</t>
  </si>
  <si>
    <t>初灵信息</t>
  </si>
  <si>
    <t>300252.SZ</t>
  </si>
  <si>
    <t>金信诺</t>
  </si>
  <si>
    <t>300259.SZ</t>
  </si>
  <si>
    <t>新天科技</t>
  </si>
  <si>
    <t>300264.SZ</t>
  </si>
  <si>
    <t>佳创视讯</t>
  </si>
  <si>
    <t>300265.SZ</t>
  </si>
  <si>
    <t>通光线缆</t>
  </si>
  <si>
    <t>300288.SZ</t>
  </si>
  <si>
    <t>朗玛信息</t>
  </si>
  <si>
    <t>300292.SZ</t>
  </si>
  <si>
    <t>吴通控股</t>
  </si>
  <si>
    <t>300299.SZ</t>
  </si>
  <si>
    <t>富春股份</t>
  </si>
  <si>
    <t>300308.SZ</t>
  </si>
  <si>
    <t>中际旭创</t>
  </si>
  <si>
    <t>300310.SZ</t>
  </si>
  <si>
    <t>宜通世纪</t>
  </si>
  <si>
    <t>300312.SZ</t>
  </si>
  <si>
    <t>邦讯技术</t>
  </si>
  <si>
    <t>300322.SZ</t>
  </si>
  <si>
    <t>硕贝德</t>
  </si>
  <si>
    <t>300349.SZ</t>
  </si>
  <si>
    <t>金卡智能</t>
  </si>
  <si>
    <t>300353.SZ</t>
  </si>
  <si>
    <t>东土科技</t>
  </si>
  <si>
    <t>300383.SZ</t>
  </si>
  <si>
    <t>光环新网</t>
  </si>
  <si>
    <t>300394.SZ</t>
  </si>
  <si>
    <t>天孚通信</t>
  </si>
  <si>
    <t>300414.SZ</t>
  </si>
  <si>
    <t>中光防雷</t>
  </si>
  <si>
    <t>300454.SZ</t>
  </si>
  <si>
    <t>深信服</t>
  </si>
  <si>
    <t>300502.SZ</t>
  </si>
  <si>
    <t>新易盛</t>
  </si>
  <si>
    <t>300504.SZ</t>
  </si>
  <si>
    <t>天邑股份</t>
  </si>
  <si>
    <t>300513.SZ</t>
  </si>
  <si>
    <t>恒实科技</t>
  </si>
  <si>
    <t>300531.SZ</t>
  </si>
  <si>
    <t>优博讯</t>
  </si>
  <si>
    <t>300548.SZ</t>
  </si>
  <si>
    <t>博创科技</t>
  </si>
  <si>
    <t>300555.SZ</t>
  </si>
  <si>
    <t>路通视信</t>
  </si>
  <si>
    <t>300557.SZ</t>
  </si>
  <si>
    <t>理工光科</t>
  </si>
  <si>
    <t>300560.SZ</t>
  </si>
  <si>
    <t>中富通</t>
  </si>
  <si>
    <t>300563.SZ</t>
  </si>
  <si>
    <t>神宇股份</t>
  </si>
  <si>
    <t>300565.SZ</t>
  </si>
  <si>
    <t>科信技术</t>
  </si>
  <si>
    <t>300570.SZ</t>
  </si>
  <si>
    <t>太辰光</t>
  </si>
  <si>
    <t>300571.SZ</t>
  </si>
  <si>
    <t>平治信息</t>
  </si>
  <si>
    <t>300578.SZ</t>
  </si>
  <si>
    <t>会畅通讯</t>
  </si>
  <si>
    <t>300590.SZ</t>
  </si>
  <si>
    <t>移为通信</t>
  </si>
  <si>
    <t>300597.SZ</t>
  </si>
  <si>
    <t>吉大通信</t>
  </si>
  <si>
    <t>300603.SZ</t>
  </si>
  <si>
    <t>立昂技术</t>
  </si>
  <si>
    <t>300615.SZ</t>
  </si>
  <si>
    <t>欣天科技</t>
  </si>
  <si>
    <t>300620.SZ</t>
  </si>
  <si>
    <t>光库科技</t>
  </si>
  <si>
    <t>300627.SZ</t>
  </si>
  <si>
    <t>华测导航</t>
  </si>
  <si>
    <t>300628.SZ</t>
  </si>
  <si>
    <t>亿联网络</t>
  </si>
  <si>
    <t>300638.SZ</t>
  </si>
  <si>
    <t>广和通</t>
  </si>
  <si>
    <t>300659.SZ</t>
  </si>
  <si>
    <t>中孚信息</t>
  </si>
  <si>
    <t>300698.SZ</t>
  </si>
  <si>
    <t>万马科技</t>
  </si>
  <si>
    <t>300701.SZ</t>
  </si>
  <si>
    <t>森霸传感</t>
  </si>
  <si>
    <t>300710.SZ</t>
  </si>
  <si>
    <t>万隆光电</t>
  </si>
  <si>
    <t>300711.SZ</t>
  </si>
  <si>
    <t>广哈通信</t>
  </si>
  <si>
    <t>300738.SZ</t>
  </si>
  <si>
    <t>奥飞数据</t>
  </si>
  <si>
    <t>300768.SZ</t>
  </si>
  <si>
    <t>迪普科技</t>
  </si>
  <si>
    <t>600050.SH</t>
  </si>
  <si>
    <t>中国联通</t>
  </si>
  <si>
    <t>600105.SH</t>
  </si>
  <si>
    <t>永鼎股份</t>
  </si>
  <si>
    <t>600130.SH</t>
  </si>
  <si>
    <t>波导股份</t>
  </si>
  <si>
    <t>600260.SH</t>
  </si>
  <si>
    <t>凯乐科技</t>
  </si>
  <si>
    <t>600289.SH</t>
  </si>
  <si>
    <t>*ST信通</t>
  </si>
  <si>
    <t>600345.SH</t>
  </si>
  <si>
    <t>长江通信</t>
  </si>
  <si>
    <t>600462.SH</t>
  </si>
  <si>
    <t>*ST九有</t>
  </si>
  <si>
    <t>600487.SH</t>
  </si>
  <si>
    <t>亨通光电</t>
  </si>
  <si>
    <t>600498.SH</t>
  </si>
  <si>
    <t>烽火通信</t>
  </si>
  <si>
    <t>600522.SH</t>
  </si>
  <si>
    <t>中天科技</t>
  </si>
  <si>
    <t>600640.SH</t>
  </si>
  <si>
    <t>号百控股</t>
  </si>
  <si>
    <t>600734.SH</t>
  </si>
  <si>
    <t>实达集团</t>
  </si>
  <si>
    <t>600776.SH</t>
  </si>
  <si>
    <t>东方通信</t>
  </si>
  <si>
    <t>600804.SH</t>
  </si>
  <si>
    <t>鹏博士</t>
  </si>
  <si>
    <t>600845.SH</t>
  </si>
  <si>
    <t>宝信软件</t>
  </si>
  <si>
    <t>601869.SH</t>
  </si>
  <si>
    <t>长飞光纤</t>
  </si>
  <si>
    <t>603042.SH</t>
  </si>
  <si>
    <t>华脉科技</t>
  </si>
  <si>
    <t>603083.SH</t>
  </si>
  <si>
    <t>剑桥科技</t>
  </si>
  <si>
    <t>603118.SH</t>
  </si>
  <si>
    <t>共进股份</t>
  </si>
  <si>
    <t>603138.SH</t>
  </si>
  <si>
    <t>海量数据</t>
  </si>
  <si>
    <t>603236.SH</t>
  </si>
  <si>
    <t>移远通信</t>
  </si>
  <si>
    <t>603322.SH</t>
  </si>
  <si>
    <t>超讯通信</t>
  </si>
  <si>
    <t>603421.SH</t>
  </si>
  <si>
    <t>鼎信通讯</t>
  </si>
  <si>
    <t>603496.SH</t>
  </si>
  <si>
    <t>恒为科技</t>
  </si>
  <si>
    <t>603559.SH</t>
  </si>
  <si>
    <t>中通国脉</t>
  </si>
  <si>
    <t>603602.SH</t>
  </si>
  <si>
    <t>纵横通信</t>
  </si>
  <si>
    <t>603679.SH</t>
  </si>
  <si>
    <t>华体科技</t>
  </si>
  <si>
    <t>603703.SH</t>
  </si>
  <si>
    <t>盛洋科技</t>
  </si>
  <si>
    <t>603712.SH</t>
  </si>
  <si>
    <t>七一二</t>
  </si>
  <si>
    <t>603803.SH</t>
  </si>
  <si>
    <t>瑞斯康达</t>
  </si>
  <si>
    <t>603881.SH</t>
  </si>
  <si>
    <t>数据港</t>
  </si>
  <si>
    <t>603887.SH</t>
  </si>
  <si>
    <t>城地股份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</si>
</sst>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General\%"/>
    <numFmt numFmtId="177" formatCode="0_ "/>
    <numFmt numFmtId="178" formatCode="##0"/>
    <numFmt numFmtId="179" formatCode="#,##0.0000_ ;\-#,##0.0000\ "/>
    <numFmt numFmtId="180" formatCode="hh:mm:ss"/>
  </numFmts>
  <fonts count="8" x14ac:knownFonts="1">
    <font>
      <sz val="11"/>
      <color theme="1"/>
      <name val="等线"/>
      <charset val="134"/>
      <scheme val="minor"/>
    </font>
    <font>
      <b/>
      <sz val="8"/>
      <color indexed="9"/>
      <name val="Arial"/>
      <family val="2"/>
    </font>
    <font>
      <sz val="8"/>
      <color theme="1"/>
      <name val="Arial"/>
      <family val="2"/>
    </font>
    <font>
      <sz val="11"/>
      <color theme="1"/>
      <name val="等线"/>
      <family val="3"/>
      <charset val="134"/>
      <scheme val="minor"/>
    </font>
    <font>
      <b/>
      <sz val="8"/>
      <color indexed="9"/>
      <name val="华文楷体"/>
      <family val="3"/>
      <charset val="134"/>
    </font>
    <font>
      <sz val="8"/>
      <color theme="1"/>
      <name val="华文楷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theme="5" tint="0.7999511703848384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0002E"/>
      </top>
      <bottom style="thin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>
      <alignment vertical="center"/>
    </xf>
    <xf numFmtId="0" fontId="2" fillId="0" borderId="0" xfId="0" applyNumberFormat="1" applyFont="1" applyBorder="1" applyAlignment="1">
      <alignment horizontal="right" vertical="center"/>
    </xf>
    <xf numFmtId="2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  <xf numFmtId="17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2" fillId="0" borderId="2" xfId="0" applyNumberFormat="1" applyFont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Border="1" applyAlignment="1">
      <alignment horizontal="right" vertical="center"/>
    </xf>
    <xf numFmtId="0" fontId="2" fillId="0" borderId="3" xfId="0" applyNumberFormat="1" applyFont="1" applyBorder="1" applyAlignment="1">
      <alignment horizontal="right" vertical="center"/>
    </xf>
    <xf numFmtId="176" fontId="2" fillId="0" borderId="3" xfId="0" applyNumberFormat="1" applyFont="1" applyBorder="1" applyAlignment="1">
      <alignment horizontal="right" vertical="center"/>
    </xf>
    <xf numFmtId="0" fontId="0" fillId="0" borderId="0" xfId="0" applyNumberFormat="1" applyFill="1" applyAlignment="1">
      <alignment horizontal="right" vertical="center"/>
    </xf>
    <xf numFmtId="176" fontId="0" fillId="0" borderId="0" xfId="0" applyNumberFormat="1">
      <alignment vertical="center"/>
    </xf>
    <xf numFmtId="14" fontId="0" fillId="3" borderId="0" xfId="1" applyNumberFormat="1" applyFont="1" applyFill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  <xf numFmtId="180" fontId="0" fillId="0" borderId="0" xfId="0" applyNumberFormat="1" applyAlignment="1">
      <alignment horizontal="righ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14.55</v>
        <stp/>
        <stp>600522.SH</stp>
        <stp>rt_last</stp>
        <stp>RT_Price</stp>
        <tr r="C134" s="1"/>
      </tp>
      <tp>
        <v>12.58</v>
        <stp/>
        <stp>603559.SH</stp>
        <stp>rt_last</stp>
        <stp>RT_Price</stp>
        <tr r="C149" s="1"/>
      </tp>
      <tp>
        <v>5.5600000000000005</v>
        <stp/>
        <stp>002583.SZ</stp>
        <stp>rt_last</stp>
        <stp>RT_Price</stp>
        <tr r="C47" s="1"/>
      </tp>
      <tp>
        <v>9.4</v>
        <stp/>
        <stp>000586.SZ</stp>
        <stp>rt_last</stp>
        <stp>RT_Price</stp>
        <tr r="C6" s="1"/>
      </tp>
      <tp>
        <v>31.650000000000002</v>
        <stp/>
        <stp>300590.SZ</stp>
        <stp>rt_last</stp>
        <stp>RT_Price</stp>
        <tr r="C110" s="1"/>
      </tp>
      <tp>
        <v>9.77</v>
        <stp/>
        <stp>300597.SZ</stp>
        <stp>rt_last</stp>
        <stp>RT_Price</stp>
        <tr r="C111" s="1"/>
      </tp>
      <tp>
        <v>14.39</v>
        <stp/>
        <stp>300560.SZ</stp>
        <stp>rt_last</stp>
        <stp>RT_Price</stp>
        <tr r="C104" s="1"/>
      </tp>
      <tp>
        <v>15.290000000000001</v>
        <stp/>
        <stp>300563.SZ</stp>
        <stp>rt_last</stp>
        <stp>RT_Price</stp>
        <tr r="C105" s="1"/>
      </tp>
      <tp>
        <v>12.030000000000001</v>
        <stp/>
        <stp>300565.SZ</stp>
        <stp>rt_last</stp>
        <stp>RT_Price</stp>
        <tr r="C106" s="1"/>
      </tp>
      <tp>
        <v>64</v>
        <stp/>
        <stp>300571.SZ</stp>
        <stp>rt_last</stp>
        <stp>RT_Price</stp>
        <tr r="C108" s="1"/>
      </tp>
      <tp>
        <v>18.63</v>
        <stp/>
        <stp>300570.SZ</stp>
        <stp>rt_last</stp>
        <stp>RT_Price</stp>
        <tr r="C107" s="1"/>
      </tp>
      <tp>
        <v>22.400000000000002</v>
        <stp/>
        <stp>002544.SZ</stp>
        <stp>rt_last</stp>
        <stp>RT_Price</stp>
        <tr r="C45" s="1"/>
      </tp>
      <tp>
        <v>4.8100000000000005</v>
        <stp/>
        <stp>002547.SZ</stp>
        <stp>rt_last</stp>
        <stp>RT_Price</stp>
        <tr r="C46" s="1"/>
      </tp>
      <tp>
        <v>29.900000000000002</v>
        <stp/>
        <stp>300578.SZ</stp>
        <stp>rt_last</stp>
        <stp>RT_Price</stp>
        <tr r="C109" s="1"/>
      </tp>
      <tp>
        <v>34.78</v>
        <stp/>
        <stp>300548.SZ</stp>
        <stp>rt_last</stp>
        <stp>RT_Price</stp>
        <tr r="C101" s="1"/>
      </tp>
      <tp>
        <v>9.5400000000000009</v>
        <stp/>
        <stp>300555.SZ</stp>
        <stp>rt_last</stp>
        <stp>RT_Price</stp>
        <tr r="C102" s="1"/>
      </tp>
      <tp>
        <v>31.42</v>
        <stp/>
        <stp>300557.SZ</stp>
        <stp>rt_last</stp>
        <stp>RT_Price</stp>
        <tr r="C103" s="1"/>
      </tp>
      <tp>
        <v>4.45</v>
        <stp/>
        <stp>002519.SZ</stp>
        <stp>rt_last</stp>
        <stp>RT_Price</stp>
        <tr r="C44" s="1"/>
      </tp>
      <tp>
        <v>24.42</v>
        <stp/>
        <stp>002518.SZ</stp>
        <stp>rt_last</stp>
        <stp>RT_Price</stp>
        <tr r="C43" s="1"/>
      </tp>
      <tp>
        <v>24.98</v>
        <stp/>
        <stp>300531.SZ</stp>
        <stp>rt_last</stp>
        <stp>RT_Price</stp>
        <tr r="C100" s="1"/>
      </tp>
      <tp>
        <v>38.26</v>
        <stp/>
        <stp>300502.SZ</stp>
        <stp>rt_last</stp>
        <stp>RT_Price</stp>
        <tr r="C97" s="1"/>
      </tp>
      <tp>
        <v>25.01</v>
        <stp/>
        <stp>300504.SZ</stp>
        <stp>rt_last</stp>
        <stp>RT_Price</stp>
        <tr r="C98" s="1"/>
      </tp>
      <tp>
        <v>12.8</v>
        <stp/>
        <stp>300513.SZ</stp>
        <stp>rt_last</stp>
        <stp>RT_Price</stp>
        <tr r="C99" s="1"/>
      </tp>
      <tp>
        <v>16.760000000000002</v>
        <stp/>
        <stp>603496.SH</stp>
        <stp>rt_last</stp>
        <stp>RT_Price</stp>
        <tr r="C148" s="1"/>
      </tp>
      <tp>
        <v>18.55</v>
        <stp/>
        <stp>600498.SH</stp>
        <stp>rt_last</stp>
        <stp>RT_Price</stp>
        <tr r="C133" s="1"/>
      </tp>
      <tp>
        <v>15.36</v>
        <stp/>
        <stp>600487.SH</stp>
        <stp>rt_last</stp>
        <stp>RT_Price</stp>
        <tr r="C132" s="1"/>
      </tp>
      <tp>
        <v>8.4499999999999993</v>
        <stp/>
        <stp>603421.SH</stp>
        <stp>rt_last</stp>
        <stp>RT_Price</stp>
        <tr r="C147" s="1"/>
      </tp>
      <tp>
        <v>2.66</v>
        <stp/>
        <stp>600462.SH</stp>
        <stp>rt_last</stp>
        <stp>RT_Price</stp>
        <tr r="C131" s="1"/>
      </tp>
      <tp>
        <v>5.26</v>
        <stp/>
        <stp>002491.SZ</stp>
        <stp>rt_last</stp>
        <stp>RT_Price</stp>
        <tr r="C42" s="1"/>
      </tp>
      <tp>
        <v>6.17</v>
        <stp/>
        <stp>002446.SZ</stp>
        <stp>rt_last</stp>
        <stp>RT_Price</stp>
        <tr r="C39" s="1"/>
      </tp>
      <tp>
        <v>10.25</v>
        <stp/>
        <stp>002465.SZ</stp>
        <stp>rt_last</stp>
        <stp>RT_Price</stp>
        <tr r="C40" s="1"/>
      </tp>
      <tp>
        <v>179.70000000000002</v>
        <stp/>
        <stp>300454.SZ</stp>
        <stp>rt_last</stp>
        <stp>RT_Price</stp>
        <tr r="C96" s="1"/>
      </tp>
      <tp>
        <v>4.97</v>
        <stp/>
        <stp>002467.SZ</stp>
        <stp>rt_last</stp>
        <stp>RT_Price</stp>
        <tr r="C41" s="1"/>
      </tp>
      <tp>
        <v>5.74</v>
        <stp/>
        <stp>002417.SZ</stp>
        <stp>rt_last</stp>
        <stp>RT_Price</stp>
        <tr r="C38" s="1"/>
      </tp>
      <tp>
        <v>11.21</v>
        <stp/>
        <stp>002416.SZ</stp>
        <stp>rt_last</stp>
        <stp>RT_Price</stp>
        <tr r="C37" s="1"/>
      </tp>
      <tp>
        <v>27.310000000000002</v>
        <stp/>
        <stp>002402.SZ</stp>
        <stp>rt_last</stp>
        <stp>RT_Price</stp>
        <tr r="C36" s="1"/>
      </tp>
      <tp>
        <v>11.28</v>
        <stp/>
        <stp>300414.SZ</stp>
        <stp>rt_last</stp>
        <stp>RT_Price</stp>
        <tr r="C95" s="1"/>
      </tp>
      <tp>
        <v>41.72</v>
        <stp/>
        <stp>603712.SH</stp>
        <stp>rt_last</stp>
        <stp>RT_Price</stp>
        <tr r="C153" s="1"/>
      </tp>
      <tp>
        <v>26.77</v>
        <stp/>
        <stp>603703.SH</stp>
        <stp>rt_last</stp>
        <stp>RT_Price</stp>
        <tr r="C152" s="1"/>
      </tp>
      <tp>
        <v>3.1</v>
        <stp/>
        <stp>600734.SH</stp>
        <stp>rt_last</stp>
        <stp>RT_Price</stp>
        <tr r="C136" s="1"/>
      </tp>
      <tp>
        <v>12.370000000000001</v>
        <stp/>
        <stp>600776.SH</stp>
        <stp>rt_last</stp>
        <stp>RT_Price</stp>
        <tr r="C137" s="1"/>
      </tp>
      <tp>
        <v>16.490000000000002</v>
        <stp/>
        <stp>002792.SZ</stp>
        <stp>rt_last</stp>
        <stp>RT_Price</stp>
        <tr r="C49" s="1"/>
      </tp>
      <tp>
        <v>8.620000000000001</v>
        <stp/>
        <stp>002796.SZ</stp>
        <stp>rt_last</stp>
        <stp>RT_Price</stp>
        <tr r="C50" s="1"/>
      </tp>
      <tp>
        <v>40.81</v>
        <stp/>
        <stp>300768.SZ</stp>
        <stp>rt_last</stp>
        <stp>RT_Price</stp>
        <tr r="C124" s="1"/>
      </tp>
      <tp>
        <v>10.790000000000001</v>
        <stp/>
        <stp>002771.SZ</stp>
        <stp>rt_last</stp>
        <stp>RT_Price</stp>
        <tr r="C48" s="1"/>
      </tp>
      <tp>
        <v>25.43</v>
        <stp/>
        <stp>300738.SZ</stp>
        <stp>rt_last</stp>
        <stp>RT_Price</stp>
        <tr r="C123" s="1"/>
      </tp>
      <tp>
        <v>18</v>
        <stp/>
        <stp>300701.SZ</stp>
        <stp>rt_last</stp>
        <stp>RT_Price</stp>
        <tr r="C120" s="1"/>
      </tp>
      <tp>
        <v>14.950000000000001</v>
        <stp/>
        <stp>300711.SZ</stp>
        <stp>rt_last</stp>
        <stp>RT_Price</stp>
        <tr r="C122" s="1"/>
      </tp>
      <tp>
        <v>58.5</v>
        <stp/>
        <stp>300710.SZ</stp>
        <stp>rt_last</stp>
        <stp>RT_Price</stp>
        <tr r="C121" s="1"/>
      </tp>
      <tp>
        <v>12.39</v>
        <stp/>
        <stp>603602.SH</stp>
        <stp>rt_last</stp>
        <stp>RT_Price</stp>
        <tr r="C150" s="1"/>
      </tp>
      <tp>
        <v>14.75</v>
        <stp/>
        <stp>600640.SH</stp>
        <stp>rt_last</stp>
        <stp>RT_Price</stp>
        <tr r="C135" s="1"/>
      </tp>
      <tp>
        <v>14.69</v>
        <stp/>
        <stp>603679.SH</stp>
        <stp>rt_last</stp>
        <stp>RT_Price</stp>
        <tr r="C151" s="1"/>
      </tp>
      <tp>
        <v>1.71</v>
        <stp/>
        <stp>000687.SZ</stp>
        <stp>rt_last</stp>
        <stp>RT_Price</stp>
        <tr r="C7" s="1"/>
      </tp>
      <tp>
        <v>25.650000000000002</v>
        <stp/>
        <stp>300698.SZ</stp>
        <stp>rt_last</stp>
        <stp>RT_Price</stp>
        <tr r="C119" s="1"/>
      </tp>
      <tp>
        <v>48.9</v>
        <stp/>
        <stp>300659.SZ</stp>
        <stp>rt_last</stp>
        <stp>RT_Price</stp>
        <tr r="C118" s="1"/>
      </tp>
      <tp>
        <v>54.54</v>
        <stp/>
        <stp>300620.SZ</stp>
        <stp>rt_last</stp>
        <stp>RT_Price</stp>
        <tr r="C114" s="1"/>
      </tp>
      <tp>
        <v>42.88</v>
        <stp/>
        <stp>300627.SZ</stp>
        <stp>rt_last</stp>
        <stp>RT_Price</stp>
        <tr r="C115" s="1"/>
      </tp>
      <tp>
        <v>86.26</v>
        <stp/>
        <stp>300628.SZ</stp>
        <stp>rt_last</stp>
        <stp>RT_Price</stp>
        <tr r="C116" s="1"/>
      </tp>
      <tp>
        <v>50.28</v>
        <stp/>
        <stp>300638.SZ</stp>
        <stp>rt_last</stp>
        <stp>RT_Price</stp>
        <tr r="C117" s="1"/>
      </tp>
      <tp>
        <v>10.59</v>
        <stp/>
        <stp>300603.SZ</stp>
        <stp>rt_last</stp>
        <stp>RT_Price</stp>
        <tr r="C112" s="1"/>
      </tp>
      <tp>
        <v>12.81</v>
        <stp/>
        <stp>300615.SZ</stp>
        <stp>rt_last</stp>
        <stp>RT_Price</stp>
        <tr r="C113" s="1"/>
      </tp>
      <tp>
        <v>10.050000000000001</v>
        <stp/>
        <stp>603118.SH</stp>
        <stp>rt_last</stp>
        <stp>RT_Price</stp>
        <tr r="C143" s="1"/>
      </tp>
      <tp>
        <v>5.13</v>
        <stp/>
        <stp>600105.SH</stp>
        <stp>rt_last</stp>
        <stp>RT_Price</stp>
        <tr r="C126" s="1"/>
      </tp>
      <tp>
        <v>4.12</v>
        <stp/>
        <stp>600130.SH</stp>
        <stp>rt_last</stp>
        <stp>RT_Price</stp>
        <tr r="C127" s="1"/>
      </tp>
      <tp>
        <v>22.5</v>
        <stp/>
        <stp>603138.SH</stp>
        <stp>rt_last</stp>
        <stp>RT_Price</stp>
        <tr r="C144" s="1"/>
      </tp>
      <tp>
        <v>10.950000000000001</v>
        <stp/>
        <stp>002194.SZ</stp>
        <stp>rt_last</stp>
        <stp>RT_Price</stp>
        <tr r="C24" s="1"/>
      </tp>
      <tp>
        <v>17.900000000000002</v>
        <stp/>
        <stp>300183.SZ</stp>
        <stp>rt_last</stp>
        <stp>RT_Price</stp>
        <tr r="C74" s="1"/>
      </tp>
      <tp>
        <v>38.369999999999997</v>
        <stp/>
        <stp>002151.SZ</stp>
        <stp>rt_last</stp>
        <stp>RT_Price</stp>
        <tr r="C22" s="1"/>
      </tp>
      <tp>
        <v>9.52</v>
        <stp/>
        <stp>300177.SZ</stp>
        <stp>rt_last</stp>
        <stp>RT_Price</stp>
        <tr r="C73" s="1"/>
      </tp>
      <tp>
        <v>5.66</v>
        <stp/>
        <stp>002148.SZ</stp>
        <stp>rt_last</stp>
        <stp>RT_Price</stp>
        <tr r="C21" s="1"/>
      </tp>
      <tp>
        <v>5.53</v>
        <stp/>
        <stp>002161.SZ</stp>
        <stp>rt_last</stp>
        <stp>RT_Price</stp>
        <tr r="C23" s="1"/>
      </tp>
      <tp>
        <v>6.3900000000000006</v>
        <stp/>
        <stp>002115.SZ</stp>
        <stp>rt_last</stp>
        <stp>RT_Price</stp>
        <tr r="C18" s="1"/>
      </tp>
      <tp>
        <v>11.72</v>
        <stp/>
        <stp>300134.SZ</stp>
        <stp>rt_last</stp>
        <stp>RT_Price</stp>
        <tr r="C72" s="1"/>
      </tp>
      <tp>
        <v>7.18</v>
        <stp/>
        <stp>002104.SZ</stp>
        <stp>rt_last</stp>
        <stp>RT_Price</stp>
        <tr r="C17" s="1"/>
      </tp>
      <tp>
        <v>20.240000000000002</v>
        <stp/>
        <stp>300101.SZ</stp>
        <stp>rt_last</stp>
        <stp>RT_Price</stp>
        <tr r="C71" s="1"/>
      </tp>
      <tp>
        <v>17.059999999999999</v>
        <stp/>
        <stp>002139.SZ</stp>
        <stp>rt_last</stp>
        <stp>RT_Price</stp>
        <tr r="C20" s="1"/>
      </tp>
      <tp>
        <v>16.399999999999999</v>
        <stp/>
        <stp>002123.SZ</stp>
        <stp>rt_last</stp>
        <stp>RT_Price</stp>
        <tr r="C19" s="1"/>
      </tp>
      <tp>
        <v>14.39</v>
        <stp/>
        <stp>603083.SH</stp>
        <stp>rt_last</stp>
        <stp>RT_Price</stp>
        <tr r="C142" s="1"/>
      </tp>
      <tp>
        <v>3.97</v>
        <stp/>
        <stp>600050.SH</stp>
        <stp>rt_last</stp>
        <stp>RT_Price</stp>
        <tr r="C125" s="1"/>
      </tp>
      <tp>
        <v>13.69</v>
        <stp/>
        <stp>603042.SH</stp>
        <stp>rt_last</stp>
        <stp>RT_Price</stp>
        <tr r="C141" s="1"/>
      </tp>
      <tp>
        <v>6.91</v>
        <stp/>
        <stp>002093.SZ</stp>
        <stp>rt_last</stp>
        <stp>RT_Price</stp>
        <tr r="C16" s="1"/>
      </tp>
      <tp>
        <v>2.19</v>
        <stp/>
        <stp>002089.SZ</stp>
        <stp>rt_last</stp>
        <stp>RT_Price</stp>
        <tr r="C15" s="1"/>
      </tp>
      <tp>
        <v>5.13</v>
        <stp/>
        <stp>300098.SZ</stp>
        <stp>rt_last</stp>
        <stp>RT_Price</stp>
        <tr r="C70" s="1"/>
      </tp>
      <tp>
        <v>4.96</v>
        <stp/>
        <stp>300066.SZ</stp>
        <stp>rt_last</stp>
        <stp>RT_Price</stp>
        <tr r="C68" s="1"/>
      </tp>
      <tp>
        <v>4.38</v>
        <stp/>
        <stp>300074.SZ</stp>
        <stp>rt_last</stp>
        <stp>RT_Price</stp>
        <tr r="C69" s="1"/>
      </tp>
      <tp>
        <v>6.75</v>
        <stp/>
        <stp>000070.SZ</stp>
        <stp>rt_last</stp>
        <stp>RT_Price</stp>
        <tr r="C5" s="1"/>
      </tp>
      <tp>
        <v>12.59</v>
        <stp/>
        <stp>300045.SZ</stp>
        <stp>rt_last</stp>
        <stp>RT_Price</stp>
        <tr r="C64" s="1"/>
      </tp>
      <tp>
        <v>10.08</v>
        <stp/>
        <stp>300047.SZ</stp>
        <stp>rt_last</stp>
        <stp>RT_Price</stp>
        <tr r="C65" s="1"/>
      </tp>
      <tp>
        <v>4.92</v>
        <stp/>
        <stp>300050.SZ</stp>
        <stp>rt_last</stp>
        <stp>RT_Price</stp>
        <tr r="C66" s="1"/>
      </tp>
      <tp>
        <v>34.29</v>
        <stp/>
        <stp>000063.SZ</stp>
        <stp>rt_last</stp>
        <stp>RT_Price</stp>
        <tr r="C4" s="1"/>
      </tp>
      <tp>
        <v>10.370000000000001</v>
        <stp/>
        <stp>300053.SZ</stp>
        <stp>rt_last</stp>
        <stp>RT_Price</stp>
        <tr r="C67" s="1"/>
      </tp>
      <tp>
        <v>4.8500000000000005</v>
        <stp/>
        <stp>300025.SZ</stp>
        <stp>rt_last</stp>
        <stp>RT_Price</stp>
        <tr r="C63" s="1"/>
      </tp>
      <tp>
        <v>24.7</v>
        <stp/>
        <stp>000032.SZ</stp>
        <stp>rt_last</stp>
        <stp>RT_Price</stp>
        <tr r="C3" s="1"/>
      </tp>
      <tp>
        <v>26.3</v>
        <stp/>
        <stp>300007.SZ</stp>
        <stp>rt_last</stp>
        <stp>RT_Price</stp>
        <tr r="C61" s="1"/>
      </tp>
      <tp>
        <v>7.0600000000000005</v>
        <stp/>
        <stp>300017.SZ</stp>
        <stp>rt_last</stp>
        <stp>RT_Price</stp>
        <tr r="C62" s="1"/>
      </tp>
      <tp>
        <v>13.540000000000001</v>
        <stp/>
        <stp>603322.SH</stp>
        <stp>rt_last</stp>
        <stp>RT_Price</stp>
        <tr r="C146" s="1"/>
      </tp>
      <tp>
        <v>17.3</v>
        <stp/>
        <stp>600345.SH</stp>
        <stp>rt_last</stp>
        <stp>RT_Price</stp>
        <tr r="C130" s="1"/>
      </tp>
      <tp>
        <v>25.64</v>
        <stp/>
        <stp>002396.SZ</stp>
        <stp>rt_last</stp>
        <stp>RT_Price</stp>
        <tr r="C35" s="1"/>
      </tp>
      <tp>
        <v>7.37</v>
        <stp/>
        <stp>002383.SZ</stp>
        <stp>rt_last</stp>
        <stp>RT_Price</stp>
        <tr r="C34" s="1"/>
      </tp>
      <tp>
        <v>15.8</v>
        <stp/>
        <stp>300383.SZ</stp>
        <stp>rt_last</stp>
        <stp>RT_Price</stp>
        <tr r="C93" s="1"/>
      </tp>
      <tp>
        <v>36.76</v>
        <stp/>
        <stp>300394.SZ</stp>
        <stp>rt_last</stp>
        <stp>RT_Price</stp>
        <tr r="C94" s="1"/>
      </tp>
      <tp>
        <v>0</v>
        <stp/>
        <stp>002359.SZ</stp>
        <stp>rt_last</stp>
        <stp>RT_Price</stp>
        <tr r="C33" s="1"/>
      </tp>
      <tp>
        <v>13.09</v>
        <stp/>
        <stp>300349.SZ</stp>
        <stp>rt_last</stp>
        <stp>RT_Price</stp>
        <tr r="C91" s="1"/>
      </tp>
      <tp>
        <v>10.68</v>
        <stp/>
        <stp>300353.SZ</stp>
        <stp>rt_last</stp>
        <stp>RT_Price</stp>
        <tr r="C92" s="1"/>
      </tp>
      <tp>
        <v>12.040000000000001</v>
        <stp/>
        <stp>002313.SZ</stp>
        <stp>rt_last</stp>
        <stp>RT_Price</stp>
        <tr r="C30" s="1"/>
      </tp>
      <tp>
        <v>12.870000000000001</v>
        <stp/>
        <stp>300322.SZ</stp>
        <stp>rt_last</stp>
        <stp>RT_Price</stp>
        <tr r="C90" s="1"/>
      </tp>
      <tp>
        <v>6.29</v>
        <stp/>
        <stp>002316.SZ</stp>
        <stp>rt_last</stp>
        <stp>RT_Price</stp>
        <tr r="C31" s="1"/>
      </tp>
      <tp>
        <v>8.620000000000001</v>
        <stp/>
        <stp>002301.SZ</stp>
        <stp>rt_last</stp>
        <stp>RT_Price</stp>
        <tr r="C28" s="1"/>
      </tp>
      <tp>
        <v>7.07</v>
        <stp/>
        <stp>002309.SZ</stp>
        <stp>rt_last</stp>
        <stp>RT_Price</stp>
        <tr r="C29" s="1"/>
      </tp>
      <tp>
        <v>33.33</v>
        <stp/>
        <stp>002335.SZ</stp>
        <stp>rt_last</stp>
        <stp>RT_Price</stp>
        <tr r="C32" s="1"/>
      </tp>
      <tp>
        <v>40.15</v>
        <stp/>
        <stp>300308.SZ</stp>
        <stp>rt_last</stp>
        <stp>RT_Price</stp>
        <tr r="C87" s="1"/>
      </tp>
      <tp>
        <v>5.5600000000000005</v>
        <stp/>
        <stp>300310.SZ</stp>
        <stp>rt_last</stp>
        <stp>RT_Price</stp>
        <tr r="C88" s="1"/>
      </tp>
      <tp>
        <v>4.2300000000000004</v>
        <stp/>
        <stp>300312.SZ</stp>
        <stp>rt_last</stp>
        <stp>RT_Price</stp>
        <tr r="C89" s="1"/>
      </tp>
      <tp>
        <v>4.13</v>
        <stp/>
        <stp>600289.SH</stp>
        <stp>rt_last</stp>
        <stp>RT_Price</stp>
        <tr r="C129" s="1"/>
      </tp>
      <tp>
        <v>192.49</v>
        <stp/>
        <stp>603236.SH</stp>
        <stp>rt_last</stp>
        <stp>RT_Price</stp>
        <tr r="C145" s="1"/>
      </tp>
      <tp>
        <v>2.63</v>
        <stp/>
        <stp>600260.SH</stp>
        <stp>rt_last</stp>
        <stp>RT_Price</stp>
        <tr r="C128" s="1"/>
      </tp>
      <tp>
        <v>7.68</v>
        <stp/>
        <stp>002296.SZ</stp>
        <stp>rt_last</stp>
        <stp>RT_Price</stp>
        <tr r="C27" s="1"/>
      </tp>
      <tp>
        <v>23.41</v>
        <stp/>
        <stp>002281.SZ</stp>
        <stp>rt_last</stp>
        <stp>RT_Price</stp>
        <tr r="C26" s="1"/>
      </tp>
      <tp>
        <v>13.64</v>
        <stp/>
        <stp>300288.SZ</stp>
        <stp>rt_last</stp>
        <stp>RT_Price</stp>
        <tr r="C84" s="1"/>
      </tp>
      <tp>
        <v>4.5600000000000005</v>
        <stp/>
        <stp>300292.SZ</stp>
        <stp>rt_last</stp>
        <stp>RT_Price</stp>
        <tr r="C85" s="1"/>
      </tp>
      <tp>
        <v>6.26</v>
        <stp/>
        <stp>300299.SZ</stp>
        <stp>rt_last</stp>
        <stp>RT_Price</stp>
        <tr r="C86" s="1"/>
      </tp>
      <tp>
        <v>10.57</v>
        <stp/>
        <stp>300265.SZ</stp>
        <stp>rt_last</stp>
        <stp>RT_Price</stp>
        <tr r="C83" s="1"/>
      </tp>
      <tp>
        <v>9.5299999999999994</v>
        <stp/>
        <stp>300264.SZ</stp>
        <stp>rt_last</stp>
        <stp>RT_Price</stp>
        <tr r="C82" s="1"/>
      </tp>
      <tp>
        <v>14.05</v>
        <stp/>
        <stp>300250.SZ</stp>
        <stp>rt_last</stp>
        <stp>RT_Price</stp>
        <tr r="C79" s="1"/>
      </tp>
      <tp>
        <v>9.51</v>
        <stp/>
        <stp>300252.SZ</stp>
        <stp>rt_last</stp>
        <stp>RT_Price</stp>
        <tr r="C80" s="1"/>
      </tp>
      <tp>
        <v>5.37</v>
        <stp/>
        <stp>300259.SZ</stp>
        <stp>rt_last</stp>
        <stp>RT_Price</stp>
        <tr r="C81" s="1"/>
      </tp>
      <tp>
        <v>6.15</v>
        <stp/>
        <stp>002231.SZ</stp>
        <stp>rt_last</stp>
        <stp>RT_Price</stp>
        <tr r="C25" s="1"/>
      </tp>
      <tp>
        <v>14.9</v>
        <stp/>
        <stp>300205.SZ</stp>
        <stp>rt_last</stp>
        <stp>RT_Price</stp>
        <tr r="C75" s="1"/>
      </tp>
      <tp>
        <v>7.75</v>
        <stp/>
        <stp>300209.SZ</stp>
        <stp>rt_last</stp>
        <stp>RT_Price</stp>
        <tr r="C76" s="1"/>
      </tp>
      <tp>
        <v>12.450000000000001</v>
        <stp/>
        <stp>300211.SZ</stp>
        <stp>rt_last</stp>
        <stp>RT_Price</stp>
        <tr r="C77" s="1"/>
      </tp>
      <tp>
        <v>8.99</v>
        <stp/>
        <stp>300213.SZ</stp>
        <stp>rt_last</stp>
        <stp>RT_Price</stp>
        <tr r="C78" s="1"/>
      </tp>
      <tp>
        <v>26.44</v>
        <stp/>
        <stp>000988.SZ</stp>
        <stp>rt_last</stp>
        <stp>RT_Price</stp>
        <tr r="C14" s="1"/>
      </tp>
      <tp>
        <v>2.41</v>
        <stp/>
        <stp>000971.SZ</stp>
        <stp>rt_last</stp>
        <stp>RT_Price</stp>
        <tr r="C13" s="1"/>
      </tp>
      <tp>
        <v>35.08</v>
        <stp/>
        <stp>002912.SZ</stp>
        <stp>rt_last</stp>
        <stp>RT_Price</stp>
        <tr r="C59" s="1"/>
      </tp>
      <tp>
        <v>13.9</v>
        <stp/>
        <stp>002902.SZ</stp>
        <stp>rt_last</stp>
        <stp>RT_Price</stp>
        <tr r="C58" s="1"/>
      </tp>
      <tp>
        <v>24.37</v>
        <stp/>
        <stp>000938.SZ</stp>
        <stp>rt_last</stp>
        <stp>RT_Price</stp>
        <tr r="C12" s="1"/>
      </tp>
      <tp>
        <v>35.660000000000004</v>
        <stp/>
        <stp>002929.SZ</stp>
        <stp>rt_last</stp>
        <stp>RT_Price</stp>
        <tr r="C60" s="1"/>
      </tp>
      <tp>
        <v>39.6</v>
        <stp/>
        <stp>603881.SH</stp>
        <stp>rt_last</stp>
        <stp>RT_Price</stp>
        <tr r="C155" s="1"/>
      </tp>
      <tp>
        <v>8.9700000000000006</v>
        <stp/>
        <stp>603887.SH</stp>
        <stp>rt_last</stp>
        <stp>RT_Price</stp>
        <tr r="C156" s="1"/>
      </tp>
      <tp>
        <v>9.1</v>
        <stp/>
        <stp>603803.SH</stp>
        <stp>rt_last</stp>
        <stp>RT_Price</stp>
        <tr r="C154" s="1"/>
      </tp>
      <tp>
        <v>6.7</v>
        <stp/>
        <stp>600804.SH</stp>
        <stp>rt_last</stp>
        <stp>RT_Price</stp>
        <tr r="C138" s="1"/>
      </tp>
      <tp>
        <v>63.690000000000005</v>
        <stp/>
        <stp>600845.SH</stp>
        <stp>rt_last</stp>
        <stp>RT_Price</stp>
        <tr r="C139" s="1"/>
      </tp>
      <tp>
        <v>33.83</v>
        <stp/>
        <stp>601869.SH</stp>
        <stp>rt_last</stp>
        <stp>RT_Price</stp>
        <tr r="C140" s="1"/>
      </tp>
      <tp>
        <v>42.88</v>
        <stp/>
        <stp>002897.SZ</stp>
        <stp>rt_last</stp>
        <stp>RT_Price</stp>
        <tr r="C57" s="1"/>
      </tp>
      <tp>
        <v>40.800000000000004</v>
        <stp/>
        <stp>002881.SZ</stp>
        <stp>rt_last</stp>
        <stp>RT_Price</stp>
        <tr r="C56" s="1"/>
      </tp>
      <tp>
        <v>4.17</v>
        <stp/>
        <stp>000889.SZ</stp>
        <stp>rt_last</stp>
        <stp>RT_Price</stp>
        <tr r="C11" s="1"/>
      </tp>
      <tp>
        <v>5.84</v>
        <stp/>
        <stp>000851.SZ</stp>
        <stp>rt_last</stp>
        <stp>RT_Price</stp>
        <tr r="C10" s="1"/>
      </tp>
      <tp>
        <v>77.5</v>
        <stp/>
        <stp>002841.SZ</stp>
        <stp>rt_last</stp>
        <stp>RT_Price</stp>
        <tr r="C53" s="1"/>
      </tp>
      <tp>
        <v>9.3000000000000007</v>
        <stp/>
        <stp>002848.SZ</stp>
        <stp>rt_last</stp>
        <stp>RT_Price</stp>
        <tr r="C54" s="1"/>
      </tp>
      <tp>
        <v>17.23</v>
        <stp/>
        <stp>002869.SZ</stp>
        <stp>rt_last</stp>
        <stp>RT_Price</stp>
        <tr r="C55" s="1"/>
      </tp>
      <tp>
        <v>25.69</v>
        <stp/>
        <stp>002813.SZ</stp>
        <stp>rt_last</stp>
        <stp>RT_Price</stp>
        <tr r="C51" s="1"/>
      </tp>
      <tp>
        <v>6.98</v>
        <stp/>
        <stp>000815.SZ</stp>
        <stp>rt_last</stp>
        <stp>RT_Price</stp>
        <tr r="C8" s="1"/>
      </tp>
      <tp>
        <v>3.61</v>
        <stp/>
        <stp>000836.SZ</stp>
        <stp>rt_last</stp>
        <stp>RT_Price</stp>
        <tr r="C9" s="1"/>
      </tp>
      <tp>
        <v>41.050000000000004</v>
        <stp/>
        <stp>002829.SZ</stp>
        <stp>rt_last</stp>
        <stp>RT_Price</stp>
        <tr r="C52" s="1"/>
      </tp>
      <tp>
        <v>3.3000000000000003</v>
        <stp/>
        <stp>603421.SH</stp>
        <stp>rt_pct_chg</stp>
        <stp>RT_Price</stp>
        <tr r="D147" s="1"/>
      </tp>
      <tp>
        <v>2.95</v>
        <stp/>
        <stp>603496.SH</stp>
        <stp>rt_pct_chg</stp>
        <stp>RT_Price</stp>
        <tr r="D148" s="1"/>
      </tp>
      <tp>
        <v>2.19</v>
        <stp/>
        <stp>603559.SH</stp>
        <stp>rt_pct_chg</stp>
        <stp>RT_Price</stp>
        <tr r="D149" s="1"/>
      </tp>
      <tp>
        <v>4.12</v>
        <stp/>
        <stp>603602.SH</stp>
        <stp>rt_pct_chg</stp>
        <stp>RT_Price</stp>
        <tr r="D150" s="1"/>
      </tp>
      <tp>
        <v>2.73</v>
        <stp/>
        <stp>603679.SH</stp>
        <stp>rt_pct_chg</stp>
        <stp>RT_Price</stp>
        <tr r="D151" s="1"/>
      </tp>
      <tp>
        <v>-0.19</v>
        <stp/>
        <stp>603712.SH</stp>
        <stp>rt_pct_chg</stp>
        <stp>RT_Price</stp>
        <tr r="D153" s="1"/>
      </tp>
      <tp>
        <v>-0.41000000000000003</v>
        <stp/>
        <stp>603703.SH</stp>
        <stp>rt_pct_chg</stp>
        <stp>RT_Price</stp>
        <tr r="D152" s="1"/>
      </tp>
      <tp>
        <v>1.1100000000000001</v>
        <stp/>
        <stp>603042.SH</stp>
        <stp>rt_pct_chg</stp>
        <stp>RT_Price</stp>
        <tr r="D141" s="1"/>
      </tp>
      <tp>
        <v>3.0100000000000002</v>
        <stp/>
        <stp>603083.SH</stp>
        <stp>rt_pct_chg</stp>
        <stp>RT_Price</stp>
        <tr r="D142" s="1"/>
      </tp>
      <tp>
        <v>10.020000000000001</v>
        <stp/>
        <stp>603138.SH</stp>
        <stp>rt_pct_chg</stp>
        <stp>RT_Price</stp>
        <tr r="D144" s="1"/>
      </tp>
      <tp>
        <v>4.58</v>
        <stp/>
        <stp>603118.SH</stp>
        <stp>rt_pct_chg</stp>
        <stp>RT_Price</stp>
        <tr r="D143" s="1"/>
      </tp>
      <tp>
        <v>6.65</v>
        <stp/>
        <stp>603236.SH</stp>
        <stp>rt_pct_chg</stp>
        <stp>RT_Price</stp>
        <tr r="D145" s="1"/>
      </tp>
      <tp>
        <v>4.3900000000000006</v>
        <stp/>
        <stp>603322.SH</stp>
        <stp>rt_pct_chg</stp>
        <stp>RT_Price</stp>
        <tr r="D146" s="1"/>
      </tp>
      <tp>
        <v>5.08</v>
        <stp/>
        <stp>603803.SH</stp>
        <stp>rt_pct_chg</stp>
        <stp>RT_Price</stp>
        <tr r="D154" s="1"/>
      </tp>
      <tp>
        <v>10.06</v>
        <stp/>
        <stp>603887.SH</stp>
        <stp>rt_pct_chg</stp>
        <stp>RT_Price</stp>
        <tr r="D156" s="1"/>
      </tp>
      <tp>
        <v>10</v>
        <stp/>
        <stp>603881.SH</stp>
        <stp>rt_pct_chg</stp>
        <stp>RT_Price</stp>
        <tr r="D155" s="1"/>
      </tp>
      <tp>
        <v>5.5200000000000005</v>
        <stp/>
        <stp>002467.SZ</stp>
        <stp>rt_pct_chg</stp>
        <stp>RT_Price</stp>
        <tr r="D41" s="1"/>
      </tp>
      <tp>
        <v>2.4</v>
        <stp/>
        <stp>002465.SZ</stp>
        <stp>rt_pct_chg</stp>
        <stp>RT_Price</stp>
        <tr r="D40" s="1"/>
      </tp>
      <tp>
        <v>3.7000000000000006</v>
        <stp/>
        <stp>002446.SZ</stp>
        <stp>rt_pct_chg</stp>
        <stp>RT_Price</stp>
        <tr r="D39" s="1"/>
      </tp>
      <tp>
        <v>0.18000000000000002</v>
        <stp/>
        <stp>002416.SZ</stp>
        <stp>rt_pct_chg</stp>
        <stp>RT_Price</stp>
        <tr r="D37" s="1"/>
      </tp>
      <tp>
        <v>9.9600000000000009</v>
        <stp/>
        <stp>002417.SZ</stp>
        <stp>rt_pct_chg</stp>
        <stp>RT_Price</stp>
        <tr r="D38" s="1"/>
      </tp>
      <tp>
        <v>4.16</v>
        <stp/>
        <stp>002402.SZ</stp>
        <stp>rt_pct_chg</stp>
        <stp>RT_Price</stp>
        <tr r="D36" s="1"/>
      </tp>
      <tp>
        <v>3.54</v>
        <stp/>
        <stp>002491.SZ</stp>
        <stp>rt_pct_chg</stp>
        <stp>RT_Price</stp>
        <tr r="D42" s="1"/>
      </tp>
      <tp>
        <v>1.9100000000000001</v>
        <stp/>
        <stp>002547.SZ</stp>
        <stp>rt_pct_chg</stp>
        <stp>RT_Price</stp>
        <tr r="D46" s="1"/>
      </tp>
      <tp>
        <v>6.87</v>
        <stp/>
        <stp>002544.SZ</stp>
        <stp>rt_pct_chg</stp>
        <stp>RT_Price</stp>
        <tr r="D45" s="1"/>
      </tp>
      <tp>
        <v>3.9600000000000004</v>
        <stp/>
        <stp>002518.SZ</stp>
        <stp>rt_pct_chg</stp>
        <stp>RT_Price</stp>
        <tr r="D43" s="1"/>
      </tp>
      <tp>
        <v>1.1400000000000001</v>
        <stp/>
        <stp>002519.SZ</stp>
        <stp>rt_pct_chg</stp>
        <stp>RT_Price</stp>
        <tr r="D44" s="1"/>
      </tp>
      <tp>
        <v>3.54</v>
        <stp/>
        <stp>002583.SZ</stp>
        <stp>rt_pct_chg</stp>
        <stp>RT_Price</stp>
        <tr r="D47" s="1"/>
      </tp>
      <tp>
        <v>5.37</v>
        <stp/>
        <stp>002771.SZ</stp>
        <stp>rt_pct_chg</stp>
        <stp>RT_Price</stp>
        <tr r="D48" s="1"/>
      </tp>
      <tp>
        <v>2.0099999999999998</v>
        <stp/>
        <stp>002796.SZ</stp>
        <stp>rt_pct_chg</stp>
        <stp>RT_Price</stp>
        <tr r="D50" s="1"/>
      </tp>
      <tp>
        <v>3.1300000000000003</v>
        <stp/>
        <stp>002792.SZ</stp>
        <stp>rt_pct_chg</stp>
        <stp>RT_Price</stp>
        <tr r="D49" s="1"/>
      </tp>
      <tp>
        <v>5.34</v>
        <stp/>
        <stp>002093.SZ</stp>
        <stp>rt_pct_chg</stp>
        <stp>RT_Price</stp>
        <tr r="D16" s="1"/>
      </tp>
      <tp>
        <v>-1.79</v>
        <stp/>
        <stp>002089.SZ</stp>
        <stp>rt_pct_chg</stp>
        <stp>RT_Price</stp>
        <tr r="D15" s="1"/>
      </tp>
      <tp>
        <v>9.94</v>
        <stp/>
        <stp>002161.SZ</stp>
        <stp>rt_pct_chg</stp>
        <stp>RT_Price</stp>
        <tr r="D23" s="1"/>
      </tp>
      <tp>
        <v>1.35</v>
        <stp/>
        <stp>002151.SZ</stp>
        <stp>rt_pct_chg</stp>
        <stp>RT_Price</stp>
        <tr r="D22" s="1"/>
      </tp>
      <tp>
        <v>3.85</v>
        <stp/>
        <stp>002148.SZ</stp>
        <stp>rt_pct_chg</stp>
        <stp>RT_Price</stp>
        <tr r="D21" s="1"/>
      </tp>
      <tp>
        <v>7.5</v>
        <stp/>
        <stp>002139.SZ</stp>
        <stp>rt_pct_chg</stp>
        <stp>RT_Price</stp>
        <tr r="D20" s="1"/>
      </tp>
      <tp>
        <v>5.1300000000000008</v>
        <stp/>
        <stp>002123.SZ</stp>
        <stp>rt_pct_chg</stp>
        <stp>RT_Price</stp>
        <tr r="D19" s="1"/>
      </tp>
      <tp>
        <v>5.62</v>
        <stp/>
        <stp>002115.SZ</stp>
        <stp>rt_pct_chg</stp>
        <stp>RT_Price</stp>
        <tr r="D18" s="1"/>
      </tp>
      <tp>
        <v>5.28</v>
        <stp/>
        <stp>002104.SZ</stp>
        <stp>rt_pct_chg</stp>
        <stp>RT_Price</stp>
        <tr r="D17" s="1"/>
      </tp>
      <tp>
        <v>4.4799999999999995</v>
        <stp/>
        <stp>002194.SZ</stp>
        <stp>rt_pct_chg</stp>
        <stp>RT_Price</stp>
        <tr r="D24" s="1"/>
      </tp>
      <tp>
        <v>3.1900000000000004</v>
        <stp/>
        <stp>002231.SZ</stp>
        <stp>rt_pct_chg</stp>
        <stp>RT_Price</stp>
        <tr r="D25" s="1"/>
      </tp>
      <tp>
        <v>2.81</v>
        <stp/>
        <stp>002296.SZ</stp>
        <stp>rt_pct_chg</stp>
        <stp>RT_Price</stp>
        <tr r="D27" s="1"/>
      </tp>
      <tp>
        <v>4.9800000000000004</v>
        <stp/>
        <stp>002281.SZ</stp>
        <stp>rt_pct_chg</stp>
        <stp>RT_Price</stp>
        <tr r="D26" s="1"/>
      </tp>
      <tp>
        <v>0</v>
        <stp/>
        <stp>002359.SZ</stp>
        <stp>rt_pct_chg</stp>
        <stp>RT_Price</stp>
        <tr r="D33" s="1"/>
      </tp>
      <tp>
        <v>4.16</v>
        <stp/>
        <stp>002335.SZ</stp>
        <stp>rt_pct_chg</stp>
        <stp>RT_Price</stp>
        <tr r="D32" s="1"/>
      </tp>
      <tp>
        <v>3.9699999999999998</v>
        <stp/>
        <stp>002316.SZ</stp>
        <stp>rt_pct_chg</stp>
        <stp>RT_Price</stp>
        <tr r="D31" s="1"/>
      </tp>
      <tp>
        <v>3.9699999999999998</v>
        <stp/>
        <stp>002313.SZ</stp>
        <stp>rt_pct_chg</stp>
        <stp>RT_Price</stp>
        <tr r="D30" s="1"/>
      </tp>
      <tp>
        <v>0.43</v>
        <stp/>
        <stp>002309.SZ</stp>
        <stp>rt_pct_chg</stp>
        <stp>RT_Price</stp>
        <tr r="D29" s="1"/>
      </tp>
      <tp>
        <v>4.2300000000000004</v>
        <stp/>
        <stp>002301.SZ</stp>
        <stp>rt_pct_chg</stp>
        <stp>RT_Price</stp>
        <tr r="D28" s="1"/>
      </tp>
      <tp>
        <v>6.660000000000001</v>
        <stp/>
        <stp>002396.SZ</stp>
        <stp>rt_pct_chg</stp>
        <stp>RT_Price</stp>
        <tr r="D35" s="1"/>
      </tp>
      <tp>
        <v>5.29</v>
        <stp/>
        <stp>002383.SZ</stp>
        <stp>rt_pct_chg</stp>
        <stp>RT_Price</stp>
        <tr r="D34" s="1"/>
      </tp>
      <tp>
        <v>3.92</v>
        <stp/>
        <stp>002869.SZ</stp>
        <stp>rt_pct_chg</stp>
        <stp>RT_Price</stp>
        <tr r="D55" s="1"/>
      </tp>
      <tp>
        <v>1.86</v>
        <stp/>
        <stp>002848.SZ</stp>
        <stp>rt_pct_chg</stp>
        <stp>RT_Price</stp>
        <tr r="D54" s="1"/>
      </tp>
      <tp>
        <v>3.2100000000000004</v>
        <stp/>
        <stp>002841.SZ</stp>
        <stp>rt_pct_chg</stp>
        <stp>RT_Price</stp>
        <tr r="D53" s="1"/>
      </tp>
      <tp>
        <v>-0.82000000000000006</v>
        <stp/>
        <stp>002829.SZ</stp>
        <stp>rt_pct_chg</stp>
        <stp>RT_Price</stp>
        <tr r="D52" s="1"/>
      </tp>
      <tp>
        <v>3.2100000000000004</v>
        <stp/>
        <stp>002813.SZ</stp>
        <stp>rt_pct_chg</stp>
        <stp>RT_Price</stp>
        <tr r="D51" s="1"/>
      </tp>
      <tp>
        <v>4.5900000000000007</v>
        <stp/>
        <stp>002897.SZ</stp>
        <stp>rt_pct_chg</stp>
        <stp>RT_Price</stp>
        <tr r="D57" s="1"/>
      </tp>
      <tp>
        <v>6.78</v>
        <stp/>
        <stp>002881.SZ</stp>
        <stp>rt_pct_chg</stp>
        <stp>RT_Price</stp>
        <tr r="D56" s="1"/>
      </tp>
      <tp>
        <v>5.8500000000000005</v>
        <stp/>
        <stp>002929.SZ</stp>
        <stp>rt_pct_chg</stp>
        <stp>RT_Price</stp>
        <tr r="D60" s="1"/>
      </tp>
      <tp>
        <v>4.8400000000000007</v>
        <stp/>
        <stp>002912.SZ</stp>
        <stp>rt_pct_chg</stp>
        <stp>RT_Price</stp>
        <tr r="D59" s="1"/>
      </tp>
      <tp>
        <v>2.4300000000000002</v>
        <stp/>
        <stp>002902.SZ</stp>
        <stp>rt_pct_chg</stp>
        <stp>RT_Price</stp>
        <tr r="D58" s="1"/>
      </tp>
      <tp>
        <v>6.99</v>
        <stp/>
        <stp>601869.SH</stp>
        <stp>rt_pct_chg</stp>
        <stp>RT_Price</stp>
        <tr r="D140" s="1"/>
      </tp>
      <tp>
        <v>0.76</v>
        <stp/>
        <stp>600462.SH</stp>
        <stp>rt_pct_chg</stp>
        <stp>RT_Price</stp>
        <tr r="D131" s="1"/>
      </tp>
      <tp>
        <v>3.9800000000000004</v>
        <stp/>
        <stp>600498.SH</stp>
        <stp>rt_pct_chg</stp>
        <stp>RT_Price</stp>
        <tr r="D133" s="1"/>
      </tp>
      <tp>
        <v>3.64</v>
        <stp/>
        <stp>600487.SH</stp>
        <stp>rt_pct_chg</stp>
        <stp>RT_Price</stp>
        <tr r="D132" s="1"/>
      </tp>
      <tp>
        <v>8.2700000000000014</v>
        <stp/>
        <stp>300454.SZ</stp>
        <stp>rt_pct_chg</stp>
        <stp>RT_Price</stp>
        <tr r="D96" s="1"/>
      </tp>
      <tp>
        <v>4.6400000000000006</v>
        <stp/>
        <stp>300414.SZ</stp>
        <stp>rt_pct_chg</stp>
        <stp>RT_Price</stp>
        <tr r="D95" s="1"/>
      </tp>
      <tp>
        <v>0.34</v>
        <stp/>
        <stp>600522.SH</stp>
        <stp>rt_pct_chg</stp>
        <stp>RT_Price</stp>
        <tr r="D134" s="1"/>
      </tp>
      <tp>
        <v>5.2</v>
        <stp/>
        <stp>300548.SZ</stp>
        <stp>rt_pct_chg</stp>
        <stp>RT_Price</stp>
        <tr r="D101" s="1"/>
      </tp>
      <tp>
        <v>2.41</v>
        <stp/>
        <stp>300557.SZ</stp>
        <stp>rt_pct_chg</stp>
        <stp>RT_Price</stp>
        <tr r="D103" s="1"/>
      </tp>
      <tp>
        <v>3.47</v>
        <stp/>
        <stp>300555.SZ</stp>
        <stp>rt_pct_chg</stp>
        <stp>RT_Price</stp>
        <tr r="D102" s="1"/>
      </tp>
      <tp>
        <v>3.44</v>
        <stp/>
        <stp>300565.SZ</stp>
        <stp>rt_pct_chg</stp>
        <stp>RT_Price</stp>
        <tr r="D106" s="1"/>
      </tp>
      <tp>
        <v>4.16</v>
        <stp/>
        <stp>300563.SZ</stp>
        <stp>rt_pct_chg</stp>
        <stp>RT_Price</stp>
        <tr r="D105" s="1"/>
      </tp>
      <tp>
        <v>4.5000000000000009</v>
        <stp/>
        <stp>300560.SZ</stp>
        <stp>rt_pct_chg</stp>
        <stp>RT_Price</stp>
        <tr r="D104" s="1"/>
      </tp>
      <tp>
        <v>5.21</v>
        <stp/>
        <stp>300578.SZ</stp>
        <stp>rt_pct_chg</stp>
        <stp>RT_Price</stp>
        <tr r="D109" s="1"/>
      </tp>
      <tp>
        <v>3.9</v>
        <stp/>
        <stp>300570.SZ</stp>
        <stp>rt_pct_chg</stp>
        <stp>RT_Price</stp>
        <tr r="D107" s="1"/>
      </tp>
      <tp>
        <v>3.88</v>
        <stp/>
        <stp>300571.SZ</stp>
        <stp>rt_pct_chg</stp>
        <stp>RT_Price</stp>
        <tr r="D108" s="1"/>
      </tp>
      <tp>
        <v>10.57</v>
        <stp/>
        <stp>300504.SZ</stp>
        <stp>rt_pct_chg</stp>
        <stp>RT_Price</stp>
        <tr r="D98" s="1"/>
      </tp>
      <tp>
        <v>11.25</v>
        <stp/>
        <stp>300502.SZ</stp>
        <stp>rt_pct_chg</stp>
        <stp>RT_Price</stp>
        <tr r="D97" s="1"/>
      </tp>
      <tp>
        <v>4.58</v>
        <stp/>
        <stp>300513.SZ</stp>
        <stp>rt_pct_chg</stp>
        <stp>RT_Price</stp>
        <tr r="D99" s="1"/>
      </tp>
      <tp>
        <v>14.170000000000002</v>
        <stp/>
        <stp>300531.SZ</stp>
        <stp>rt_pct_chg</stp>
        <stp>RT_Price</stp>
        <tr r="D100" s="1"/>
      </tp>
      <tp>
        <v>3.9400000000000004</v>
        <stp/>
        <stp>300597.SZ</stp>
        <stp>rt_pct_chg</stp>
        <stp>RT_Price</stp>
        <tr r="D111" s="1"/>
      </tp>
      <tp>
        <v>7.4700000000000006</v>
        <stp/>
        <stp>300590.SZ</stp>
        <stp>rt_pct_chg</stp>
        <stp>RT_Price</stp>
        <tr r="D110" s="1"/>
      </tp>
      <tp>
        <v>4.5600000000000005</v>
        <stp/>
        <stp>000586.SZ</stp>
        <stp>rt_pct_chg</stp>
        <stp>RT_Price</stp>
        <tr r="D6" s="1"/>
      </tp>
      <tp>
        <v>4.24</v>
        <stp/>
        <stp>600640.SH</stp>
        <stp>rt_pct_chg</stp>
        <stp>RT_Price</stp>
        <tr r="D135" s="1"/>
      </tp>
      <tp>
        <v>7.1400000000000006</v>
        <stp/>
        <stp>300659.SZ</stp>
        <stp>rt_pct_chg</stp>
        <stp>RT_Price</stp>
        <tr r="D118" s="1"/>
      </tp>
      <tp>
        <v>5.16</v>
        <stp/>
        <stp>300603.SZ</stp>
        <stp>rt_pct_chg</stp>
        <stp>RT_Price</stp>
        <tr r="D112" s="1"/>
      </tp>
      <tp>
        <v>3.1400000000000006</v>
        <stp/>
        <stp>300615.SZ</stp>
        <stp>rt_pct_chg</stp>
        <stp>RT_Price</stp>
        <tr r="D113" s="1"/>
      </tp>
      <tp>
        <v>8.39</v>
        <stp/>
        <stp>300628.SZ</stp>
        <stp>rt_pct_chg</stp>
        <stp>RT_Price</stp>
        <tr r="D116" s="1"/>
      </tp>
      <tp>
        <v>7.66</v>
        <stp/>
        <stp>300627.SZ</stp>
        <stp>rt_pct_chg</stp>
        <stp>RT_Price</stp>
        <tr r="D115" s="1"/>
      </tp>
      <tp>
        <v>11.47</v>
        <stp/>
        <stp>300620.SZ</stp>
        <stp>rt_pct_chg</stp>
        <stp>RT_Price</stp>
        <tr r="D114" s="1"/>
      </tp>
      <tp>
        <v>4.95</v>
        <stp/>
        <stp>300638.SZ</stp>
        <stp>rt_pct_chg</stp>
        <stp>RT_Price</stp>
        <tr r="D117" s="1"/>
      </tp>
      <tp>
        <v>3.64</v>
        <stp/>
        <stp>300698.SZ</stp>
        <stp>rt_pct_chg</stp>
        <stp>RT_Price</stp>
        <tr r="D119" s="1"/>
      </tp>
      <tp>
        <v>-3.93</v>
        <stp/>
        <stp>000687.SZ</stp>
        <stp>rt_pct_chg</stp>
        <stp>RT_Price</stp>
        <tr r="D7" s="1"/>
      </tp>
      <tp>
        <v>-1.9</v>
        <stp/>
        <stp>600734.SH</stp>
        <stp>rt_pct_chg</stp>
        <stp>RT_Price</stp>
        <tr r="D136" s="1"/>
      </tp>
      <tp>
        <v>8.32</v>
        <stp/>
        <stp>600776.SH</stp>
        <stp>rt_pct_chg</stp>
        <stp>RT_Price</stp>
        <tr r="D137" s="1"/>
      </tp>
      <tp>
        <v>5.45</v>
        <stp/>
        <stp>300768.SZ</stp>
        <stp>rt_pct_chg</stp>
        <stp>RT_Price</stp>
        <tr r="D124" s="1"/>
      </tp>
      <tp>
        <v>4.1100000000000003</v>
        <stp/>
        <stp>300701.SZ</stp>
        <stp>rt_pct_chg</stp>
        <stp>RT_Price</stp>
        <tr r="D120" s="1"/>
      </tp>
      <tp>
        <v>1.1900000000000002</v>
        <stp/>
        <stp>300710.SZ</stp>
        <stp>rt_pct_chg</stp>
        <stp>RT_Price</stp>
        <tr r="D121" s="1"/>
      </tp>
      <tp>
        <v>2.96</v>
        <stp/>
        <stp>300711.SZ</stp>
        <stp>rt_pct_chg</stp>
        <stp>RT_Price</stp>
        <tr r="D122" s="1"/>
      </tp>
      <tp>
        <v>11.63</v>
        <stp/>
        <stp>300738.SZ</stp>
        <stp>rt_pct_chg</stp>
        <stp>RT_Price</stp>
        <tr r="D123" s="1"/>
      </tp>
      <tp>
        <v>0</v>
        <stp/>
        <stp>600050.SH</stp>
        <stp>rt_pct_chg</stp>
        <stp>RT_Price</stp>
        <tr r="D125" s="1"/>
      </tp>
      <tp>
        <v>20</v>
        <stp/>
        <stp>300047.SZ</stp>
        <stp>rt_pct_chg</stp>
        <stp>RT_Price</stp>
        <tr r="D65" s="1"/>
      </tp>
      <tp>
        <v>4.92</v>
        <stp/>
        <stp>300045.SZ</stp>
        <stp>rt_pct_chg</stp>
        <stp>RT_Price</stp>
        <tr r="D64" s="1"/>
      </tp>
      <tp>
        <v>4.17</v>
        <stp/>
        <stp>000070.SZ</stp>
        <stp>rt_pct_chg</stp>
        <stp>RT_Price</stp>
        <tr r="D5" s="1"/>
      </tp>
      <tp>
        <v>3.91</v>
        <stp/>
        <stp>000063.SZ</stp>
        <stp>rt_pct_chg</stp>
        <stp>RT_Price</stp>
        <tr r="D4" s="1"/>
      </tp>
      <tp>
        <v>7.3500000000000014</v>
        <stp/>
        <stp>300053.SZ</stp>
        <stp>rt_pct_chg</stp>
        <stp>RT_Price</stp>
        <tr r="D67" s="1"/>
      </tp>
      <tp>
        <v>6.03</v>
        <stp/>
        <stp>300050.SZ</stp>
        <stp>rt_pct_chg</stp>
        <stp>RT_Price</stp>
        <tr r="D66" s="1"/>
      </tp>
      <tp>
        <v>2.06</v>
        <stp/>
        <stp>300066.SZ</stp>
        <stp>rt_pct_chg</stp>
        <stp>RT_Price</stp>
        <tr r="D68" s="1"/>
      </tp>
      <tp>
        <v>4.78</v>
        <stp/>
        <stp>300074.SZ</stp>
        <stp>rt_pct_chg</stp>
        <stp>RT_Price</stp>
        <tr r="D69" s="1"/>
      </tp>
      <tp>
        <v>2.6100000000000003</v>
        <stp/>
        <stp>300007.SZ</stp>
        <stp>rt_pct_chg</stp>
        <stp>RT_Price</stp>
        <tr r="D61" s="1"/>
      </tp>
      <tp>
        <v>4.88</v>
        <stp/>
        <stp>000032.SZ</stp>
        <stp>rt_pct_chg</stp>
        <stp>RT_Price</stp>
        <tr r="D3" s="1"/>
      </tp>
      <tp>
        <v>5.2200000000000006</v>
        <stp/>
        <stp>300017.SZ</stp>
        <stp>rt_pct_chg</stp>
        <stp>RT_Price</stp>
        <tr r="D62" s="1"/>
      </tp>
      <tp>
        <v>5.9</v>
        <stp/>
        <stp>300025.SZ</stp>
        <stp>rt_pct_chg</stp>
        <stp>RT_Price</stp>
        <tr r="D63" s="1"/>
      </tp>
      <tp>
        <v>4.6900000000000004</v>
        <stp/>
        <stp>300098.SZ</stp>
        <stp>rt_pct_chg</stp>
        <stp>RT_Price</stp>
        <tr r="D70" s="1"/>
      </tp>
      <tp>
        <v>4.0400000000000009</v>
        <stp/>
        <stp>600130.SH</stp>
        <stp>rt_pct_chg</stp>
        <stp>RT_Price</stp>
        <tr r="D127" s="1"/>
      </tp>
      <tp>
        <v>1.58</v>
        <stp/>
        <stp>600105.SH</stp>
        <stp>rt_pct_chg</stp>
        <stp>RT_Price</stp>
        <tr r="D126" s="1"/>
      </tp>
      <tp>
        <v>4.5000000000000009</v>
        <stp/>
        <stp>300177.SZ</stp>
        <stp>rt_pct_chg</stp>
        <stp>RT_Price</stp>
        <tr r="D73" s="1"/>
      </tp>
      <tp>
        <v>2.12</v>
        <stp/>
        <stp>300101.SZ</stp>
        <stp>rt_pct_chg</stp>
        <stp>RT_Price</stp>
        <tr r="D71" s="1"/>
      </tp>
      <tp>
        <v>2.99</v>
        <stp/>
        <stp>300134.SZ</stp>
        <stp>rt_pct_chg</stp>
        <stp>RT_Price</stp>
        <tr r="D72" s="1"/>
      </tp>
      <tp>
        <v>2.81</v>
        <stp/>
        <stp>300183.SZ</stp>
        <stp>rt_pct_chg</stp>
        <stp>RT_Price</stp>
        <tr r="D74" s="1"/>
      </tp>
      <tp>
        <v>-5.0500000000000007</v>
        <stp/>
        <stp>600260.SH</stp>
        <stp>rt_pct_chg</stp>
        <stp>RT_Price</stp>
        <tr r="D128" s="1"/>
      </tp>
      <tp>
        <v>1.4700000000000002</v>
        <stp/>
        <stp>600289.SH</stp>
        <stp>rt_pct_chg</stp>
        <stp>RT_Price</stp>
        <tr r="D129" s="1"/>
      </tp>
      <tp>
        <v>3.8700000000000006</v>
        <stp/>
        <stp>300259.SZ</stp>
        <stp>rt_pct_chg</stp>
        <stp>RT_Price</stp>
        <tr r="D81" s="1"/>
      </tp>
      <tp>
        <v>3.93</v>
        <stp/>
        <stp>300252.SZ</stp>
        <stp>rt_pct_chg</stp>
        <stp>RT_Price</stp>
        <tr r="D80" s="1"/>
      </tp>
      <tp>
        <v>6.84</v>
        <stp/>
        <stp>300250.SZ</stp>
        <stp>rt_pct_chg</stp>
        <stp>RT_Price</stp>
        <tr r="D79" s="1"/>
      </tp>
      <tp>
        <v>5.07</v>
        <stp/>
        <stp>300264.SZ</stp>
        <stp>rt_pct_chg</stp>
        <stp>RT_Price</stp>
        <tr r="D82" s="1"/>
      </tp>
      <tp>
        <v>2.0300000000000002</v>
        <stp/>
        <stp>300265.SZ</stp>
        <stp>rt_pct_chg</stp>
        <stp>RT_Price</stp>
        <tr r="D83" s="1"/>
      </tp>
      <tp>
        <v>6.4600000000000009</v>
        <stp/>
        <stp>300209.SZ</stp>
        <stp>rt_pct_chg</stp>
        <stp>RT_Price</stp>
        <tr r="D76" s="1"/>
      </tp>
      <tp>
        <v>6.35</v>
        <stp/>
        <stp>300205.SZ</stp>
        <stp>rt_pct_chg</stp>
        <stp>RT_Price</stp>
        <tr r="D75" s="1"/>
      </tp>
      <tp>
        <v>1.35</v>
        <stp/>
        <stp>300213.SZ</stp>
        <stp>rt_pct_chg</stp>
        <stp>RT_Price</stp>
        <tr r="D78" s="1"/>
      </tp>
      <tp>
        <v>0.97</v>
        <stp/>
        <stp>300211.SZ</stp>
        <stp>rt_pct_chg</stp>
        <stp>RT_Price</stp>
        <tr r="D77" s="1"/>
      </tp>
      <tp>
        <v>5.9</v>
        <stp/>
        <stp>300288.SZ</stp>
        <stp>rt_pct_chg</stp>
        <stp>RT_Price</stp>
        <tr r="D84" s="1"/>
      </tp>
      <tp>
        <v>5.92</v>
        <stp/>
        <stp>300299.SZ</stp>
        <stp>rt_pct_chg</stp>
        <stp>RT_Price</stp>
        <tr r="D86" s="1"/>
      </tp>
      <tp>
        <v>6.79</v>
        <stp/>
        <stp>300292.SZ</stp>
        <stp>rt_pct_chg</stp>
        <stp>RT_Price</stp>
        <tr r="D85" s="1"/>
      </tp>
      <tp>
        <v>3.47</v>
        <stp/>
        <stp>600345.SH</stp>
        <stp>rt_pct_chg</stp>
        <stp>RT_Price</stp>
        <tr r="D130" s="1"/>
      </tp>
      <tp>
        <v>4.55</v>
        <stp/>
        <stp>300349.SZ</stp>
        <stp>rt_pct_chg</stp>
        <stp>RT_Price</stp>
        <tr r="D91" s="1"/>
      </tp>
      <tp>
        <v>7.99</v>
        <stp/>
        <stp>300353.SZ</stp>
        <stp>rt_pct_chg</stp>
        <stp>RT_Price</stp>
        <tr r="D92" s="1"/>
      </tp>
      <tp>
        <v>2.7600000000000002</v>
        <stp/>
        <stp>300308.SZ</stp>
        <stp>rt_pct_chg</stp>
        <stp>RT_Price</stp>
        <tr r="D87" s="1"/>
      </tp>
      <tp>
        <v>4.7</v>
        <stp/>
        <stp>300312.SZ</stp>
        <stp>rt_pct_chg</stp>
        <stp>RT_Price</stp>
        <tr r="D89" s="1"/>
      </tp>
      <tp>
        <v>4.51</v>
        <stp/>
        <stp>300310.SZ</stp>
        <stp>rt_pct_chg</stp>
        <stp>RT_Price</stp>
        <tr r="D88" s="1"/>
      </tp>
      <tp>
        <v>2.5500000000000003</v>
        <stp/>
        <stp>300322.SZ</stp>
        <stp>rt_pct_chg</stp>
        <stp>RT_Price</stp>
        <tr r="D90" s="1"/>
      </tp>
      <tp>
        <v>7.12</v>
        <stp/>
        <stp>300383.SZ</stp>
        <stp>rt_pct_chg</stp>
        <stp>RT_Price</stp>
        <tr r="D93" s="1"/>
      </tp>
      <tp>
        <v>13.140000000000002</v>
        <stp/>
        <stp>300394.SZ</stp>
        <stp>rt_pct_chg</stp>
        <stp>RT_Price</stp>
        <tr r="D94" s="1"/>
      </tp>
      <tp>
        <v>6.69</v>
        <stp/>
        <stp>600804.SH</stp>
        <stp>rt_pct_chg</stp>
        <stp>RT_Price</stp>
        <tr r="D138" s="1"/>
      </tp>
      <tp>
        <v>6.75</v>
        <stp/>
        <stp>600845.SH</stp>
        <stp>rt_pct_chg</stp>
        <stp>RT_Price</stp>
        <tr r="D139" s="1"/>
      </tp>
      <tp>
        <v>3.5500000000000003</v>
        <stp/>
        <stp>000851.SZ</stp>
        <stp>rt_pct_chg</stp>
        <stp>RT_Price</stp>
        <tr r="D10" s="1"/>
      </tp>
      <tp>
        <v>10.06</v>
        <stp/>
        <stp>000836.SZ</stp>
        <stp>rt_pct_chg</stp>
        <stp>RT_Price</stp>
        <tr r="D9" s="1"/>
      </tp>
      <tp>
        <v>6.4</v>
        <stp/>
        <stp>000815.SZ</stp>
        <stp>rt_pct_chg</stp>
        <stp>RT_Price</stp>
        <tr r="D8" s="1"/>
      </tp>
      <tp>
        <v>10.029999999999999</v>
        <stp/>
        <stp>000889.SZ</stp>
        <stp>rt_pct_chg</stp>
        <stp>RT_Price</stp>
        <tr r="D11" s="1"/>
      </tp>
      <tp>
        <v>1.6900000000000002</v>
        <stp/>
        <stp>000971.SZ</stp>
        <stp>rt_pct_chg</stp>
        <stp>RT_Price</stp>
        <tr r="D13" s="1"/>
      </tp>
      <tp>
        <v>8.0200000000000014</v>
        <stp/>
        <stp>000938.SZ</stp>
        <stp>rt_pct_chg</stp>
        <stp>RT_Price</stp>
        <tr r="D12" s="1"/>
      </tp>
      <tp>
        <v>3.04</v>
        <stp/>
        <stp>000988.SZ</stp>
        <stp>rt_pct_chg</stp>
        <stp>RT_Price</stp>
        <tr r="D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5" Type="http://schemas.openxmlformats.org/officeDocument/2006/relationships/volatileDependencies" Target="volatileDependencies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DataBrowse\XLA\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sy/Desktop/&#26041;&#27491;&#23454;&#20064;/&#12304;&#26356;&#26032;&#12305;&#21608;&#25253;&#25968;&#25454;&#24213;&#312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20200602&#26356;&#26032;&#12305;&#21608;&#25253;&#24213;&#312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hange"/>
      <definedName name="S_DQ_Close"/>
      <definedName name="S_DQ_PctChange"/>
      <definedName name="WSS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周报输出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周报输出"/>
      <sheetName val="数据透视"/>
      <sheetName val="底稿"/>
      <sheetName val="三大指数"/>
      <sheetName val="Sheet1"/>
      <sheetName val="板块整体涨跌幅-WIND"/>
      <sheetName val="A股股本数据-WIND"/>
    </sheetNames>
    <sheetDataSet>
      <sheetData sheetId="0">
        <row r="38">
          <cell r="H38" t="str">
            <v>网宿科技</v>
          </cell>
          <cell r="J38">
            <v>7.707554</v>
          </cell>
          <cell r="O38" t="str">
            <v>光环新网</v>
          </cell>
          <cell r="Q38">
            <v>-5.7871239999999897</v>
          </cell>
        </row>
        <row r="39">
          <cell r="H39" t="str">
            <v>海能达</v>
          </cell>
          <cell r="J39">
            <v>6.831677</v>
          </cell>
          <cell r="O39" t="str">
            <v>紫光股份</v>
          </cell>
          <cell r="Q39">
            <v>-2.254159</v>
          </cell>
        </row>
        <row r="40">
          <cell r="H40" t="str">
            <v>高新兴</v>
          </cell>
          <cell r="J40">
            <v>5.4201249999999996</v>
          </cell>
          <cell r="O40" t="str">
            <v>欧比特</v>
          </cell>
          <cell r="Q40">
            <v>-1.3510599999999999</v>
          </cell>
        </row>
        <row r="41">
          <cell r="H41" t="str">
            <v>中国联通</v>
          </cell>
          <cell r="J41">
            <v>4.5804900000000499</v>
          </cell>
          <cell r="O41" t="str">
            <v>中兴通讯</v>
          </cell>
          <cell r="Q41">
            <v>-1.2122809999999899</v>
          </cell>
        </row>
        <row r="42">
          <cell r="H42" t="str">
            <v>春兴精工</v>
          </cell>
          <cell r="J42">
            <v>3.151764</v>
          </cell>
          <cell r="O42" t="str">
            <v>中际旭创</v>
          </cell>
          <cell r="Q42">
            <v>-1.057682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opLeftCell="A4" workbookViewId="0">
      <selection activeCell="D7" sqref="D7"/>
    </sheetView>
  </sheetViews>
  <sheetFormatPr defaultColWidth="9" defaultRowHeight="14" x14ac:dyDescent="0.3"/>
  <cols>
    <col min="4" max="4" width="11.6640625" customWidth="1"/>
    <col min="5" max="5" width="16.1640625" customWidth="1"/>
    <col min="6" max="6" width="11.6640625" customWidth="1"/>
    <col min="7" max="7" width="11.1640625" customWidth="1"/>
    <col min="8" max="8" width="10.33203125" customWidth="1"/>
    <col min="9" max="9" width="9.5" customWidth="1"/>
  </cols>
  <sheetData>
    <row r="1" spans="2:9" x14ac:dyDescent="0.3">
      <c r="D1" s="18">
        <f ca="1">TODAY()</f>
        <v>44578</v>
      </c>
    </row>
    <row r="2" spans="2:9" x14ac:dyDescent="0.3">
      <c r="B2" s="2"/>
      <c r="C2" s="2"/>
      <c r="D2" s="2" t="s">
        <v>0</v>
      </c>
      <c r="E2" s="2" t="s">
        <v>1</v>
      </c>
      <c r="F2" s="2" t="s">
        <v>2</v>
      </c>
    </row>
    <row r="3" spans="2:9" x14ac:dyDescent="0.3">
      <c r="B3" s="5"/>
      <c r="C3" s="5"/>
      <c r="D3" s="5"/>
      <c r="E3" s="5"/>
      <c r="F3" s="5"/>
    </row>
    <row r="4" spans="2:9" x14ac:dyDescent="0.3">
      <c r="B4" s="19" t="s">
        <v>3</v>
      </c>
      <c r="C4" s="19" t="s">
        <v>4</v>
      </c>
      <c r="D4" s="20">
        <f ca="1">[1]!S_DQ_Close(B4,$D$1)</f>
        <v>3541.6660000000002</v>
      </c>
      <c r="E4" s="20">
        <f ca="1">[1]!S_DQ_PctChange(B4,$D$1)</f>
        <v>0.57962558188401059</v>
      </c>
      <c r="F4" s="3">
        <f ca="1">[1]!S_DQ_Change(B4,$D$1)</f>
        <v>20.410100000000057</v>
      </c>
      <c r="G4" s="6"/>
      <c r="H4" s="6"/>
    </row>
    <row r="5" spans="2:9" x14ac:dyDescent="0.3">
      <c r="B5" s="19" t="s">
        <v>5</v>
      </c>
      <c r="C5" s="19" t="s">
        <v>6</v>
      </c>
      <c r="D5" s="20">
        <f ca="1">[1]!S_DQ_Close(B5,$D$1)</f>
        <v>14363.5672</v>
      </c>
      <c r="E5" s="20">
        <f ca="1">[1]!S_DQ_PctChange(B5,$D$1)</f>
        <v>1.5052278216178241</v>
      </c>
      <c r="F5" s="3">
        <f ca="1">[1]!S_DQ_Change(B5,$D$1)</f>
        <v>212.99829999999929</v>
      </c>
      <c r="G5" s="6"/>
      <c r="H5" s="6"/>
    </row>
    <row r="6" spans="2:9" x14ac:dyDescent="0.3">
      <c r="B6" s="19" t="s">
        <v>7</v>
      </c>
      <c r="C6" s="19" t="s">
        <v>8</v>
      </c>
      <c r="D6" s="20">
        <f ca="1">[1]!S_DQ_Close(B6,$D$1)</f>
        <v>3170.4078</v>
      </c>
      <c r="E6" s="20">
        <f ca="1">[1]!S_DQ_PctChange(B6,$D$1)</f>
        <v>1.6349289642389402</v>
      </c>
      <c r="F6" s="3">
        <f ca="1">[1]!S_DQ_Change(B6,$D$1)</f>
        <v>51.000099999999748</v>
      </c>
      <c r="G6" s="6"/>
      <c r="H6" s="6"/>
    </row>
    <row r="7" spans="2:9" x14ac:dyDescent="0.3">
      <c r="B7" s="11" t="s">
        <v>9</v>
      </c>
      <c r="C7" s="11" t="s">
        <v>10</v>
      </c>
      <c r="D7" s="11">
        <f ca="1">[1]!S_DQ_Close(B7,$D$1)</f>
        <v>2183.0659999999998</v>
      </c>
      <c r="E7" s="22">
        <f ca="1">[1]!S_DQ_PctChange(B7,$D$1)</f>
        <v>3.9198941315358544</v>
      </c>
      <c r="F7" s="11">
        <f ca="1">[1]!S_DQ_Change(B7,$D$1)</f>
        <v>82.346000000000004</v>
      </c>
      <c r="G7" s="6"/>
      <c r="H7" s="6"/>
    </row>
    <row r="8" spans="2:9" x14ac:dyDescent="0.3">
      <c r="B8" s="6"/>
      <c r="C8" s="6"/>
      <c r="D8" s="6"/>
      <c r="E8" s="21"/>
      <c r="F8" s="23"/>
      <c r="G8" s="6"/>
      <c r="H8" s="6"/>
    </row>
    <row r="10" spans="2:9" x14ac:dyDescent="0.3">
      <c r="B10" s="6" t="s">
        <v>11</v>
      </c>
      <c r="C10" s="6" t="s">
        <v>12</v>
      </c>
      <c r="D10" s="6" t="s">
        <v>13</v>
      </c>
      <c r="E10" s="6" t="s">
        <v>14</v>
      </c>
      <c r="F10" s="6" t="s">
        <v>15</v>
      </c>
      <c r="G10" s="6" t="s">
        <v>16</v>
      </c>
      <c r="H10" s="6" t="s">
        <v>17</v>
      </c>
    </row>
    <row r="11" spans="2:9" x14ac:dyDescent="0.3"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24</v>
      </c>
      <c r="I11" s="6"/>
    </row>
    <row r="12" spans="2:9" x14ac:dyDescent="0.3">
      <c r="B12" s="6" t="s">
        <v>3</v>
      </c>
      <c r="C12" s="6" t="str">
        <f>[1]!WSS($B$12:$B$15,$D$11:$H$11,"ShowParams=Y","cols=5;rows=4")</f>
        <v>上证指数</v>
      </c>
      <c r="D12" s="21">
        <v>20220117</v>
      </c>
      <c r="E12" s="23">
        <v>0.62510416666666668</v>
      </c>
      <c r="F12" s="6">
        <v>3541.67</v>
      </c>
      <c r="G12" s="6">
        <v>0.58000000000000007</v>
      </c>
      <c r="H12" s="6">
        <v>20.41</v>
      </c>
      <c r="I12" s="9"/>
    </row>
    <row r="13" spans="2:9" x14ac:dyDescent="0.3">
      <c r="B13" s="6" t="s">
        <v>5</v>
      </c>
      <c r="C13" s="6" t="s">
        <v>25</v>
      </c>
      <c r="D13" s="21">
        <v>20220117</v>
      </c>
      <c r="E13" s="23">
        <v>0.62503472222222223</v>
      </c>
      <c r="F13" s="6">
        <v>14363.57</v>
      </c>
      <c r="G13" s="6">
        <v>1.51</v>
      </c>
      <c r="H13" s="6">
        <v>213</v>
      </c>
      <c r="I13" s="9"/>
    </row>
    <row r="14" spans="2:9" x14ac:dyDescent="0.3">
      <c r="B14" s="6" t="s">
        <v>7</v>
      </c>
      <c r="C14" s="6" t="s">
        <v>26</v>
      </c>
      <c r="D14" s="21">
        <v>20220117</v>
      </c>
      <c r="E14" s="23">
        <v>0.62503472222222223</v>
      </c>
      <c r="F14" s="6">
        <v>3170.41</v>
      </c>
      <c r="G14" s="6">
        <v>1.6300000000000001</v>
      </c>
      <c r="H14" s="6">
        <v>51</v>
      </c>
      <c r="I14" s="9"/>
    </row>
    <row r="15" spans="2:9" x14ac:dyDescent="0.3">
      <c r="B15" s="6" t="s">
        <v>9</v>
      </c>
      <c r="C15" s="6" t="s">
        <v>27</v>
      </c>
      <c r="D15" s="21">
        <v>20220117</v>
      </c>
      <c r="E15" s="23">
        <v>0.62509259259259264</v>
      </c>
      <c r="F15" s="6">
        <v>2183.0700000000002</v>
      </c>
      <c r="G15" s="6">
        <v>3.92</v>
      </c>
      <c r="H15" s="6">
        <v>82.350000000000009</v>
      </c>
    </row>
  </sheetData>
  <sheetProtection formatCells="0" insertHyperlinks="0" autoFilter="0"/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75"/>
  <sheetViews>
    <sheetView tabSelected="1" workbookViewId="0">
      <selection activeCell="H13" sqref="H13"/>
    </sheetView>
  </sheetViews>
  <sheetFormatPr defaultColWidth="9" defaultRowHeight="14" x14ac:dyDescent="0.3"/>
  <cols>
    <col min="1" max="1" width="10.6640625" customWidth="1"/>
    <col min="3" max="3" width="10.1640625" customWidth="1"/>
    <col min="9" max="9" width="9.5" customWidth="1"/>
  </cols>
  <sheetData>
    <row r="1" spans="1:101" x14ac:dyDescent="0.3">
      <c r="B1" t="s">
        <v>13</v>
      </c>
      <c r="C1" s="8">
        <f ca="1">TODAY()</f>
        <v>44578</v>
      </c>
    </row>
    <row r="2" spans="1:101" x14ac:dyDescent="0.3">
      <c r="A2" s="6" t="s">
        <v>11</v>
      </c>
      <c r="B2" s="6" t="s">
        <v>28</v>
      </c>
      <c r="C2" s="6" t="s">
        <v>15</v>
      </c>
      <c r="D2" s="6" t="s">
        <v>16</v>
      </c>
      <c r="H2" s="2" t="s">
        <v>29</v>
      </c>
      <c r="I2" s="2" t="s">
        <v>30</v>
      </c>
      <c r="J2" s="12" t="s">
        <v>31</v>
      </c>
      <c r="K2" s="2" t="s">
        <v>32</v>
      </c>
      <c r="L2" s="12" t="s">
        <v>33</v>
      </c>
    </row>
    <row r="3" spans="1:101" x14ac:dyDescent="0.3">
      <c r="A3" s="6" t="s">
        <v>34</v>
      </c>
      <c r="B3" s="6" t="s">
        <v>35</v>
      </c>
      <c r="C3" s="9">
        <f>RTD("wdf.rtq",,"000032.SZ","rt_last","RT_Price")</f>
        <v>24.7</v>
      </c>
      <c r="D3" s="9">
        <f>RTD("wdf.rtq",,"000032.SZ","rt_pct_chg","RT_Price")</f>
        <v>4.88</v>
      </c>
      <c r="E3" s="10">
        <f>RANK(D3,$D$3:$D$156,0)</f>
        <v>60</v>
      </c>
      <c r="F3" s="10">
        <f>RANK(D3,$D$3:$D$156,1)</f>
        <v>95</v>
      </c>
      <c r="G3" s="6"/>
      <c r="H3" s="3"/>
      <c r="I3" s="3"/>
      <c r="J3" s="3"/>
      <c r="K3" s="3"/>
      <c r="L3" s="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</row>
    <row r="4" spans="1:101" x14ac:dyDescent="0.3">
      <c r="A4" s="6" t="s">
        <v>36</v>
      </c>
      <c r="B4" s="6" t="s">
        <v>37</v>
      </c>
      <c r="C4" s="9">
        <f>RTD("wdf.rtq",,"000063.SZ","rt_last","RT_Price")</f>
        <v>34.29</v>
      </c>
      <c r="D4" s="9">
        <f>RTD("wdf.rtq",,"000063.SZ","rt_pct_chg","RT_Price")</f>
        <v>3.91</v>
      </c>
      <c r="E4" s="10">
        <f>RANK(D4,$D$3:$D$156,0)</f>
        <v>92</v>
      </c>
      <c r="F4" s="10">
        <f>RANK(D4,$D$3:$D$156,1)</f>
        <v>63</v>
      </c>
      <c r="G4" s="6"/>
      <c r="H4" s="3">
        <v>1</v>
      </c>
      <c r="I4" s="3" t="str">
        <f>INDEX($B$3:$B$157,MATCH(H4,$E$3:$E$157,0),)</f>
        <v>天源迪科</v>
      </c>
      <c r="J4" s="13">
        <f>INDEX($D$3:$D$157,MATCH(H4,$E$3:$E$156,0),)</f>
        <v>20</v>
      </c>
      <c r="K4" s="3" t="str">
        <f>INDEX($B$3:$B$174,MATCH(H4,$F$3:$F$174,0),)</f>
        <v>凯乐科技</v>
      </c>
      <c r="L4" s="13">
        <f>INDEX($D$3:$D$174,MATCH(H4,$F$3:$F$174,0),)</f>
        <v>-5.0500000000000007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</row>
    <row r="5" spans="1:101" x14ac:dyDescent="0.3">
      <c r="A5" s="6" t="s">
        <v>38</v>
      </c>
      <c r="B5" s="6" t="s">
        <v>39</v>
      </c>
      <c r="C5" s="9">
        <f>RTD("wdf.rtq",,"000070.SZ","rt_last","RT_Price")</f>
        <v>6.75</v>
      </c>
      <c r="D5" s="9">
        <f>RTD("wdf.rtq",,"000070.SZ","rt_pct_chg","RT_Price")</f>
        <v>4.17</v>
      </c>
      <c r="E5" s="10">
        <f>RANK(D5,$D$3:$D$156,0)</f>
        <v>78</v>
      </c>
      <c r="F5" s="10">
        <f>RANK(D5,$D$3:$D$156,1)</f>
        <v>77</v>
      </c>
      <c r="G5" s="6"/>
      <c r="H5" s="3">
        <v>2</v>
      </c>
      <c r="I5" s="3" t="str">
        <f>IF(ISERROR(INDEX($B$3:$B$155,MATCH($H5,$E$3:$E$155,0),)),INDEX($B$3:$B$155,SMALL(IF($E$3:$E$155=$H4,ROW($1:$155)),ROW(#REF!))),INDEX($B$3:$B$155,MATCH($H5,$E$3:$E$155,0),))</f>
        <v>优博讯</v>
      </c>
      <c r="J5" s="13">
        <f>IF(ISERROR(INDEX($D$3:$D$155,MATCH($H5,$E$3:$E$155,0),)),INDEX($D$3:$D$155,SMALL(IF($E$3:$E$155=$H4,ROW($1:$155)),ROW(#REF!))),INDEX($D$3:$D$155,MATCH($H5,$E$3:$E$155,0),))</f>
        <v>14.170000000000002</v>
      </c>
      <c r="K5" s="3" t="str">
        <f>IF(ISERROR(INDEX($B$3:$B$155,MATCH($H5,$F$3:$F$155,0),)),INDEX($B$3:$B$155,SMALL(IF($F$3:$F$155=$H4,ROW($2:$155)),ROW(#REF!))),INDEX($B$3:$B$155,MATCH($H5,$F$3:$F$155,0),))</f>
        <v>华讯方舟</v>
      </c>
      <c r="L5" s="13">
        <f>IF(ISERROR(INDEX($D$3:$D$155,MATCH($H5,$F$3:$F$155,0),)),INDEX($D$3:$D$155,SMALL(IF($F$3:$F$155=$H4,ROW($4:$155)),ROW(#REF!))),INDEX($D$3:$D$155,MATCH($H5,$F$3:$F$155,0),))</f>
        <v>-3.93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</row>
    <row r="6" spans="1:101" x14ac:dyDescent="0.3">
      <c r="A6" s="6" t="s">
        <v>40</v>
      </c>
      <c r="B6" s="6" t="s">
        <v>41</v>
      </c>
      <c r="C6" s="9">
        <f>RTD("wdf.rtq",,"000586.SZ","rt_last","RT_Price")</f>
        <v>9.4</v>
      </c>
      <c r="D6" s="9">
        <f>RTD("wdf.rtq",,"000586.SZ","rt_pct_chg","RT_Price")</f>
        <v>4.5600000000000005</v>
      </c>
      <c r="E6" s="10">
        <f>RANK(D6,$D$3:$D$156,0)</f>
        <v>69</v>
      </c>
      <c r="F6" s="10">
        <f>RANK(D6,$D$3:$D$156,1)</f>
        <v>86</v>
      </c>
      <c r="G6" s="6"/>
      <c r="H6" s="3">
        <v>3</v>
      </c>
      <c r="I6" s="3" t="str">
        <f>IF(ISERROR(INDEX($B$3:$B$155,MATCH($H6,$E$3:$E$155,0),)),INDEX($B$3:$B$155,SMALL(IF($E$3:$E$155=$H5,ROW($1:$155)),ROW(#REF!))),INDEX($B$3:$B$155,MATCH($H6,$E$3:$E$155,0),))</f>
        <v>天孚通信</v>
      </c>
      <c r="J6" s="13">
        <f>IF(ISERROR(INDEX($D$3:$D$155,MATCH($H6,$E$3:$E$155,0),)),INDEX($D$3:$D$155,SMALL(IF($E$3:$E$155=$H5,ROW($1:$155)),ROW(#REF!))),INDEX($D$3:$D$155,MATCH($H6,$E$3:$E$155,0),))</f>
        <v>13.140000000000002</v>
      </c>
      <c r="K6" s="3" t="str">
        <f>IF(ISERROR(INDEX($B$3:$B$155,MATCH($H6,$F$3:$F$155,0),)),INDEX($B$3:$B$155,SMALL(IF($F$3:$F$155=$H5,ROW($2:$155)),ROW(#REF!))),INDEX($B$3:$B$155,MATCH($H6,$F$3:$F$155,0),))</f>
        <v>实达集团</v>
      </c>
      <c r="L6" s="13">
        <f>IF(ISERROR(INDEX($D$3:$D$155,MATCH($H6,$F$3:$F$155,0),)),INDEX($D$3:$D$155,SMALL(IF($F$3:$F$155=$H5,ROW($4:$155)),ROW(#REF!))),INDEX($D$3:$D$155,MATCH($H6,$F$3:$F$155,0),))</f>
        <v>-1.9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</row>
    <row r="7" spans="1:101" x14ac:dyDescent="0.3">
      <c r="A7" s="6" t="s">
        <v>42</v>
      </c>
      <c r="B7" s="6" t="s">
        <v>43</v>
      </c>
      <c r="C7" s="9">
        <f>RTD("wdf.rtq",,"000687.SZ","rt_last","RT_Price")</f>
        <v>1.71</v>
      </c>
      <c r="D7" s="9">
        <f>RTD("wdf.rtq",,"000687.SZ","rt_pct_chg","RT_Price")</f>
        <v>-3.93</v>
      </c>
      <c r="E7" s="10">
        <f>RANK(D7,$D$3:$D$156,0)</f>
        <v>153</v>
      </c>
      <c r="F7" s="10">
        <f>RANK(D7,$D$3:$D$156,1)</f>
        <v>2</v>
      </c>
      <c r="G7" s="6"/>
      <c r="H7" s="3">
        <v>4</v>
      </c>
      <c r="I7" s="3" t="str">
        <f>IF(ISERROR(INDEX($B$3:$B$155,MATCH($H7,$E$3:$E$155,0),)),INDEX($B$3:$B$155,SMALL(IF($E$3:$E$155=$H6,ROW($1:$155)),ROW(#REF!))),INDEX($B$3:$B$155,MATCH($H7,$E$3:$E$155,0),))</f>
        <v>奥飞数据</v>
      </c>
      <c r="J7" s="13">
        <f>IF(ISERROR(INDEX($D$3:$D$155,MATCH($H7,$E$3:$E$155,0),)),INDEX($D$3:$D$155,SMALL(IF($E$3:$E$155=$H6,ROW($1:$155)),ROW(#REF!))),INDEX($D$3:$D$155,MATCH($H7,$E$3:$E$155,0),))</f>
        <v>11.63</v>
      </c>
      <c r="K7" s="3" t="str">
        <f>IF(ISERROR(INDEX($B$3:$B$155,MATCH($H7,$F$3:$F$155,0),)),INDEX($B$3:$B$155,SMALL(IF($F$3:$F$155=$H6,ROW($2:$155)),ROW(#REF!))),INDEX($B$3:$B$155,MATCH($H7,$F$3:$F$155,0),))</f>
        <v>*ST新海</v>
      </c>
      <c r="L7" s="13">
        <f>IF(ISERROR(INDEX($D$3:$D$155,MATCH($H7,$F$3:$F$155,0),)),INDEX($D$3:$D$155,SMALL(IF($F$3:$F$155=$H6,ROW($4:$155)),ROW(#REF!))),INDEX($D$3:$D$155,MATCH($H7,$F$3:$F$155,0),))</f>
        <v>-1.79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</row>
    <row r="8" spans="1:101" x14ac:dyDescent="0.3">
      <c r="A8" s="6" t="s">
        <v>44</v>
      </c>
      <c r="B8" s="6" t="s">
        <v>45</v>
      </c>
      <c r="C8" s="9">
        <f>RTD("wdf.rtq",,"000815.SZ","rt_last","RT_Price")</f>
        <v>6.98</v>
      </c>
      <c r="D8" s="9">
        <f>RTD("wdf.rtq",,"000815.SZ","rt_pct_chg","RT_Price")</f>
        <v>6.4</v>
      </c>
      <c r="E8" s="10">
        <f>RANK(D8,$D$3:$D$156,0)</f>
        <v>36</v>
      </c>
      <c r="F8" s="10">
        <f>RANK(D8,$D$3:$D$156,1)</f>
        <v>119</v>
      </c>
      <c r="G8" s="6"/>
      <c r="H8" s="11">
        <v>5</v>
      </c>
      <c r="I8" s="14" t="str">
        <f>IF(ISERROR(INDEX($B$3:$B$155,MATCH($H8,$E$3:$E$155,0),)),INDEX($B$3:$B$155,SMALL(IF($E$3:$E$155=$H7,ROW($1:$155)),ROW(#REF!))),INDEX($B$3:$B$155,MATCH($H8,$E$3:$E$155,0),))</f>
        <v>光库科技</v>
      </c>
      <c r="J8" s="15">
        <f>IF(ISERROR(INDEX($D$3:$D$155,MATCH($H8,$E$3:$E$155,0),)),INDEX($D$3:$D$155,SMALL(IF($E$3:$E$155=$H7,ROW($1:$155)),ROW(#REF!))),INDEX($D$3:$D$155,MATCH($H8,$E$3:$E$155,0),))</f>
        <v>11.47</v>
      </c>
      <c r="K8" s="14" t="str">
        <f>IF(ISERROR(INDEX($B$3:$B$155,MATCH($H8,$F$3:$F$155,0),)),INDEX($B$3:$B$155,SMALL(IF($F$3:$F$155=$H7,ROW($2:$155)),ROW(#REF!))),INDEX($B$3:$B$155,MATCH($H8,$F$3:$F$155,0),))</f>
        <v>星网宇达</v>
      </c>
      <c r="L8" s="15">
        <f>IF(ISERROR(INDEX($D$3:$D$155,MATCH($H8,$F$3:$F$155,0),)),INDEX($D$3:$D$155,SMALL(IF($F$3:$F$155=$H7,ROW($4:$155)),ROW(#REF!))),INDEX($D$3:$D$155,MATCH($H8,$F$3:$F$155,0),))</f>
        <v>-0.82000000000000006</v>
      </c>
    </row>
    <row r="9" spans="1:101" x14ac:dyDescent="0.3">
      <c r="A9" s="6" t="s">
        <v>46</v>
      </c>
      <c r="B9" s="6" t="s">
        <v>47</v>
      </c>
      <c r="C9" s="9">
        <f>RTD("wdf.rtq",,"000836.SZ","rt_last","RT_Price")</f>
        <v>3.61</v>
      </c>
      <c r="D9" s="9">
        <f>RTD("wdf.rtq",,"000836.SZ","rt_pct_chg","RT_Price")</f>
        <v>10.06</v>
      </c>
      <c r="E9" s="10">
        <f>RANK(D9,$D$3:$D$156,0)</f>
        <v>8</v>
      </c>
      <c r="F9" s="10">
        <f>RANK(D9,$D$3:$D$156,1)</f>
        <v>146</v>
      </c>
      <c r="G9" s="6"/>
      <c r="H9" s="6"/>
      <c r="K9" s="16"/>
      <c r="L9" s="17"/>
    </row>
    <row r="10" spans="1:101" x14ac:dyDescent="0.3">
      <c r="A10" s="6" t="s">
        <v>48</v>
      </c>
      <c r="B10" s="6" t="s">
        <v>49</v>
      </c>
      <c r="C10" s="9">
        <f>RTD("wdf.rtq",,"000851.SZ","rt_last","RT_Price")</f>
        <v>5.84</v>
      </c>
      <c r="D10" s="9">
        <f>RTD("wdf.rtq",,"000851.SZ","rt_pct_chg","RT_Price")</f>
        <v>3.5500000000000003</v>
      </c>
      <c r="E10" s="10">
        <f>RANK(D10,$D$3:$D$156,0)</f>
        <v>100</v>
      </c>
      <c r="F10" s="10">
        <f>RANK(D10,$D$3:$D$156,1)</f>
        <v>55</v>
      </c>
      <c r="G10" s="6"/>
      <c r="H10" s="6"/>
    </row>
    <row r="11" spans="1:101" x14ac:dyDescent="0.3">
      <c r="A11" s="6" t="s">
        <v>50</v>
      </c>
      <c r="B11" s="6" t="s">
        <v>51</v>
      </c>
      <c r="C11" s="9">
        <f>RTD("wdf.rtq",,"000889.SZ","rt_last","RT_Price")</f>
        <v>4.17</v>
      </c>
      <c r="D11" s="9">
        <f>RTD("wdf.rtq",,"000889.SZ","rt_pct_chg","RT_Price")</f>
        <v>10.029999999999999</v>
      </c>
      <c r="E11" s="10">
        <f>RANK(D11,$D$3:$D$156,0)</f>
        <v>10</v>
      </c>
      <c r="F11" s="10">
        <f>RANK(D11,$D$3:$D$156,1)</f>
        <v>145</v>
      </c>
      <c r="G11" s="6"/>
      <c r="H11" s="6"/>
    </row>
    <row r="12" spans="1:101" x14ac:dyDescent="0.3">
      <c r="A12" s="6" t="s">
        <v>52</v>
      </c>
      <c r="B12" s="6" t="s">
        <v>53</v>
      </c>
      <c r="C12" s="9">
        <f>RTD("wdf.rtq",,"000938.SZ","rt_last","RT_Price")</f>
        <v>24.37</v>
      </c>
      <c r="D12" s="9">
        <f>RTD("wdf.rtq",,"000938.SZ","rt_pct_chg","RT_Price")</f>
        <v>8.0200000000000014</v>
      </c>
      <c r="E12" s="10">
        <f>RANK(D12,$D$3:$D$156,0)</f>
        <v>18</v>
      </c>
      <c r="F12" s="10">
        <f>RANK(D12,$D$3:$D$156,1)</f>
        <v>137</v>
      </c>
      <c r="G12" s="6"/>
      <c r="H12" s="6"/>
    </row>
    <row r="13" spans="1:101" x14ac:dyDescent="0.3">
      <c r="A13" s="6" t="s">
        <v>54</v>
      </c>
      <c r="B13" s="6" t="s">
        <v>55</v>
      </c>
      <c r="C13" s="9">
        <f>RTD("wdf.rtq",,"000971.SZ","rt_last","RT_Price")</f>
        <v>2.41</v>
      </c>
      <c r="D13" s="9">
        <f>RTD("wdf.rtq",,"000971.SZ","rt_pct_chg","RT_Price")</f>
        <v>1.6900000000000002</v>
      </c>
      <c r="E13" s="10">
        <f>RANK(D13,$D$3:$D$156,0)</f>
        <v>133</v>
      </c>
      <c r="F13" s="10">
        <f>RANK(D13,$D$3:$D$156,1)</f>
        <v>22</v>
      </c>
      <c r="G13" s="6"/>
      <c r="H13" s="6"/>
    </row>
    <row r="14" spans="1:101" x14ac:dyDescent="0.3">
      <c r="A14" s="6" t="s">
        <v>56</v>
      </c>
      <c r="B14" s="6" t="s">
        <v>57</v>
      </c>
      <c r="C14" s="9">
        <f>RTD("wdf.rtq",,"000988.SZ","rt_last","RT_Price")</f>
        <v>26.44</v>
      </c>
      <c r="D14" s="9">
        <f>RTD("wdf.rtq",,"000988.SZ","rt_pct_chg","RT_Price")</f>
        <v>3.04</v>
      </c>
      <c r="E14" s="10">
        <f>RANK(D14,$D$3:$D$156,0)</f>
        <v>112</v>
      </c>
      <c r="F14" s="10">
        <f>RANK(D14,$D$3:$D$156,1)</f>
        <v>43</v>
      </c>
      <c r="G14" s="6"/>
      <c r="H14" s="6"/>
    </row>
    <row r="15" spans="1:101" x14ac:dyDescent="0.3">
      <c r="A15" s="6" t="s">
        <v>58</v>
      </c>
      <c r="B15" s="6" t="s">
        <v>59</v>
      </c>
      <c r="C15" s="9">
        <f>RTD("wdf.rtq",,"002089.SZ","rt_last","RT_Price")</f>
        <v>2.19</v>
      </c>
      <c r="D15" s="9">
        <f>RTD("wdf.rtq",,"002089.SZ","rt_pct_chg","RT_Price")</f>
        <v>-1.79</v>
      </c>
      <c r="E15" s="10">
        <f>RANK(D15,$D$3:$D$156,0)</f>
        <v>151</v>
      </c>
      <c r="F15" s="10">
        <f>RANK(D15,$D$3:$D$156,1)</f>
        <v>4</v>
      </c>
      <c r="G15" s="6"/>
      <c r="H15" s="6"/>
    </row>
    <row r="16" spans="1:101" x14ac:dyDescent="0.3">
      <c r="A16" s="6" t="s">
        <v>60</v>
      </c>
      <c r="B16" s="6" t="s">
        <v>61</v>
      </c>
      <c r="C16" s="9">
        <f>RTD("wdf.rtq",,"002093.SZ","rt_last","RT_Price")</f>
        <v>6.91</v>
      </c>
      <c r="D16" s="9">
        <f>RTD("wdf.rtq",,"002093.SZ","rt_pct_chg","RT_Price")</f>
        <v>5.34</v>
      </c>
      <c r="E16" s="10">
        <f>RANK(D16,$D$3:$D$156,0)</f>
        <v>47</v>
      </c>
      <c r="F16" s="10">
        <f>RANK(D16,$D$3:$D$156,1)</f>
        <v>108</v>
      </c>
      <c r="G16" s="6"/>
      <c r="H16" s="6"/>
    </row>
    <row r="17" spans="1:8" x14ac:dyDescent="0.3">
      <c r="A17" s="6" t="s">
        <v>62</v>
      </c>
      <c r="B17" s="6" t="s">
        <v>63</v>
      </c>
      <c r="C17" s="9">
        <f>RTD("wdf.rtq",,"002104.SZ","rt_last","RT_Price")</f>
        <v>7.18</v>
      </c>
      <c r="D17" s="9">
        <f>RTD("wdf.rtq",,"002104.SZ","rt_pct_chg","RT_Price")</f>
        <v>5.28</v>
      </c>
      <c r="E17" s="10">
        <f>RANK(D17,$D$3:$D$156,0)</f>
        <v>49</v>
      </c>
      <c r="F17" s="10">
        <f>RANK(D17,$D$3:$D$156,1)</f>
        <v>106</v>
      </c>
      <c r="G17" s="6"/>
      <c r="H17" s="6"/>
    </row>
    <row r="18" spans="1:8" x14ac:dyDescent="0.3">
      <c r="A18" s="6" t="s">
        <v>64</v>
      </c>
      <c r="B18" s="6" t="s">
        <v>65</v>
      </c>
      <c r="C18" s="9">
        <f>RTD("wdf.rtq",,"002115.SZ","rt_last","RT_Price")</f>
        <v>6.3900000000000006</v>
      </c>
      <c r="D18" s="9">
        <f>RTD("wdf.rtq",,"002115.SZ","rt_pct_chg","RT_Price")</f>
        <v>5.62</v>
      </c>
      <c r="E18" s="10">
        <f>RANK(D18,$D$3:$D$156,0)</f>
        <v>43</v>
      </c>
      <c r="F18" s="10">
        <f>RANK(D18,$D$3:$D$156,1)</f>
        <v>112</v>
      </c>
      <c r="G18" s="6"/>
      <c r="H18" s="6"/>
    </row>
    <row r="19" spans="1:8" x14ac:dyDescent="0.3">
      <c r="A19" s="6" t="s">
        <v>66</v>
      </c>
      <c r="B19" s="6" t="s">
        <v>67</v>
      </c>
      <c r="C19" s="9">
        <f>RTD("wdf.rtq",,"002123.SZ","rt_last","RT_Price")</f>
        <v>16.399999999999999</v>
      </c>
      <c r="D19" s="9">
        <f>RTD("wdf.rtq",,"002123.SZ","rt_pct_chg","RT_Price")</f>
        <v>5.1300000000000008</v>
      </c>
      <c r="E19" s="10">
        <f>RANK(D19,$D$3:$D$156,0)</f>
        <v>54</v>
      </c>
      <c r="F19" s="10">
        <f>RANK(D19,$D$3:$D$156,1)</f>
        <v>101</v>
      </c>
      <c r="G19" s="6"/>
      <c r="H19" s="6"/>
    </row>
    <row r="20" spans="1:8" x14ac:dyDescent="0.3">
      <c r="A20" s="6" t="s">
        <v>68</v>
      </c>
      <c r="B20" s="6" t="s">
        <v>69</v>
      </c>
      <c r="C20" s="9">
        <f>RTD("wdf.rtq",,"002139.SZ","rt_last","RT_Price")</f>
        <v>17.059999999999999</v>
      </c>
      <c r="D20" s="9">
        <f>RTD("wdf.rtq",,"002139.SZ","rt_pct_chg","RT_Price")</f>
        <v>7.5</v>
      </c>
      <c r="E20" s="10">
        <f>RANK(D20,$D$3:$D$156,0)</f>
        <v>21</v>
      </c>
      <c r="F20" s="10">
        <f>RANK(D20,$D$3:$D$156,1)</f>
        <v>134</v>
      </c>
      <c r="G20" s="6"/>
      <c r="H20" s="6"/>
    </row>
    <row r="21" spans="1:8" x14ac:dyDescent="0.3">
      <c r="A21" s="6" t="s">
        <v>70</v>
      </c>
      <c r="B21" s="6" t="s">
        <v>71</v>
      </c>
      <c r="C21" s="9">
        <f>RTD("wdf.rtq",,"002148.SZ","rt_last","RT_Price")</f>
        <v>5.66</v>
      </c>
      <c r="D21" s="9">
        <f>RTD("wdf.rtq",,"002148.SZ","rt_pct_chg","RT_Price")</f>
        <v>3.85</v>
      </c>
      <c r="E21" s="10">
        <f>RANK(D21,$D$3:$D$156,0)</f>
        <v>96</v>
      </c>
      <c r="F21" s="10">
        <f>RANK(D21,$D$3:$D$156,1)</f>
        <v>59</v>
      </c>
      <c r="G21" s="6"/>
      <c r="H21" s="6"/>
    </row>
    <row r="22" spans="1:8" x14ac:dyDescent="0.3">
      <c r="A22" s="6" t="s">
        <v>72</v>
      </c>
      <c r="B22" s="6" t="s">
        <v>73</v>
      </c>
      <c r="C22" s="9">
        <f>RTD("wdf.rtq",,"002151.SZ","rt_last","RT_Price")</f>
        <v>38.369999999999997</v>
      </c>
      <c r="D22" s="9">
        <f>RTD("wdf.rtq",,"002151.SZ","rt_pct_chg","RT_Price")</f>
        <v>1.35</v>
      </c>
      <c r="E22" s="10">
        <f>RANK(D22,$D$3:$D$156,0)</f>
        <v>136</v>
      </c>
      <c r="F22" s="10">
        <f>RANK(D22,$D$3:$D$156,1)</f>
        <v>18</v>
      </c>
      <c r="G22" s="6"/>
      <c r="H22" s="6"/>
    </row>
    <row r="23" spans="1:8" x14ac:dyDescent="0.3">
      <c r="A23" s="6" t="s">
        <v>74</v>
      </c>
      <c r="B23" s="6" t="s">
        <v>75</v>
      </c>
      <c r="C23" s="9">
        <f>RTD("wdf.rtq",,"002161.SZ","rt_last","RT_Price")</f>
        <v>5.53</v>
      </c>
      <c r="D23" s="9">
        <f>RTD("wdf.rtq",,"002161.SZ","rt_pct_chg","RT_Price")</f>
        <v>9.94</v>
      </c>
      <c r="E23" s="10">
        <f>RANK(D23,$D$3:$D$156,0)</f>
        <v>14</v>
      </c>
      <c r="F23" s="10">
        <f>RANK(D23,$D$3:$D$156,1)</f>
        <v>141</v>
      </c>
      <c r="G23" s="6"/>
      <c r="H23" s="6"/>
    </row>
    <row r="24" spans="1:8" x14ac:dyDescent="0.3">
      <c r="A24" s="6" t="s">
        <v>76</v>
      </c>
      <c r="B24" s="6" t="s">
        <v>77</v>
      </c>
      <c r="C24" s="9">
        <f>RTD("wdf.rtq",,"002194.SZ","rt_last","RT_Price")</f>
        <v>10.950000000000001</v>
      </c>
      <c r="D24" s="9">
        <f>RTD("wdf.rtq",,"002194.SZ","rt_pct_chg","RT_Price")</f>
        <v>4.4799999999999995</v>
      </c>
      <c r="E24" s="10">
        <f>RANK(D24,$D$3:$D$156,0)</f>
        <v>74</v>
      </c>
      <c r="F24" s="10">
        <f>RANK(D24,$D$3:$D$156,1)</f>
        <v>81</v>
      </c>
      <c r="G24" s="6"/>
      <c r="H24" s="6"/>
    </row>
    <row r="25" spans="1:8" x14ac:dyDescent="0.3">
      <c r="A25" s="6" t="s">
        <v>78</v>
      </c>
      <c r="B25" s="6" t="s">
        <v>79</v>
      </c>
      <c r="C25" s="9">
        <f>RTD("wdf.rtq",,"002231.SZ","rt_last","RT_Price")</f>
        <v>6.15</v>
      </c>
      <c r="D25" s="9">
        <f>RTD("wdf.rtq",,"002231.SZ","rt_pct_chg","RT_Price")</f>
        <v>3.1900000000000004</v>
      </c>
      <c r="E25" s="10">
        <f>RANK(D25,$D$3:$D$156,0)</f>
        <v>109</v>
      </c>
      <c r="F25" s="10">
        <f>RANK(D25,$D$3:$D$156,1)</f>
        <v>46</v>
      </c>
      <c r="G25" s="6"/>
      <c r="H25" s="6"/>
    </row>
    <row r="26" spans="1:8" x14ac:dyDescent="0.3">
      <c r="A26" s="6" t="s">
        <v>80</v>
      </c>
      <c r="B26" s="6" t="s">
        <v>81</v>
      </c>
      <c r="C26" s="9">
        <f>RTD("wdf.rtq",,"002281.SZ","rt_last","RT_Price")</f>
        <v>23.41</v>
      </c>
      <c r="D26" s="9">
        <f>RTD("wdf.rtq",,"002281.SZ","rt_pct_chg","RT_Price")</f>
        <v>4.9800000000000004</v>
      </c>
      <c r="E26" s="10">
        <f>RANK(D26,$D$3:$D$156,0)</f>
        <v>57</v>
      </c>
      <c r="F26" s="10">
        <f>RANK(D26,$D$3:$D$156,1)</f>
        <v>98</v>
      </c>
      <c r="G26" s="6"/>
      <c r="H26" s="6"/>
    </row>
    <row r="27" spans="1:8" x14ac:dyDescent="0.3">
      <c r="A27" s="6" t="s">
        <v>82</v>
      </c>
      <c r="B27" s="6" t="s">
        <v>83</v>
      </c>
      <c r="C27" s="9">
        <f>RTD("wdf.rtq",,"002296.SZ","rt_last","RT_Price")</f>
        <v>7.68</v>
      </c>
      <c r="D27" s="9">
        <f>RTD("wdf.rtq",,"002296.SZ","rt_pct_chg","RT_Price")</f>
        <v>2.81</v>
      </c>
      <c r="E27" s="10">
        <f>RANK(D27,$D$3:$D$156,0)</f>
        <v>117</v>
      </c>
      <c r="F27" s="10">
        <f>RANK(D27,$D$3:$D$156,1)</f>
        <v>37</v>
      </c>
      <c r="G27" s="6"/>
      <c r="H27" s="6"/>
    </row>
    <row r="28" spans="1:8" x14ac:dyDescent="0.3">
      <c r="A28" s="6" t="s">
        <v>84</v>
      </c>
      <c r="B28" s="6" t="s">
        <v>85</v>
      </c>
      <c r="C28" s="9">
        <f>RTD("wdf.rtq",,"002301.SZ","rt_last","RT_Price")</f>
        <v>8.620000000000001</v>
      </c>
      <c r="D28" s="9">
        <f>RTD("wdf.rtq",,"002301.SZ","rt_pct_chg","RT_Price")</f>
        <v>4.2300000000000004</v>
      </c>
      <c r="E28" s="10">
        <f>RANK(D28,$D$3:$D$156,0)</f>
        <v>77</v>
      </c>
      <c r="F28" s="10">
        <f>RANK(D28,$D$3:$D$156,1)</f>
        <v>78</v>
      </c>
      <c r="G28" s="6"/>
      <c r="H28" s="6"/>
    </row>
    <row r="29" spans="1:8" x14ac:dyDescent="0.3">
      <c r="A29" s="6" t="s">
        <v>86</v>
      </c>
      <c r="B29" s="6" t="s">
        <v>87</v>
      </c>
      <c r="C29" s="9">
        <f>RTD("wdf.rtq",,"002309.SZ","rt_last","RT_Price")</f>
        <v>7.07</v>
      </c>
      <c r="D29" s="9">
        <f>RTD("wdf.rtq",,"002309.SZ","rt_pct_chg","RT_Price")</f>
        <v>0.43</v>
      </c>
      <c r="E29" s="10">
        <f>RANK(D29,$D$3:$D$156,0)</f>
        <v>143</v>
      </c>
      <c r="F29" s="10">
        <f>RANK(D29,$D$3:$D$156,1)</f>
        <v>12</v>
      </c>
      <c r="G29" s="6"/>
      <c r="H29" s="6"/>
    </row>
    <row r="30" spans="1:8" x14ac:dyDescent="0.3">
      <c r="A30" s="6" t="s">
        <v>88</v>
      </c>
      <c r="B30" s="6" t="s">
        <v>89</v>
      </c>
      <c r="C30" s="9">
        <f>RTD("wdf.rtq",,"002313.SZ","rt_last","RT_Price")</f>
        <v>12.040000000000001</v>
      </c>
      <c r="D30" s="9">
        <f>RTD("wdf.rtq",,"002313.SZ","rt_pct_chg","RT_Price")</f>
        <v>3.9699999999999998</v>
      </c>
      <c r="E30" s="10">
        <f>RANK(D30,$D$3:$D$156,0)</f>
        <v>86</v>
      </c>
      <c r="F30" s="10">
        <f>RANK(D30,$D$3:$D$156,1)</f>
        <v>68</v>
      </c>
      <c r="G30" s="6"/>
      <c r="H30" s="6"/>
    </row>
    <row r="31" spans="1:8" x14ac:dyDescent="0.3">
      <c r="A31" s="6" t="s">
        <v>90</v>
      </c>
      <c r="B31" s="6" t="s">
        <v>91</v>
      </c>
      <c r="C31" s="9">
        <f>RTD("wdf.rtq",,"002316.SZ","rt_last","RT_Price")</f>
        <v>6.29</v>
      </c>
      <c r="D31" s="9">
        <f>RTD("wdf.rtq",,"002316.SZ","rt_pct_chg","RT_Price")</f>
        <v>3.9699999999999998</v>
      </c>
      <c r="E31" s="10">
        <f>RANK(D31,$D$3:$D$156,0)</f>
        <v>86</v>
      </c>
      <c r="F31" s="10">
        <f>RANK(D31,$D$3:$D$156,1)</f>
        <v>68</v>
      </c>
      <c r="G31" s="6"/>
      <c r="H31" s="6"/>
    </row>
    <row r="32" spans="1:8" x14ac:dyDescent="0.3">
      <c r="A32" s="6" t="s">
        <v>92</v>
      </c>
      <c r="B32" s="6" t="s">
        <v>93</v>
      </c>
      <c r="C32" s="9">
        <f>RTD("wdf.rtq",,"002335.SZ","rt_last","RT_Price")</f>
        <v>33.33</v>
      </c>
      <c r="D32" s="9">
        <f>RTD("wdf.rtq",,"002335.SZ","rt_pct_chg","RT_Price")</f>
        <v>4.16</v>
      </c>
      <c r="E32" s="10">
        <f>RANK(D32,$D$3:$D$156,0)</f>
        <v>79</v>
      </c>
      <c r="F32" s="10">
        <f>RANK(D32,$D$3:$D$156,1)</f>
        <v>74</v>
      </c>
      <c r="G32" s="6"/>
      <c r="H32" s="6"/>
    </row>
    <row r="33" spans="1:8" x14ac:dyDescent="0.3">
      <c r="A33" s="6" t="s">
        <v>94</v>
      </c>
      <c r="B33" s="6" t="s">
        <v>95</v>
      </c>
      <c r="C33" s="9">
        <f>RTD("wdf.rtq",,"002359.SZ","rt_last","RT_Price")</f>
        <v>0</v>
      </c>
      <c r="D33" s="9">
        <f>RTD("wdf.rtq",,"002359.SZ","rt_pct_chg","RT_Price")</f>
        <v>0</v>
      </c>
      <c r="E33" s="10">
        <f>RANK(D33,$D$3:$D$156,0)</f>
        <v>146</v>
      </c>
      <c r="F33" s="10">
        <f>RANK(D33,$D$3:$D$156,1)</f>
        <v>8</v>
      </c>
      <c r="G33" s="6"/>
      <c r="H33" s="6"/>
    </row>
    <row r="34" spans="1:8" x14ac:dyDescent="0.3">
      <c r="A34" s="6" t="s">
        <v>96</v>
      </c>
      <c r="B34" s="6" t="s">
        <v>97</v>
      </c>
      <c r="C34" s="9">
        <f>RTD("wdf.rtq",,"002383.SZ","rt_last","RT_Price")</f>
        <v>7.37</v>
      </c>
      <c r="D34" s="9">
        <f>RTD("wdf.rtq",,"002383.SZ","rt_pct_chg","RT_Price")</f>
        <v>5.29</v>
      </c>
      <c r="E34" s="10">
        <f>RANK(D34,$D$3:$D$156,0)</f>
        <v>48</v>
      </c>
      <c r="F34" s="10">
        <f>RANK(D34,$D$3:$D$156,1)</f>
        <v>107</v>
      </c>
      <c r="G34" s="6"/>
      <c r="H34" s="6"/>
    </row>
    <row r="35" spans="1:8" x14ac:dyDescent="0.3">
      <c r="A35" s="6" t="s">
        <v>98</v>
      </c>
      <c r="B35" s="6" t="s">
        <v>99</v>
      </c>
      <c r="C35" s="9">
        <f>RTD("wdf.rtq",,"002396.SZ","rt_last","RT_Price")</f>
        <v>25.64</v>
      </c>
      <c r="D35" s="9">
        <f>RTD("wdf.rtq",,"002396.SZ","rt_pct_chg","RT_Price")</f>
        <v>6.660000000000001</v>
      </c>
      <c r="E35" s="10">
        <f>RANK(D35,$D$3:$D$156,0)</f>
        <v>33</v>
      </c>
      <c r="F35" s="10">
        <f>RANK(D35,$D$3:$D$156,1)</f>
        <v>122</v>
      </c>
      <c r="G35" s="6"/>
      <c r="H35" s="6"/>
    </row>
    <row r="36" spans="1:8" x14ac:dyDescent="0.3">
      <c r="A36" s="6" t="s">
        <v>100</v>
      </c>
      <c r="B36" s="6" t="s">
        <v>101</v>
      </c>
      <c r="C36" s="9">
        <f>RTD("wdf.rtq",,"002402.SZ","rt_last","RT_Price")</f>
        <v>27.310000000000002</v>
      </c>
      <c r="D36" s="9">
        <f>RTD("wdf.rtq",,"002402.SZ","rt_pct_chg","RT_Price")</f>
        <v>4.16</v>
      </c>
      <c r="E36" s="10">
        <f>RANK(D36,$D$3:$D$156,0)</f>
        <v>79</v>
      </c>
      <c r="F36" s="10">
        <f>RANK(D36,$D$3:$D$156,1)</f>
        <v>74</v>
      </c>
      <c r="G36" s="6"/>
      <c r="H36" s="6"/>
    </row>
    <row r="37" spans="1:8" x14ac:dyDescent="0.3">
      <c r="A37" s="6" t="s">
        <v>102</v>
      </c>
      <c r="B37" s="6" t="s">
        <v>103</v>
      </c>
      <c r="C37" s="9">
        <f>RTD("wdf.rtq",,"002416.SZ","rt_last","RT_Price")</f>
        <v>11.21</v>
      </c>
      <c r="D37" s="9">
        <f>RTD("wdf.rtq",,"002416.SZ","rt_pct_chg","RT_Price")</f>
        <v>0.18000000000000002</v>
      </c>
      <c r="E37" s="10">
        <f>RANK(D37,$D$3:$D$156,0)</f>
        <v>145</v>
      </c>
      <c r="F37" s="10">
        <f>RANK(D37,$D$3:$D$156,1)</f>
        <v>10</v>
      </c>
      <c r="G37" s="6"/>
      <c r="H37" s="6"/>
    </row>
    <row r="38" spans="1:8" x14ac:dyDescent="0.3">
      <c r="A38" s="6" t="s">
        <v>104</v>
      </c>
      <c r="B38" s="6" t="s">
        <v>105</v>
      </c>
      <c r="C38" s="9">
        <f>RTD("wdf.rtq",,"002417.SZ","rt_last","RT_Price")</f>
        <v>5.74</v>
      </c>
      <c r="D38" s="9">
        <f>RTD("wdf.rtq",,"002417.SZ","rt_pct_chg","RT_Price")</f>
        <v>9.9600000000000009</v>
      </c>
      <c r="E38" s="10">
        <f>RANK(D38,$D$3:$D$156,0)</f>
        <v>13</v>
      </c>
      <c r="F38" s="10">
        <f>RANK(D38,$D$3:$D$156,1)</f>
        <v>142</v>
      </c>
      <c r="G38" s="6"/>
      <c r="H38" s="6"/>
    </row>
    <row r="39" spans="1:8" x14ac:dyDescent="0.3">
      <c r="A39" s="6" t="s">
        <v>106</v>
      </c>
      <c r="B39" s="6" t="s">
        <v>107</v>
      </c>
      <c r="C39" s="9">
        <f>RTD("wdf.rtq",,"002446.SZ","rt_last","RT_Price")</f>
        <v>6.17</v>
      </c>
      <c r="D39" s="9">
        <f>RTD("wdf.rtq",,"002446.SZ","rt_pct_chg","RT_Price")</f>
        <v>3.7000000000000006</v>
      </c>
      <c r="E39" s="10">
        <f>RANK(D39,$D$3:$D$156,0)</f>
        <v>97</v>
      </c>
      <c r="F39" s="10">
        <f>RANK(D39,$D$3:$D$156,1)</f>
        <v>58</v>
      </c>
      <c r="G39" s="6"/>
      <c r="H39" s="6"/>
    </row>
    <row r="40" spans="1:8" x14ac:dyDescent="0.3">
      <c r="A40" s="6" t="s">
        <v>108</v>
      </c>
      <c r="B40" s="6" t="s">
        <v>109</v>
      </c>
      <c r="C40" s="9">
        <f>RTD("wdf.rtq",,"002465.SZ","rt_last","RT_Price")</f>
        <v>10.25</v>
      </c>
      <c r="D40" s="9">
        <f>RTD("wdf.rtq",,"002465.SZ","rt_pct_chg","RT_Price")</f>
        <v>2.4</v>
      </c>
      <c r="E40" s="10">
        <f>RANK(D40,$D$3:$D$156,0)</f>
        <v>125</v>
      </c>
      <c r="F40" s="10">
        <f>RANK(D40,$D$3:$D$156,1)</f>
        <v>30</v>
      </c>
      <c r="G40" s="6"/>
      <c r="H40" s="6"/>
    </row>
    <row r="41" spans="1:8" x14ac:dyDescent="0.3">
      <c r="A41" s="6" t="s">
        <v>110</v>
      </c>
      <c r="B41" s="6" t="s">
        <v>111</v>
      </c>
      <c r="C41" s="9">
        <f>RTD("wdf.rtq",,"002467.SZ","rt_last","RT_Price")</f>
        <v>4.97</v>
      </c>
      <c r="D41" s="9">
        <f>RTD("wdf.rtq",,"002467.SZ","rt_pct_chg","RT_Price")</f>
        <v>5.5200000000000005</v>
      </c>
      <c r="E41" s="10">
        <f>RANK(D41,$D$3:$D$156,0)</f>
        <v>44</v>
      </c>
      <c r="F41" s="10">
        <f>RANK(D41,$D$3:$D$156,1)</f>
        <v>111</v>
      </c>
      <c r="G41" s="6"/>
      <c r="H41" s="6"/>
    </row>
    <row r="42" spans="1:8" x14ac:dyDescent="0.3">
      <c r="A42" s="6" t="s">
        <v>112</v>
      </c>
      <c r="B42" s="6" t="s">
        <v>113</v>
      </c>
      <c r="C42" s="9">
        <f>RTD("wdf.rtq",,"002491.SZ","rt_last","RT_Price")</f>
        <v>5.26</v>
      </c>
      <c r="D42" s="9">
        <f>RTD("wdf.rtq",,"002491.SZ","rt_pct_chg","RT_Price")</f>
        <v>3.54</v>
      </c>
      <c r="E42" s="10">
        <f>RANK(D42,$D$3:$D$156,0)</f>
        <v>101</v>
      </c>
      <c r="F42" s="10">
        <f>RANK(D42,$D$3:$D$156,1)</f>
        <v>53</v>
      </c>
      <c r="G42" s="6"/>
      <c r="H42" s="6"/>
    </row>
    <row r="43" spans="1:8" x14ac:dyDescent="0.3">
      <c r="A43" s="6" t="s">
        <v>114</v>
      </c>
      <c r="B43" s="6" t="s">
        <v>115</v>
      </c>
      <c r="C43" s="9">
        <f>RTD("wdf.rtq",,"002518.SZ","rt_last","RT_Price")</f>
        <v>24.42</v>
      </c>
      <c r="D43" s="9">
        <f>RTD("wdf.rtq",,"002518.SZ","rt_pct_chg","RT_Price")</f>
        <v>3.9600000000000004</v>
      </c>
      <c r="E43" s="10">
        <f>RANK(D43,$D$3:$D$156,0)</f>
        <v>88</v>
      </c>
      <c r="F43" s="10">
        <f>RANK(D43,$D$3:$D$156,1)</f>
        <v>67</v>
      </c>
      <c r="G43" s="6"/>
      <c r="H43" s="6"/>
    </row>
    <row r="44" spans="1:8" x14ac:dyDescent="0.3">
      <c r="A44" s="6" t="s">
        <v>116</v>
      </c>
      <c r="B44" s="6" t="s">
        <v>117</v>
      </c>
      <c r="C44" s="9">
        <f>RTD("wdf.rtq",,"002519.SZ","rt_last","RT_Price")</f>
        <v>4.45</v>
      </c>
      <c r="D44" s="9">
        <f>RTD("wdf.rtq",,"002519.SZ","rt_pct_chg","RT_Price")</f>
        <v>1.1400000000000001</v>
      </c>
      <c r="E44" s="10">
        <f>RANK(D44,$D$3:$D$156,0)</f>
        <v>139</v>
      </c>
      <c r="F44" s="10">
        <f>RANK(D44,$D$3:$D$156,1)</f>
        <v>16</v>
      </c>
      <c r="G44" s="6"/>
      <c r="H44" s="6"/>
    </row>
    <row r="45" spans="1:8" x14ac:dyDescent="0.3">
      <c r="A45" s="6" t="s">
        <v>118</v>
      </c>
      <c r="B45" s="6" t="s">
        <v>119</v>
      </c>
      <c r="C45" s="9">
        <f>RTD("wdf.rtq",,"002544.SZ","rt_last","RT_Price")</f>
        <v>22.400000000000002</v>
      </c>
      <c r="D45" s="9">
        <f>RTD("wdf.rtq",,"002544.SZ","rt_pct_chg","RT_Price")</f>
        <v>6.87</v>
      </c>
      <c r="E45" s="10">
        <f>RANK(D45,$D$3:$D$156,0)</f>
        <v>27</v>
      </c>
      <c r="F45" s="10">
        <f>RANK(D45,$D$3:$D$156,1)</f>
        <v>128</v>
      </c>
      <c r="G45" s="6"/>
      <c r="H45" s="6"/>
    </row>
    <row r="46" spans="1:8" x14ac:dyDescent="0.3">
      <c r="A46" s="6" t="s">
        <v>120</v>
      </c>
      <c r="B46" s="6" t="s">
        <v>121</v>
      </c>
      <c r="C46" s="9">
        <f>RTD("wdf.rtq",,"002547.SZ","rt_last","RT_Price")</f>
        <v>4.8100000000000005</v>
      </c>
      <c r="D46" s="9">
        <f>RTD("wdf.rtq",,"002547.SZ","rt_pct_chg","RT_Price")</f>
        <v>1.9100000000000001</v>
      </c>
      <c r="E46" s="10">
        <f>RANK(D46,$D$3:$D$156,0)</f>
        <v>131</v>
      </c>
      <c r="F46" s="10">
        <f>RANK(D46,$D$3:$D$156,1)</f>
        <v>24</v>
      </c>
      <c r="G46" s="6"/>
      <c r="H46" s="6"/>
    </row>
    <row r="47" spans="1:8" x14ac:dyDescent="0.3">
      <c r="A47" s="6" t="s">
        <v>122</v>
      </c>
      <c r="B47" s="6" t="s">
        <v>123</v>
      </c>
      <c r="C47" s="9">
        <f>RTD("wdf.rtq",,"002583.SZ","rt_last","RT_Price")</f>
        <v>5.5600000000000005</v>
      </c>
      <c r="D47" s="9">
        <f>RTD("wdf.rtq",,"002583.SZ","rt_pct_chg","RT_Price")</f>
        <v>3.54</v>
      </c>
      <c r="E47" s="10">
        <f>RANK(D47,$D$3:$D$156,0)</f>
        <v>101</v>
      </c>
      <c r="F47" s="10">
        <f>RANK(D47,$D$3:$D$156,1)</f>
        <v>53</v>
      </c>
      <c r="G47" s="6"/>
      <c r="H47" s="6"/>
    </row>
    <row r="48" spans="1:8" x14ac:dyDescent="0.3">
      <c r="A48" s="6" t="s">
        <v>124</v>
      </c>
      <c r="B48" s="6" t="s">
        <v>125</v>
      </c>
      <c r="C48" s="9">
        <f>RTD("wdf.rtq",,"002771.SZ","rt_last","RT_Price")</f>
        <v>10.790000000000001</v>
      </c>
      <c r="D48" s="9">
        <f>RTD("wdf.rtq",,"002771.SZ","rt_pct_chg","RT_Price")</f>
        <v>5.37</v>
      </c>
      <c r="E48" s="10">
        <f>RANK(D48,$D$3:$D$156,0)</f>
        <v>46</v>
      </c>
      <c r="F48" s="10">
        <f>RANK(D48,$D$3:$D$156,1)</f>
        <v>109</v>
      </c>
      <c r="G48" s="6"/>
      <c r="H48" s="6"/>
    </row>
    <row r="49" spans="1:8" x14ac:dyDescent="0.3">
      <c r="A49" s="6" t="s">
        <v>126</v>
      </c>
      <c r="B49" s="6" t="s">
        <v>127</v>
      </c>
      <c r="C49" s="9">
        <f>RTD("wdf.rtq",,"002792.SZ","rt_last","RT_Price")</f>
        <v>16.490000000000002</v>
      </c>
      <c r="D49" s="9">
        <f>RTD("wdf.rtq",,"002792.SZ","rt_pct_chg","RT_Price")</f>
        <v>3.1300000000000003</v>
      </c>
      <c r="E49" s="10">
        <f>RANK(D49,$D$3:$D$156,0)</f>
        <v>111</v>
      </c>
      <c r="F49" s="10">
        <f>RANK(D49,$D$3:$D$156,1)</f>
        <v>44</v>
      </c>
      <c r="G49" s="6"/>
      <c r="H49" s="6"/>
    </row>
    <row r="50" spans="1:8" x14ac:dyDescent="0.3">
      <c r="A50" s="6" t="s">
        <v>128</v>
      </c>
      <c r="B50" s="6" t="s">
        <v>129</v>
      </c>
      <c r="C50" s="9">
        <f>RTD("wdf.rtq",,"002796.SZ","rt_last","RT_Price")</f>
        <v>8.620000000000001</v>
      </c>
      <c r="D50" s="9">
        <f>RTD("wdf.rtq",,"002796.SZ","rt_pct_chg","RT_Price")</f>
        <v>2.0099999999999998</v>
      </c>
      <c r="E50" s="10">
        <f>RANK(D50,$D$3:$D$156,0)</f>
        <v>130</v>
      </c>
      <c r="F50" s="10">
        <f>RANK(D50,$D$3:$D$156,1)</f>
        <v>25</v>
      </c>
      <c r="G50" s="6"/>
      <c r="H50" s="6"/>
    </row>
    <row r="51" spans="1:8" x14ac:dyDescent="0.3">
      <c r="A51" s="6" t="s">
        <v>130</v>
      </c>
      <c r="B51" s="6" t="s">
        <v>131</v>
      </c>
      <c r="C51" s="9">
        <f>RTD("wdf.rtq",,"002813.SZ","rt_last","RT_Price")</f>
        <v>25.69</v>
      </c>
      <c r="D51" s="9">
        <f>RTD("wdf.rtq",,"002813.SZ","rt_pct_chg","RT_Price")</f>
        <v>3.2100000000000004</v>
      </c>
      <c r="E51" s="10">
        <f>RANK(D51,$D$3:$D$156,0)</f>
        <v>107</v>
      </c>
      <c r="F51" s="10">
        <f>RANK(D51,$D$3:$D$156,1)</f>
        <v>47</v>
      </c>
      <c r="G51" s="6"/>
      <c r="H51" s="6"/>
    </row>
    <row r="52" spans="1:8" x14ac:dyDescent="0.3">
      <c r="A52" s="6" t="s">
        <v>132</v>
      </c>
      <c r="B52" s="6" t="s">
        <v>133</v>
      </c>
      <c r="C52" s="9">
        <f>RTD("wdf.rtq",,"002829.SZ","rt_last","RT_Price")</f>
        <v>41.050000000000004</v>
      </c>
      <c r="D52" s="9">
        <f>RTD("wdf.rtq",,"002829.SZ","rt_pct_chg","RT_Price")</f>
        <v>-0.82000000000000006</v>
      </c>
      <c r="E52" s="10">
        <f>RANK(D52,$D$3:$D$156,0)</f>
        <v>150</v>
      </c>
      <c r="F52" s="10">
        <f>RANK(D52,$D$3:$D$156,1)</f>
        <v>5</v>
      </c>
      <c r="G52" s="6"/>
      <c r="H52" s="6"/>
    </row>
    <row r="53" spans="1:8" x14ac:dyDescent="0.3">
      <c r="A53" s="6" t="s">
        <v>134</v>
      </c>
      <c r="B53" s="6" t="s">
        <v>135</v>
      </c>
      <c r="C53" s="9">
        <f>RTD("wdf.rtq",,"002841.SZ","rt_last","RT_Price")</f>
        <v>77.5</v>
      </c>
      <c r="D53" s="9">
        <f>RTD("wdf.rtq",,"002841.SZ","rt_pct_chg","RT_Price")</f>
        <v>3.2100000000000004</v>
      </c>
      <c r="E53" s="10">
        <f>RANK(D53,$D$3:$D$156,0)</f>
        <v>107</v>
      </c>
      <c r="F53" s="10">
        <f>RANK(D53,$D$3:$D$156,1)</f>
        <v>47</v>
      </c>
      <c r="G53" s="6"/>
      <c r="H53" s="6"/>
    </row>
    <row r="54" spans="1:8" x14ac:dyDescent="0.3">
      <c r="A54" s="6" t="s">
        <v>136</v>
      </c>
      <c r="B54" s="6" t="s">
        <v>137</v>
      </c>
      <c r="C54" s="9">
        <f>RTD("wdf.rtq",,"002848.SZ","rt_last","RT_Price")</f>
        <v>9.3000000000000007</v>
      </c>
      <c r="D54" s="9">
        <f>RTD("wdf.rtq",,"002848.SZ","rt_pct_chg","RT_Price")</f>
        <v>1.86</v>
      </c>
      <c r="E54" s="10">
        <f>RANK(D54,$D$3:$D$156,0)</f>
        <v>132</v>
      </c>
      <c r="F54" s="10">
        <f>RANK(D54,$D$3:$D$156,1)</f>
        <v>23</v>
      </c>
      <c r="G54" s="6"/>
      <c r="H54" s="6"/>
    </row>
    <row r="55" spans="1:8" x14ac:dyDescent="0.3">
      <c r="A55" s="6" t="s">
        <v>138</v>
      </c>
      <c r="B55" s="6" t="s">
        <v>139</v>
      </c>
      <c r="C55" s="9">
        <f>RTD("wdf.rtq",,"002869.SZ","rt_last","RT_Price")</f>
        <v>17.23</v>
      </c>
      <c r="D55" s="9">
        <f>RTD("wdf.rtq",,"002869.SZ","rt_pct_chg","RT_Price")</f>
        <v>3.92</v>
      </c>
      <c r="E55" s="10">
        <f>RANK(D55,$D$3:$D$156,0)</f>
        <v>91</v>
      </c>
      <c r="F55" s="10">
        <f>RANK(D55,$D$3:$D$156,1)</f>
        <v>64</v>
      </c>
      <c r="G55" s="6"/>
      <c r="H55" s="6"/>
    </row>
    <row r="56" spans="1:8" x14ac:dyDescent="0.3">
      <c r="A56" s="6" t="s">
        <v>140</v>
      </c>
      <c r="B56" s="6" t="s">
        <v>141</v>
      </c>
      <c r="C56" s="9">
        <f>RTD("wdf.rtq",,"002881.SZ","rt_last","RT_Price")</f>
        <v>40.800000000000004</v>
      </c>
      <c r="D56" s="9">
        <f>RTD("wdf.rtq",,"002881.SZ","rt_pct_chg","RT_Price")</f>
        <v>6.78</v>
      </c>
      <c r="E56" s="10">
        <f>RANK(D56,$D$3:$D$156,0)</f>
        <v>30</v>
      </c>
      <c r="F56" s="10">
        <f>RANK(D56,$D$3:$D$156,1)</f>
        <v>125</v>
      </c>
      <c r="G56" s="6"/>
      <c r="H56" s="6"/>
    </row>
    <row r="57" spans="1:8" x14ac:dyDescent="0.3">
      <c r="A57" s="6" t="s">
        <v>142</v>
      </c>
      <c r="B57" s="6" t="s">
        <v>143</v>
      </c>
      <c r="C57" s="9">
        <f>RTD("wdf.rtq",,"002897.SZ","rt_last","RT_Price")</f>
        <v>42.88</v>
      </c>
      <c r="D57" s="9">
        <f>RTD("wdf.rtq",,"002897.SZ","rt_pct_chg","RT_Price")</f>
        <v>4.5900000000000007</v>
      </c>
      <c r="E57" s="10">
        <f>RANK(D57,$D$3:$D$156,0)</f>
        <v>66</v>
      </c>
      <c r="F57" s="10">
        <f>RANK(D57,$D$3:$D$156,1)</f>
        <v>89</v>
      </c>
      <c r="G57" s="6"/>
      <c r="H57" s="6"/>
    </row>
    <row r="58" spans="1:8" x14ac:dyDescent="0.3">
      <c r="A58" s="6" t="s">
        <v>144</v>
      </c>
      <c r="B58" s="6" t="s">
        <v>145</v>
      </c>
      <c r="C58" s="9">
        <f>RTD("wdf.rtq",,"002902.SZ","rt_last","RT_Price")</f>
        <v>13.9</v>
      </c>
      <c r="D58" s="9">
        <f>RTD("wdf.rtq",,"002902.SZ","rt_pct_chg","RT_Price")</f>
        <v>2.4300000000000002</v>
      </c>
      <c r="E58" s="10">
        <f>RANK(D58,$D$3:$D$156,0)</f>
        <v>123</v>
      </c>
      <c r="F58" s="10">
        <f>RANK(D58,$D$3:$D$156,1)</f>
        <v>32</v>
      </c>
      <c r="G58" s="6"/>
      <c r="H58" s="6"/>
    </row>
    <row r="59" spans="1:8" x14ac:dyDescent="0.3">
      <c r="A59" s="6" t="s">
        <v>146</v>
      </c>
      <c r="B59" s="6" t="s">
        <v>147</v>
      </c>
      <c r="C59" s="9">
        <f>RTD("wdf.rtq",,"002912.SZ","rt_last","RT_Price")</f>
        <v>35.08</v>
      </c>
      <c r="D59" s="9">
        <f>RTD("wdf.rtq",,"002912.SZ","rt_pct_chg","RT_Price")</f>
        <v>4.8400000000000007</v>
      </c>
      <c r="E59" s="10">
        <f>RANK(D59,$D$3:$D$156,0)</f>
        <v>61</v>
      </c>
      <c r="F59" s="10">
        <f>RANK(D59,$D$3:$D$156,1)</f>
        <v>94</v>
      </c>
      <c r="G59" s="6"/>
      <c r="H59" s="6"/>
    </row>
    <row r="60" spans="1:8" x14ac:dyDescent="0.3">
      <c r="A60" s="6" t="s">
        <v>148</v>
      </c>
      <c r="B60" s="6" t="s">
        <v>149</v>
      </c>
      <c r="C60" s="9">
        <f>RTD("wdf.rtq",,"002929.SZ","rt_last","RT_Price")</f>
        <v>35.660000000000004</v>
      </c>
      <c r="D60" s="9">
        <f>RTD("wdf.rtq",,"002929.SZ","rt_pct_chg","RT_Price")</f>
        <v>5.8500000000000005</v>
      </c>
      <c r="E60" s="10">
        <f>RANK(D60,$D$3:$D$156,0)</f>
        <v>42</v>
      </c>
      <c r="F60" s="10">
        <f>RANK(D60,$D$3:$D$156,1)</f>
        <v>113</v>
      </c>
      <c r="G60" s="6"/>
      <c r="H60" s="6"/>
    </row>
    <row r="61" spans="1:8" x14ac:dyDescent="0.3">
      <c r="A61" s="6" t="s">
        <v>150</v>
      </c>
      <c r="B61" s="6" t="s">
        <v>151</v>
      </c>
      <c r="C61" s="9">
        <f>RTD("wdf.rtq",,"300007.SZ","rt_last","RT_Price")</f>
        <v>26.3</v>
      </c>
      <c r="D61" s="9">
        <f>RTD("wdf.rtq",,"300007.SZ","rt_pct_chg","RT_Price")</f>
        <v>2.6100000000000003</v>
      </c>
      <c r="E61" s="10">
        <f>RANK(D61,$D$3:$D$156,0)</f>
        <v>121</v>
      </c>
      <c r="F61" s="10">
        <f>RANK(D61,$D$3:$D$156,1)</f>
        <v>34</v>
      </c>
      <c r="G61" s="6"/>
      <c r="H61" s="6"/>
    </row>
    <row r="62" spans="1:8" x14ac:dyDescent="0.3">
      <c r="A62" s="6" t="s">
        <v>152</v>
      </c>
      <c r="B62" s="6" t="s">
        <v>153</v>
      </c>
      <c r="C62" s="9">
        <f>RTD("wdf.rtq",,"300017.SZ","rt_last","RT_Price")</f>
        <v>7.0600000000000005</v>
      </c>
      <c r="D62" s="9">
        <f>RTD("wdf.rtq",,"300017.SZ","rt_pct_chg","RT_Price")</f>
        <v>5.2200000000000006</v>
      </c>
      <c r="E62" s="10">
        <f>RANK(D62,$D$3:$D$156,0)</f>
        <v>50</v>
      </c>
      <c r="F62" s="10">
        <f>RANK(D62,$D$3:$D$156,1)</f>
        <v>105</v>
      </c>
      <c r="G62" s="6"/>
      <c r="H62" s="6"/>
    </row>
    <row r="63" spans="1:8" x14ac:dyDescent="0.3">
      <c r="A63" s="6" t="s">
        <v>154</v>
      </c>
      <c r="B63" s="6" t="s">
        <v>155</v>
      </c>
      <c r="C63" s="9">
        <f>RTD("wdf.rtq",,"300025.SZ","rt_last","RT_Price")</f>
        <v>4.8500000000000005</v>
      </c>
      <c r="D63" s="9">
        <f>RTD("wdf.rtq",,"300025.SZ","rt_pct_chg","RT_Price")</f>
        <v>5.9</v>
      </c>
      <c r="E63" s="10">
        <f>RANK(D63,$D$3:$D$156,0)</f>
        <v>40</v>
      </c>
      <c r="F63" s="10">
        <f>RANK(D63,$D$3:$D$156,1)</f>
        <v>114</v>
      </c>
      <c r="G63" s="6"/>
      <c r="H63" s="6"/>
    </row>
    <row r="64" spans="1:8" x14ac:dyDescent="0.3">
      <c r="A64" s="6" t="s">
        <v>156</v>
      </c>
      <c r="B64" s="6" t="s">
        <v>157</v>
      </c>
      <c r="C64" s="9">
        <f>RTD("wdf.rtq",,"300045.SZ","rt_last","RT_Price")</f>
        <v>12.59</v>
      </c>
      <c r="D64" s="9">
        <f>RTD("wdf.rtq",,"300045.SZ","rt_pct_chg","RT_Price")</f>
        <v>4.92</v>
      </c>
      <c r="E64" s="10">
        <f>RANK(D64,$D$3:$D$156,0)</f>
        <v>59</v>
      </c>
      <c r="F64" s="10">
        <f>RANK(D64,$D$3:$D$156,1)</f>
        <v>96</v>
      </c>
      <c r="G64" s="6"/>
      <c r="H64" s="6"/>
    </row>
    <row r="65" spans="1:8" x14ac:dyDescent="0.3">
      <c r="A65" s="6" t="s">
        <v>158</v>
      </c>
      <c r="B65" s="6" t="s">
        <v>159</v>
      </c>
      <c r="C65" s="9">
        <f>RTD("wdf.rtq",,"300047.SZ","rt_last","RT_Price")</f>
        <v>10.08</v>
      </c>
      <c r="D65" s="9">
        <f>RTD("wdf.rtq",,"300047.SZ","rt_pct_chg","RT_Price")</f>
        <v>20</v>
      </c>
      <c r="E65" s="10">
        <f>RANK(D65,$D$3:$D$156,0)</f>
        <v>1</v>
      </c>
      <c r="F65" s="10">
        <f>RANK(D65,$D$3:$D$156,1)</f>
        <v>154</v>
      </c>
      <c r="G65" s="6"/>
      <c r="H65" s="6"/>
    </row>
    <row r="66" spans="1:8" x14ac:dyDescent="0.3">
      <c r="A66" s="6" t="s">
        <v>160</v>
      </c>
      <c r="B66" s="6" t="s">
        <v>161</v>
      </c>
      <c r="C66" s="9">
        <f>RTD("wdf.rtq",,"300050.SZ","rt_last","RT_Price")</f>
        <v>4.92</v>
      </c>
      <c r="D66" s="9">
        <f>RTD("wdf.rtq",,"300050.SZ","rt_pct_chg","RT_Price")</f>
        <v>6.03</v>
      </c>
      <c r="E66" s="10">
        <f>RANK(D66,$D$3:$D$156,0)</f>
        <v>38</v>
      </c>
      <c r="F66" s="10">
        <f>RANK(D66,$D$3:$D$156,1)</f>
        <v>117</v>
      </c>
      <c r="G66" s="6"/>
      <c r="H66" s="6"/>
    </row>
    <row r="67" spans="1:8" x14ac:dyDescent="0.3">
      <c r="A67" s="6" t="s">
        <v>162</v>
      </c>
      <c r="B67" s="6" t="s">
        <v>163</v>
      </c>
      <c r="C67" s="9">
        <f>RTD("wdf.rtq",,"300053.SZ","rt_last","RT_Price")</f>
        <v>10.370000000000001</v>
      </c>
      <c r="D67" s="9">
        <f>RTD("wdf.rtq",,"300053.SZ","rt_pct_chg","RT_Price")</f>
        <v>7.3500000000000014</v>
      </c>
      <c r="E67" s="10">
        <f>RANK(D67,$D$3:$D$156,0)</f>
        <v>23</v>
      </c>
      <c r="F67" s="10">
        <f>RANK(D67,$D$3:$D$156,1)</f>
        <v>132</v>
      </c>
      <c r="G67" s="6"/>
      <c r="H67" s="6"/>
    </row>
    <row r="68" spans="1:8" x14ac:dyDescent="0.3">
      <c r="A68" s="6" t="s">
        <v>164</v>
      </c>
      <c r="B68" s="6" t="s">
        <v>165</v>
      </c>
      <c r="C68" s="9">
        <f>RTD("wdf.rtq",,"300066.SZ","rt_last","RT_Price")</f>
        <v>4.96</v>
      </c>
      <c r="D68" s="9">
        <f>RTD("wdf.rtq",,"300066.SZ","rt_pct_chg","RT_Price")</f>
        <v>2.06</v>
      </c>
      <c r="E68" s="10">
        <f>RANK(D68,$D$3:$D$156,0)</f>
        <v>128</v>
      </c>
      <c r="F68" s="10">
        <f>RANK(D68,$D$3:$D$156,1)</f>
        <v>27</v>
      </c>
      <c r="G68" s="6"/>
      <c r="H68" s="6"/>
    </row>
    <row r="69" spans="1:8" x14ac:dyDescent="0.3">
      <c r="A69" s="6" t="s">
        <v>166</v>
      </c>
      <c r="B69" s="6" t="s">
        <v>167</v>
      </c>
      <c r="C69" s="9">
        <f>RTD("wdf.rtq",,"300074.SZ","rt_last","RT_Price")</f>
        <v>4.38</v>
      </c>
      <c r="D69" s="9">
        <f>RTD("wdf.rtq",,"300074.SZ","rt_pct_chg","RT_Price")</f>
        <v>4.78</v>
      </c>
      <c r="E69" s="10">
        <f>RANK(D69,$D$3:$D$156,0)</f>
        <v>62</v>
      </c>
      <c r="F69" s="10">
        <f>RANK(D69,$D$3:$D$156,1)</f>
        <v>93</v>
      </c>
      <c r="G69" s="6"/>
      <c r="H69" s="6"/>
    </row>
    <row r="70" spans="1:8" x14ac:dyDescent="0.3">
      <c r="A70" s="6" t="s">
        <v>168</v>
      </c>
      <c r="B70" s="6" t="s">
        <v>169</v>
      </c>
      <c r="C70" s="9">
        <f>RTD("wdf.rtq",,"300098.SZ","rt_last","RT_Price")</f>
        <v>5.13</v>
      </c>
      <c r="D70" s="9">
        <f>RTD("wdf.rtq",,"300098.SZ","rt_pct_chg","RT_Price")</f>
        <v>4.6900000000000004</v>
      </c>
      <c r="E70" s="10">
        <f>RANK(D70,$D$3:$D$156,0)</f>
        <v>64</v>
      </c>
      <c r="F70" s="10">
        <f>RANK(D70,$D$3:$D$156,1)</f>
        <v>91</v>
      </c>
      <c r="G70" s="6"/>
      <c r="H70" s="6"/>
    </row>
    <row r="71" spans="1:8" x14ac:dyDescent="0.3">
      <c r="A71" s="6" t="s">
        <v>170</v>
      </c>
      <c r="B71" s="6" t="s">
        <v>171</v>
      </c>
      <c r="C71" s="9">
        <f>RTD("wdf.rtq",,"300101.SZ","rt_last","RT_Price")</f>
        <v>20.240000000000002</v>
      </c>
      <c r="D71" s="9">
        <f>RTD("wdf.rtq",,"300101.SZ","rt_pct_chg","RT_Price")</f>
        <v>2.12</v>
      </c>
      <c r="E71" s="10">
        <f>RANK(D71,$D$3:$D$156,0)</f>
        <v>127</v>
      </c>
      <c r="F71" s="10">
        <f>RANK(D71,$D$3:$D$156,1)</f>
        <v>28</v>
      </c>
      <c r="G71" s="6"/>
      <c r="H71" s="6"/>
    </row>
    <row r="72" spans="1:8" x14ac:dyDescent="0.3">
      <c r="A72" s="6" t="s">
        <v>172</v>
      </c>
      <c r="B72" s="6" t="s">
        <v>173</v>
      </c>
      <c r="C72" s="9">
        <f>RTD("wdf.rtq",,"300134.SZ","rt_last","RT_Price")</f>
        <v>11.72</v>
      </c>
      <c r="D72" s="9">
        <f>RTD("wdf.rtq",,"300134.SZ","rt_pct_chg","RT_Price")</f>
        <v>2.99</v>
      </c>
      <c r="E72" s="10">
        <f>RANK(D72,$D$3:$D$156,0)</f>
        <v>114</v>
      </c>
      <c r="F72" s="10">
        <f>RANK(D72,$D$3:$D$156,1)</f>
        <v>41</v>
      </c>
      <c r="G72" s="6"/>
      <c r="H72" s="6"/>
    </row>
    <row r="73" spans="1:8" x14ac:dyDescent="0.3">
      <c r="A73" s="6" t="s">
        <v>174</v>
      </c>
      <c r="B73" s="6" t="s">
        <v>175</v>
      </c>
      <c r="C73" s="9">
        <f>RTD("wdf.rtq",,"300177.SZ","rt_last","RT_Price")</f>
        <v>9.52</v>
      </c>
      <c r="D73" s="9">
        <f>RTD("wdf.rtq",,"300177.SZ","rt_pct_chg","RT_Price")</f>
        <v>4.5000000000000009</v>
      </c>
      <c r="E73" s="10">
        <f>RANK(D73,$D$3:$D$156,0)</f>
        <v>72</v>
      </c>
      <c r="F73" s="10">
        <f>RANK(D73,$D$3:$D$156,1)</f>
        <v>82</v>
      </c>
      <c r="G73" s="6"/>
      <c r="H73" s="6"/>
    </row>
    <row r="74" spans="1:8" x14ac:dyDescent="0.3">
      <c r="A74" s="6" t="s">
        <v>176</v>
      </c>
      <c r="B74" s="6" t="s">
        <v>177</v>
      </c>
      <c r="C74" s="9">
        <f>RTD("wdf.rtq",,"300183.SZ","rt_last","RT_Price")</f>
        <v>17.900000000000002</v>
      </c>
      <c r="D74" s="9">
        <f>RTD("wdf.rtq",,"300183.SZ","rt_pct_chg","RT_Price")</f>
        <v>2.81</v>
      </c>
      <c r="E74" s="10">
        <f>RANK(D74,$D$3:$D$156,0)</f>
        <v>117</v>
      </c>
      <c r="F74" s="10">
        <f>RANK(D74,$D$3:$D$156,1)</f>
        <v>37</v>
      </c>
      <c r="G74" s="6"/>
      <c r="H74" s="6"/>
    </row>
    <row r="75" spans="1:8" x14ac:dyDescent="0.3">
      <c r="A75" s="6" t="s">
        <v>178</v>
      </c>
      <c r="B75" s="6" t="s">
        <v>179</v>
      </c>
      <c r="C75" s="9">
        <f>RTD("wdf.rtq",,"300205.SZ","rt_last","RT_Price")</f>
        <v>14.9</v>
      </c>
      <c r="D75" s="9">
        <f>RTD("wdf.rtq",,"300205.SZ","rt_pct_chg","RT_Price")</f>
        <v>6.35</v>
      </c>
      <c r="E75" s="10">
        <f>RANK(D75,$D$3:$D$156,0)</f>
        <v>37</v>
      </c>
      <c r="F75" s="10">
        <f>RANK(D75,$D$3:$D$156,1)</f>
        <v>118</v>
      </c>
      <c r="G75" s="6"/>
      <c r="H75" s="6"/>
    </row>
    <row r="76" spans="1:8" x14ac:dyDescent="0.3">
      <c r="A76" s="6" t="s">
        <v>180</v>
      </c>
      <c r="B76" s="6" t="s">
        <v>181</v>
      </c>
      <c r="C76" s="9">
        <f>RTD("wdf.rtq",,"300209.SZ","rt_last","RT_Price")</f>
        <v>7.75</v>
      </c>
      <c r="D76" s="9">
        <f>RTD("wdf.rtq",,"300209.SZ","rt_pct_chg","RT_Price")</f>
        <v>6.4600000000000009</v>
      </c>
      <c r="E76" s="10">
        <f>RANK(D76,$D$3:$D$156,0)</f>
        <v>35</v>
      </c>
      <c r="F76" s="10">
        <f>RANK(D76,$D$3:$D$156,1)</f>
        <v>120</v>
      </c>
      <c r="G76" s="6"/>
      <c r="H76" s="6"/>
    </row>
    <row r="77" spans="1:8" x14ac:dyDescent="0.3">
      <c r="A77" s="6" t="s">
        <v>182</v>
      </c>
      <c r="B77" s="6" t="s">
        <v>183</v>
      </c>
      <c r="C77" s="9">
        <f>RTD("wdf.rtq",,"300211.SZ","rt_last","RT_Price")</f>
        <v>12.450000000000001</v>
      </c>
      <c r="D77" s="9">
        <f>RTD("wdf.rtq",,"300211.SZ","rt_pct_chg","RT_Price")</f>
        <v>0.97</v>
      </c>
      <c r="E77" s="10">
        <f>RANK(D77,$D$3:$D$156,0)</f>
        <v>141</v>
      </c>
      <c r="F77" s="10">
        <f>RANK(D77,$D$3:$D$156,1)</f>
        <v>14</v>
      </c>
      <c r="G77" s="6"/>
      <c r="H77" s="6"/>
    </row>
    <row r="78" spans="1:8" x14ac:dyDescent="0.3">
      <c r="A78" s="6" t="s">
        <v>184</v>
      </c>
      <c r="B78" s="6" t="s">
        <v>185</v>
      </c>
      <c r="C78" s="9">
        <f>RTD("wdf.rtq",,"300213.SZ","rt_last","RT_Price")</f>
        <v>8.99</v>
      </c>
      <c r="D78" s="9">
        <f>RTD("wdf.rtq",,"300213.SZ","rt_pct_chg","RT_Price")</f>
        <v>1.35</v>
      </c>
      <c r="E78" s="10">
        <f>RANK(D78,$D$3:$D$156,0)</f>
        <v>136</v>
      </c>
      <c r="F78" s="10">
        <f>RANK(D78,$D$3:$D$156,1)</f>
        <v>18</v>
      </c>
      <c r="G78" s="6"/>
      <c r="H78" s="6"/>
    </row>
    <row r="79" spans="1:8" x14ac:dyDescent="0.3">
      <c r="A79" s="6" t="s">
        <v>186</v>
      </c>
      <c r="B79" s="6" t="s">
        <v>187</v>
      </c>
      <c r="C79" s="9">
        <f>RTD("wdf.rtq",,"300250.SZ","rt_last","RT_Price")</f>
        <v>14.05</v>
      </c>
      <c r="D79" s="9">
        <f>RTD("wdf.rtq",,"300250.SZ","rt_pct_chg","RT_Price")</f>
        <v>6.84</v>
      </c>
      <c r="E79" s="10">
        <f>RANK(D79,$D$3:$D$156,0)</f>
        <v>28</v>
      </c>
      <c r="F79" s="10">
        <f>RANK(D79,$D$3:$D$156,1)</f>
        <v>127</v>
      </c>
      <c r="G79" s="6"/>
      <c r="H79" s="6"/>
    </row>
    <row r="80" spans="1:8" x14ac:dyDescent="0.3">
      <c r="A80" s="6" t="s">
        <v>188</v>
      </c>
      <c r="B80" s="6" t="s">
        <v>189</v>
      </c>
      <c r="C80" s="9">
        <f>RTD("wdf.rtq",,"300252.SZ","rt_last","RT_Price")</f>
        <v>9.51</v>
      </c>
      <c r="D80" s="9">
        <f>RTD("wdf.rtq",,"300252.SZ","rt_pct_chg","RT_Price")</f>
        <v>3.93</v>
      </c>
      <c r="E80" s="10">
        <f>RANK(D80,$D$3:$D$156,0)</f>
        <v>90</v>
      </c>
      <c r="F80" s="10">
        <f>RANK(D80,$D$3:$D$156,1)</f>
        <v>65</v>
      </c>
      <c r="G80" s="6"/>
      <c r="H80" s="6"/>
    </row>
    <row r="81" spans="1:8" x14ac:dyDescent="0.3">
      <c r="A81" s="6" t="s">
        <v>190</v>
      </c>
      <c r="B81" s="6" t="s">
        <v>191</v>
      </c>
      <c r="C81" s="9">
        <f>RTD("wdf.rtq",,"300259.SZ","rt_last","RT_Price")</f>
        <v>5.37</v>
      </c>
      <c r="D81" s="9">
        <f>RTD("wdf.rtq",,"300259.SZ","rt_pct_chg","RT_Price")</f>
        <v>3.8700000000000006</v>
      </c>
      <c r="E81" s="10">
        <f>RANK(D81,$D$3:$D$156,0)</f>
        <v>95</v>
      </c>
      <c r="F81" s="10">
        <f>RANK(D81,$D$3:$D$156,1)</f>
        <v>60</v>
      </c>
      <c r="G81" s="6"/>
      <c r="H81" s="6"/>
    </row>
    <row r="82" spans="1:8" x14ac:dyDescent="0.3">
      <c r="A82" s="6" t="s">
        <v>192</v>
      </c>
      <c r="B82" s="6" t="s">
        <v>193</v>
      </c>
      <c r="C82" s="9">
        <f>RTD("wdf.rtq",,"300264.SZ","rt_last","RT_Price")</f>
        <v>9.5299999999999994</v>
      </c>
      <c r="D82" s="9">
        <f>RTD("wdf.rtq",,"300264.SZ","rt_pct_chg","RT_Price")</f>
        <v>5.07</v>
      </c>
      <c r="E82" s="10">
        <f>RANK(D82,$D$3:$D$156,0)</f>
        <v>56</v>
      </c>
      <c r="F82" s="10">
        <f>RANK(D82,$D$3:$D$156,1)</f>
        <v>99</v>
      </c>
      <c r="G82" s="6"/>
      <c r="H82" s="6"/>
    </row>
    <row r="83" spans="1:8" x14ac:dyDescent="0.3">
      <c r="A83" s="6" t="s">
        <v>194</v>
      </c>
      <c r="B83" s="6" t="s">
        <v>195</v>
      </c>
      <c r="C83" s="9">
        <f>RTD("wdf.rtq",,"300265.SZ","rt_last","RT_Price")</f>
        <v>10.57</v>
      </c>
      <c r="D83" s="9">
        <f>RTD("wdf.rtq",,"300265.SZ","rt_pct_chg","RT_Price")</f>
        <v>2.0300000000000002</v>
      </c>
      <c r="E83" s="10">
        <f>RANK(D83,$D$3:$D$156,0)</f>
        <v>129</v>
      </c>
      <c r="F83" s="10">
        <f>RANK(D83,$D$3:$D$156,1)</f>
        <v>26</v>
      </c>
      <c r="G83" s="6"/>
      <c r="H83" s="6"/>
    </row>
    <row r="84" spans="1:8" x14ac:dyDescent="0.3">
      <c r="A84" s="6" t="s">
        <v>196</v>
      </c>
      <c r="B84" s="6" t="s">
        <v>197</v>
      </c>
      <c r="C84" s="9">
        <f>RTD("wdf.rtq",,"300288.SZ","rt_last","RT_Price")</f>
        <v>13.64</v>
      </c>
      <c r="D84" s="9">
        <f>RTD("wdf.rtq",,"300288.SZ","rt_pct_chg","RT_Price")</f>
        <v>5.9</v>
      </c>
      <c r="E84" s="10">
        <f>RANK(D84,$D$3:$D$156,0)</f>
        <v>40</v>
      </c>
      <c r="F84" s="10">
        <f>RANK(D84,$D$3:$D$156,1)</f>
        <v>114</v>
      </c>
      <c r="G84" s="6"/>
      <c r="H84" s="6"/>
    </row>
    <row r="85" spans="1:8" x14ac:dyDescent="0.3">
      <c r="A85" s="6" t="s">
        <v>198</v>
      </c>
      <c r="B85" s="6" t="s">
        <v>199</v>
      </c>
      <c r="C85" s="9">
        <f>RTD("wdf.rtq",,"300292.SZ","rt_last","RT_Price")</f>
        <v>4.5600000000000005</v>
      </c>
      <c r="D85" s="9">
        <f>RTD("wdf.rtq",,"300292.SZ","rt_pct_chg","RT_Price")</f>
        <v>6.79</v>
      </c>
      <c r="E85" s="10">
        <f>RANK(D85,$D$3:$D$156,0)</f>
        <v>29</v>
      </c>
      <c r="F85" s="10">
        <f>RANK(D85,$D$3:$D$156,1)</f>
        <v>126</v>
      </c>
      <c r="G85" s="6"/>
      <c r="H85" s="6"/>
    </row>
    <row r="86" spans="1:8" x14ac:dyDescent="0.3">
      <c r="A86" s="6" t="s">
        <v>200</v>
      </c>
      <c r="B86" s="6" t="s">
        <v>201</v>
      </c>
      <c r="C86" s="9">
        <f>RTD("wdf.rtq",,"300299.SZ","rt_last","RT_Price")</f>
        <v>6.26</v>
      </c>
      <c r="D86" s="9">
        <f>RTD("wdf.rtq",,"300299.SZ","rt_pct_chg","RT_Price")</f>
        <v>5.92</v>
      </c>
      <c r="E86" s="10">
        <f>RANK(D86,$D$3:$D$156,0)</f>
        <v>39</v>
      </c>
      <c r="F86" s="10">
        <f>RANK(D86,$D$3:$D$156,1)</f>
        <v>116</v>
      </c>
      <c r="G86" s="6"/>
      <c r="H86" s="6"/>
    </row>
    <row r="87" spans="1:8" x14ac:dyDescent="0.3">
      <c r="A87" s="6" t="s">
        <v>202</v>
      </c>
      <c r="B87" s="6" t="s">
        <v>203</v>
      </c>
      <c r="C87" s="9">
        <f>RTD("wdf.rtq",,"300308.SZ","rt_last","RT_Price")</f>
        <v>40.15</v>
      </c>
      <c r="D87" s="9">
        <f>RTD("wdf.rtq",,"300308.SZ","rt_pct_chg","RT_Price")</f>
        <v>2.7600000000000002</v>
      </c>
      <c r="E87" s="10">
        <f>RANK(D87,$D$3:$D$156,0)</f>
        <v>119</v>
      </c>
      <c r="F87" s="10">
        <f>RANK(D87,$D$3:$D$156,1)</f>
        <v>36</v>
      </c>
      <c r="G87" s="6"/>
      <c r="H87" s="6"/>
    </row>
    <row r="88" spans="1:8" x14ac:dyDescent="0.3">
      <c r="A88" s="6" t="s">
        <v>204</v>
      </c>
      <c r="B88" s="6" t="s">
        <v>205</v>
      </c>
      <c r="C88" s="9">
        <f>RTD("wdf.rtq",,"300310.SZ","rt_last","RT_Price")</f>
        <v>5.5600000000000005</v>
      </c>
      <c r="D88" s="9">
        <f>RTD("wdf.rtq",,"300310.SZ","rt_pct_chg","RT_Price")</f>
        <v>4.51</v>
      </c>
      <c r="E88" s="10">
        <f>RANK(D88,$D$3:$D$156,0)</f>
        <v>71</v>
      </c>
      <c r="F88" s="10">
        <f>RANK(D88,$D$3:$D$156,1)</f>
        <v>84</v>
      </c>
      <c r="G88" s="6"/>
      <c r="H88" s="6"/>
    </row>
    <row r="89" spans="1:8" x14ac:dyDescent="0.3">
      <c r="A89" s="6" t="s">
        <v>206</v>
      </c>
      <c r="B89" s="6" t="s">
        <v>207</v>
      </c>
      <c r="C89" s="9">
        <f>RTD("wdf.rtq",,"300312.SZ","rt_last","RT_Price")</f>
        <v>4.2300000000000004</v>
      </c>
      <c r="D89" s="9">
        <f>RTD("wdf.rtq",,"300312.SZ","rt_pct_chg","RT_Price")</f>
        <v>4.7</v>
      </c>
      <c r="E89" s="10">
        <f>RANK(D89,$D$3:$D$156,0)</f>
        <v>63</v>
      </c>
      <c r="F89" s="10">
        <f>RANK(D89,$D$3:$D$156,1)</f>
        <v>92</v>
      </c>
      <c r="G89" s="6"/>
      <c r="H89" s="6"/>
    </row>
    <row r="90" spans="1:8" x14ac:dyDescent="0.3">
      <c r="A90" s="6" t="s">
        <v>208</v>
      </c>
      <c r="B90" s="6" t="s">
        <v>209</v>
      </c>
      <c r="C90" s="9">
        <f>RTD("wdf.rtq",,"300322.SZ","rt_last","RT_Price")</f>
        <v>12.870000000000001</v>
      </c>
      <c r="D90" s="9">
        <f>RTD("wdf.rtq",,"300322.SZ","rt_pct_chg","RT_Price")</f>
        <v>2.5500000000000003</v>
      </c>
      <c r="E90" s="10">
        <f>RANK(D90,$D$3:$D$156,0)</f>
        <v>122</v>
      </c>
      <c r="F90" s="10">
        <f>RANK(D90,$D$3:$D$156,1)</f>
        <v>33</v>
      </c>
      <c r="G90" s="6"/>
      <c r="H90" s="6"/>
    </row>
    <row r="91" spans="1:8" x14ac:dyDescent="0.3">
      <c r="A91" s="6" t="s">
        <v>210</v>
      </c>
      <c r="B91" s="6" t="s">
        <v>211</v>
      </c>
      <c r="C91" s="9">
        <f>RTD("wdf.rtq",,"300349.SZ","rt_last","RT_Price")</f>
        <v>13.09</v>
      </c>
      <c r="D91" s="9">
        <f>RTD("wdf.rtq",,"300349.SZ","rt_pct_chg","RT_Price")</f>
        <v>4.55</v>
      </c>
      <c r="E91" s="10">
        <f>RANK(D91,$D$3:$D$156,0)</f>
        <v>70</v>
      </c>
      <c r="F91" s="10">
        <f>RANK(D91,$D$3:$D$156,1)</f>
        <v>85</v>
      </c>
      <c r="G91" s="6"/>
      <c r="H91" s="6"/>
    </row>
    <row r="92" spans="1:8" x14ac:dyDescent="0.3">
      <c r="A92" s="6" t="s">
        <v>212</v>
      </c>
      <c r="B92" s="6" t="s">
        <v>213</v>
      </c>
      <c r="C92" s="9">
        <f>RTD("wdf.rtq",,"300353.SZ","rt_last","RT_Price")</f>
        <v>10.68</v>
      </c>
      <c r="D92" s="9">
        <f>RTD("wdf.rtq",,"300353.SZ","rt_pct_chg","RT_Price")</f>
        <v>7.99</v>
      </c>
      <c r="E92" s="10">
        <f>RANK(D92,$D$3:$D$156,0)</f>
        <v>19</v>
      </c>
      <c r="F92" s="10">
        <f>RANK(D92,$D$3:$D$156,1)</f>
        <v>136</v>
      </c>
      <c r="G92" s="6"/>
      <c r="H92" s="6"/>
    </row>
    <row r="93" spans="1:8" x14ac:dyDescent="0.3">
      <c r="A93" s="6" t="s">
        <v>214</v>
      </c>
      <c r="B93" s="6" t="s">
        <v>215</v>
      </c>
      <c r="C93" s="9">
        <f>RTD("wdf.rtq",,"300383.SZ","rt_last","RT_Price")</f>
        <v>15.8</v>
      </c>
      <c r="D93" s="9">
        <f>RTD("wdf.rtq",,"300383.SZ","rt_pct_chg","RT_Price")</f>
        <v>7.12</v>
      </c>
      <c r="E93" s="10">
        <f>RANK(D93,$D$3:$D$156,0)</f>
        <v>25</v>
      </c>
      <c r="F93" s="10">
        <f>RANK(D93,$D$3:$D$156,1)</f>
        <v>130</v>
      </c>
      <c r="G93" s="6"/>
      <c r="H93" s="6"/>
    </row>
    <row r="94" spans="1:8" x14ac:dyDescent="0.3">
      <c r="A94" s="6" t="s">
        <v>216</v>
      </c>
      <c r="B94" s="6" t="s">
        <v>217</v>
      </c>
      <c r="C94" s="9">
        <f>RTD("wdf.rtq",,"300394.SZ","rt_last","RT_Price")</f>
        <v>36.76</v>
      </c>
      <c r="D94" s="9">
        <f>RTD("wdf.rtq",,"300394.SZ","rt_pct_chg","RT_Price")</f>
        <v>13.140000000000002</v>
      </c>
      <c r="E94" s="10">
        <f>RANK(D94,$D$3:$D$156,0)</f>
        <v>3</v>
      </c>
      <c r="F94" s="10">
        <f>RANK(D94,$D$3:$D$156,1)</f>
        <v>152</v>
      </c>
      <c r="G94" s="6"/>
      <c r="H94" s="6"/>
    </row>
    <row r="95" spans="1:8" x14ac:dyDescent="0.3">
      <c r="A95" s="6" t="s">
        <v>218</v>
      </c>
      <c r="B95" s="6" t="s">
        <v>219</v>
      </c>
      <c r="C95" s="9">
        <f>RTD("wdf.rtq",,"300414.SZ","rt_last","RT_Price")</f>
        <v>11.28</v>
      </c>
      <c r="D95" s="9">
        <f>RTD("wdf.rtq",,"300414.SZ","rt_pct_chg","RT_Price")</f>
        <v>4.6400000000000006</v>
      </c>
      <c r="E95" s="10">
        <f>RANK(D95,$D$3:$D$156,0)</f>
        <v>65</v>
      </c>
      <c r="F95" s="10">
        <f>RANK(D95,$D$3:$D$156,1)</f>
        <v>90</v>
      </c>
      <c r="G95" s="6"/>
      <c r="H95" s="6"/>
    </row>
    <row r="96" spans="1:8" x14ac:dyDescent="0.3">
      <c r="A96" s="6" t="s">
        <v>220</v>
      </c>
      <c r="B96" s="6" t="s">
        <v>221</v>
      </c>
      <c r="C96" s="9">
        <f>RTD("wdf.rtq",,"300454.SZ","rt_last","RT_Price")</f>
        <v>179.70000000000002</v>
      </c>
      <c r="D96" s="9">
        <f>RTD("wdf.rtq",,"300454.SZ","rt_pct_chg","RT_Price")</f>
        <v>8.2700000000000014</v>
      </c>
      <c r="E96" s="10">
        <f>RANK(D96,$D$3:$D$156,0)</f>
        <v>17</v>
      </c>
      <c r="F96" s="10">
        <f>RANK(D96,$D$3:$D$156,1)</f>
        <v>138</v>
      </c>
      <c r="G96" s="6"/>
      <c r="H96" s="6"/>
    </row>
    <row r="97" spans="1:8" x14ac:dyDescent="0.3">
      <c r="A97" s="6" t="s">
        <v>222</v>
      </c>
      <c r="B97" s="6" t="s">
        <v>223</v>
      </c>
      <c r="C97" s="9">
        <f>RTD("wdf.rtq",,"300502.SZ","rt_last","RT_Price")</f>
        <v>38.26</v>
      </c>
      <c r="D97" s="9">
        <f>RTD("wdf.rtq",,"300502.SZ","rt_pct_chg","RT_Price")</f>
        <v>11.25</v>
      </c>
      <c r="E97" s="10">
        <f>RANK(D97,$D$3:$D$156,0)</f>
        <v>6</v>
      </c>
      <c r="F97" s="10">
        <f>RANK(D97,$D$3:$D$156,1)</f>
        <v>149</v>
      </c>
      <c r="G97" s="6"/>
      <c r="H97" s="6"/>
    </row>
    <row r="98" spans="1:8" x14ac:dyDescent="0.3">
      <c r="A98" s="6" t="s">
        <v>224</v>
      </c>
      <c r="B98" s="6" t="s">
        <v>225</v>
      </c>
      <c r="C98" s="9">
        <f>RTD("wdf.rtq",,"300504.SZ","rt_last","RT_Price")</f>
        <v>25.01</v>
      </c>
      <c r="D98" s="9">
        <f>RTD("wdf.rtq",,"300504.SZ","rt_pct_chg","RT_Price")</f>
        <v>10.57</v>
      </c>
      <c r="E98" s="10">
        <f>RANK(D98,$D$3:$D$156,0)</f>
        <v>7</v>
      </c>
      <c r="F98" s="10">
        <f>RANK(D98,$D$3:$D$156,1)</f>
        <v>148</v>
      </c>
      <c r="G98" s="6"/>
      <c r="H98" s="6"/>
    </row>
    <row r="99" spans="1:8" x14ac:dyDescent="0.3">
      <c r="A99" s="6" t="s">
        <v>226</v>
      </c>
      <c r="B99" s="6" t="s">
        <v>227</v>
      </c>
      <c r="C99" s="9">
        <f>RTD("wdf.rtq",,"300513.SZ","rt_last","RT_Price")</f>
        <v>12.8</v>
      </c>
      <c r="D99" s="9">
        <f>RTD("wdf.rtq",,"300513.SZ","rt_pct_chg","RT_Price")</f>
        <v>4.58</v>
      </c>
      <c r="E99" s="10">
        <f>RANK(D99,$D$3:$D$156,0)</f>
        <v>67</v>
      </c>
      <c r="F99" s="10">
        <f>RANK(D99,$D$3:$D$156,1)</f>
        <v>87</v>
      </c>
      <c r="G99" s="6"/>
      <c r="H99" s="6"/>
    </row>
    <row r="100" spans="1:8" x14ac:dyDescent="0.3">
      <c r="A100" s="6" t="s">
        <v>228</v>
      </c>
      <c r="B100" s="6" t="s">
        <v>229</v>
      </c>
      <c r="C100" s="9">
        <f>RTD("wdf.rtq",,"300531.SZ","rt_last","RT_Price")</f>
        <v>24.98</v>
      </c>
      <c r="D100" s="9">
        <f>RTD("wdf.rtq",,"300531.SZ","rt_pct_chg","RT_Price")</f>
        <v>14.170000000000002</v>
      </c>
      <c r="E100" s="10">
        <f>RANK(D100,$D$3:$D$156,0)</f>
        <v>2</v>
      </c>
      <c r="F100" s="10">
        <f>RANK(D100,$D$3:$D$156,1)</f>
        <v>153</v>
      </c>
      <c r="G100" s="6"/>
      <c r="H100" s="6"/>
    </row>
    <row r="101" spans="1:8" x14ac:dyDescent="0.3">
      <c r="A101" s="6" t="s">
        <v>230</v>
      </c>
      <c r="B101" s="6" t="s">
        <v>231</v>
      </c>
      <c r="C101" s="9">
        <f>RTD("wdf.rtq",,"300548.SZ","rt_last","RT_Price")</f>
        <v>34.78</v>
      </c>
      <c r="D101" s="9">
        <f>RTD("wdf.rtq",,"300548.SZ","rt_pct_chg","RT_Price")</f>
        <v>5.2</v>
      </c>
      <c r="E101" s="10">
        <f>RANK(D101,$D$3:$D$156,0)</f>
        <v>52</v>
      </c>
      <c r="F101" s="10">
        <f>RANK(D101,$D$3:$D$156,1)</f>
        <v>103</v>
      </c>
      <c r="G101" s="6"/>
      <c r="H101" s="6"/>
    </row>
    <row r="102" spans="1:8" x14ac:dyDescent="0.3">
      <c r="A102" s="6" t="s">
        <v>232</v>
      </c>
      <c r="B102" s="6" t="s">
        <v>233</v>
      </c>
      <c r="C102" s="9">
        <f>RTD("wdf.rtq",,"300555.SZ","rt_last","RT_Price")</f>
        <v>9.5400000000000009</v>
      </c>
      <c r="D102" s="9">
        <f>RTD("wdf.rtq",,"300555.SZ","rt_pct_chg","RT_Price")</f>
        <v>3.47</v>
      </c>
      <c r="E102" s="10">
        <f>RANK(D102,$D$3:$D$156,0)</f>
        <v>103</v>
      </c>
      <c r="F102" s="10">
        <f>RANK(D102,$D$3:$D$156,1)</f>
        <v>51</v>
      </c>
      <c r="G102" s="6"/>
      <c r="H102" s="6"/>
    </row>
    <row r="103" spans="1:8" x14ac:dyDescent="0.3">
      <c r="A103" s="6" t="s">
        <v>234</v>
      </c>
      <c r="B103" s="6" t="s">
        <v>235</v>
      </c>
      <c r="C103" s="9">
        <f>RTD("wdf.rtq",,"300557.SZ","rt_last","RT_Price")</f>
        <v>31.42</v>
      </c>
      <c r="D103" s="9">
        <f>RTD("wdf.rtq",,"300557.SZ","rt_pct_chg","RT_Price")</f>
        <v>2.41</v>
      </c>
      <c r="E103" s="10">
        <f>RANK(D103,$D$3:$D$156,0)</f>
        <v>124</v>
      </c>
      <c r="F103" s="10">
        <f>RANK(D103,$D$3:$D$156,1)</f>
        <v>31</v>
      </c>
      <c r="G103" s="6"/>
      <c r="H103" s="6"/>
    </row>
    <row r="104" spans="1:8" x14ac:dyDescent="0.3">
      <c r="A104" s="6" t="s">
        <v>236</v>
      </c>
      <c r="B104" s="6" t="s">
        <v>237</v>
      </c>
      <c r="C104" s="9">
        <f>RTD("wdf.rtq",,"300560.SZ","rt_last","RT_Price")</f>
        <v>14.39</v>
      </c>
      <c r="D104" s="9">
        <f>RTD("wdf.rtq",,"300560.SZ","rt_pct_chg","RT_Price")</f>
        <v>4.5000000000000009</v>
      </c>
      <c r="E104" s="10">
        <f>RANK(D104,$D$3:$D$156,0)</f>
        <v>72</v>
      </c>
      <c r="F104" s="10">
        <f>RANK(D104,$D$3:$D$156,1)</f>
        <v>82</v>
      </c>
      <c r="G104" s="6"/>
      <c r="H104" s="6"/>
    </row>
    <row r="105" spans="1:8" x14ac:dyDescent="0.3">
      <c r="A105" s="6" t="s">
        <v>238</v>
      </c>
      <c r="B105" s="6" t="s">
        <v>239</v>
      </c>
      <c r="C105" s="9">
        <f>RTD("wdf.rtq",,"300563.SZ","rt_last","RT_Price")</f>
        <v>15.290000000000001</v>
      </c>
      <c r="D105" s="9">
        <f>RTD("wdf.rtq",,"300563.SZ","rt_pct_chg","RT_Price")</f>
        <v>4.16</v>
      </c>
      <c r="E105" s="10">
        <f>RANK(D105,$D$3:$D$156,0)</f>
        <v>79</v>
      </c>
      <c r="F105" s="10">
        <f>RANK(D105,$D$3:$D$156,1)</f>
        <v>74</v>
      </c>
      <c r="G105" s="6"/>
      <c r="H105" s="6"/>
    </row>
    <row r="106" spans="1:8" x14ac:dyDescent="0.3">
      <c r="A106" s="6" t="s">
        <v>240</v>
      </c>
      <c r="B106" s="6" t="s">
        <v>241</v>
      </c>
      <c r="C106" s="9">
        <f>RTD("wdf.rtq",,"300565.SZ","rt_last","RT_Price")</f>
        <v>12.030000000000001</v>
      </c>
      <c r="D106" s="9">
        <f>RTD("wdf.rtq",,"300565.SZ","rt_pct_chg","RT_Price")</f>
        <v>3.44</v>
      </c>
      <c r="E106" s="10">
        <f>RANK(D106,$D$3:$D$156,0)</f>
        <v>105</v>
      </c>
      <c r="F106" s="10">
        <f>RANK(D106,$D$3:$D$156,1)</f>
        <v>50</v>
      </c>
      <c r="G106" s="6"/>
      <c r="H106" s="6"/>
    </row>
    <row r="107" spans="1:8" x14ac:dyDescent="0.3">
      <c r="A107" s="6" t="s">
        <v>242</v>
      </c>
      <c r="B107" s="6" t="s">
        <v>243</v>
      </c>
      <c r="C107" s="9">
        <f>RTD("wdf.rtq",,"300570.SZ","rt_last","RT_Price")</f>
        <v>18.63</v>
      </c>
      <c r="D107" s="9">
        <f>RTD("wdf.rtq",,"300570.SZ","rt_pct_chg","RT_Price")</f>
        <v>3.9</v>
      </c>
      <c r="E107" s="10">
        <f>RANK(D107,$D$3:$D$156,0)</f>
        <v>93</v>
      </c>
      <c r="F107" s="10">
        <f>RANK(D107,$D$3:$D$156,1)</f>
        <v>62</v>
      </c>
      <c r="G107" s="6"/>
      <c r="H107" s="6"/>
    </row>
    <row r="108" spans="1:8" x14ac:dyDescent="0.3">
      <c r="A108" s="6" t="s">
        <v>244</v>
      </c>
      <c r="B108" s="6" t="s">
        <v>245</v>
      </c>
      <c r="C108" s="9">
        <f>RTD("wdf.rtq",,"300571.SZ","rt_last","RT_Price")</f>
        <v>64</v>
      </c>
      <c r="D108" s="9">
        <f>RTD("wdf.rtq",,"300571.SZ","rt_pct_chg","RT_Price")</f>
        <v>3.88</v>
      </c>
      <c r="E108" s="10">
        <f>RANK(D108,$D$3:$D$156,0)</f>
        <v>94</v>
      </c>
      <c r="F108" s="10">
        <f>RANK(D108,$D$3:$D$156,1)</f>
        <v>61</v>
      </c>
      <c r="G108" s="6"/>
      <c r="H108" s="6"/>
    </row>
    <row r="109" spans="1:8" x14ac:dyDescent="0.3">
      <c r="A109" s="6" t="s">
        <v>246</v>
      </c>
      <c r="B109" s="6" t="s">
        <v>247</v>
      </c>
      <c r="C109" s="9">
        <f>RTD("wdf.rtq",,"300578.SZ","rt_last","RT_Price")</f>
        <v>29.900000000000002</v>
      </c>
      <c r="D109" s="9">
        <f>RTD("wdf.rtq",,"300578.SZ","rt_pct_chg","RT_Price")</f>
        <v>5.21</v>
      </c>
      <c r="E109" s="10">
        <f>RANK(D109,$D$3:$D$156,0)</f>
        <v>51</v>
      </c>
      <c r="F109" s="10">
        <f>RANK(D109,$D$3:$D$156,1)</f>
        <v>104</v>
      </c>
      <c r="G109" s="6"/>
      <c r="H109" s="6"/>
    </row>
    <row r="110" spans="1:8" x14ac:dyDescent="0.3">
      <c r="A110" s="6" t="s">
        <v>248</v>
      </c>
      <c r="B110" s="6" t="s">
        <v>249</v>
      </c>
      <c r="C110" s="9">
        <f>RTD("wdf.rtq",,"300590.SZ","rt_last","RT_Price")</f>
        <v>31.650000000000002</v>
      </c>
      <c r="D110" s="9">
        <f>RTD("wdf.rtq",,"300590.SZ","rt_pct_chg","RT_Price")</f>
        <v>7.4700000000000006</v>
      </c>
      <c r="E110" s="10">
        <f>RANK(D110,$D$3:$D$156,0)</f>
        <v>22</v>
      </c>
      <c r="F110" s="10">
        <f>RANK(D110,$D$3:$D$156,1)</f>
        <v>133</v>
      </c>
      <c r="G110" s="6"/>
      <c r="H110" s="6"/>
    </row>
    <row r="111" spans="1:8" x14ac:dyDescent="0.3">
      <c r="A111" s="6" t="s">
        <v>250</v>
      </c>
      <c r="B111" s="6" t="s">
        <v>251</v>
      </c>
      <c r="C111" s="9">
        <f>RTD("wdf.rtq",,"300597.SZ","rt_last","RT_Price")</f>
        <v>9.77</v>
      </c>
      <c r="D111" s="9">
        <f>RTD("wdf.rtq",,"300597.SZ","rt_pct_chg","RT_Price")</f>
        <v>3.9400000000000004</v>
      </c>
      <c r="E111" s="10">
        <f>RANK(D111,$D$3:$D$156,0)</f>
        <v>89</v>
      </c>
      <c r="F111" s="10">
        <f>RANK(D111,$D$3:$D$156,1)</f>
        <v>66</v>
      </c>
      <c r="G111" s="6"/>
      <c r="H111" s="6"/>
    </row>
    <row r="112" spans="1:8" x14ac:dyDescent="0.3">
      <c r="A112" s="6" t="s">
        <v>252</v>
      </c>
      <c r="B112" s="6" t="s">
        <v>253</v>
      </c>
      <c r="C112" s="9">
        <f>RTD("wdf.rtq",,"300603.SZ","rt_last","RT_Price")</f>
        <v>10.59</v>
      </c>
      <c r="D112" s="9">
        <f>RTD("wdf.rtq",,"300603.SZ","rt_pct_chg","RT_Price")</f>
        <v>5.16</v>
      </c>
      <c r="E112" s="10">
        <f>RANK(D112,$D$3:$D$156,0)</f>
        <v>53</v>
      </c>
      <c r="F112" s="10">
        <f>RANK(D112,$D$3:$D$156,1)</f>
        <v>102</v>
      </c>
      <c r="G112" s="6"/>
      <c r="H112" s="6"/>
    </row>
    <row r="113" spans="1:8" x14ac:dyDescent="0.3">
      <c r="A113" s="6" t="s">
        <v>254</v>
      </c>
      <c r="B113" s="6" t="s">
        <v>255</v>
      </c>
      <c r="C113" s="9">
        <f>RTD("wdf.rtq",,"300615.SZ","rt_last","RT_Price")</f>
        <v>12.81</v>
      </c>
      <c r="D113" s="9">
        <f>RTD("wdf.rtq",,"300615.SZ","rt_pct_chg","RT_Price")</f>
        <v>3.1400000000000006</v>
      </c>
      <c r="E113" s="10">
        <f>RANK(D113,$D$3:$D$156,0)</f>
        <v>110</v>
      </c>
      <c r="F113" s="10">
        <f>RANK(D113,$D$3:$D$156,1)</f>
        <v>45</v>
      </c>
      <c r="G113" s="6"/>
      <c r="H113" s="6"/>
    </row>
    <row r="114" spans="1:8" x14ac:dyDescent="0.3">
      <c r="A114" s="6" t="s">
        <v>256</v>
      </c>
      <c r="B114" s="6" t="s">
        <v>257</v>
      </c>
      <c r="C114" s="9">
        <f>RTD("wdf.rtq",,"300620.SZ","rt_last","RT_Price")</f>
        <v>54.54</v>
      </c>
      <c r="D114" s="9">
        <f>RTD("wdf.rtq",,"300620.SZ","rt_pct_chg","RT_Price")</f>
        <v>11.47</v>
      </c>
      <c r="E114" s="10">
        <f>RANK(D114,$D$3:$D$156,0)</f>
        <v>5</v>
      </c>
      <c r="F114" s="10">
        <f>RANK(D114,$D$3:$D$156,1)</f>
        <v>150</v>
      </c>
      <c r="G114" s="6"/>
      <c r="H114" s="6"/>
    </row>
    <row r="115" spans="1:8" x14ac:dyDescent="0.3">
      <c r="A115" s="6" t="s">
        <v>258</v>
      </c>
      <c r="B115" s="6" t="s">
        <v>259</v>
      </c>
      <c r="C115" s="9">
        <f>RTD("wdf.rtq",,"300627.SZ","rt_last","RT_Price")</f>
        <v>42.88</v>
      </c>
      <c r="D115" s="9">
        <f>RTD("wdf.rtq",,"300627.SZ","rt_pct_chg","RT_Price")</f>
        <v>7.66</v>
      </c>
      <c r="E115" s="10">
        <f>RANK(D115,$D$3:$D$156,0)</f>
        <v>20</v>
      </c>
      <c r="F115" s="10">
        <f>RANK(D115,$D$3:$D$156,1)</f>
        <v>135</v>
      </c>
      <c r="G115" s="6"/>
      <c r="H115" s="6"/>
    </row>
    <row r="116" spans="1:8" x14ac:dyDescent="0.3">
      <c r="A116" s="6" t="s">
        <v>260</v>
      </c>
      <c r="B116" s="6" t="s">
        <v>261</v>
      </c>
      <c r="C116" s="9">
        <f>RTD("wdf.rtq",,"300628.SZ","rt_last","RT_Price")</f>
        <v>86.26</v>
      </c>
      <c r="D116" s="9">
        <f>RTD("wdf.rtq",,"300628.SZ","rt_pct_chg","RT_Price")</f>
        <v>8.39</v>
      </c>
      <c r="E116" s="10">
        <f>RANK(D116,$D$3:$D$156,0)</f>
        <v>15</v>
      </c>
      <c r="F116" s="10">
        <f>RANK(D116,$D$3:$D$156,1)</f>
        <v>140</v>
      </c>
      <c r="G116" s="6"/>
      <c r="H116" s="6"/>
    </row>
    <row r="117" spans="1:8" x14ac:dyDescent="0.3">
      <c r="A117" s="6" t="s">
        <v>262</v>
      </c>
      <c r="B117" s="6" t="s">
        <v>263</v>
      </c>
      <c r="C117" s="9">
        <f>RTD("wdf.rtq",,"300638.SZ","rt_last","RT_Price")</f>
        <v>50.28</v>
      </c>
      <c r="D117" s="9">
        <f>RTD("wdf.rtq",,"300638.SZ","rt_pct_chg","RT_Price")</f>
        <v>4.95</v>
      </c>
      <c r="E117" s="10">
        <f>RANK(D117,$D$3:$D$156,0)</f>
        <v>58</v>
      </c>
      <c r="F117" s="10">
        <f>RANK(D117,$D$3:$D$156,1)</f>
        <v>97</v>
      </c>
      <c r="G117" s="6"/>
      <c r="H117" s="6"/>
    </row>
    <row r="118" spans="1:8" x14ac:dyDescent="0.3">
      <c r="A118" s="6" t="s">
        <v>264</v>
      </c>
      <c r="B118" s="6" t="s">
        <v>265</v>
      </c>
      <c r="C118" s="9">
        <f>RTD("wdf.rtq",,"300659.SZ","rt_last","RT_Price")</f>
        <v>48.9</v>
      </c>
      <c r="D118" s="9">
        <f>RTD("wdf.rtq",,"300659.SZ","rt_pct_chg","RT_Price")</f>
        <v>7.1400000000000006</v>
      </c>
      <c r="E118" s="10">
        <f>RANK(D118,$D$3:$D$156,0)</f>
        <v>24</v>
      </c>
      <c r="F118" s="10">
        <f>RANK(D118,$D$3:$D$156,1)</f>
        <v>131</v>
      </c>
      <c r="G118" s="6"/>
      <c r="H118" s="6"/>
    </row>
    <row r="119" spans="1:8" x14ac:dyDescent="0.3">
      <c r="A119" s="6" t="s">
        <v>266</v>
      </c>
      <c r="B119" s="6" t="s">
        <v>267</v>
      </c>
      <c r="C119" s="9">
        <f>RTD("wdf.rtq",,"300698.SZ","rt_last","RT_Price")</f>
        <v>25.650000000000002</v>
      </c>
      <c r="D119" s="9">
        <f>RTD("wdf.rtq",,"300698.SZ","rt_pct_chg","RT_Price")</f>
        <v>3.64</v>
      </c>
      <c r="E119" s="10">
        <f>RANK(D119,$D$3:$D$156,0)</f>
        <v>98</v>
      </c>
      <c r="F119" s="10">
        <f>RANK(D119,$D$3:$D$156,1)</f>
        <v>56</v>
      </c>
      <c r="G119" s="6"/>
      <c r="H119" s="6"/>
    </row>
    <row r="120" spans="1:8" x14ac:dyDescent="0.3">
      <c r="A120" s="6" t="s">
        <v>268</v>
      </c>
      <c r="B120" s="6" t="s">
        <v>269</v>
      </c>
      <c r="C120" s="9">
        <f>RTD("wdf.rtq",,"300701.SZ","rt_last","RT_Price")</f>
        <v>18</v>
      </c>
      <c r="D120" s="9">
        <f>RTD("wdf.rtq",,"300701.SZ","rt_pct_chg","RT_Price")</f>
        <v>4.1100000000000003</v>
      </c>
      <c r="E120" s="10">
        <f>RANK(D120,$D$3:$D$156,0)</f>
        <v>83</v>
      </c>
      <c r="F120" s="10">
        <f>RANK(D120,$D$3:$D$156,1)</f>
        <v>72</v>
      </c>
      <c r="G120" s="6"/>
      <c r="H120" s="6"/>
    </row>
    <row r="121" spans="1:8" x14ac:dyDescent="0.3">
      <c r="A121" s="6" t="s">
        <v>270</v>
      </c>
      <c r="B121" s="6" t="s">
        <v>271</v>
      </c>
      <c r="C121" s="9">
        <f>RTD("wdf.rtq",,"300710.SZ","rt_last","RT_Price")</f>
        <v>58.5</v>
      </c>
      <c r="D121" s="9">
        <f>RTD("wdf.rtq",,"300710.SZ","rt_pct_chg","RT_Price")</f>
        <v>1.1900000000000002</v>
      </c>
      <c r="E121" s="10">
        <f>RANK(D121,$D$3:$D$156,0)</f>
        <v>138</v>
      </c>
      <c r="F121" s="10">
        <f>RANK(D121,$D$3:$D$156,1)</f>
        <v>17</v>
      </c>
      <c r="G121" s="6"/>
      <c r="H121" s="6"/>
    </row>
    <row r="122" spans="1:8" x14ac:dyDescent="0.3">
      <c r="A122" s="6" t="s">
        <v>272</v>
      </c>
      <c r="B122" s="6" t="s">
        <v>273</v>
      </c>
      <c r="C122" s="9">
        <f>RTD("wdf.rtq",,"300711.SZ","rt_last","RT_Price")</f>
        <v>14.950000000000001</v>
      </c>
      <c r="D122" s="9">
        <f>RTD("wdf.rtq",,"300711.SZ","rt_pct_chg","RT_Price")</f>
        <v>2.96</v>
      </c>
      <c r="E122" s="10">
        <f>RANK(D122,$D$3:$D$156,0)</f>
        <v>115</v>
      </c>
      <c r="F122" s="10">
        <f>RANK(D122,$D$3:$D$156,1)</f>
        <v>40</v>
      </c>
      <c r="G122" s="6"/>
      <c r="H122" s="6"/>
    </row>
    <row r="123" spans="1:8" x14ac:dyDescent="0.3">
      <c r="A123" s="6" t="s">
        <v>274</v>
      </c>
      <c r="B123" s="6" t="s">
        <v>275</v>
      </c>
      <c r="C123" s="9">
        <f>RTD("wdf.rtq",,"300738.SZ","rt_last","RT_Price")</f>
        <v>25.43</v>
      </c>
      <c r="D123" s="9">
        <f>RTD("wdf.rtq",,"300738.SZ","rt_pct_chg","RT_Price")</f>
        <v>11.63</v>
      </c>
      <c r="E123" s="10">
        <f>RANK(D123,$D$3:$D$156,0)</f>
        <v>4</v>
      </c>
      <c r="F123" s="10">
        <f>RANK(D123,$D$3:$D$156,1)</f>
        <v>151</v>
      </c>
      <c r="G123" s="6"/>
      <c r="H123" s="6"/>
    </row>
    <row r="124" spans="1:8" x14ac:dyDescent="0.3">
      <c r="A124" s="6" t="s">
        <v>276</v>
      </c>
      <c r="B124" s="6" t="s">
        <v>277</v>
      </c>
      <c r="C124" s="9">
        <f>RTD("wdf.rtq",,"300768.SZ","rt_last","RT_Price")</f>
        <v>40.81</v>
      </c>
      <c r="D124" s="9">
        <f>RTD("wdf.rtq",,"300768.SZ","rt_pct_chg","RT_Price")</f>
        <v>5.45</v>
      </c>
      <c r="E124" s="10">
        <f>RANK(D124,$D$3:$D$156,0)</f>
        <v>45</v>
      </c>
      <c r="F124" s="10">
        <f>RANK(D124,$D$3:$D$156,1)</f>
        <v>110</v>
      </c>
      <c r="G124" s="6"/>
      <c r="H124" s="6"/>
    </row>
    <row r="125" spans="1:8" x14ac:dyDescent="0.3">
      <c r="A125" s="6" t="s">
        <v>278</v>
      </c>
      <c r="B125" s="6" t="s">
        <v>279</v>
      </c>
      <c r="C125" s="9">
        <f>RTD("wdf.rtq",,"600050.SH","rt_last","RT_Price")</f>
        <v>3.97</v>
      </c>
      <c r="D125" s="9">
        <f>RTD("wdf.rtq",,"600050.SH","rt_pct_chg","RT_Price")</f>
        <v>0</v>
      </c>
      <c r="E125" s="10">
        <f>RANK(D125,$D$3:$D$156,0)</f>
        <v>146</v>
      </c>
      <c r="F125" s="10">
        <f>RANK(D125,$D$3:$D$156,1)</f>
        <v>8</v>
      </c>
      <c r="G125" s="6"/>
      <c r="H125" s="6"/>
    </row>
    <row r="126" spans="1:8" x14ac:dyDescent="0.3">
      <c r="A126" s="6" t="s">
        <v>280</v>
      </c>
      <c r="B126" s="6" t="s">
        <v>281</v>
      </c>
      <c r="C126" s="9">
        <f>RTD("wdf.rtq",,"600105.SH","rt_last","RT_Price")</f>
        <v>5.13</v>
      </c>
      <c r="D126" s="9">
        <f>RTD("wdf.rtq",,"600105.SH","rt_pct_chg","RT_Price")</f>
        <v>1.58</v>
      </c>
      <c r="E126" s="10">
        <f>RANK(D126,$D$3:$D$156,0)</f>
        <v>134</v>
      </c>
      <c r="F126" s="10">
        <f>RANK(D126,$D$3:$D$156,1)</f>
        <v>21</v>
      </c>
      <c r="G126" s="6"/>
      <c r="H126" s="6"/>
    </row>
    <row r="127" spans="1:8" x14ac:dyDescent="0.3">
      <c r="A127" s="6" t="s">
        <v>282</v>
      </c>
      <c r="B127" s="6" t="s">
        <v>283</v>
      </c>
      <c r="C127" s="9">
        <f>RTD("wdf.rtq",,"600130.SH","rt_last","RT_Price")</f>
        <v>4.12</v>
      </c>
      <c r="D127" s="9">
        <f>RTD("wdf.rtq",,"600130.SH","rt_pct_chg","RT_Price")</f>
        <v>4.0400000000000009</v>
      </c>
      <c r="E127" s="10">
        <f>RANK(D127,$D$3:$D$156,0)</f>
        <v>84</v>
      </c>
      <c r="F127" s="10">
        <f>RANK(D127,$D$3:$D$156,1)</f>
        <v>71</v>
      </c>
      <c r="G127" s="6"/>
      <c r="H127" s="6"/>
    </row>
    <row r="128" spans="1:8" x14ac:dyDescent="0.3">
      <c r="A128" s="6" t="s">
        <v>284</v>
      </c>
      <c r="B128" s="6" t="s">
        <v>285</v>
      </c>
      <c r="C128" s="9">
        <f>RTD("wdf.rtq",,"600260.SH","rt_last","RT_Price")</f>
        <v>2.63</v>
      </c>
      <c r="D128" s="9">
        <f>RTD("wdf.rtq",,"600260.SH","rt_pct_chg","RT_Price")</f>
        <v>-5.0500000000000007</v>
      </c>
      <c r="E128" s="10">
        <f>RANK(D128,$D$3:$D$156,0)</f>
        <v>154</v>
      </c>
      <c r="F128" s="10">
        <f>RANK(D128,$D$3:$D$156,1)</f>
        <v>1</v>
      </c>
      <c r="G128" s="6"/>
      <c r="H128" s="6"/>
    </row>
    <row r="129" spans="1:8" x14ac:dyDescent="0.3">
      <c r="A129" s="6" t="s">
        <v>286</v>
      </c>
      <c r="B129" s="6" t="s">
        <v>287</v>
      </c>
      <c r="C129" s="9">
        <f>RTD("wdf.rtq",,"600289.SH","rt_last","RT_Price")</f>
        <v>4.13</v>
      </c>
      <c r="D129" s="9">
        <f>RTD("wdf.rtq",,"600289.SH","rt_pct_chg","RT_Price")</f>
        <v>1.4700000000000002</v>
      </c>
      <c r="E129" s="10">
        <f>RANK(D129,$D$3:$D$156,0)</f>
        <v>135</v>
      </c>
      <c r="F129" s="10">
        <f>RANK(D129,$D$3:$D$156,1)</f>
        <v>20</v>
      </c>
      <c r="G129" s="6"/>
      <c r="H129" s="6"/>
    </row>
    <row r="130" spans="1:8" x14ac:dyDescent="0.3">
      <c r="A130" s="6" t="s">
        <v>288</v>
      </c>
      <c r="B130" s="6" t="s">
        <v>289</v>
      </c>
      <c r="C130" s="9">
        <f>RTD("wdf.rtq",,"600345.SH","rt_last","RT_Price")</f>
        <v>17.3</v>
      </c>
      <c r="D130" s="9">
        <f>RTD("wdf.rtq",,"600345.SH","rt_pct_chg","RT_Price")</f>
        <v>3.47</v>
      </c>
      <c r="E130" s="10">
        <f>RANK(D130,$D$3:$D$156,0)</f>
        <v>103</v>
      </c>
      <c r="F130" s="10">
        <f>RANK(D130,$D$3:$D$156,1)</f>
        <v>51</v>
      </c>
      <c r="G130" s="6"/>
      <c r="H130" s="6"/>
    </row>
    <row r="131" spans="1:8" x14ac:dyDescent="0.3">
      <c r="A131" s="6" t="s">
        <v>290</v>
      </c>
      <c r="B131" s="6" t="s">
        <v>291</v>
      </c>
      <c r="C131" s="9">
        <f>RTD("wdf.rtq",,"600462.SH","rt_last","RT_Price")</f>
        <v>2.66</v>
      </c>
      <c r="D131" s="9">
        <f>RTD("wdf.rtq",,"600462.SH","rt_pct_chg","RT_Price")</f>
        <v>0.76</v>
      </c>
      <c r="E131" s="10">
        <f>RANK(D131,$D$3:$D$156,0)</f>
        <v>142</v>
      </c>
      <c r="F131" s="10">
        <f>RANK(D131,$D$3:$D$156,1)</f>
        <v>13</v>
      </c>
      <c r="G131" s="6"/>
      <c r="H131" s="6"/>
    </row>
    <row r="132" spans="1:8" x14ac:dyDescent="0.3">
      <c r="A132" s="6" t="s">
        <v>292</v>
      </c>
      <c r="B132" s="6" t="s">
        <v>293</v>
      </c>
      <c r="C132" s="9">
        <f>RTD("wdf.rtq",,"600487.SH","rt_last","RT_Price")</f>
        <v>15.36</v>
      </c>
      <c r="D132" s="9">
        <f>RTD("wdf.rtq",,"600487.SH","rt_pct_chg","RT_Price")</f>
        <v>3.64</v>
      </c>
      <c r="E132" s="10">
        <f>RANK(D132,$D$3:$D$156,0)</f>
        <v>98</v>
      </c>
      <c r="F132" s="10">
        <f>RANK(D132,$D$3:$D$156,1)</f>
        <v>56</v>
      </c>
      <c r="G132" s="6"/>
      <c r="H132" s="6"/>
    </row>
    <row r="133" spans="1:8" x14ac:dyDescent="0.3">
      <c r="A133" s="6" t="s">
        <v>294</v>
      </c>
      <c r="B133" s="6" t="s">
        <v>295</v>
      </c>
      <c r="C133" s="9">
        <f>RTD("wdf.rtq",,"600498.SH","rt_last","RT_Price")</f>
        <v>18.55</v>
      </c>
      <c r="D133" s="9">
        <f>RTD("wdf.rtq",,"600498.SH","rt_pct_chg","RT_Price")</f>
        <v>3.9800000000000004</v>
      </c>
      <c r="E133" s="10">
        <f>RANK(D133,$D$3:$D$156,0)</f>
        <v>85</v>
      </c>
      <c r="F133" s="10">
        <f>RANK(D133,$D$3:$D$156,1)</f>
        <v>70</v>
      </c>
      <c r="G133" s="6"/>
      <c r="H133" s="6"/>
    </row>
    <row r="134" spans="1:8" x14ac:dyDescent="0.3">
      <c r="A134" s="6" t="s">
        <v>296</v>
      </c>
      <c r="B134" s="6" t="s">
        <v>297</v>
      </c>
      <c r="C134" s="9">
        <f>RTD("wdf.rtq",,"600522.SH","rt_last","RT_Price")</f>
        <v>14.55</v>
      </c>
      <c r="D134" s="9">
        <f>RTD("wdf.rtq",,"600522.SH","rt_pct_chg","RT_Price")</f>
        <v>0.34</v>
      </c>
      <c r="E134" s="10">
        <f>RANK(D134,$D$3:$D$156,0)</f>
        <v>144</v>
      </c>
      <c r="F134" s="10">
        <f>RANK(D134,$D$3:$D$156,1)</f>
        <v>11</v>
      </c>
      <c r="G134" s="6"/>
      <c r="H134" s="6"/>
    </row>
    <row r="135" spans="1:8" x14ac:dyDescent="0.3">
      <c r="A135" s="6" t="s">
        <v>298</v>
      </c>
      <c r="B135" s="6" t="s">
        <v>299</v>
      </c>
      <c r="C135" s="9">
        <f>RTD("wdf.rtq",,"600640.SH","rt_last","RT_Price")</f>
        <v>14.75</v>
      </c>
      <c r="D135" s="9">
        <f>RTD("wdf.rtq",,"600640.SH","rt_pct_chg","RT_Price")</f>
        <v>4.24</v>
      </c>
      <c r="E135" s="10">
        <f>RANK(D135,$D$3:$D$156,0)</f>
        <v>76</v>
      </c>
      <c r="F135" s="10">
        <f>RANK(D135,$D$3:$D$156,1)</f>
        <v>79</v>
      </c>
      <c r="G135" s="6"/>
      <c r="H135" s="6"/>
    </row>
    <row r="136" spans="1:8" x14ac:dyDescent="0.3">
      <c r="A136" s="6" t="s">
        <v>300</v>
      </c>
      <c r="B136" s="6" t="s">
        <v>301</v>
      </c>
      <c r="C136" s="9">
        <f>RTD("wdf.rtq",,"600734.SH","rt_last","RT_Price")</f>
        <v>3.1</v>
      </c>
      <c r="D136" s="9">
        <f>RTD("wdf.rtq",,"600734.SH","rt_pct_chg","RT_Price")</f>
        <v>-1.9</v>
      </c>
      <c r="E136" s="10">
        <f>RANK(D136,$D$3:$D$156,0)</f>
        <v>152</v>
      </c>
      <c r="F136" s="10">
        <f>RANK(D136,$D$3:$D$156,1)</f>
        <v>3</v>
      </c>
      <c r="G136" s="6"/>
      <c r="H136" s="6"/>
    </row>
    <row r="137" spans="1:8" x14ac:dyDescent="0.3">
      <c r="A137" s="6" t="s">
        <v>302</v>
      </c>
      <c r="B137" s="6" t="s">
        <v>303</v>
      </c>
      <c r="C137" s="9">
        <f>RTD("wdf.rtq",,"600776.SH","rt_last","RT_Price")</f>
        <v>12.370000000000001</v>
      </c>
      <c r="D137" s="9">
        <f>RTD("wdf.rtq",,"600776.SH","rt_pct_chg","RT_Price")</f>
        <v>8.32</v>
      </c>
      <c r="E137" s="10">
        <f>RANK(D137,$D$3:$D$156,0)</f>
        <v>16</v>
      </c>
      <c r="F137" s="10">
        <f>RANK(D137,$D$3:$D$156,1)</f>
        <v>139</v>
      </c>
      <c r="G137" s="6"/>
      <c r="H137" s="6"/>
    </row>
    <row r="138" spans="1:8" x14ac:dyDescent="0.3">
      <c r="A138" s="6" t="s">
        <v>304</v>
      </c>
      <c r="B138" s="6" t="s">
        <v>305</v>
      </c>
      <c r="C138" s="9">
        <f>RTD("wdf.rtq",,"600804.SH","rt_last","RT_Price")</f>
        <v>6.7</v>
      </c>
      <c r="D138" s="9">
        <f>RTD("wdf.rtq",,"600804.SH","rt_pct_chg","RT_Price")</f>
        <v>6.69</v>
      </c>
      <c r="E138" s="10">
        <f>RANK(D138,$D$3:$D$156,0)</f>
        <v>32</v>
      </c>
      <c r="F138" s="10">
        <f>RANK(D138,$D$3:$D$156,1)</f>
        <v>123</v>
      </c>
      <c r="G138" s="6"/>
      <c r="H138" s="6"/>
    </row>
    <row r="139" spans="1:8" x14ac:dyDescent="0.3">
      <c r="A139" s="6" t="s">
        <v>306</v>
      </c>
      <c r="B139" s="6" t="s">
        <v>307</v>
      </c>
      <c r="C139" s="9">
        <f>RTD("wdf.rtq",,"600845.SH","rt_last","RT_Price")</f>
        <v>63.690000000000005</v>
      </c>
      <c r="D139" s="9">
        <f>RTD("wdf.rtq",,"600845.SH","rt_pct_chg","RT_Price")</f>
        <v>6.75</v>
      </c>
      <c r="E139" s="10">
        <f>RANK(D139,$D$3:$D$156,0)</f>
        <v>31</v>
      </c>
      <c r="F139" s="10">
        <f>RANK(D139,$D$3:$D$156,1)</f>
        <v>124</v>
      </c>
      <c r="G139" s="6"/>
      <c r="H139" s="6"/>
    </row>
    <row r="140" spans="1:8" x14ac:dyDescent="0.3">
      <c r="A140" s="6" t="s">
        <v>308</v>
      </c>
      <c r="B140" s="6" t="s">
        <v>309</v>
      </c>
      <c r="C140" s="9">
        <f>RTD("wdf.rtq",,"601869.SH","rt_last","RT_Price")</f>
        <v>33.83</v>
      </c>
      <c r="D140" s="9">
        <f>RTD("wdf.rtq",,"601869.SH","rt_pct_chg","RT_Price")</f>
        <v>6.99</v>
      </c>
      <c r="E140" s="10">
        <f>RANK(D140,$D$3:$D$156,0)</f>
        <v>26</v>
      </c>
      <c r="F140" s="10">
        <f>RANK(D140,$D$3:$D$156,1)</f>
        <v>129</v>
      </c>
      <c r="G140" s="6"/>
      <c r="H140" s="6"/>
    </row>
    <row r="141" spans="1:8" x14ac:dyDescent="0.3">
      <c r="A141" s="6" t="s">
        <v>310</v>
      </c>
      <c r="B141" s="6" t="s">
        <v>311</v>
      </c>
      <c r="C141" s="9">
        <f>RTD("wdf.rtq",,"603042.SH","rt_last","RT_Price")</f>
        <v>13.69</v>
      </c>
      <c r="D141" s="9">
        <f>RTD("wdf.rtq",,"603042.SH","rt_pct_chg","RT_Price")</f>
        <v>1.1100000000000001</v>
      </c>
      <c r="E141" s="10">
        <f>RANK(D141,$D$3:$D$156,0)</f>
        <v>140</v>
      </c>
      <c r="F141" s="10">
        <f>RANK(D141,$D$3:$D$156,1)</f>
        <v>15</v>
      </c>
      <c r="G141" s="6"/>
      <c r="H141" s="6"/>
    </row>
    <row r="142" spans="1:8" x14ac:dyDescent="0.3">
      <c r="A142" s="6" t="s">
        <v>312</v>
      </c>
      <c r="B142" s="6" t="s">
        <v>313</v>
      </c>
      <c r="C142" s="9">
        <f>RTD("wdf.rtq",,"603083.SH","rt_last","RT_Price")</f>
        <v>14.39</v>
      </c>
      <c r="D142" s="9">
        <f>RTD("wdf.rtq",,"603083.SH","rt_pct_chg","RT_Price")</f>
        <v>3.0100000000000002</v>
      </c>
      <c r="E142" s="10">
        <f>RANK(D142,$D$3:$D$156,0)</f>
        <v>113</v>
      </c>
      <c r="F142" s="10">
        <f>RANK(D142,$D$3:$D$156,1)</f>
        <v>42</v>
      </c>
      <c r="G142" s="6"/>
      <c r="H142" s="6"/>
    </row>
    <row r="143" spans="1:8" x14ac:dyDescent="0.3">
      <c r="A143" s="6" t="s">
        <v>314</v>
      </c>
      <c r="B143" s="6" t="s">
        <v>315</v>
      </c>
      <c r="C143" s="9">
        <f>RTD("wdf.rtq",,"603118.SH","rt_last","RT_Price")</f>
        <v>10.050000000000001</v>
      </c>
      <c r="D143" s="9">
        <f>RTD("wdf.rtq",,"603118.SH","rt_pct_chg","RT_Price")</f>
        <v>4.58</v>
      </c>
      <c r="E143" s="10">
        <f>RANK(D143,$D$3:$D$156,0)</f>
        <v>67</v>
      </c>
      <c r="F143" s="10">
        <f>RANK(D143,$D$3:$D$156,1)</f>
        <v>87</v>
      </c>
      <c r="G143" s="6"/>
      <c r="H143" s="6"/>
    </row>
    <row r="144" spans="1:8" x14ac:dyDescent="0.3">
      <c r="A144" s="6" t="s">
        <v>316</v>
      </c>
      <c r="B144" s="6" t="s">
        <v>317</v>
      </c>
      <c r="C144" s="9">
        <f>RTD("wdf.rtq",,"603138.SH","rt_last","RT_Price")</f>
        <v>22.5</v>
      </c>
      <c r="D144" s="9">
        <f>RTD("wdf.rtq",,"603138.SH","rt_pct_chg","RT_Price")</f>
        <v>10.020000000000001</v>
      </c>
      <c r="E144" s="10">
        <f>RANK(D144,$D$3:$D$156,0)</f>
        <v>11</v>
      </c>
      <c r="F144" s="10">
        <f>RANK(D144,$D$3:$D$156,1)</f>
        <v>144</v>
      </c>
      <c r="G144" s="6"/>
      <c r="H144" s="6"/>
    </row>
    <row r="145" spans="1:8" x14ac:dyDescent="0.3">
      <c r="A145" s="6" t="s">
        <v>318</v>
      </c>
      <c r="B145" s="6" t="s">
        <v>319</v>
      </c>
      <c r="C145" s="9">
        <f>RTD("wdf.rtq",,"603236.SH","rt_last","RT_Price")</f>
        <v>192.49</v>
      </c>
      <c r="D145" s="9">
        <f>RTD("wdf.rtq",,"603236.SH","rt_pct_chg","RT_Price")</f>
        <v>6.65</v>
      </c>
      <c r="E145" s="10">
        <f>RANK(D145,$D$3:$D$156,0)</f>
        <v>34</v>
      </c>
      <c r="F145" s="10">
        <f>RANK(D145,$D$3:$D$156,1)</f>
        <v>121</v>
      </c>
      <c r="G145" s="6"/>
      <c r="H145" s="6"/>
    </row>
    <row r="146" spans="1:8" x14ac:dyDescent="0.3">
      <c r="A146" s="6" t="s">
        <v>320</v>
      </c>
      <c r="B146" s="6" t="s">
        <v>321</v>
      </c>
      <c r="C146" s="9">
        <f>RTD("wdf.rtq",,"603322.SH","rt_last","RT_Price")</f>
        <v>13.540000000000001</v>
      </c>
      <c r="D146" s="9">
        <f>RTD("wdf.rtq",,"603322.SH","rt_pct_chg","RT_Price")</f>
        <v>4.3900000000000006</v>
      </c>
      <c r="E146" s="10">
        <f>RANK(D146,$D$3:$D$156,0)</f>
        <v>75</v>
      </c>
      <c r="F146" s="10">
        <f>RANK(D146,$D$3:$D$156,1)</f>
        <v>80</v>
      </c>
      <c r="G146" s="6"/>
      <c r="H146" s="6"/>
    </row>
    <row r="147" spans="1:8" x14ac:dyDescent="0.3">
      <c r="A147" s="6" t="s">
        <v>322</v>
      </c>
      <c r="B147" s="6" t="s">
        <v>323</v>
      </c>
      <c r="C147" s="9">
        <f>RTD("wdf.rtq",,"603421.SH","rt_last","RT_Price")</f>
        <v>8.4499999999999993</v>
      </c>
      <c r="D147" s="9">
        <f>RTD("wdf.rtq",,"603421.SH","rt_pct_chg","RT_Price")</f>
        <v>3.3000000000000003</v>
      </c>
      <c r="E147" s="10">
        <f>RANK(D147,$D$3:$D$156,0)</f>
        <v>106</v>
      </c>
      <c r="F147" s="10">
        <f>RANK(D147,$D$3:$D$156,1)</f>
        <v>49</v>
      </c>
      <c r="G147" s="6"/>
      <c r="H147" s="6"/>
    </row>
    <row r="148" spans="1:8" x14ac:dyDescent="0.3">
      <c r="A148" s="6" t="s">
        <v>324</v>
      </c>
      <c r="B148" s="6" t="s">
        <v>325</v>
      </c>
      <c r="C148" s="9">
        <f>RTD("wdf.rtq",,"603496.SH","rt_last","RT_Price")</f>
        <v>16.760000000000002</v>
      </c>
      <c r="D148" s="9">
        <f>RTD("wdf.rtq",,"603496.SH","rt_pct_chg","RT_Price")</f>
        <v>2.95</v>
      </c>
      <c r="E148" s="10">
        <f>RANK(D148,$D$3:$D$156,0)</f>
        <v>116</v>
      </c>
      <c r="F148" s="10">
        <f>RANK(D148,$D$3:$D$156,1)</f>
        <v>39</v>
      </c>
      <c r="G148" s="6"/>
      <c r="H148" s="6"/>
    </row>
    <row r="149" spans="1:8" x14ac:dyDescent="0.3">
      <c r="A149" s="6" t="s">
        <v>326</v>
      </c>
      <c r="B149" s="6" t="s">
        <v>327</v>
      </c>
      <c r="C149" s="9">
        <f>RTD("wdf.rtq",,"603559.SH","rt_last","RT_Price")</f>
        <v>12.58</v>
      </c>
      <c r="D149" s="9">
        <f>RTD("wdf.rtq",,"603559.SH","rt_pct_chg","RT_Price")</f>
        <v>2.19</v>
      </c>
      <c r="E149" s="10">
        <f>RANK(D149,$D$3:$D$156,0)</f>
        <v>126</v>
      </c>
      <c r="F149" s="10">
        <f>RANK(D149,$D$3:$D$156,1)</f>
        <v>29</v>
      </c>
      <c r="G149" s="6"/>
      <c r="H149" s="6"/>
    </row>
    <row r="150" spans="1:8" x14ac:dyDescent="0.3">
      <c r="A150" s="6" t="s">
        <v>328</v>
      </c>
      <c r="B150" s="6" t="s">
        <v>329</v>
      </c>
      <c r="C150" s="9">
        <f>RTD("wdf.rtq",,"603602.SH","rt_last","RT_Price")</f>
        <v>12.39</v>
      </c>
      <c r="D150" s="9">
        <f>RTD("wdf.rtq",,"603602.SH","rt_pct_chg","RT_Price")</f>
        <v>4.12</v>
      </c>
      <c r="E150" s="10">
        <f>RANK(D150,$D$3:$D$156,0)</f>
        <v>82</v>
      </c>
      <c r="F150" s="10">
        <f>RANK(D150,$D$3:$D$156,1)</f>
        <v>73</v>
      </c>
      <c r="G150" s="6"/>
      <c r="H150" s="6"/>
    </row>
    <row r="151" spans="1:8" x14ac:dyDescent="0.3">
      <c r="A151" s="6" t="s">
        <v>330</v>
      </c>
      <c r="B151" s="6" t="s">
        <v>331</v>
      </c>
      <c r="C151" s="9">
        <f>RTD("wdf.rtq",,"603679.SH","rt_last","RT_Price")</f>
        <v>14.69</v>
      </c>
      <c r="D151" s="9">
        <f>RTD("wdf.rtq",,"603679.SH","rt_pct_chg","RT_Price")</f>
        <v>2.73</v>
      </c>
      <c r="E151" s="10">
        <f>RANK(D151,$D$3:$D$156,0)</f>
        <v>120</v>
      </c>
      <c r="F151" s="10">
        <f>RANK(D151,$D$3:$D$156,1)</f>
        <v>35</v>
      </c>
      <c r="G151" s="6"/>
      <c r="H151" s="6"/>
    </row>
    <row r="152" spans="1:8" x14ac:dyDescent="0.3">
      <c r="A152" s="6" t="s">
        <v>332</v>
      </c>
      <c r="B152" s="6" t="s">
        <v>333</v>
      </c>
      <c r="C152" s="9">
        <f>RTD("wdf.rtq",,"603703.SH","rt_last","RT_Price")</f>
        <v>26.77</v>
      </c>
      <c r="D152" s="9">
        <f>RTD("wdf.rtq",,"603703.SH","rt_pct_chg","RT_Price")</f>
        <v>-0.41000000000000003</v>
      </c>
      <c r="E152" s="10">
        <f>RANK(D152,$D$3:$D$156,0)</f>
        <v>149</v>
      </c>
      <c r="F152" s="10">
        <f>RANK(D152,$D$3:$D$156,1)</f>
        <v>6</v>
      </c>
      <c r="G152" s="6"/>
      <c r="H152" s="6"/>
    </row>
    <row r="153" spans="1:8" x14ac:dyDescent="0.3">
      <c r="A153" s="6" t="s">
        <v>334</v>
      </c>
      <c r="B153" s="6" t="s">
        <v>335</v>
      </c>
      <c r="C153" s="9">
        <f>RTD("wdf.rtq",,"603712.SH","rt_last","RT_Price")</f>
        <v>41.72</v>
      </c>
      <c r="D153" s="9">
        <f>RTD("wdf.rtq",,"603712.SH","rt_pct_chg","RT_Price")</f>
        <v>-0.19</v>
      </c>
      <c r="E153" s="10">
        <f>RANK(D153,$D$3:$D$156,0)</f>
        <v>148</v>
      </c>
      <c r="F153" s="10">
        <f>RANK(D153,$D$3:$D$156,1)</f>
        <v>7</v>
      </c>
      <c r="G153" s="6"/>
      <c r="H153" s="6"/>
    </row>
    <row r="154" spans="1:8" x14ac:dyDescent="0.3">
      <c r="A154" s="6" t="s">
        <v>336</v>
      </c>
      <c r="B154" s="6" t="s">
        <v>337</v>
      </c>
      <c r="C154" s="9">
        <f>RTD("wdf.rtq",,"603803.SH","rt_last","RT_Price")</f>
        <v>9.1</v>
      </c>
      <c r="D154" s="9">
        <f>RTD("wdf.rtq",,"603803.SH","rt_pct_chg","RT_Price")</f>
        <v>5.08</v>
      </c>
      <c r="E154" s="10">
        <f>RANK(D154,$D$3:$D$156,0)</f>
        <v>55</v>
      </c>
      <c r="F154" s="10">
        <f>RANK(D154,$D$3:$D$156,1)</f>
        <v>100</v>
      </c>
      <c r="G154" s="6"/>
      <c r="H154" s="6"/>
    </row>
    <row r="155" spans="1:8" x14ac:dyDescent="0.3">
      <c r="A155" s="6" t="s">
        <v>338</v>
      </c>
      <c r="B155" s="6" t="s">
        <v>339</v>
      </c>
      <c r="C155" s="9">
        <f>RTD("wdf.rtq",,"603881.SH","rt_last","RT_Price")</f>
        <v>39.6</v>
      </c>
      <c r="D155" s="9">
        <f>RTD("wdf.rtq",,"603881.SH","rt_pct_chg","RT_Price")</f>
        <v>10</v>
      </c>
      <c r="E155" s="10">
        <f>RANK(D155,$D$3:$D$156,0)</f>
        <v>12</v>
      </c>
      <c r="F155" s="10">
        <f>RANK(D155,$D$3:$D$156,1)</f>
        <v>143</v>
      </c>
      <c r="G155" s="6"/>
      <c r="H155" s="6"/>
    </row>
    <row r="156" spans="1:8" x14ac:dyDescent="0.3">
      <c r="A156" s="6" t="s">
        <v>340</v>
      </c>
      <c r="B156" s="6" t="s">
        <v>341</v>
      </c>
      <c r="C156" s="9">
        <f>RTD("wdf.rtq",,"603887.SH","rt_last","RT_Price")</f>
        <v>8.9700000000000006</v>
      </c>
      <c r="D156" s="9">
        <f>RTD("wdf.rtq",,"603887.SH","rt_pct_chg","RT_Price")</f>
        <v>10.06</v>
      </c>
      <c r="E156" s="10">
        <f>RANK(D156,$D$3:$D$156,0)</f>
        <v>8</v>
      </c>
      <c r="F156" s="10">
        <f>RANK(D156,$D$3:$D$156,1)</f>
        <v>146</v>
      </c>
      <c r="G156" s="6"/>
      <c r="H156" s="6"/>
    </row>
    <row r="157" spans="1:8" x14ac:dyDescent="0.3">
      <c r="E157" s="6"/>
      <c r="F157" s="6"/>
      <c r="G157" s="6"/>
      <c r="H157" s="6"/>
    </row>
    <row r="158" spans="1:8" x14ac:dyDescent="0.3">
      <c r="G158" s="6"/>
      <c r="H158" s="6"/>
    </row>
    <row r="159" spans="1:8" x14ac:dyDescent="0.3">
      <c r="G159" s="6"/>
      <c r="H159" s="6"/>
    </row>
    <row r="160" spans="1:8" x14ac:dyDescent="0.3">
      <c r="G160" s="6"/>
      <c r="H160" s="6"/>
    </row>
    <row r="161" spans="7:8" x14ac:dyDescent="0.3">
      <c r="G161" s="6"/>
      <c r="H161" s="6"/>
    </row>
    <row r="162" spans="7:8" x14ac:dyDescent="0.3">
      <c r="G162" s="6"/>
      <c r="H162" s="6"/>
    </row>
    <row r="163" spans="7:8" x14ac:dyDescent="0.3">
      <c r="G163" s="6"/>
      <c r="H163" s="6"/>
    </row>
    <row r="164" spans="7:8" x14ac:dyDescent="0.3">
      <c r="G164" s="6"/>
      <c r="H164" s="6"/>
    </row>
    <row r="165" spans="7:8" x14ac:dyDescent="0.3">
      <c r="G165" s="6"/>
      <c r="H165" s="6"/>
    </row>
    <row r="166" spans="7:8" x14ac:dyDescent="0.3">
      <c r="G166" s="6"/>
      <c r="H166" s="6"/>
    </row>
    <row r="167" spans="7:8" x14ac:dyDescent="0.3">
      <c r="G167" s="6"/>
      <c r="H167" s="6"/>
    </row>
    <row r="168" spans="7:8" x14ac:dyDescent="0.3">
      <c r="G168" s="6"/>
      <c r="H168" s="6"/>
    </row>
    <row r="169" spans="7:8" x14ac:dyDescent="0.3">
      <c r="G169" s="6"/>
      <c r="H169" s="6"/>
    </row>
    <row r="170" spans="7:8" x14ac:dyDescent="0.3">
      <c r="G170" s="6"/>
      <c r="H170" s="6"/>
    </row>
    <row r="171" spans="7:8" x14ac:dyDescent="0.3">
      <c r="G171" s="6"/>
      <c r="H171" s="6"/>
    </row>
    <row r="172" spans="7:8" x14ac:dyDescent="0.3">
      <c r="G172" s="6"/>
      <c r="H172" s="6"/>
    </row>
    <row r="173" spans="7:8" x14ac:dyDescent="0.3">
      <c r="G173" s="6"/>
      <c r="H173" s="6"/>
    </row>
    <row r="174" spans="7:8" x14ac:dyDescent="0.3">
      <c r="G174" s="6"/>
      <c r="H174" s="6"/>
    </row>
    <row r="175" spans="7:8" x14ac:dyDescent="0.3">
      <c r="G175" s="6"/>
      <c r="H175" s="6"/>
    </row>
  </sheetData>
  <sheetProtection formatCells="0" insertHyperlinks="0" autoFilter="0"/>
  <phoneticPr fontId="7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4"/>
  <sheetViews>
    <sheetView workbookViewId="0">
      <selection activeCell="C5" sqref="C5"/>
    </sheetView>
  </sheetViews>
  <sheetFormatPr defaultColWidth="9" defaultRowHeight="14" x14ac:dyDescent="0.3"/>
  <cols>
    <col min="3" max="3" width="12.6640625" customWidth="1"/>
    <col min="4" max="4" width="9.1640625" customWidth="1"/>
    <col min="5" max="6" width="11.1640625" customWidth="1"/>
  </cols>
  <sheetData>
    <row r="1" spans="2:6" x14ac:dyDescent="0.3">
      <c r="F1" s="7"/>
    </row>
    <row r="2" spans="2:6" x14ac:dyDescent="0.3">
      <c r="B2" s="1" t="e">
        <f>[2]周报输出!H37</f>
        <v>#REF!</v>
      </c>
      <c r="C2" s="2" t="e">
        <f>[2]周报输出!J37</f>
        <v>#REF!</v>
      </c>
      <c r="D2" s="2"/>
      <c r="E2" s="2" t="e">
        <f>[2]周报输出!Q37</f>
        <v>#REF!</v>
      </c>
    </row>
    <row r="3" spans="2:6" x14ac:dyDescent="0.3">
      <c r="B3" s="3" t="str">
        <f>[3]周报输出!H38</f>
        <v>网宿科技</v>
      </c>
      <c r="C3" s="4">
        <f>[3]周报输出!J38</f>
        <v>7.707554</v>
      </c>
      <c r="D3" s="5" t="str">
        <f>[3]周报输出!O38</f>
        <v>光环新网</v>
      </c>
      <c r="E3" s="4">
        <f>[3]周报输出!Q38</f>
        <v>-5.7871239999999897</v>
      </c>
    </row>
    <row r="4" spans="2:6" x14ac:dyDescent="0.3">
      <c r="B4" s="3" t="str">
        <f>[3]周报输出!H39</f>
        <v>海能达</v>
      </c>
      <c r="C4" s="4">
        <f>[3]周报输出!J39</f>
        <v>6.831677</v>
      </c>
      <c r="D4" s="5" t="str">
        <f>[3]周报输出!O39</f>
        <v>紫光股份</v>
      </c>
      <c r="E4" s="4">
        <f>[3]周报输出!Q39</f>
        <v>-2.254159</v>
      </c>
    </row>
    <row r="5" spans="2:6" x14ac:dyDescent="0.3">
      <c r="B5" s="3" t="str">
        <f>[3]周报输出!H40</f>
        <v>高新兴</v>
      </c>
      <c r="C5" s="4">
        <f>[3]周报输出!J40</f>
        <v>5.4201249999999996</v>
      </c>
      <c r="D5" s="5" t="str">
        <f>[3]周报输出!O40</f>
        <v>欧比特</v>
      </c>
      <c r="E5" s="4">
        <f>[3]周报输出!Q40</f>
        <v>-1.3510599999999999</v>
      </c>
    </row>
    <row r="6" spans="2:6" x14ac:dyDescent="0.3">
      <c r="B6" s="3" t="str">
        <f>[3]周报输出!H41</f>
        <v>中国联通</v>
      </c>
      <c r="C6" s="4">
        <f>[3]周报输出!J41</f>
        <v>4.5804900000000499</v>
      </c>
      <c r="D6" s="5" t="str">
        <f>[3]周报输出!O41</f>
        <v>中兴通讯</v>
      </c>
      <c r="E6" s="4">
        <f>[3]周报输出!Q41</f>
        <v>-1.2122809999999899</v>
      </c>
    </row>
    <row r="7" spans="2:6" x14ac:dyDescent="0.3">
      <c r="B7" s="3" t="str">
        <f>[3]周报输出!H42</f>
        <v>春兴精工</v>
      </c>
      <c r="C7" s="4">
        <f>[3]周报输出!J42</f>
        <v>3.151764</v>
      </c>
      <c r="D7" s="5" t="str">
        <f>[3]周报输出!O42</f>
        <v>中际旭创</v>
      </c>
      <c r="E7" s="4">
        <f>[3]周报输出!Q42</f>
        <v>-1.057682</v>
      </c>
    </row>
    <row r="8" spans="2:6" x14ac:dyDescent="0.3">
      <c r="B8" s="6"/>
    </row>
    <row r="9" spans="2:6" x14ac:dyDescent="0.3">
      <c r="B9" s="6"/>
    </row>
    <row r="10" spans="2:6" x14ac:dyDescent="0.3">
      <c r="B10" s="6"/>
    </row>
    <row r="11" spans="2:6" x14ac:dyDescent="0.3">
      <c r="B11" s="6"/>
    </row>
    <row r="12" spans="2:6" x14ac:dyDescent="0.3">
      <c r="B12" s="6"/>
    </row>
    <row r="13" spans="2:6" x14ac:dyDescent="0.3">
      <c r="B13" s="6"/>
    </row>
    <row r="14" spans="2:6" x14ac:dyDescent="0.3">
      <c r="B14" s="6"/>
    </row>
    <row r="15" spans="2:6" x14ac:dyDescent="0.3">
      <c r="B15" s="6"/>
    </row>
    <row r="16" spans="2:6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  <row r="22" spans="2:2" x14ac:dyDescent="0.3">
      <c r="B22" s="6"/>
    </row>
    <row r="23" spans="2:2" x14ac:dyDescent="0.3">
      <c r="B23" s="6"/>
    </row>
    <row r="24" spans="2:2" x14ac:dyDescent="0.3">
      <c r="B24" s="6"/>
    </row>
    <row r="25" spans="2:2" x14ac:dyDescent="0.3">
      <c r="B25" s="6"/>
    </row>
    <row r="26" spans="2:2" x14ac:dyDescent="0.3">
      <c r="B26" s="6"/>
    </row>
    <row r="27" spans="2:2" x14ac:dyDescent="0.3">
      <c r="B27" s="6"/>
    </row>
    <row r="28" spans="2:2" x14ac:dyDescent="0.3">
      <c r="B28" s="6"/>
    </row>
    <row r="29" spans="2:2" x14ac:dyDescent="0.3">
      <c r="B29" s="6"/>
    </row>
    <row r="30" spans="2:2" x14ac:dyDescent="0.3">
      <c r="B30" s="6"/>
    </row>
    <row r="31" spans="2:2" x14ac:dyDescent="0.3">
      <c r="B31" s="6"/>
    </row>
    <row r="32" spans="2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</sheetData>
  <sheetProtection formatCells="0" insertHyperlinks="0" autoFilter="0"/>
  <phoneticPr fontId="7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3"/>
  <pixelatorList sheetStid="1"/>
  <pixelatorList sheetStid="4"/>
  <pixelatorList sheetStid="5"/>
</pixelators>
</file>

<file path=customXml/item2.xml><?xml version="1.0" encoding="utf-8"?>
<comments xmlns="https://web.wps.cn/et/2018/main" xmlns:s="http://schemas.openxmlformats.org/spreadsheetml/2006/main">
  <commentList sheetStid="3">
    <comment s:ref="C12" rgbClr="FF0000">
      <item id="{96031e8e-9bb1-4327-aee0-d827efd15c13}" isNormal="1">
        <s:text>
          <s:r>
            <s:t xml:space="preserve">如需修改，请使用Excel插件-Wind-函数-编辑函数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1" interlineOnOff="0" interlineColor="0" isDbSheet="0"/>
    <woSheetProps sheetStid="4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3" master=""/>
  <rangeList sheetStid="1" master=""/>
  <rangeList sheetStid="4" master=""/>
</allowEditUser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三大板块</vt:lpstr>
      <vt:lpstr>SW通信</vt:lpstr>
      <vt:lpstr>陆股通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Chrissy</dc:creator>
  <cp:lastModifiedBy>何婧</cp:lastModifiedBy>
  <dcterms:created xsi:type="dcterms:W3CDTF">2019-11-18T15:24:00Z</dcterms:created>
  <dcterms:modified xsi:type="dcterms:W3CDTF">2022-01-17T09:07:46Z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EM_Doc_Temp_ID">
    <vt:lpwstr>5ceea97b</vt:lpwstr>
  </property>
</Properties>
</file>