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ulh\AppData\Roaming\Bitoreq AB\OfficeDemo\done\"/>
    </mc:Choice>
  </mc:AlternateContent>
  <bookViews>
    <workbookView xWindow="0" yWindow="0" windowWidth="15530" windowHeight="6950" activeTab="2" xr2:uid="{00000000-000D-0000-FFFF-FFFF00000000}"/>
  </bookViews>
  <sheets>
    <sheet name="Datainmatning" sheetId="1" r:id="rId1"/>
    <sheet name="Försäljningsrapport" sheetId="2" r:id="rId2"/>
    <sheet name="Försäljningsrapport helår" sheetId="7" r:id="rId3"/>
    <sheet name="Sammanfattning" sheetId="6" r:id="rId4"/>
  </sheets>
  <definedNames>
    <definedName name="fDag">#REF!</definedName>
    <definedName name="fDatum">#REF!</definedName>
    <definedName name="fMånad">#REF!</definedName>
    <definedName name="fÅr">#REF!</definedName>
    <definedName name="Prognosdatum">#REF!</definedName>
    <definedName name="_xlnm.Print_Titles" localSheetId="1">Försäljningsrapport!$B:$E,Försäljningsrapport!$5:$5</definedName>
    <definedName name="_xlnm.Print_Titles" localSheetId="2">'Försäljningsrapport helår'!$B:$C,'Försäljningsrapport helår'!$5:$5</definedName>
  </definedNames>
  <calcPr calcId="171027"/>
  <pivotCaches>
    <pivotCache cacheId="0" r:id="rId5"/>
  </pivotCaches>
  <fileRecoveryPr autoRecover="0"/>
</workbook>
</file>

<file path=xl/calcChain.xml><?xml version="1.0" encoding="utf-8"?>
<calcChain xmlns="http://schemas.openxmlformats.org/spreadsheetml/2006/main">
  <c r="G6" i="1" l="1"/>
  <c r="H6" i="1"/>
  <c r="I6" i="1" s="1"/>
  <c r="J6" i="1"/>
  <c r="K6" i="1"/>
  <c r="L6" i="1"/>
  <c r="N6" i="1"/>
  <c r="O6" i="1"/>
  <c r="Q6" i="1"/>
  <c r="G7" i="1" l="1"/>
  <c r="H7" i="1"/>
  <c r="I7" i="1" s="1"/>
  <c r="J7" i="1"/>
  <c r="K7" i="1"/>
  <c r="L7" i="1"/>
  <c r="N7" i="1"/>
  <c r="O7" i="1"/>
  <c r="Q7" i="1"/>
  <c r="G8" i="1" l="1"/>
  <c r="H8" i="1"/>
  <c r="I8" i="1" s="1"/>
  <c r="J8" i="1"/>
  <c r="K8" i="1"/>
  <c r="L8" i="1"/>
  <c r="N8" i="1"/>
  <c r="O8" i="1"/>
  <c r="Q8" i="1"/>
  <c r="G9" i="1" l="1"/>
  <c r="H9" i="1"/>
  <c r="I9" i="1" s="1"/>
  <c r="J9" i="1"/>
  <c r="K9" i="1"/>
  <c r="L9" i="1"/>
  <c r="N9" i="1"/>
  <c r="O9" i="1"/>
  <c r="Q9" i="1"/>
  <c r="P6" i="1" l="1"/>
  <c r="M6" i="1"/>
  <c r="G10" i="1"/>
  <c r="H10" i="1"/>
  <c r="I10" i="1" s="1"/>
  <c r="J10" i="1"/>
  <c r="K10" i="1"/>
  <c r="L10" i="1"/>
  <c r="N10" i="1"/>
  <c r="O10" i="1"/>
  <c r="Q10" i="1"/>
  <c r="G11" i="1" l="1"/>
  <c r="H11" i="1"/>
  <c r="I11" i="1" s="1"/>
  <c r="J11" i="1"/>
  <c r="K11" i="1"/>
  <c r="L11" i="1"/>
  <c r="N11" i="1"/>
  <c r="O11" i="1"/>
  <c r="Q11" i="1"/>
  <c r="G12" i="1" l="1"/>
  <c r="H12" i="1"/>
  <c r="I12" i="1" s="1"/>
  <c r="J12" i="1"/>
  <c r="K12" i="1"/>
  <c r="G13" i="1" l="1"/>
  <c r="H13" i="1"/>
  <c r="I13" i="1" s="1"/>
  <c r="J13" i="1"/>
  <c r="K13" i="1"/>
  <c r="G14" i="1" l="1"/>
  <c r="H14" i="1"/>
  <c r="I14" i="1" s="1"/>
  <c r="J14" i="1"/>
  <c r="K14" i="1"/>
  <c r="G15" i="1" l="1"/>
  <c r="H15" i="1"/>
  <c r="I15" i="1" s="1"/>
  <c r="J15" i="1"/>
  <c r="K15" i="1"/>
  <c r="G16" i="1" l="1"/>
  <c r="H16" i="1"/>
  <c r="I16" i="1" s="1"/>
  <c r="J16" i="1"/>
  <c r="K16" i="1"/>
  <c r="G17" i="1" l="1"/>
  <c r="H17" i="1"/>
  <c r="I17" i="1" s="1"/>
  <c r="J17" i="1"/>
  <c r="K17" i="1"/>
  <c r="G18" i="1" l="1"/>
  <c r="H18" i="1"/>
  <c r="I18" i="1" s="1"/>
  <c r="J18" i="1"/>
  <c r="K18" i="1"/>
  <c r="G19" i="1" l="1"/>
  <c r="H19" i="1"/>
  <c r="I19" i="1" s="1"/>
  <c r="J19" i="1"/>
  <c r="K19" i="1"/>
  <c r="B3" i="6" l="1"/>
  <c r="D3" i="6" s="1"/>
  <c r="C9" i="6"/>
  <c r="D9" i="6"/>
  <c r="D6" i="6"/>
  <c r="F8" i="6"/>
  <c r="F9" i="6"/>
  <c r="C7" i="6"/>
  <c r="F6" i="6"/>
  <c r="E7" i="6"/>
  <c r="D7" i="6"/>
  <c r="F7" i="6"/>
  <c r="C8" i="6"/>
  <c r="E9" i="6"/>
  <c r="E8" i="6"/>
  <c r="E6" i="6"/>
  <c r="C6" i="6"/>
  <c r="D8" i="6"/>
  <c r="B21" i="1" l="1"/>
  <c r="H21" i="1" s="1"/>
  <c r="I21" i="1" s="1"/>
  <c r="G21" i="1"/>
  <c r="K21" i="1" l="1"/>
  <c r="J21" i="1"/>
  <c r="B20" i="1"/>
  <c r="G20" i="1"/>
  <c r="B32" i="1"/>
  <c r="G32" i="1"/>
  <c r="B22" i="1"/>
  <c r="B23" i="1"/>
  <c r="B30" i="1"/>
  <c r="B39" i="1"/>
  <c r="B38" i="1"/>
  <c r="B37" i="1"/>
  <c r="B36" i="1"/>
  <c r="B35" i="1"/>
  <c r="B34" i="1"/>
  <c r="H34" i="1" s="1"/>
  <c r="I34" i="1" s="1"/>
  <c r="B33" i="1"/>
  <c r="B31" i="1"/>
  <c r="B29" i="1"/>
  <c r="B28" i="1"/>
  <c r="B27" i="1"/>
  <c r="B26" i="1"/>
  <c r="B25" i="1"/>
  <c r="B24" i="1"/>
  <c r="L12" i="1" l="1"/>
  <c r="N12" i="1"/>
  <c r="Q12" i="1"/>
  <c r="O12" i="1"/>
  <c r="L13" i="1"/>
  <c r="Q13" i="1"/>
  <c r="N13" i="1"/>
  <c r="O13" i="1"/>
  <c r="L14" i="1"/>
  <c r="O14" i="1"/>
  <c r="N14" i="1"/>
  <c r="Q14" i="1"/>
  <c r="L15" i="1"/>
  <c r="N15" i="1"/>
  <c r="O15" i="1"/>
  <c r="Q15" i="1"/>
  <c r="L16" i="1"/>
  <c r="N16" i="1"/>
  <c r="O16" i="1"/>
  <c r="Q16" i="1"/>
  <c r="L17" i="1"/>
  <c r="N17" i="1"/>
  <c r="O17" i="1"/>
  <c r="Q17" i="1"/>
  <c r="L18" i="1"/>
  <c r="N18" i="1"/>
  <c r="O18" i="1"/>
  <c r="Q18" i="1"/>
  <c r="L19" i="1"/>
  <c r="N19" i="1"/>
  <c r="O19" i="1"/>
  <c r="Q19" i="1"/>
  <c r="H20" i="1"/>
  <c r="I20" i="1" s="1"/>
  <c r="J27" i="1"/>
  <c r="O27" i="1"/>
  <c r="Q27" i="1"/>
  <c r="Q33" i="1"/>
  <c r="O33" i="1"/>
  <c r="Q37" i="1"/>
  <c r="O37" i="1"/>
  <c r="J30" i="1"/>
  <c r="Q30" i="1"/>
  <c r="O30" i="1"/>
  <c r="J32" i="1"/>
  <c r="Q32" i="1"/>
  <c r="O32" i="1"/>
  <c r="Q20" i="1"/>
  <c r="O20" i="1"/>
  <c r="L21" i="1"/>
  <c r="N21" i="1"/>
  <c r="J24" i="1"/>
  <c r="O24" i="1"/>
  <c r="Q24" i="1"/>
  <c r="J28" i="1"/>
  <c r="Q28" i="1"/>
  <c r="O28" i="1"/>
  <c r="J34" i="1"/>
  <c r="Q34" i="1"/>
  <c r="O34" i="1"/>
  <c r="J38" i="1"/>
  <c r="Q38" i="1"/>
  <c r="O38" i="1"/>
  <c r="H23" i="1"/>
  <c r="I23" i="1" s="1"/>
  <c r="Q23" i="1"/>
  <c r="O23" i="1"/>
  <c r="H33" i="1"/>
  <c r="I33" i="1" s="1"/>
  <c r="J37" i="1"/>
  <c r="J25" i="1"/>
  <c r="Q25" i="1"/>
  <c r="O25" i="1"/>
  <c r="J29" i="1"/>
  <c r="Q29" i="1"/>
  <c r="O29" i="1"/>
  <c r="J35" i="1"/>
  <c r="O35" i="1"/>
  <c r="Q35" i="1"/>
  <c r="J39" i="1"/>
  <c r="O39" i="1"/>
  <c r="Q39" i="1"/>
  <c r="J22" i="1"/>
  <c r="Q22" i="1"/>
  <c r="O22" i="1"/>
  <c r="H38" i="1"/>
  <c r="I38" i="1" s="1"/>
  <c r="H30" i="1"/>
  <c r="I30" i="1" s="1"/>
  <c r="J33" i="1"/>
  <c r="O21" i="1"/>
  <c r="J26" i="1"/>
  <c r="Q26" i="1"/>
  <c r="O26" i="1"/>
  <c r="J31" i="1"/>
  <c r="O31" i="1"/>
  <c r="Q31" i="1"/>
  <c r="J36" i="1"/>
  <c r="Q36" i="1"/>
  <c r="O36" i="1"/>
  <c r="H37" i="1"/>
  <c r="I37" i="1" s="1"/>
  <c r="H27" i="1"/>
  <c r="I27" i="1" s="1"/>
  <c r="J20" i="1"/>
  <c r="Q21" i="1"/>
  <c r="H39" i="1"/>
  <c r="I39" i="1" s="1"/>
  <c r="H35" i="1"/>
  <c r="I35" i="1" s="1"/>
  <c r="H31" i="1"/>
  <c r="I31" i="1" s="1"/>
  <c r="H22" i="1"/>
  <c r="I22" i="1" s="1"/>
  <c r="J23" i="1"/>
  <c r="H26" i="1"/>
  <c r="I26" i="1" s="1"/>
  <c r="H25" i="1"/>
  <c r="I25" i="1" s="1"/>
  <c r="L32" i="1"/>
  <c r="H29" i="1"/>
  <c r="I29" i="1" s="1"/>
  <c r="K32" i="1"/>
  <c r="H36" i="1"/>
  <c r="I36" i="1" s="1"/>
  <c r="H32" i="1"/>
  <c r="I32" i="1" s="1"/>
  <c r="H28" i="1"/>
  <c r="I28" i="1" s="1"/>
  <c r="H24" i="1"/>
  <c r="I24" i="1" s="1"/>
  <c r="N32" i="1"/>
  <c r="P7" i="1" l="1"/>
  <c r="M7" i="1"/>
  <c r="M8" i="1"/>
  <c r="P8" i="1"/>
  <c r="P9" i="1"/>
  <c r="M9" i="1"/>
  <c r="P11" i="1"/>
  <c r="P10" i="1"/>
  <c r="M10" i="1"/>
  <c r="M11" i="1"/>
  <c r="P12" i="1"/>
  <c r="M12" i="1"/>
  <c r="P13" i="1"/>
  <c r="M13" i="1"/>
  <c r="P14" i="1"/>
  <c r="M14" i="1"/>
  <c r="P15" i="1"/>
  <c r="M15" i="1"/>
  <c r="M16" i="1"/>
  <c r="P16" i="1"/>
  <c r="P17" i="1"/>
  <c r="M17" i="1"/>
  <c r="M18" i="1"/>
  <c r="P18" i="1"/>
  <c r="P19" i="1"/>
  <c r="M19" i="1"/>
  <c r="P28" i="1"/>
  <c r="P33" i="1"/>
  <c r="P26" i="1"/>
  <c r="P35" i="1"/>
  <c r="P34" i="1"/>
  <c r="P23" i="1"/>
  <c r="P32" i="1"/>
  <c r="P39" i="1"/>
  <c r="P37" i="1"/>
  <c r="P36" i="1"/>
  <c r="P24" i="1"/>
  <c r="P25" i="1"/>
  <c r="P31" i="1"/>
  <c r="P20" i="1"/>
  <c r="P29" i="1"/>
  <c r="P27" i="1"/>
  <c r="P22" i="1"/>
  <c r="P21" i="1"/>
  <c r="P30" i="1"/>
  <c r="P38" i="1"/>
  <c r="M21" i="1"/>
  <c r="M32" i="1"/>
  <c r="K24" i="1" l="1"/>
  <c r="K25" i="1"/>
  <c r="K26" i="1"/>
  <c r="K27" i="1"/>
  <c r="K28" i="1"/>
  <c r="K29" i="1"/>
  <c r="K31" i="1"/>
  <c r="K33" i="1"/>
  <c r="K34" i="1"/>
  <c r="K35" i="1"/>
  <c r="K36" i="1"/>
  <c r="K37" i="1"/>
  <c r="K38" i="1"/>
  <c r="K39" i="1"/>
  <c r="K30" i="1"/>
  <c r="K23" i="1"/>
  <c r="K22" i="1"/>
  <c r="K20" i="1"/>
  <c r="G24" i="1" l="1"/>
  <c r="G25" i="1"/>
  <c r="G26" i="1"/>
  <c r="G27" i="1"/>
  <c r="G28" i="1"/>
  <c r="G29" i="1"/>
  <c r="G31" i="1"/>
  <c r="G33" i="1"/>
  <c r="G34" i="1"/>
  <c r="G35" i="1"/>
  <c r="G36" i="1"/>
  <c r="G37" i="1"/>
  <c r="G38" i="1"/>
  <c r="G39" i="1"/>
  <c r="G30" i="1"/>
  <c r="G23" i="1"/>
  <c r="G22" i="1"/>
  <c r="L20" i="1"/>
  <c r="N20" i="1"/>
  <c r="L38" i="1"/>
  <c r="L22" i="1"/>
  <c r="N22" i="1"/>
  <c r="N24" i="1"/>
  <c r="N25" i="1"/>
  <c r="N26" i="1"/>
  <c r="N27" i="1"/>
  <c r="N28" i="1"/>
  <c r="N29" i="1"/>
  <c r="N31" i="1"/>
  <c r="N33" i="1"/>
  <c r="N34" i="1"/>
  <c r="N35" i="1"/>
  <c r="N36" i="1"/>
  <c r="N37" i="1"/>
  <c r="N38" i="1"/>
  <c r="N39" i="1"/>
  <c r="N30" i="1"/>
  <c r="N23" i="1"/>
  <c r="L24" i="1"/>
  <c r="L25" i="1"/>
  <c r="L26" i="1"/>
  <c r="L27" i="1"/>
  <c r="L28" i="1"/>
  <c r="L29" i="1"/>
  <c r="L31" i="1"/>
  <c r="L33" i="1"/>
  <c r="L34" i="1"/>
  <c r="L35" i="1"/>
  <c r="L36" i="1"/>
  <c r="L37" i="1"/>
  <c r="L39" i="1"/>
  <c r="L30" i="1"/>
  <c r="L23" i="1"/>
  <c r="M20" i="1" l="1"/>
  <c r="M22" i="1"/>
  <c r="M24" i="1"/>
  <c r="M26" i="1"/>
  <c r="M31" i="1"/>
  <c r="M36" i="1"/>
  <c r="M25" i="1"/>
  <c r="M29" i="1"/>
  <c r="M35" i="1"/>
  <c r="M39" i="1"/>
  <c r="M28" i="1"/>
  <c r="M34" i="1"/>
  <c r="M38" i="1"/>
  <c r="M23" i="1"/>
  <c r="M27" i="1"/>
  <c r="M33" i="1"/>
  <c r="M37" i="1"/>
  <c r="M30" i="1"/>
</calcChain>
</file>

<file path=xl/sharedStrings.xml><?xml version="1.0" encoding="utf-8"?>
<sst xmlns="http://schemas.openxmlformats.org/spreadsheetml/2006/main" count="133" uniqueCount="48">
  <si>
    <t xml:space="preserve"> </t>
  </si>
  <si>
    <t>Totalsumma</t>
  </si>
  <si>
    <r>
      <rPr>
        <sz val="22"/>
        <color theme="3"/>
        <rFont val="Arial Black"/>
        <family val="2"/>
        <scheme val="major"/>
      </rPr>
      <t xml:space="preserve">PER MÅNAD </t>
    </r>
    <r>
      <rPr>
        <sz val="22"/>
        <color theme="4"/>
        <rFont val="Arial"/>
        <family val="2"/>
        <scheme val="minor"/>
      </rPr>
      <t>DATAINMATNING</t>
    </r>
  </si>
  <si>
    <t>DATUM</t>
  </si>
  <si>
    <t>FÖRETAG</t>
  </si>
  <si>
    <t>BELOPP</t>
  </si>
  <si>
    <t>KOSTNAD</t>
  </si>
  <si>
    <t>INTÄKT</t>
  </si>
  <si>
    <t>MÅNAD</t>
  </si>
  <si>
    <t>KVARTAL</t>
  </si>
  <si>
    <t>ÅR</t>
  </si>
  <si>
    <t>MÅNADSNR (DÖLJ)</t>
  </si>
  <si>
    <t xml:space="preserve">MÅNAD </t>
  </si>
  <si>
    <t xml:space="preserve">KVARTAL </t>
  </si>
  <si>
    <t xml:space="preserve">PER ÅR </t>
  </si>
  <si>
    <t xml:space="preserve">MÅNAD  </t>
  </si>
  <si>
    <t xml:space="preserve">KVARTAL  </t>
  </si>
  <si>
    <t xml:space="preserve">ÅR  </t>
  </si>
  <si>
    <r>
      <rPr>
        <sz val="22"/>
        <color theme="3"/>
        <rFont val="Arial Black"/>
        <family val="2"/>
        <scheme val="major"/>
      </rPr>
      <t xml:space="preserve">PER MÅNAD </t>
    </r>
    <r>
      <rPr>
        <sz val="22"/>
        <color theme="4"/>
        <rFont val="Arial"/>
        <family val="2"/>
        <scheme val="minor"/>
      </rPr>
      <t>FÖRSÄLJNINGSRAPPORT</t>
    </r>
  </si>
  <si>
    <t>TOTAL FÖRSÄLJNING</t>
  </si>
  <si>
    <t>Kvartal 2 Summa</t>
  </si>
  <si>
    <t>Kvartal 3 Summa</t>
  </si>
  <si>
    <t>Kvartal 4 Summa</t>
  </si>
  <si>
    <t>TOTALT</t>
  </si>
  <si>
    <t>Kvartal 1 Summa</t>
  </si>
  <si>
    <t xml:space="preserve"> 2017 Summa</t>
  </si>
  <si>
    <t>Kvartal 2</t>
  </si>
  <si>
    <t>Kvartal 3</t>
  </si>
  <si>
    <t>Kvartal 4</t>
  </si>
  <si>
    <t>Summa av INTÄKT</t>
  </si>
  <si>
    <t>Summa av KOSTNAD</t>
  </si>
  <si>
    <t>Kvartal 1</t>
  </si>
  <si>
    <t>FÖRSÄLJNING</t>
  </si>
  <si>
    <t>NETTOVINST</t>
  </si>
  <si>
    <t>KOSTNADER</t>
  </si>
  <si>
    <t>SAMMANFATTNING PER KVARTAL</t>
  </si>
  <si>
    <t>Edsviken Bil AB</t>
  </si>
  <si>
    <t>FM Automobil</t>
  </si>
  <si>
    <t>Lennartssons Motor</t>
  </si>
  <si>
    <t>Thorvalds Fordon</t>
  </si>
  <si>
    <t>Pettersson Bil AB</t>
  </si>
  <si>
    <t>Kista Limousiner</t>
  </si>
  <si>
    <t>Marcus Racing</t>
  </si>
  <si>
    <t>ORDER</t>
  </si>
  <si>
    <t>Summa av ORDER</t>
  </si>
  <si>
    <t>FÖRSÄLJNINGSRAPPORT HELÅR</t>
  </si>
  <si>
    <t>Silverdalen AB</t>
  </si>
  <si>
    <t>Enhet: 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</si>
</sst>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_(* #,##0.00_);_(* \(#,##0.00\);_(* &quot;-&quot;??_);_(@_)"/>
    <numFmt numFmtId="165" formatCode="&quot;$&quot;#,##0.00"/>
    <numFmt numFmtId="166" formatCode="mmmm"/>
    <numFmt numFmtId="167" formatCode="_(0"/>
    <numFmt numFmtId="168" formatCode="_(mmmm"/>
    <numFmt numFmtId="169" formatCode="#,##0.00\ &quot;kr&quot;"/>
    <numFmt numFmtId="170" formatCode="&quot;Kvartal &quot;0"/>
    <numFmt numFmtId="171" formatCode="#,##0\ &quot;kr&quot;"/>
    <numFmt numFmtId="172" formatCode="m/d/yyyy"/>
  </numFmts>
  <fonts count="18" x14ac:knownFonts="1"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22"/>
      <name val="Arial Black"/>
      <family val="1"/>
      <scheme val="major"/>
    </font>
    <font>
      <sz val="22"/>
      <color theme="4"/>
      <name val="Arial"/>
      <family val="2"/>
      <scheme val="minor"/>
    </font>
    <font>
      <sz val="22"/>
      <color theme="3"/>
      <name val="Arial Black"/>
      <family val="2"/>
      <scheme val="major"/>
    </font>
    <font>
      <sz val="10"/>
      <color theme="5"/>
      <name val="Arial"/>
      <family val="2"/>
      <scheme val="minor"/>
    </font>
    <font>
      <b/>
      <sz val="10"/>
      <color theme="5"/>
      <name val="Arial"/>
      <family val="2"/>
      <scheme val="minor"/>
    </font>
    <font>
      <sz val="8"/>
      <color theme="3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8"/>
      <color theme="3"/>
      <name val="Arial"/>
      <family val="2"/>
      <scheme val="minor"/>
    </font>
    <font>
      <sz val="6"/>
      <color theme="3"/>
      <name val="Arial"/>
      <family val="2"/>
      <scheme val="minor"/>
    </font>
    <font>
      <sz val="10"/>
      <color theme="0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8"/>
      <name val="Arial"/>
      <family val="2"/>
      <scheme val="minor"/>
    </font>
    <font>
      <b/>
      <sz val="8"/>
      <name val="Arial"/>
      <family val="2"/>
      <scheme val="minor"/>
    </font>
    <font>
      <sz val="9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/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</borders>
  <cellStyleXfs count="5">
    <xf numFmtId="0" fontId="0" fillId="0" borderId="0">
      <alignment vertical="center"/>
    </xf>
    <xf numFmtId="164" fontId="1" fillId="0" borderId="0" applyFont="0" applyFill="0" applyBorder="0" applyAlignment="0" applyProtection="0"/>
    <xf numFmtId="0" fontId="6" fillId="0" borderId="0" applyNumberFormat="0" applyFill="0" applyProtection="0">
      <alignment vertical="center"/>
    </xf>
    <xf numFmtId="0" fontId="5" fillId="0" borderId="0" applyNumberFormat="0" applyFill="0" applyProtection="0">
      <alignment vertical="center"/>
    </xf>
    <xf numFmtId="0" fontId="7" fillId="0" borderId="0" applyNumberFormat="0" applyFill="0" applyBorder="0" applyAlignment="0" applyProtection="0"/>
  </cellStyleXfs>
  <cellXfs count="55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Continuous"/>
    </xf>
    <xf numFmtId="0" fontId="11" fillId="0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left"/>
    </xf>
    <xf numFmtId="14" fontId="13" fillId="0" borderId="0" xfId="0" applyNumberFormat="1" applyFont="1" applyAlignment="1">
      <alignment horizontal="right"/>
    </xf>
    <xf numFmtId="0" fontId="9" fillId="0" borderId="0" xfId="0" applyFont="1" applyAlignment="1">
      <alignment horizontal="centerContinuous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167" fontId="10" fillId="0" borderId="0" xfId="0" applyNumberFormat="1" applyFont="1">
      <alignment vertical="center"/>
    </xf>
    <xf numFmtId="167" fontId="0" fillId="0" borderId="0" xfId="0" applyNumberFormat="1" applyAlignment="1">
      <alignment horizontal="left" vertical="center"/>
    </xf>
    <xf numFmtId="0" fontId="7" fillId="0" borderId="0" xfId="4" applyFill="1" applyBorder="1" applyAlignment="1">
      <alignment vertical="center"/>
    </xf>
    <xf numFmtId="0" fontId="8" fillId="0" borderId="0" xfId="4" applyFont="1" applyFill="1" applyBorder="1" applyAlignment="1">
      <alignment vertical="center"/>
    </xf>
    <xf numFmtId="0" fontId="0" fillId="0" borderId="0" xfId="0" pivotButton="1">
      <alignment vertical="center"/>
    </xf>
    <xf numFmtId="170" fontId="0" fillId="0" borderId="0" xfId="0" applyNumberFormat="1">
      <alignment vertical="center"/>
    </xf>
    <xf numFmtId="170" fontId="0" fillId="0" borderId="0" xfId="0" applyNumberFormat="1" applyAlignment="1">
      <alignment horizontal="left" vertical="center"/>
    </xf>
    <xf numFmtId="0" fontId="2" fillId="0" borderId="0" xfId="0" pivotButton="1" applyFont="1">
      <alignment vertical="center"/>
    </xf>
    <xf numFmtId="0" fontId="15" fillId="0" borderId="0" xfId="0" applyFont="1" applyAlignment="1">
      <alignment vertical="center"/>
    </xf>
    <xf numFmtId="14" fontId="16" fillId="0" borderId="0" xfId="0" applyNumberFormat="1" applyFont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166" fontId="15" fillId="4" borderId="0" xfId="0" applyNumberFormat="1" applyFont="1" applyFill="1" applyBorder="1" applyAlignment="1">
      <alignment horizontal="left" vertical="center"/>
    </xf>
    <xf numFmtId="170" fontId="15" fillId="4" borderId="0" xfId="0" applyNumberFormat="1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0" fontId="15" fillId="2" borderId="0" xfId="1" applyNumberFormat="1" applyFont="1" applyFill="1" applyBorder="1" applyAlignment="1">
      <alignment horizontal="left" vertical="center"/>
    </xf>
    <xf numFmtId="0" fontId="15" fillId="4" borderId="0" xfId="0" applyNumberFormat="1" applyFont="1" applyFill="1" applyBorder="1" applyAlignment="1">
      <alignment horizontal="left" vertical="center"/>
    </xf>
    <xf numFmtId="0" fontId="16" fillId="0" borderId="0" xfId="4" applyFont="1" applyFill="1" applyBorder="1" applyAlignment="1">
      <alignment horizontal="left" vertical="center"/>
    </xf>
    <xf numFmtId="166" fontId="15" fillId="4" borderId="0" xfId="4" applyNumberFormat="1" applyFont="1" applyFill="1" applyBorder="1" applyAlignment="1">
      <alignment horizontal="left" vertical="center"/>
    </xf>
    <xf numFmtId="170" fontId="15" fillId="4" borderId="0" xfId="4" applyNumberFormat="1" applyFont="1" applyFill="1" applyBorder="1" applyAlignment="1">
      <alignment horizontal="left" vertical="center"/>
    </xf>
    <xf numFmtId="0" fontId="15" fillId="4" borderId="0" xfId="4" applyNumberFormat="1" applyFont="1" applyFill="1" applyBorder="1" applyAlignment="1">
      <alignment horizontal="left" vertical="center"/>
    </xf>
    <xf numFmtId="172" fontId="16" fillId="0" borderId="0" xfId="4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165" fontId="17" fillId="0" borderId="3" xfId="4" applyNumberFormat="1" applyFont="1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0" fillId="0" borderId="0" xfId="0" pivotButton="1" applyAlignment="1">
      <alignment vertical="center"/>
    </xf>
    <xf numFmtId="0" fontId="5" fillId="0" borderId="0" xfId="0" applyFont="1" applyFill="1" applyAlignment="1">
      <alignment vertical="center"/>
    </xf>
    <xf numFmtId="171" fontId="0" fillId="0" borderId="0" xfId="0" applyNumberFormat="1" applyAlignment="1">
      <alignment horizontal="left" vertical="center"/>
    </xf>
    <xf numFmtId="168" fontId="0" fillId="0" borderId="0" xfId="0" applyNumberFormat="1">
      <alignment vertical="center"/>
    </xf>
    <xf numFmtId="3" fontId="16" fillId="0" borderId="0" xfId="4" applyNumberFormat="1" applyFont="1" applyFill="1" applyBorder="1" applyAlignment="1">
      <alignment horizontal="left" vertical="center"/>
    </xf>
    <xf numFmtId="3" fontId="15" fillId="4" borderId="0" xfId="4" applyNumberFormat="1" applyFont="1" applyFill="1" applyBorder="1" applyAlignment="1">
      <alignment horizontal="left" vertical="center"/>
    </xf>
    <xf numFmtId="3" fontId="15" fillId="3" borderId="0" xfId="4" applyNumberFormat="1" applyFont="1" applyFill="1" applyBorder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</cellXfs>
  <cellStyles count="5">
    <cellStyle name="Normal" xfId="0" builtinId="0" customBuiltin="1"/>
    <cellStyle name="Rubrik 1" xfId="2" builtinId="16" customBuiltin="1"/>
    <cellStyle name="Rubrik 2" xfId="3" builtinId="17" customBuiltin="1"/>
    <cellStyle name="Rubrik 4" xfId="4" builtinId="19" customBuiltin="1"/>
    <cellStyle name="Tusental" xfId="1" builtinId="3"/>
  </cellStyles>
  <dxfs count="92"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general"/>
    </dxf>
    <dxf>
      <alignment horizontal="general"/>
    </dxf>
    <dxf>
      <alignment horizontal="general"/>
    </dxf>
    <dxf>
      <numFmt numFmtId="171" formatCode="#,##0\ &quot;kr&quot;"/>
    </dxf>
    <dxf>
      <numFmt numFmtId="1" formatCode="0"/>
    </dxf>
    <dxf>
      <numFmt numFmtId="173" formatCode="#,##0.00\ _k_r"/>
    </dxf>
    <dxf>
      <font>
        <sz val="10"/>
      </font>
    </dxf>
    <dxf>
      <alignment horizontal="left" readingOrder="0"/>
    </dxf>
    <dxf>
      <font>
        <b/>
      </font>
    </dxf>
    <dxf>
      <numFmt numFmtId="169" formatCode="#,##0.00\ &quot;kr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</dxf>
    <dxf>
      <alignment horizontal="right" readingOrder="0"/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0"/>
      </font>
    </dxf>
    <dxf>
      <alignment horizontal="left" readingOrder="0"/>
    </dxf>
    <dxf>
      <alignment horizontal="left" readingOrder="0"/>
    </dxf>
    <dxf>
      <font>
        <b/>
      </font>
    </dxf>
    <dxf>
      <numFmt numFmtId="169" formatCode="#,##0.00\ &quot;kr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</dxf>
    <dxf>
      <alignment horizontal="right" readingOrder="0"/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169" formatCode="#,##0.00\ &quot;kr&quot;"/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0" formatCode="General"/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170" formatCode="&quot;Kvartal &quot;0"/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166" formatCode="mmmm"/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169" formatCode="#,##0.00\ &quot;kr&quot;"/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169" formatCode="#,##0.00\ &quot;kr&quot;"/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numFmt numFmtId="172" formatCode="m/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Arial"/>
        <family val="2"/>
        <scheme val="minor"/>
      </font>
      <alignment horizontal="left" vertic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color theme="5"/>
      </font>
      <border diagonalUp="0" diagonalDown="0">
        <left/>
        <right/>
        <top/>
        <bottom style="thin">
          <color theme="3" tint="0.79998168889431442"/>
        </bottom>
        <vertical/>
        <horizontal/>
      </border>
    </dxf>
    <dxf>
      <font>
        <b val="0"/>
        <i val="0"/>
        <color theme="3"/>
      </font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  <border>
        <left style="thick">
          <color theme="0"/>
        </left>
      </border>
    </dxf>
    <dxf>
      <font>
        <b/>
        <i val="0"/>
        <color theme="0"/>
      </font>
      <fill>
        <patternFill>
          <bgColor theme="5"/>
        </patternFill>
      </fill>
      <border>
        <bottom style="thick">
          <color theme="0"/>
        </bottom>
      </border>
    </dxf>
    <dxf>
      <font>
        <b/>
        <i val="0"/>
      </font>
      <border>
        <bottom style="thin">
          <color theme="3" tint="0.79998168889431442"/>
        </bottom>
      </border>
    </dxf>
    <dxf>
      <font>
        <b/>
        <i val="0"/>
        <color theme="0"/>
      </font>
      <fill>
        <patternFill>
          <bgColor theme="4"/>
        </patternFill>
      </fill>
      <border>
        <left style="thick">
          <color theme="0"/>
        </left>
        <top style="thick">
          <color theme="0"/>
        </top>
        <bottom style="thick">
          <color theme="0"/>
        </bottom>
      </border>
    </dxf>
    <dxf>
      <font>
        <b/>
        <i val="0"/>
      </font>
      <border>
        <top style="thin">
          <color theme="3" tint="0.79995117038483843"/>
        </top>
        <bottom style="thin">
          <color theme="3" tint="0.79998168889431442"/>
        </bottom>
      </border>
    </dxf>
    <dxf>
      <font>
        <b/>
        <i val="0"/>
        <color theme="5"/>
      </font>
      <border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</dxfs>
  <tableStyles count="2" defaultTableStyle="Monthly Sales Report Table Style" defaultPivotStyle="Monthly Sales Report PivotTable Style">
    <tableStyle name="Monthly Sales Report PivotTable Style" table="0" count="8" xr9:uid="{00000000-0011-0000-FFFF-FFFF00000000}">
      <tableStyleElement type="wholeTable" dxfId="91"/>
      <tableStyleElement type="headerRow" dxfId="90"/>
      <tableStyleElement type="totalRow" dxfId="89"/>
      <tableStyleElement type="secondSubtotalRow" dxfId="88"/>
      <tableStyleElement type="thirdSubtotalRow" dxfId="87"/>
      <tableStyleElement type="firstRowSubheading" dxfId="86"/>
      <tableStyleElement type="secondRowSubheading" dxfId="85"/>
      <tableStyleElement type="thirdRowSubheading" dxfId="84"/>
    </tableStyle>
    <tableStyle name="Monthly Sales Report Table Style" pivot="0" count="2" xr9:uid="{00000000-0011-0000-FFFF-FFFF01000000}">
      <tableStyleElement type="wholeTable" dxfId="83"/>
      <tableStyleElement type="headerRow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F&#246;rs&#228;ljningsrapport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tainmatning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Datainmatning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Datainmatning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476251</xdr:colOff>
      <xdr:row>1</xdr:row>
      <xdr:rowOff>85725</xdr:rowOff>
    </xdr:from>
    <xdr:to>
      <xdr:col>6</xdr:col>
      <xdr:colOff>924526</xdr:colOff>
      <xdr:row>1</xdr:row>
      <xdr:rowOff>314325</xdr:rowOff>
    </xdr:to>
    <xdr:sp macro="" textlink="">
      <xdr:nvSpPr>
        <xdr:cNvPr id="2" name="Försäljningsrapport" descr="Klicka om du vill visa bladet Försäljningsrapport." title="Navigeringsknappen Försäljningsrapport">
          <a:hlinkClick xmlns:r="http://schemas.openxmlformats.org/officeDocument/2006/relationships" r:id="rId1" tooltip="Klicka om du vill visa bladet Försäljningsrapport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686301" y="228600"/>
          <a:ext cx="1296000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sv-SE" sz="1000">
              <a:solidFill>
                <a:schemeClr val="bg1"/>
              </a:solidFill>
              <a:latin typeface="+mn-lt"/>
              <a:ea typeface="+mn-ea"/>
              <a:cs typeface="+mn-cs"/>
            </a:rPr>
            <a:t>Försäljningsrapport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704851</xdr:colOff>
      <xdr:row>1</xdr:row>
      <xdr:rowOff>85725</xdr:rowOff>
    </xdr:from>
    <xdr:to>
      <xdr:col>6</xdr:col>
      <xdr:colOff>268225</xdr:colOff>
      <xdr:row>1</xdr:row>
      <xdr:rowOff>314325</xdr:rowOff>
    </xdr:to>
    <xdr:sp macro="" textlink="">
      <xdr:nvSpPr>
        <xdr:cNvPr id="7" name="Försäljningsrapport" descr="Klicka för att visa kalkylbladet Inmatning." title="Knapp för inmatningsnavigering">
          <a:hlinkClick xmlns:r="http://schemas.openxmlformats.org/officeDocument/2006/relationships" r:id="rId1" tooltip="Klicka för att visa kalkylbladet Inmatning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924551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r>
            <a:rPr lang="sv-SE" sz="1000">
              <a:solidFill>
                <a:schemeClr val="bg1"/>
              </a:solidFill>
              <a:latin typeface="+mn-lt"/>
              <a:ea typeface="+mn-ea"/>
              <a:cs typeface="+mn-cs"/>
            </a:rPr>
            <a:t>Datainmatning</a:t>
          </a:r>
          <a:endParaRPr 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1</xdr:row>
      <xdr:rowOff>85725</xdr:rowOff>
    </xdr:from>
    <xdr:to>
      <xdr:col>6</xdr:col>
      <xdr:colOff>952499</xdr:colOff>
      <xdr:row>1</xdr:row>
      <xdr:rowOff>311150</xdr:rowOff>
    </xdr:to>
    <xdr:sp macro="" textlink="">
      <xdr:nvSpPr>
        <xdr:cNvPr id="2" name="Försäljningsrapport" descr="Klicka för att visa kalkylbladet Inmatning." title="Knapp för inmatningsnavigering">
          <a:hlinkClick xmlns:r="http://schemas.openxmlformats.org/officeDocument/2006/relationships" r:id="rId1" tooltip="Klicka för att visa kalkylbladet Inmatning"/>
          <a:extLst>
            <a:ext uri="{FF2B5EF4-FFF2-40B4-BE49-F238E27FC236}">
              <a16:creationId xmlns:a16="http://schemas.microsoft.com/office/drawing/2014/main" id="{AD888AFF-0EBB-41E4-AE7C-182E5A448303}"/>
            </a:ext>
          </a:extLst>
        </xdr:cNvPr>
        <xdr:cNvSpPr/>
      </xdr:nvSpPr>
      <xdr:spPr>
        <a:xfrm>
          <a:off x="5422900" y="225425"/>
          <a:ext cx="1435099" cy="225425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r>
            <a:rPr lang="sv-SE" sz="1000">
              <a:solidFill>
                <a:schemeClr val="bg1"/>
              </a:solidFill>
              <a:latin typeface="+mn-lt"/>
              <a:ea typeface="+mn-ea"/>
              <a:cs typeface="+mn-cs"/>
            </a:rPr>
            <a:t>Datainmatning</a:t>
          </a:r>
          <a:endParaRPr 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85725</xdr:rowOff>
    </xdr:from>
    <xdr:to>
      <xdr:col>7</xdr:col>
      <xdr:colOff>174150</xdr:colOff>
      <xdr:row>1</xdr:row>
      <xdr:rowOff>314325</xdr:rowOff>
    </xdr:to>
    <xdr:sp macro="" textlink="">
      <xdr:nvSpPr>
        <xdr:cNvPr id="2" name="Försäljningsrapport" descr="Klicka om du vill visa bladet Datainmatning." title="Navigeringsknappen Datainmatning">
          <a:hlinkClick xmlns:r="http://schemas.openxmlformats.org/officeDocument/2006/relationships" r:id="rId1" tooltip="Klicka om du vill visa bladet Datainmatning"/>
          <a:extLst>
            <a:ext uri="{FF2B5EF4-FFF2-40B4-BE49-F238E27FC236}">
              <a16:creationId xmlns:a16="http://schemas.microsoft.com/office/drawing/2014/main" id="{FA192858-15E3-40DD-9BA3-D50238CB17B3}"/>
            </a:ext>
          </a:extLst>
        </xdr:cNvPr>
        <xdr:cNvSpPr/>
      </xdr:nvSpPr>
      <xdr:spPr>
        <a:xfrm>
          <a:off x="5911850" y="212725"/>
          <a:ext cx="1260000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r>
            <a:rPr lang="sv-SE" sz="1000">
              <a:solidFill>
                <a:schemeClr val="bg1"/>
              </a:solidFill>
              <a:latin typeface="+mn-lt"/>
              <a:ea typeface="+mn-ea"/>
              <a:cs typeface="+mn-cs"/>
            </a:rPr>
            <a:t>Datainmatning</a:t>
          </a:r>
          <a:endParaRPr lang="en-US" sz="10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Hirvonen" refreshedDate="43052.405431597224" createdVersion="5" refreshedVersion="6" minRefreshableVersion="3" recordCount="34" xr:uid="{00000000-000A-0000-FFFF-FFFF06000000}">
  <cacheSource type="worksheet">
    <worksheetSource name="tabell_Data"/>
  </cacheSource>
  <cacheFields count="16">
    <cacheField name="DATUM" numFmtId="0">
      <sharedItems containsSemiMixedTypes="0" containsNonDate="0" containsDate="1" containsString="0" minDate="2017-01-31T00:00:00" maxDate="2017-12-26T00:00:00"/>
    </cacheField>
    <cacheField name="FÖRETAG" numFmtId="0">
      <sharedItems count="18">
        <s v="Kista Limousiner"/>
        <s v="Edsviken Bil AB"/>
        <s v="Silverdalen AB"/>
        <s v="FM Automobil"/>
        <s v="Pettersson Bil AB"/>
        <s v="Lennartssons Motor"/>
        <s v="Thorvalds Fordon"/>
        <s v="Marcus Racing"/>
        <s v="A. Datum Corporation" u="1"/>
        <s v="School of Fine Art" u="1"/>
        <s v="Niklas" u="1"/>
        <s v="Contoso Pharmaceuticals" u="1"/>
        <s v="Silverdalen AB " u="1"/>
        <s v="Bitoreq" u="1"/>
        <s v="Consolidated Messenger" u="1"/>
        <s v="Sollentuna Garage" u="1"/>
        <s v="Proseware, Inc." u="1"/>
        <s v="Trey Research" u="1"/>
      </sharedItems>
    </cacheField>
    <cacheField name="BELOPP" numFmtId="3">
      <sharedItems containsSemiMixedTypes="0" containsString="0" containsNumber="1" containsInteger="1" minValue="500" maxValue="9500"/>
    </cacheField>
    <cacheField name="ORDER" numFmtId="3">
      <sharedItems containsSemiMixedTypes="0" containsString="0" containsNumber="1" containsInteger="1" minValue="500" maxValue="10000"/>
    </cacheField>
    <cacheField name="KOSTNAD" numFmtId="3">
      <sharedItems containsSemiMixedTypes="0" containsString="0" containsNumber="1" containsInteger="1" minValue="100" maxValue="8500"/>
    </cacheField>
    <cacheField name="INTÄKT" numFmtId="3">
      <sharedItems containsSemiMixedTypes="0" containsString="0" containsNumber="1" containsInteger="1" minValue="400" maxValue="2000"/>
    </cacheField>
    <cacheField name="MÅNAD" numFmtId="166">
      <sharedItems containsSemiMixedTypes="0" containsNonDate="0" containsDate="1" containsString="0" minDate="2013-04-01T00:00:00" maxDate="2017-12-02T00:00:00" count="21">
        <d v="2017-12-01T00:00:00"/>
        <d v="2017-11-01T00:00:00"/>
        <d v="2017-10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3-07-01T00:00:00" u="1"/>
        <d v="2013-06-01T00:00:00" u="1"/>
        <d v="2013-05-01T00:00:00" u="1"/>
        <d v="2013-04-01T00:00:00" u="1"/>
        <d v="2013-12-01T00:00:00" u="1"/>
        <d v="2013-11-01T00:00:00" u="1"/>
        <d v="2013-10-01T00:00:00" u="1"/>
        <d v="2013-09-01T00:00:00" u="1"/>
        <d v="2013-08-01T00:00:00" u="1"/>
      </sharedItems>
    </cacheField>
    <cacheField name="KVARTAL" numFmtId="17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ÅR" numFmtId="0">
      <sharedItems containsSemiMixedTypes="0" containsString="0" containsNumber="1" containsInteger="1" minValue="2013" maxValue="2017" count="2">
        <n v="2017"/>
        <n v="2013" u="1"/>
      </sharedItems>
    </cacheField>
    <cacheField name="MÅNADSNR (DÖLJ)" numFmtId="0">
      <sharedItems containsSemiMixedTypes="0" containsString="0" containsNumber="1" containsInteger="1" minValue="1" maxValue="12"/>
    </cacheField>
    <cacheField name="MÅNAD " numFmtId="3">
      <sharedItems containsSemiMixedTypes="0" containsString="0" containsNumber="1" containsInteger="1" minValue="4400" maxValue="33700"/>
    </cacheField>
    <cacheField name="KVARTAL " numFmtId="3">
      <sharedItems containsSemiMixedTypes="0" containsString="0" containsNumber="1" containsInteger="1" minValue="21400" maxValue="77700"/>
    </cacheField>
    <cacheField name="PER ÅR " numFmtId="3">
      <sharedItems containsSemiMixedTypes="0" containsString="0" containsNumber="1" containsInteger="1" minValue="203955" maxValue="203955"/>
    </cacheField>
    <cacheField name="MÅNAD  " numFmtId="3">
      <sharedItems containsSemiMixedTypes="0" containsString="0" containsNumber="1" containsInteger="1" minValue="4200" maxValue="33250"/>
    </cacheField>
    <cacheField name="KVARTAL  " numFmtId="3">
      <sharedItems containsSemiMixedTypes="0" containsString="0" containsNumber="1" containsInteger="1" minValue="21400" maxValue="79150"/>
    </cacheField>
    <cacheField name="ÅR  " numFmtId="3">
      <sharedItems containsSemiMixedTypes="0" containsString="0" containsNumber="1" containsInteger="1" minValue="201205" maxValue="201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d v="2017-12-25T00:00:00"/>
    <x v="0"/>
    <n v="5000"/>
    <n v="5500"/>
    <n v="4000"/>
    <n v="1000"/>
    <x v="0"/>
    <x v="0"/>
    <x v="0"/>
    <n v="12"/>
    <n v="8000"/>
    <n v="55755"/>
    <n v="203955"/>
    <n v="8700"/>
    <n v="52355"/>
    <n v="201205"/>
  </r>
  <r>
    <d v="2017-12-25T00:00:00"/>
    <x v="1"/>
    <n v="3000"/>
    <n v="3200"/>
    <n v="1900"/>
    <n v="1100"/>
    <x v="0"/>
    <x v="0"/>
    <x v="0"/>
    <n v="12"/>
    <n v="8000"/>
    <n v="55755"/>
    <n v="203955"/>
    <n v="8700"/>
    <n v="52355"/>
    <n v="201205"/>
  </r>
  <r>
    <d v="2017-11-25T00:00:00"/>
    <x v="0"/>
    <n v="500"/>
    <n v="500"/>
    <n v="100"/>
    <n v="400"/>
    <x v="1"/>
    <x v="0"/>
    <x v="0"/>
    <n v="11"/>
    <n v="14055"/>
    <n v="55755"/>
    <n v="203955"/>
    <n v="11055"/>
    <n v="52355"/>
    <n v="201205"/>
  </r>
  <r>
    <d v="2017-11-25T00:00:00"/>
    <x v="2"/>
    <n v="3000"/>
    <n v="2000"/>
    <n v="1500"/>
    <n v="1500"/>
    <x v="1"/>
    <x v="0"/>
    <x v="0"/>
    <n v="11"/>
    <n v="14055"/>
    <n v="55755"/>
    <n v="203955"/>
    <n v="11055"/>
    <n v="52355"/>
    <n v="201205"/>
  </r>
  <r>
    <d v="2017-11-25T00:00:00"/>
    <x v="3"/>
    <n v="5555"/>
    <n v="4555"/>
    <n v="3555"/>
    <n v="2000"/>
    <x v="1"/>
    <x v="0"/>
    <x v="0"/>
    <n v="11"/>
    <n v="14055"/>
    <n v="55755"/>
    <n v="203955"/>
    <n v="11055"/>
    <n v="52355"/>
    <n v="201205"/>
  </r>
  <r>
    <d v="2017-11-25T00:00:00"/>
    <x v="1"/>
    <n v="5000"/>
    <n v="4000"/>
    <n v="3000"/>
    <n v="2000"/>
    <x v="1"/>
    <x v="0"/>
    <x v="0"/>
    <n v="11"/>
    <n v="14055"/>
    <n v="55755"/>
    <n v="203955"/>
    <n v="11055"/>
    <n v="52355"/>
    <n v="201205"/>
  </r>
  <r>
    <d v="2017-10-25T00:00:00"/>
    <x v="4"/>
    <n v="3000"/>
    <n v="2700"/>
    <n v="1900"/>
    <n v="1100"/>
    <x v="2"/>
    <x v="0"/>
    <x v="0"/>
    <n v="10"/>
    <n v="33700"/>
    <n v="55755"/>
    <n v="203955"/>
    <n v="32600"/>
    <n v="52355"/>
    <n v="201205"/>
  </r>
  <r>
    <d v="2017-10-25T00:00:00"/>
    <x v="5"/>
    <n v="6100"/>
    <n v="5600"/>
    <n v="4500"/>
    <n v="1600"/>
    <x v="2"/>
    <x v="0"/>
    <x v="0"/>
    <n v="10"/>
    <n v="33700"/>
    <n v="55755"/>
    <n v="203955"/>
    <n v="32600"/>
    <n v="52355"/>
    <n v="201205"/>
  </r>
  <r>
    <d v="2017-10-25T00:00:00"/>
    <x v="0"/>
    <n v="2800"/>
    <n v="2900"/>
    <n v="1600"/>
    <n v="1200"/>
    <x v="2"/>
    <x v="0"/>
    <x v="0"/>
    <n v="10"/>
    <n v="33700"/>
    <n v="55755"/>
    <n v="203955"/>
    <n v="32600"/>
    <n v="52355"/>
    <n v="201205"/>
  </r>
  <r>
    <d v="2017-10-25T00:00:00"/>
    <x v="2"/>
    <n v="4800"/>
    <n v="5400"/>
    <n v="3800"/>
    <n v="1000"/>
    <x v="2"/>
    <x v="0"/>
    <x v="0"/>
    <n v="10"/>
    <n v="33700"/>
    <n v="55755"/>
    <n v="203955"/>
    <n v="32600"/>
    <n v="52355"/>
    <n v="201205"/>
  </r>
  <r>
    <d v="2017-10-25T00:00:00"/>
    <x v="3"/>
    <n v="5500"/>
    <n v="4500"/>
    <n v="4000"/>
    <n v="1500"/>
    <x v="2"/>
    <x v="0"/>
    <x v="0"/>
    <n v="10"/>
    <n v="33700"/>
    <n v="55755"/>
    <n v="203955"/>
    <n v="32600"/>
    <n v="52355"/>
    <n v="201205"/>
  </r>
  <r>
    <d v="2017-10-25T00:00:00"/>
    <x v="6"/>
    <n v="3500"/>
    <n v="3000"/>
    <n v="2000"/>
    <n v="1500"/>
    <x v="2"/>
    <x v="0"/>
    <x v="0"/>
    <n v="10"/>
    <n v="33700"/>
    <n v="55755"/>
    <n v="203955"/>
    <n v="32600"/>
    <n v="52355"/>
    <n v="201205"/>
  </r>
  <r>
    <d v="2017-10-25T00:00:00"/>
    <x v="1"/>
    <n v="3000"/>
    <n v="3500"/>
    <n v="2500"/>
    <n v="500"/>
    <x v="2"/>
    <x v="0"/>
    <x v="0"/>
    <n v="10"/>
    <n v="33700"/>
    <n v="55755"/>
    <n v="203955"/>
    <n v="32600"/>
    <n v="52355"/>
    <n v="201205"/>
  </r>
  <r>
    <d v="2017-10-25T00:00:00"/>
    <x v="7"/>
    <n v="5000"/>
    <n v="5000"/>
    <n v="4000"/>
    <n v="1000"/>
    <x v="2"/>
    <x v="0"/>
    <x v="0"/>
    <n v="10"/>
    <n v="33700"/>
    <n v="55755"/>
    <n v="203955"/>
    <n v="32600"/>
    <n v="52355"/>
    <n v="201205"/>
  </r>
  <r>
    <d v="2017-01-31T00:00:00"/>
    <x v="3"/>
    <n v="9500"/>
    <n v="9200"/>
    <n v="8500"/>
    <n v="1000"/>
    <x v="3"/>
    <x v="1"/>
    <x v="0"/>
    <n v="1"/>
    <n v="9500"/>
    <n v="21400"/>
    <n v="203955"/>
    <n v="9200"/>
    <n v="21400"/>
    <n v="201205"/>
  </r>
  <r>
    <d v="2017-02-23T00:00:00"/>
    <x v="7"/>
    <n v="4400"/>
    <n v="4200"/>
    <n v="2600"/>
    <n v="1800"/>
    <x v="4"/>
    <x v="1"/>
    <x v="0"/>
    <n v="2"/>
    <n v="4400"/>
    <n v="21400"/>
    <n v="203955"/>
    <n v="4200"/>
    <n v="21400"/>
    <n v="201205"/>
  </r>
  <r>
    <d v="2017-03-06T00:00:00"/>
    <x v="6"/>
    <n v="7500"/>
    <n v="8000"/>
    <n v="5850"/>
    <n v="1650"/>
    <x v="5"/>
    <x v="1"/>
    <x v="0"/>
    <n v="3"/>
    <n v="7500"/>
    <n v="21400"/>
    <n v="203955"/>
    <n v="8000"/>
    <n v="21400"/>
    <n v="201205"/>
  </r>
  <r>
    <d v="2017-04-18T00:00:00"/>
    <x v="7"/>
    <n v="9000"/>
    <n v="10000"/>
    <n v="7575"/>
    <n v="1425"/>
    <x v="6"/>
    <x v="2"/>
    <x v="0"/>
    <n v="4"/>
    <n v="23600"/>
    <n v="77700"/>
    <n v="203955"/>
    <n v="24200"/>
    <n v="79150"/>
    <n v="201205"/>
  </r>
  <r>
    <d v="2017-04-22T00:00:00"/>
    <x v="4"/>
    <n v="6400"/>
    <n v="6200"/>
    <n v="4450"/>
    <n v="1950"/>
    <x v="6"/>
    <x v="2"/>
    <x v="0"/>
    <n v="4"/>
    <n v="23600"/>
    <n v="77700"/>
    <n v="203955"/>
    <n v="24200"/>
    <n v="79150"/>
    <n v="201205"/>
  </r>
  <r>
    <d v="2017-04-24T00:00:00"/>
    <x v="6"/>
    <n v="8200"/>
    <n v="8000"/>
    <n v="6400"/>
    <n v="1800"/>
    <x v="6"/>
    <x v="2"/>
    <x v="0"/>
    <n v="4"/>
    <n v="23600"/>
    <n v="77700"/>
    <n v="203955"/>
    <n v="24200"/>
    <n v="79150"/>
    <n v="201205"/>
  </r>
  <r>
    <d v="2017-05-06T00:00:00"/>
    <x v="3"/>
    <n v="4400"/>
    <n v="4200"/>
    <n v="2600"/>
    <n v="1800"/>
    <x v="7"/>
    <x v="2"/>
    <x v="0"/>
    <n v="5"/>
    <n v="21800"/>
    <n v="77700"/>
    <n v="203955"/>
    <n v="21700"/>
    <n v="79150"/>
    <n v="201205"/>
  </r>
  <r>
    <d v="2017-05-13T00:00:00"/>
    <x v="5"/>
    <n v="5400"/>
    <n v="5500"/>
    <n v="4500"/>
    <n v="900"/>
    <x v="7"/>
    <x v="2"/>
    <x v="0"/>
    <n v="5"/>
    <n v="21800"/>
    <n v="77700"/>
    <n v="203955"/>
    <n v="21700"/>
    <n v="79150"/>
    <n v="201205"/>
  </r>
  <r>
    <d v="2017-05-13T00:00:00"/>
    <x v="2"/>
    <n v="5800"/>
    <n v="6000"/>
    <n v="4500"/>
    <n v="1300"/>
    <x v="7"/>
    <x v="2"/>
    <x v="0"/>
    <n v="5"/>
    <n v="21800"/>
    <n v="77700"/>
    <n v="203955"/>
    <n v="21700"/>
    <n v="79150"/>
    <n v="201205"/>
  </r>
  <r>
    <d v="2017-05-28T00:00:00"/>
    <x v="4"/>
    <n v="6200"/>
    <n v="6000"/>
    <n v="4500"/>
    <n v="1700"/>
    <x v="7"/>
    <x v="2"/>
    <x v="0"/>
    <n v="5"/>
    <n v="21800"/>
    <n v="77700"/>
    <n v="203955"/>
    <n v="21700"/>
    <n v="79150"/>
    <n v="201205"/>
  </r>
  <r>
    <d v="2017-06-03T00:00:00"/>
    <x v="0"/>
    <n v="9100"/>
    <n v="9200"/>
    <n v="7850"/>
    <n v="1250"/>
    <x v="8"/>
    <x v="2"/>
    <x v="0"/>
    <n v="6"/>
    <n v="32300"/>
    <n v="77700"/>
    <n v="203955"/>
    <n v="33250"/>
    <n v="79150"/>
    <n v="201205"/>
  </r>
  <r>
    <d v="2017-06-09T00:00:00"/>
    <x v="1"/>
    <n v="6900"/>
    <n v="7500"/>
    <n v="5400"/>
    <n v="1500"/>
    <x v="8"/>
    <x v="2"/>
    <x v="0"/>
    <n v="6"/>
    <n v="32300"/>
    <n v="77700"/>
    <n v="203955"/>
    <n v="33250"/>
    <n v="79150"/>
    <n v="201205"/>
  </r>
  <r>
    <d v="2017-06-19T00:00:00"/>
    <x v="0"/>
    <n v="8800"/>
    <n v="9350"/>
    <n v="7100"/>
    <n v="1700"/>
    <x v="8"/>
    <x v="2"/>
    <x v="0"/>
    <n v="6"/>
    <n v="32300"/>
    <n v="77700"/>
    <n v="203955"/>
    <n v="33250"/>
    <n v="79150"/>
    <n v="201205"/>
  </r>
  <r>
    <d v="2017-06-20T00:00:00"/>
    <x v="2"/>
    <n v="7500"/>
    <n v="7200"/>
    <n v="6500"/>
    <n v="1000"/>
    <x v="8"/>
    <x v="2"/>
    <x v="0"/>
    <n v="6"/>
    <n v="32300"/>
    <n v="77700"/>
    <n v="203955"/>
    <n v="33250"/>
    <n v="79150"/>
    <n v="201205"/>
  </r>
  <r>
    <d v="2017-07-05T00:00:00"/>
    <x v="5"/>
    <n v="8700"/>
    <n v="8500"/>
    <n v="7250"/>
    <n v="1450"/>
    <x v="9"/>
    <x v="3"/>
    <x v="0"/>
    <n v="7"/>
    <n v="8700"/>
    <n v="49100"/>
    <n v="203955"/>
    <n v="8500"/>
    <n v="48300"/>
    <n v="201205"/>
  </r>
  <r>
    <d v="2017-08-04T00:00:00"/>
    <x v="6"/>
    <n v="8500"/>
    <n v="8300"/>
    <n v="7100"/>
    <n v="1400"/>
    <x v="10"/>
    <x v="3"/>
    <x v="0"/>
    <n v="8"/>
    <n v="16400"/>
    <n v="49100"/>
    <n v="203955"/>
    <n v="16000"/>
    <n v="48300"/>
    <n v="201205"/>
  </r>
  <r>
    <d v="2017-08-18T00:00:00"/>
    <x v="0"/>
    <n v="7900"/>
    <n v="7700"/>
    <n v="6600"/>
    <n v="1300"/>
    <x v="10"/>
    <x v="3"/>
    <x v="0"/>
    <n v="8"/>
    <n v="16400"/>
    <n v="49100"/>
    <n v="203955"/>
    <n v="16000"/>
    <n v="48300"/>
    <n v="201205"/>
  </r>
  <r>
    <d v="2017-09-03T00:00:00"/>
    <x v="1"/>
    <n v="9100"/>
    <n v="8900"/>
    <n v="7900"/>
    <n v="1200"/>
    <x v="11"/>
    <x v="3"/>
    <x v="0"/>
    <n v="9"/>
    <n v="24000"/>
    <n v="49100"/>
    <n v="203955"/>
    <n v="23800"/>
    <n v="48300"/>
    <n v="201205"/>
  </r>
  <r>
    <d v="2017-09-19T00:00:00"/>
    <x v="3"/>
    <n v="5600"/>
    <n v="5800"/>
    <n v="4500"/>
    <n v="1100"/>
    <x v="11"/>
    <x v="3"/>
    <x v="0"/>
    <n v="9"/>
    <n v="24000"/>
    <n v="49100"/>
    <n v="203955"/>
    <n v="23800"/>
    <n v="48300"/>
    <n v="201205"/>
  </r>
  <r>
    <d v="2017-09-24T00:00:00"/>
    <x v="5"/>
    <n v="9300"/>
    <n v="9100"/>
    <n v="7500"/>
    <n v="1800"/>
    <x v="11"/>
    <x v="3"/>
    <x v="0"/>
    <n v="9"/>
    <n v="24000"/>
    <n v="49100"/>
    <n v="203955"/>
    <n v="23800"/>
    <n v="48300"/>
    <n v="201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tSalesData" cacheId="0" applyNumberFormats="0" applyBorderFormats="0" applyFontFormats="0" applyPatternFormats="0" applyAlignmentFormats="0" applyWidthHeightFormats="1" dataCaption="Values" updatedVersion="6" minRefreshableVersion="3" showDrill="0" fieldPrintTitles="1" itemPrintTitles="1" createdVersion="4" indent="0" compact="0" compactData="0" multipleFieldFilters="0">
  <location ref="B5:I44" firstHeaderRow="0" firstDataRow="1" firstDataCol="4"/>
  <pivotFields count="16">
    <pivotField compact="0" numFmtId="14" outline="0" showAll="0" defaultSubtotal="0"/>
    <pivotField axis="axisRow" compact="0" outline="0" showAll="0">
      <items count="19">
        <item m="1" x="8"/>
        <item m="1" x="14"/>
        <item m="1" x="11"/>
        <item m="1" x="16"/>
        <item m="1" x="9"/>
        <item m="1" x="17"/>
        <item m="1" x="13"/>
        <item m="1" x="10"/>
        <item x="1"/>
        <item m="1" x="15"/>
        <item x="6"/>
        <item x="3"/>
        <item m="1" x="12"/>
        <item x="0"/>
        <item x="5"/>
        <item x="7"/>
        <item x="4"/>
        <item x="2"/>
        <item t="default"/>
      </items>
    </pivotField>
    <pivotField dataField="1" compact="0" numFmtId="169" outline="0" showAll="0" defaultSubtotal="0"/>
    <pivotField dataField="1" compact="0" numFmtId="169" outline="0" showAll="0"/>
    <pivotField dataField="1" compact="0" numFmtId="169" outline="0" showAll="0" defaultSubtotal="0"/>
    <pivotField dataField="1" compact="0" numFmtId="169" outline="0" showAll="0" defaultSubtotal="0"/>
    <pivotField axis="axisRow" compact="0" numFmtId="168" outline="0" showAll="0" defaultSubtotal="0">
      <items count="21">
        <item m="1" x="15"/>
        <item m="1" x="14"/>
        <item m="1" x="13"/>
        <item m="1" x="12"/>
        <item m="1" x="20"/>
        <item m="1" x="19"/>
        <item m="1" x="18"/>
        <item m="1" x="17"/>
        <item m="1" x="16"/>
        <item x="3"/>
        <item x="5"/>
        <item x="6"/>
        <item x="7"/>
        <item x="8"/>
        <item x="9"/>
        <item x="10"/>
        <item x="11"/>
        <item x="2"/>
        <item x="4"/>
        <item x="1"/>
        <item x="0"/>
      </items>
    </pivotField>
    <pivotField axis="axisRow" compact="0" numFmtId="170" outline="0" showAll="0" sortType="ascending">
      <items count="5">
        <item x="1"/>
        <item x="2"/>
        <item x="3"/>
        <item x="0"/>
        <item t="default"/>
      </items>
    </pivotField>
    <pivotField axis="axisRow" compact="0" numFmtId="167" outline="0" showAll="0">
      <items count="3">
        <item n="2017" m="1" x="1"/>
        <item x="0"/>
        <item t="default"/>
      </items>
    </pivotField>
    <pivotField compact="0" outline="0" showAll="0" defaultSubtotal="0"/>
    <pivotField compact="0" numFmtId="169" outline="0" showAll="0" defaultSubtotal="0"/>
    <pivotField compact="0" numFmtId="169" outline="0" showAll="0" defaultSubtotal="0"/>
    <pivotField compact="0" numFmtId="169" outline="0" showAll="0" defaultSubtotal="0"/>
    <pivotField compact="0" numFmtId="169" outline="0" showAll="0" defaultSubtotal="0"/>
    <pivotField compact="0" numFmtId="169" outline="0" showAll="0" defaultSubtotal="0"/>
    <pivotField compact="0" numFmtId="169" outline="0" showAll="0" defaultSubtotal="0"/>
  </pivotFields>
  <rowFields count="4">
    <field x="8"/>
    <field x="7"/>
    <field x="6"/>
    <field x="1"/>
  </rowFields>
  <rowItems count="39">
    <i>
      <x v="1"/>
      <x/>
      <x v="9"/>
      <x v="11"/>
    </i>
    <i r="2">
      <x v="10"/>
      <x v="10"/>
    </i>
    <i r="2">
      <x v="18"/>
      <x v="15"/>
    </i>
    <i t="default" r="1">
      <x/>
    </i>
    <i r="1">
      <x v="1"/>
      <x v="11"/>
      <x v="10"/>
    </i>
    <i r="3">
      <x v="15"/>
    </i>
    <i r="3">
      <x v="16"/>
    </i>
    <i r="2">
      <x v="12"/>
      <x v="11"/>
    </i>
    <i r="3">
      <x v="14"/>
    </i>
    <i r="3">
      <x v="16"/>
    </i>
    <i r="3">
      <x v="17"/>
    </i>
    <i r="2">
      <x v="13"/>
      <x v="8"/>
    </i>
    <i r="3">
      <x v="13"/>
    </i>
    <i r="3">
      <x v="17"/>
    </i>
    <i t="default" r="1">
      <x v="1"/>
    </i>
    <i r="1">
      <x v="2"/>
      <x v="14"/>
      <x v="14"/>
    </i>
    <i r="2">
      <x v="15"/>
      <x v="10"/>
    </i>
    <i r="3">
      <x v="13"/>
    </i>
    <i r="2">
      <x v="16"/>
      <x v="8"/>
    </i>
    <i r="3">
      <x v="11"/>
    </i>
    <i r="3">
      <x v="14"/>
    </i>
    <i t="default" r="1">
      <x v="2"/>
    </i>
    <i r="1">
      <x v="3"/>
      <x v="17"/>
      <x v="8"/>
    </i>
    <i r="3">
      <x v="10"/>
    </i>
    <i r="3">
      <x v="11"/>
    </i>
    <i r="3">
      <x v="13"/>
    </i>
    <i r="3">
      <x v="14"/>
    </i>
    <i r="3">
      <x v="15"/>
    </i>
    <i r="3">
      <x v="16"/>
    </i>
    <i r="3">
      <x v="17"/>
    </i>
    <i r="2">
      <x v="19"/>
      <x v="8"/>
    </i>
    <i r="3">
      <x v="11"/>
    </i>
    <i r="3">
      <x v="13"/>
    </i>
    <i r="3">
      <x v="17"/>
    </i>
    <i r="2">
      <x v="20"/>
      <x v="8"/>
    </i>
    <i r="3">
      <x v="13"/>
    </i>
    <i t="default" r="1">
      <x v="3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FÖRSÄLJNING" fld="2" baseField="1" baseItem="0" numFmtId="3"/>
    <dataField name="Summa av INTÄKT" fld="5" baseField="0" baseItem="0"/>
    <dataField name="Summa av KOSTNAD" fld="4" baseField="0" baseItem="0"/>
    <dataField name="Summa av ORDER" fld="3" baseField="0" baseItem="0"/>
  </dataFields>
  <formats count="25">
    <format dxfId="58">
      <pivotArea dataOnly="0" labelOnly="1" outline="0" axis="axisValues" fieldPosition="0"/>
    </format>
    <format dxfId="57">
      <pivotArea dataOnly="0" labelOnly="1" outline="0" axis="axisValues" fieldPosition="0"/>
    </format>
    <format dxfId="56">
      <pivotArea outline="0" fieldPosition="0">
        <references count="1">
          <reference field="4294967294" count="1">
            <x v="0"/>
          </reference>
        </references>
      </pivotArea>
    </format>
    <format dxfId="55">
      <pivotArea dataOnly="0" outline="0" fieldPosition="0">
        <references count="1">
          <reference field="8" count="0" defaultSubtotal="1"/>
        </references>
      </pivotArea>
    </format>
    <format dxfId="54">
      <pivotArea dataOnly="0" labelOnly="1" outline="0" fieldPosition="0">
        <references count="1">
          <reference field="8" count="0"/>
        </references>
      </pivotArea>
    </format>
    <format dxfId="53">
      <pivotArea dataOnly="0" labelOnly="1" outline="0" fieldPosition="0">
        <references count="1">
          <reference field="7" count="0"/>
        </references>
      </pivotArea>
    </format>
    <format dxfId="52">
      <pivotArea field="8" type="button" dataOnly="0" labelOnly="1" outline="0" axis="axisRow" fieldPosition="0"/>
    </format>
    <format dxfId="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">
      <pivotArea field="6" type="button" dataOnly="0" labelOnly="1" outline="0" axis="axisRow" fieldPosition="2"/>
    </format>
    <format dxfId="4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outline="0" collapsedLevelsAreSubtotals="1" fieldPosition="0">
        <references count="5">
          <reference field="4294967294" count="1" selected="0">
            <x v="0"/>
          </reference>
          <reference field="1" count="1" selected="0">
            <x v="11"/>
          </reference>
          <reference field="6" count="1" selected="0">
            <x v="9"/>
          </reference>
          <reference field="7" count="1" selected="0">
            <x v="0"/>
          </reference>
          <reference field="8" count="0" selected="0"/>
        </references>
      </pivotArea>
    </format>
    <format dxfId="41">
      <pivotArea outline="0" collapsedLevelsAreSubtotals="1" fieldPosition="0">
        <references count="5">
          <reference field="4294967294" count="1" selected="0">
            <x v="0"/>
          </reference>
          <reference field="1" count="2" selected="0">
            <x v="10"/>
            <x v="15"/>
          </reference>
          <reference field="6" count="2" selected="0">
            <x v="10"/>
            <x v="18"/>
          </reference>
          <reference field="7" count="1" selected="0">
            <x v="0"/>
          </reference>
          <reference field="8" count="0" selected="0"/>
        </references>
      </pivotArea>
    </format>
    <format dxfId="40">
      <pivotArea outline="0" collapsedLevelsAreSubtotals="1" fieldPosition="0">
        <references count="5">
          <reference field="4294967294" count="3" selected="0">
            <x v="1"/>
            <x v="2"/>
            <x v="3"/>
          </reference>
          <reference field="1" count="3" selected="0">
            <x v="10"/>
            <x v="11"/>
            <x v="15"/>
          </reference>
          <reference field="6" count="3" selected="0">
            <x v="9"/>
            <x v="10"/>
            <x v="18"/>
          </reference>
          <reference field="7" count="1" selected="0">
            <x v="0"/>
          </reference>
          <reference field="8" count="0" selected="0"/>
        </references>
      </pivotArea>
    </format>
    <format dxfId="39">
      <pivotArea outline="0" collapsedLevelsAreSubtotals="1" fieldPosition="0">
        <references count="4">
          <reference field="1" count="0" selected="0"/>
          <reference field="6" count="3" selected="0">
            <x v="11"/>
            <x v="12"/>
            <x v="13"/>
          </reference>
          <reference field="7" count="1" selected="0">
            <x v="1"/>
          </reference>
          <reference field="8" count="0" selected="0"/>
        </references>
      </pivotArea>
    </format>
    <format dxfId="38">
      <pivotArea outline="0" collapsedLevelsAreSubtotals="1" fieldPosition="0">
        <references count="4">
          <reference field="1" count="5" selected="0">
            <x v="8"/>
            <x v="10"/>
            <x v="11"/>
            <x v="13"/>
            <x v="14"/>
          </reference>
          <reference field="6" count="3" selected="0">
            <x v="14"/>
            <x v="15"/>
            <x v="16"/>
          </reference>
          <reference field="7" count="1" selected="0">
            <x v="2"/>
          </reference>
          <reference field="8" count="0" selected="0"/>
        </references>
      </pivotArea>
    </format>
    <format dxfId="37">
      <pivotArea outline="0" collapsedLevelsAreSubtotals="1" fieldPosition="0">
        <references count="4">
          <reference field="1" count="0" selected="0"/>
          <reference field="6" count="2" selected="0">
            <x v="17"/>
            <x v="19"/>
          </reference>
          <reference field="7" count="1" selected="0">
            <x v="3"/>
          </reference>
          <reference field="8" count="0" selected="0"/>
        </references>
      </pivotArea>
    </format>
    <format dxfId="36">
      <pivotArea outline="0" fieldPosition="0">
        <references count="1">
          <reference field="4294967294" count="1">
            <x v="0"/>
          </reference>
        </references>
      </pivotArea>
    </format>
    <format dxfId="35">
      <pivotArea outline="0" collapsedLevelsAreSubtotals="1" fieldPosition="0">
        <references count="3">
          <reference field="4294967294" count="3" selected="0">
            <x v="1"/>
            <x v="2"/>
            <x v="3"/>
          </reference>
          <reference field="7" count="1" selected="0" defaultSubtotal="1">
            <x v="0"/>
          </reference>
          <reference field="8" count="0" selected="0"/>
        </references>
      </pivotArea>
    </format>
    <format dxfId="34">
      <pivotArea outline="0" collapsedLevelsAreSubtotals="1" fieldPosition="0">
        <references count="2">
          <reference field="4294967294" count="3" selected="0">
            <x v="1"/>
            <x v="2"/>
            <x v="3"/>
          </reference>
          <reference field="8" count="0" selected="0" defaultSubtotal="1"/>
        </references>
      </pivotArea>
    </format>
  </formats>
  <pivotTableStyleInfo name="Monthly Sales Report PivotTable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ivottabell för månatlig försäljningsrapport" altTextSummary="En pivottabell som visar den månatliga försäljningen, grupperad efter år, kvartal, månad och företag tillsammans med total försäljning för varje grupp.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AA940-4A24-44F0-9D8A-B841D8692491}" name="ptSalesData" cacheId="0" applyNumberFormats="0" applyBorderFormats="0" applyFontFormats="0" applyPatternFormats="0" applyAlignmentFormats="0" applyWidthHeightFormats="1" dataCaption="Values" updatedVersion="6" minRefreshableVersion="3" showDrill="0" fieldPrintTitles="1" itemPrintTitles="1" createdVersion="4" indent="0" compact="0" compactData="0" multipleFieldFilters="0">
  <location ref="B5:G15" firstHeaderRow="0" firstDataRow="1" firstDataCol="2"/>
  <pivotFields count="16">
    <pivotField compact="0" numFmtId="14" outline="0" showAll="0" defaultSubtotal="0"/>
    <pivotField axis="axisRow" compact="0" outline="0" showAll="0">
      <items count="19">
        <item m="1" x="8"/>
        <item m="1" x="14"/>
        <item m="1" x="11"/>
        <item m="1" x="16"/>
        <item m="1" x="9"/>
        <item m="1" x="17"/>
        <item m="1" x="13"/>
        <item m="1" x="10"/>
        <item x="1"/>
        <item m="1" x="15"/>
        <item x="6"/>
        <item x="3"/>
        <item m="1" x="12"/>
        <item x="0"/>
        <item x="5"/>
        <item x="7"/>
        <item x="4"/>
        <item x="2"/>
        <item t="default"/>
      </items>
    </pivotField>
    <pivotField dataField="1" compact="0" numFmtId="169" outline="0" showAll="0" defaultSubtotal="0"/>
    <pivotField dataField="1" compact="0" numFmtId="169" outline="0" showAll="0"/>
    <pivotField dataField="1" compact="0" numFmtId="169" outline="0" showAll="0" defaultSubtotal="0"/>
    <pivotField dataField="1" compact="0" numFmtId="169" outline="0" showAll="0" defaultSubtotal="0"/>
    <pivotField compact="0" numFmtId="168" outline="0" showAll="0" defaultSubtotal="0"/>
    <pivotField compact="0" numFmtId="170" outline="0" showAll="0" sortType="ascending"/>
    <pivotField axis="axisRow" compact="0" numFmtId="167" outline="0" showAll="0">
      <items count="3">
        <item n="2017" m="1" x="1"/>
        <item x="0"/>
        <item t="default"/>
      </items>
    </pivotField>
    <pivotField compact="0" outline="0" showAll="0" defaultSubtotal="0"/>
    <pivotField compact="0" numFmtId="169" outline="0" showAll="0" defaultSubtotal="0"/>
    <pivotField compact="0" numFmtId="169" outline="0" showAll="0" defaultSubtotal="0"/>
    <pivotField compact="0" numFmtId="169" outline="0" showAll="0" defaultSubtotal="0"/>
    <pivotField compact="0" numFmtId="169" outline="0" showAll="0" defaultSubtotal="0"/>
    <pivotField compact="0" numFmtId="169" outline="0" showAll="0" defaultSubtotal="0"/>
    <pivotField compact="0" numFmtId="169" outline="0" showAll="0" defaultSubtotal="0"/>
  </pivotFields>
  <rowFields count="2">
    <field x="8"/>
    <field x="1"/>
  </rowFields>
  <rowItems count="10">
    <i>
      <x v="1"/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FÖRSÄLJNING" fld="2" baseField="1" baseItem="0" numFmtId="171"/>
    <dataField name="Summa av INTÄKT" fld="5" baseField="0" baseItem="0"/>
    <dataField name="Summa av KOSTNAD" fld="4" baseField="0" baseItem="0"/>
    <dataField name="Summa av ORDER" fld="3" baseField="0" baseItem="0"/>
  </dataFields>
  <formats count="26">
    <format dxfId="28">
      <pivotArea dataOnly="0" labelOnly="1" outline="0" axis="axisValues" fieldPosition="0"/>
    </format>
    <format dxfId="27">
      <pivotArea dataOnly="0" labelOnly="1" outline="0" axis="axisValues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  <format dxfId="25">
      <pivotArea dataOnly="0" outline="0" fieldPosition="0">
        <references count="1">
          <reference field="8" count="0" defaultSubtotal="1"/>
        </references>
      </pivotArea>
    </format>
    <format dxfId="24">
      <pivotArea dataOnly="0" labelOnly="1" outline="0" fieldPosition="0">
        <references count="1">
          <reference field="8" count="0"/>
        </references>
      </pivotArea>
    </format>
    <format dxfId="23">
      <pivotArea field="8" type="button" dataOnly="0" labelOnly="1" outline="0" axis="axisRow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  <format dxfId="21">
      <pivotArea outline="0" fieldPosition="0">
        <references count="1">
          <reference field="4294967294" count="1">
            <x v="0"/>
          </reference>
        </references>
      </pivotArea>
    </format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0" selected="0"/>
        </references>
      </pivotArea>
    </format>
    <format dxfId="6">
      <pivotArea outline="0" collapsedLevelsAreSubtotals="1" fieldPosition="0">
        <references count="3">
          <reference field="4294967294" count="1" selected="0">
            <x v="0"/>
          </reference>
          <reference field="1" count="7" selected="0">
            <x v="10"/>
            <x v="11"/>
            <x v="13"/>
            <x v="14"/>
            <x v="15"/>
            <x v="16"/>
            <x v="17"/>
          </reference>
          <reference field="8" count="0" selected="0"/>
        </references>
      </pivotArea>
    </format>
    <format dxfId="5">
      <pivotArea outline="0" collapsedLevelsAreSubtotals="1" fieldPosition="0">
        <references count="3">
          <reference field="4294967294" count="3" selected="0">
            <x v="1"/>
            <x v="2"/>
            <x v="3"/>
          </reference>
          <reference field="1" count="0" selected="0"/>
          <reference field="8" count="0" selected="0"/>
        </references>
      </pivotArea>
    </format>
    <format dxfId="4">
      <pivotArea outline="0" collapsedLevelsAreSubtotals="1" fieldPosition="0">
        <references count="2">
          <reference field="4294967294" count="1" selected="0">
            <x v="0"/>
          </reference>
          <reference field="8" count="0" selected="0" defaultSubtotal="1"/>
        </references>
      </pivotArea>
    </format>
    <format dxfId="3">
      <pivotArea outline="0" collapsedLevelsAreSubtotals="1" fieldPosition="0">
        <references count="2">
          <reference field="4294967294" count="3" selected="0">
            <x v="1"/>
            <x v="2"/>
            <x v="3"/>
          </reference>
          <reference field="8" count="0" selected="0" defaultSubtotal="1"/>
        </references>
      </pivotArea>
    </format>
  </formats>
  <pivotTableStyleInfo name="Monthly Sales Report PivotTable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ivottabell för månatlig försäljningsrapport" altTextSummary="En pivottabell som visar den månatliga försäljningen, grupperad efter år, kvartal, månad och företag tillsammans med total försäljning för varje grupp.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_Data" displayName="tabell_Data" ref="B5:Q39" totalsRowShown="0" headerRowDxfId="81" dataDxfId="80" headerRowCellStyle="Rubrik 4">
  <autoFilter ref="B5:Q39" xr:uid="{00000000-0009-0000-0100-000001000000}"/>
  <sortState ref="B6:Q39">
    <sortCondition ref="B5:B39"/>
  </sortState>
  <tableColumns count="16">
    <tableColumn id="1" xr3:uid="{00000000-0010-0000-0000-000001000000}" name="DATUM" dataDxfId="79"/>
    <tableColumn id="2" xr3:uid="{00000000-0010-0000-0000-000002000000}" name="FÖRETAG" dataDxfId="78"/>
    <tableColumn id="3" xr3:uid="{00000000-0010-0000-0000-000003000000}" name="BELOPP" dataDxfId="77"/>
    <tableColumn id="4" xr3:uid="{00000000-0010-0000-0000-000004000000}" name="ORDER" dataDxfId="76" dataCellStyle="Rubrik 4"/>
    <tableColumn id="5" xr3:uid="{00000000-0010-0000-0000-000005000000}" name="KOSTNAD" dataDxfId="75" dataCellStyle="Rubrik 4"/>
    <tableColumn id="16" xr3:uid="{00000000-0010-0000-0000-000010000000}" name="INTÄKT" dataDxfId="74">
      <calculatedColumnFormula>tabell_Data[[#This Row],[BELOPP]]-tabell_Data[[#This Row],[KOSTNAD]]</calculatedColumnFormula>
    </tableColumn>
    <tableColumn id="6" xr3:uid="{00000000-0010-0000-0000-000006000000}" name="MÅNAD" dataDxfId="73">
      <calculatedColumnFormula>DATE(YEAR(tabell_Data[[#This Row],[DATUM]]),MONTH(tabell_Data[[#This Row],[DATUM]]),1)</calculatedColumnFormula>
    </tableColumn>
    <tableColumn id="7" xr3:uid="{00000000-0010-0000-0000-000007000000}" name="KVARTAL" dataDxfId="72">
      <calculatedColumnFormula>LOOKUP(MONTH(tabell_Data[[#This Row],[MÅNAD]]),{1,1;2,1;3,1;4,2;5,2;6,2;7,3;8,3;9,3;10,4;11,4;12,4})</calculatedColumnFormula>
    </tableColumn>
    <tableColumn id="8" xr3:uid="{00000000-0010-0000-0000-000008000000}" name="ÅR" dataDxfId="71">
      <calculatedColumnFormula>YEAR(tabell_Data[[#This Row],[DATUM]])</calculatedColumnFormula>
    </tableColumn>
    <tableColumn id="12" xr3:uid="{00000000-0010-0000-0000-00000C000000}" name="MÅNADSNR (DÖLJ)" dataDxfId="70">
      <calculatedColumnFormula>MONTH(tabell_Data[[#This Row],[DATUM]])</calculatedColumnFormula>
    </tableColumn>
    <tableColumn id="9" xr3:uid="{00000000-0010-0000-0000-000009000000}" name="MÅNAD " dataDxfId="69">
      <calculatedColumnFormula>SUMIFS(tabell_Data[BELOPP],tabell_Data[DATUM],"&gt;="&amp;EOMONTH(tabell_Data[[#This Row],[DATUM]],-1)+1,tabell_Data[DATUM],"&lt;="&amp;EOMONTH(tabell_Data[[#This Row],[DATUM]],0))</calculatedColumnFormula>
    </tableColumn>
    <tableColumn id="10" xr3:uid="{00000000-0010-0000-0000-00000A000000}" name="KVARTAL " dataDxfId="68" dataCellStyle="Rubrik 4">
      <calculatedColumnFormula>SUMIFS(tabell_Data[BELOPP],tabell_Data[DATUM],"&gt;="&amp;DATE(YEAR(tabell_Data[[#This Row],[DATUM]]),1,1),tabell_Data[DATUM],"&lt;="&amp;DATE(YEAR(tabell_Data[[#This Row],[DATUM]]),12,31),tabell_Data[KVARTAL],tabell_Data[[#This Row],[KVARTAL]])</calculatedColumnFormula>
    </tableColumn>
    <tableColumn id="11" xr3:uid="{00000000-0010-0000-0000-00000B000000}" name="PER ÅR " dataDxfId="67" dataCellStyle="Rubrik 4">
      <calculatedColumnFormula>SUMIFS(tabell_Data[BELOPP],tabell_Data[DATUM],"&gt;="&amp;DATE(YEAR(tabell_Data[[#This Row],[DATUM]]),1,1),tabell_Data[DATUM],"&lt;="&amp;DATE(YEAR(tabell_Data[[#This Row],[DATUM]]),12,31))</calculatedColumnFormula>
    </tableColumn>
    <tableColumn id="13" xr3:uid="{00000000-0010-0000-0000-00000D000000}" name="MÅNAD  " dataDxfId="66" dataCellStyle="Rubrik 4">
      <calculatedColumnFormula>SUMIFS(tabell_Data[ORDER],tabell_Data[DATUM],"&gt;="&amp;EOMONTH(tabell_Data[[#This Row],[DATUM]],-1)+1,tabell_Data[DATUM],"&lt;="&amp;EOMONTH(tabell_Data[[#This Row],[DATUM]],0))</calculatedColumnFormula>
    </tableColumn>
    <tableColumn id="14" xr3:uid="{00000000-0010-0000-0000-00000E000000}" name="KVARTAL  " dataDxfId="65" dataCellStyle="Rubrik 4">
      <calculatedColumnFormula>SUMIFS(tabell_Data[ORDER],tabell_Data[DATUM],"&gt;="&amp;DATE(YEAR(tabell_Data[[#This Row],[DATUM]]),1,1),tabell_Data[DATUM],"&lt;="&amp;DATE(YEAR(tabell_Data[[#This Row],[DATUM]]),12,31),tabell_Data[KVARTAL],tabell_Data[[#This Row],[KVARTAL]])</calculatedColumnFormula>
    </tableColumn>
    <tableColumn id="15" xr3:uid="{00000000-0010-0000-0000-00000F000000}" name="ÅR  " dataDxfId="64" dataCellStyle="Rubrik 4">
      <calculatedColumnFormula>SUMIFS(tabell_Data[ORDER],tabell_Data[DATUM],"&gt;="&amp;DATE(YEAR(tabell_Data[[#This Row],[DATUM]]),1,1),tabell_Data[DATUM],"&lt;="&amp;DATE(YEAR(tabell_Data[[#This Row],[DATUM]]),12,31))</calculatedColumnFormula>
    </tableColumn>
  </tableColumns>
  <tableStyleInfo name="Monthly Sales Report Table Style" showFirstColumn="0" showLastColumn="0" showRowStripes="0" showColumnStripes="0"/>
  <extLst>
    <ext xmlns:x14="http://schemas.microsoft.com/office/spreadsheetml/2009/9/main" uri="{504A1905-F514-4f6f-8877-14C23A59335A}">
      <x14:table altText="Monthly Data Entry Table" altTextSummary="Enter monthly data in this table such as Date, Company, Amount, Planned, Cost, Revenue, Month, Quarter, and Year. Current and forecasted data will be calculated for you."/>
    </ext>
  </extLst>
</table>
</file>

<file path=xl/theme/theme1.xml><?xml version="1.0" encoding="utf-8"?>
<a:theme xmlns:a="http://schemas.openxmlformats.org/drawingml/2006/main" name="Office Theme">
  <a:themeElements>
    <a:clrScheme name="Monthly Sales Report">
      <a:dk1>
        <a:srgbClr val="000000"/>
      </a:dk1>
      <a:lt1>
        <a:srgbClr val="FFFFFF"/>
      </a:lt1>
      <a:dk2>
        <a:srgbClr val="4E4F4B"/>
      </a:dk2>
      <a:lt2>
        <a:srgbClr val="EAEBEA"/>
      </a:lt2>
      <a:accent1>
        <a:srgbClr val="83BA96"/>
      </a:accent1>
      <a:accent2>
        <a:srgbClr val="D18A4E"/>
      </a:accent2>
      <a:accent3>
        <a:srgbClr val="977974"/>
      </a:accent3>
      <a:accent4>
        <a:srgbClr val="CFA94E"/>
      </a:accent4>
      <a:accent5>
        <a:srgbClr val="7596A9"/>
      </a:accent5>
      <a:accent6>
        <a:srgbClr val="A46675"/>
      </a:accent6>
      <a:hlink>
        <a:srgbClr val="7596A9"/>
      </a:hlink>
      <a:folHlink>
        <a:srgbClr val="A46675"/>
      </a:folHlink>
    </a:clrScheme>
    <a:fontScheme name="Monthly Sales Repor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R40"/>
  <sheetViews>
    <sheetView showGridLines="0" zoomScaleNormal="100" workbookViewId="0">
      <selection activeCell="F9" sqref="F9"/>
    </sheetView>
  </sheetViews>
  <sheetFormatPr defaultColWidth="9.33203125" defaultRowHeight="17.25" customHeight="1" x14ac:dyDescent="0.2"/>
  <cols>
    <col min="1" max="1" width="2" style="2" customWidth="1"/>
    <col min="2" max="2" width="12.109375" style="2" hidden="1" customWidth="1"/>
    <col min="3" max="3" width="27.109375" style="2" customWidth="1"/>
    <col min="4" max="4" width="15.6640625" style="2" customWidth="1"/>
    <col min="5" max="5" width="16.6640625" style="2" customWidth="1"/>
    <col min="6" max="6" width="14.77734375" style="2" customWidth="1"/>
    <col min="7" max="7" width="16.77734375" style="2" customWidth="1"/>
    <col min="8" max="8" width="14.33203125" style="2" customWidth="1"/>
    <col min="9" max="9" width="17.44140625" style="2" customWidth="1"/>
    <col min="10" max="10" width="12.77734375" style="2" customWidth="1"/>
    <col min="11" max="11" width="0.6640625" style="2" customWidth="1"/>
    <col min="12" max="12" width="13.77734375" style="2" customWidth="1"/>
    <col min="13" max="13" width="16.33203125" style="2" customWidth="1"/>
    <col min="14" max="14" width="13.77734375" style="2" customWidth="1"/>
    <col min="15" max="15" width="14" style="2" customWidth="1"/>
    <col min="16" max="16" width="16.6640625" style="2" customWidth="1"/>
    <col min="17" max="17" width="12.6640625" style="2" customWidth="1"/>
    <col min="18" max="16384" width="9.33203125" style="2"/>
  </cols>
  <sheetData>
    <row r="1" spans="2:17" customFormat="1" ht="11.25" customHeight="1" x14ac:dyDescent="0.2"/>
    <row r="2" spans="2:17" customFormat="1" ht="33.75" customHeight="1" x14ac:dyDescent="0.2">
      <c r="B2" s="1" t="s">
        <v>2</v>
      </c>
      <c r="C2" s="15" t="s">
        <v>47</v>
      </c>
    </row>
    <row r="3" spans="2:17" customFormat="1" ht="17.25" customHeight="1" x14ac:dyDescent="0.2">
      <c r="L3" s="7" t="s">
        <v>23</v>
      </c>
      <c r="M3" s="3"/>
      <c r="N3" s="3"/>
      <c r="O3" s="7" t="s">
        <v>43</v>
      </c>
      <c r="P3" s="3" t="s">
        <v>43</v>
      </c>
      <c r="Q3" s="3"/>
    </row>
    <row r="4" spans="2:17" customFormat="1" ht="11.25" customHeight="1" x14ac:dyDescent="0.2">
      <c r="L4" s="8"/>
      <c r="M4" s="9"/>
      <c r="N4" s="10"/>
      <c r="O4" s="8"/>
      <c r="P4" s="9"/>
      <c r="Q4" s="10"/>
    </row>
    <row r="5" spans="2:17" ht="17.25" customHeight="1" x14ac:dyDescent="0.2">
      <c r="B5" s="21" t="s">
        <v>3</v>
      </c>
      <c r="C5" s="21" t="s">
        <v>4</v>
      </c>
      <c r="D5" s="20" t="s">
        <v>5</v>
      </c>
      <c r="E5" s="20" t="s">
        <v>43</v>
      </c>
      <c r="F5" s="20" t="s">
        <v>6</v>
      </c>
      <c r="G5" s="20" t="s">
        <v>7</v>
      </c>
      <c r="H5" s="20" t="s">
        <v>8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</row>
    <row r="6" spans="2:17" ht="17.25" customHeight="1" x14ac:dyDescent="0.2">
      <c r="B6" s="38">
        <v>43094</v>
      </c>
      <c r="C6" s="34" t="s">
        <v>41</v>
      </c>
      <c r="D6" s="48">
        <v>5000</v>
      </c>
      <c r="E6" s="48">
        <v>5500</v>
      </c>
      <c r="F6" s="48">
        <v>4000</v>
      </c>
      <c r="G6" s="49">
        <f>tabell_Data[[#This Row],[BELOPP]]-tabell_Data[[#This Row],[KOSTNAD]]</f>
        <v>1000</v>
      </c>
      <c r="H6" s="35">
        <f>DATE(YEAR(tabell_Data[[#This Row],[DATUM]]),MONTH(tabell_Data[[#This Row],[DATUM]]),1)</f>
        <v>43070</v>
      </c>
      <c r="I6" s="36">
        <f>LOOKUP(MONTH(tabell_Data[[#This Row],[MÅNAD]]),{1,1;2,1;3,1;4,2;5,2;6,2;7,3;8,3;9,3;10,4;11,4;12,4})</f>
        <v>4</v>
      </c>
      <c r="J6" s="37">
        <f>YEAR(tabell_Data[[#This Row],[DATUM]])</f>
        <v>2017</v>
      </c>
      <c r="K6" s="32">
        <f>MONTH(tabell_Data[[#This Row],[DATUM]])</f>
        <v>12</v>
      </c>
      <c r="L6" s="50">
        <f>SUMIFS(tabell_Data[BELOPP],tabell_Data[DATUM],"&gt;="&amp;EOMONTH(tabell_Data[[#This Row],[DATUM]],-1)+1,tabell_Data[DATUM],"&lt;="&amp;EOMONTH(tabell_Data[[#This Row],[DATUM]],0))</f>
        <v>8000</v>
      </c>
      <c r="M6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6" s="50">
        <f>SUMIFS(tabell_Data[BELOPP],tabell_Data[DATUM],"&gt;="&amp;DATE(YEAR(tabell_Data[[#This Row],[DATUM]]),1,1),tabell_Data[DATUM],"&lt;="&amp;DATE(YEAR(tabell_Data[[#This Row],[DATUM]]),12,31))</f>
        <v>203955</v>
      </c>
      <c r="O6" s="50">
        <f>SUMIFS(tabell_Data[ORDER],tabell_Data[DATUM],"&gt;="&amp;EOMONTH(tabell_Data[[#This Row],[DATUM]],-1)+1,tabell_Data[DATUM],"&lt;="&amp;EOMONTH(tabell_Data[[#This Row],[DATUM]],0))</f>
        <v>8700</v>
      </c>
      <c r="P6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6" s="50">
        <f>SUMIFS(tabell_Data[ORDER],tabell_Data[DATUM],"&gt;="&amp;DATE(YEAR(tabell_Data[[#This Row],[DATUM]]),1,1),tabell_Data[DATUM],"&lt;="&amp;DATE(YEAR(tabell_Data[[#This Row],[DATUM]]),12,31))</f>
        <v>201205</v>
      </c>
    </row>
    <row r="7" spans="2:17" ht="17.25" customHeight="1" x14ac:dyDescent="0.2">
      <c r="B7" s="38">
        <v>43094</v>
      </c>
      <c r="C7" s="34" t="s">
        <v>36</v>
      </c>
      <c r="D7" s="48">
        <v>3000</v>
      </c>
      <c r="E7" s="48">
        <v>3200</v>
      </c>
      <c r="F7" s="48">
        <v>1900</v>
      </c>
      <c r="G7" s="49">
        <f>tabell_Data[[#This Row],[BELOPP]]-tabell_Data[[#This Row],[KOSTNAD]]</f>
        <v>1100</v>
      </c>
      <c r="H7" s="35">
        <f>DATE(YEAR(tabell_Data[[#This Row],[DATUM]]),MONTH(tabell_Data[[#This Row],[DATUM]]),1)</f>
        <v>43070</v>
      </c>
      <c r="I7" s="36">
        <f>LOOKUP(MONTH(tabell_Data[[#This Row],[MÅNAD]]),{1,1;2,1;3,1;4,2;5,2;6,2;7,3;8,3;9,3;10,4;11,4;12,4})</f>
        <v>4</v>
      </c>
      <c r="J7" s="37">
        <f>YEAR(tabell_Data[[#This Row],[DATUM]])</f>
        <v>2017</v>
      </c>
      <c r="K7" s="32">
        <f>MONTH(tabell_Data[[#This Row],[DATUM]])</f>
        <v>12</v>
      </c>
      <c r="L7" s="50">
        <f>SUMIFS(tabell_Data[BELOPP],tabell_Data[DATUM],"&gt;="&amp;EOMONTH(tabell_Data[[#This Row],[DATUM]],-1)+1,tabell_Data[DATUM],"&lt;="&amp;EOMONTH(tabell_Data[[#This Row],[DATUM]],0))</f>
        <v>8000</v>
      </c>
      <c r="M7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7" s="50">
        <f>SUMIFS(tabell_Data[BELOPP],tabell_Data[DATUM],"&gt;="&amp;DATE(YEAR(tabell_Data[[#This Row],[DATUM]]),1,1),tabell_Data[DATUM],"&lt;="&amp;DATE(YEAR(tabell_Data[[#This Row],[DATUM]]),12,31))</f>
        <v>203955</v>
      </c>
      <c r="O7" s="50">
        <f>SUMIFS(tabell_Data[ORDER],tabell_Data[DATUM],"&gt;="&amp;EOMONTH(tabell_Data[[#This Row],[DATUM]],-1)+1,tabell_Data[DATUM],"&lt;="&amp;EOMONTH(tabell_Data[[#This Row],[DATUM]],0))</f>
        <v>8700</v>
      </c>
      <c r="P7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7" s="50">
        <f>SUMIFS(tabell_Data[ORDER],tabell_Data[DATUM],"&gt;="&amp;DATE(YEAR(tabell_Data[[#This Row],[DATUM]]),1,1),tabell_Data[DATUM],"&lt;="&amp;DATE(YEAR(tabell_Data[[#This Row],[DATUM]]),12,31))</f>
        <v>201205</v>
      </c>
    </row>
    <row r="8" spans="2:17" ht="17.25" customHeight="1" x14ac:dyDescent="0.2">
      <c r="B8" s="38">
        <v>43064</v>
      </c>
      <c r="C8" s="34" t="s">
        <v>41</v>
      </c>
      <c r="D8" s="48">
        <v>500</v>
      </c>
      <c r="E8" s="48">
        <v>500</v>
      </c>
      <c r="F8" s="48">
        <v>100</v>
      </c>
      <c r="G8" s="49">
        <f>tabell_Data[[#This Row],[BELOPP]]-tabell_Data[[#This Row],[KOSTNAD]]</f>
        <v>400</v>
      </c>
      <c r="H8" s="35">
        <f>DATE(YEAR(tabell_Data[[#This Row],[DATUM]]),MONTH(tabell_Data[[#This Row],[DATUM]]),1)</f>
        <v>43040</v>
      </c>
      <c r="I8" s="36">
        <f>LOOKUP(MONTH(tabell_Data[[#This Row],[MÅNAD]]),{1,1;2,1;3,1;4,2;5,2;6,2;7,3;8,3;9,3;10,4;11,4;12,4})</f>
        <v>4</v>
      </c>
      <c r="J8" s="37">
        <f>YEAR(tabell_Data[[#This Row],[DATUM]])</f>
        <v>2017</v>
      </c>
      <c r="K8" s="32">
        <f>MONTH(tabell_Data[[#This Row],[DATUM]])</f>
        <v>11</v>
      </c>
      <c r="L8" s="50">
        <f>SUMIFS(tabell_Data[BELOPP],tabell_Data[DATUM],"&gt;="&amp;EOMONTH(tabell_Data[[#This Row],[DATUM]],-1)+1,tabell_Data[DATUM],"&lt;="&amp;EOMONTH(tabell_Data[[#This Row],[DATUM]],0))</f>
        <v>14055</v>
      </c>
      <c r="M8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8" s="50">
        <f>SUMIFS(tabell_Data[BELOPP],tabell_Data[DATUM],"&gt;="&amp;DATE(YEAR(tabell_Data[[#This Row],[DATUM]]),1,1),tabell_Data[DATUM],"&lt;="&amp;DATE(YEAR(tabell_Data[[#This Row],[DATUM]]),12,31))</f>
        <v>203955</v>
      </c>
      <c r="O8" s="50">
        <f>SUMIFS(tabell_Data[ORDER],tabell_Data[DATUM],"&gt;="&amp;EOMONTH(tabell_Data[[#This Row],[DATUM]],-1)+1,tabell_Data[DATUM],"&lt;="&amp;EOMONTH(tabell_Data[[#This Row],[DATUM]],0))</f>
        <v>11055</v>
      </c>
      <c r="P8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8" s="50">
        <f>SUMIFS(tabell_Data[ORDER],tabell_Data[DATUM],"&gt;="&amp;DATE(YEAR(tabell_Data[[#This Row],[DATUM]]),1,1),tabell_Data[DATUM],"&lt;="&amp;DATE(YEAR(tabell_Data[[#This Row],[DATUM]]),12,31))</f>
        <v>201205</v>
      </c>
    </row>
    <row r="9" spans="2:17" ht="17.25" customHeight="1" x14ac:dyDescent="0.2">
      <c r="B9" s="38">
        <v>43064</v>
      </c>
      <c r="C9" s="34" t="s">
        <v>46</v>
      </c>
      <c r="D9" s="48">
        <v>3000</v>
      </c>
      <c r="E9" s="48">
        <v>2000</v>
      </c>
      <c r="F9" s="48">
        <v>1500</v>
      </c>
      <c r="G9" s="49">
        <f>tabell_Data[[#This Row],[BELOPP]]-tabell_Data[[#This Row],[KOSTNAD]]</f>
        <v>1500</v>
      </c>
      <c r="H9" s="35">
        <f>DATE(YEAR(tabell_Data[[#This Row],[DATUM]]),MONTH(tabell_Data[[#This Row],[DATUM]]),1)</f>
        <v>43040</v>
      </c>
      <c r="I9" s="36">
        <f>LOOKUP(MONTH(tabell_Data[[#This Row],[MÅNAD]]),{1,1;2,1;3,1;4,2;5,2;6,2;7,3;8,3;9,3;10,4;11,4;12,4})</f>
        <v>4</v>
      </c>
      <c r="J9" s="37">
        <f>YEAR(tabell_Data[[#This Row],[DATUM]])</f>
        <v>2017</v>
      </c>
      <c r="K9" s="32">
        <f>MONTH(tabell_Data[[#This Row],[DATUM]])</f>
        <v>11</v>
      </c>
      <c r="L9" s="50">
        <f>SUMIFS(tabell_Data[BELOPP],tabell_Data[DATUM],"&gt;="&amp;EOMONTH(tabell_Data[[#This Row],[DATUM]],-1)+1,tabell_Data[DATUM],"&lt;="&amp;EOMONTH(tabell_Data[[#This Row],[DATUM]],0))</f>
        <v>14055</v>
      </c>
      <c r="M9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9" s="50">
        <f>SUMIFS(tabell_Data[BELOPP],tabell_Data[DATUM],"&gt;="&amp;DATE(YEAR(tabell_Data[[#This Row],[DATUM]]),1,1),tabell_Data[DATUM],"&lt;="&amp;DATE(YEAR(tabell_Data[[#This Row],[DATUM]]),12,31))</f>
        <v>203955</v>
      </c>
      <c r="O9" s="50">
        <f>SUMIFS(tabell_Data[ORDER],tabell_Data[DATUM],"&gt;="&amp;EOMONTH(tabell_Data[[#This Row],[DATUM]],-1)+1,tabell_Data[DATUM],"&lt;="&amp;EOMONTH(tabell_Data[[#This Row],[DATUM]],0))</f>
        <v>11055</v>
      </c>
      <c r="P9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9" s="50">
        <f>SUMIFS(tabell_Data[ORDER],tabell_Data[DATUM],"&gt;="&amp;DATE(YEAR(tabell_Data[[#This Row],[DATUM]]),1,1),tabell_Data[DATUM],"&lt;="&amp;DATE(YEAR(tabell_Data[[#This Row],[DATUM]]),12,31))</f>
        <v>201205</v>
      </c>
    </row>
    <row r="10" spans="2:17" ht="17.25" customHeight="1" x14ac:dyDescent="0.2">
      <c r="B10" s="38">
        <v>43064</v>
      </c>
      <c r="C10" s="34" t="s">
        <v>37</v>
      </c>
      <c r="D10" s="48">
        <v>5555</v>
      </c>
      <c r="E10" s="48">
        <v>4555</v>
      </c>
      <c r="F10" s="48">
        <v>3555</v>
      </c>
      <c r="G10" s="49">
        <f>tabell_Data[[#This Row],[BELOPP]]-tabell_Data[[#This Row],[KOSTNAD]]</f>
        <v>2000</v>
      </c>
      <c r="H10" s="35">
        <f>DATE(YEAR(tabell_Data[[#This Row],[DATUM]]),MONTH(tabell_Data[[#This Row],[DATUM]]),1)</f>
        <v>43040</v>
      </c>
      <c r="I10" s="36">
        <f>LOOKUP(MONTH(tabell_Data[[#This Row],[MÅNAD]]),{1,1;2,1;3,1;4,2;5,2;6,2;7,3;8,3;9,3;10,4;11,4;12,4})</f>
        <v>4</v>
      </c>
      <c r="J10" s="37">
        <f>YEAR(tabell_Data[[#This Row],[DATUM]])</f>
        <v>2017</v>
      </c>
      <c r="K10" s="32">
        <f>MONTH(tabell_Data[[#This Row],[DATUM]])</f>
        <v>11</v>
      </c>
      <c r="L10" s="50">
        <f>SUMIFS(tabell_Data[BELOPP],tabell_Data[DATUM],"&gt;="&amp;EOMONTH(tabell_Data[[#This Row],[DATUM]],-1)+1,tabell_Data[DATUM],"&lt;="&amp;EOMONTH(tabell_Data[[#This Row],[DATUM]],0))</f>
        <v>14055</v>
      </c>
      <c r="M10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0" s="50">
        <f>SUMIFS(tabell_Data[BELOPP],tabell_Data[DATUM],"&gt;="&amp;DATE(YEAR(tabell_Data[[#This Row],[DATUM]]),1,1),tabell_Data[DATUM],"&lt;="&amp;DATE(YEAR(tabell_Data[[#This Row],[DATUM]]),12,31))</f>
        <v>203955</v>
      </c>
      <c r="O10" s="50">
        <f>SUMIFS(tabell_Data[ORDER],tabell_Data[DATUM],"&gt;="&amp;EOMONTH(tabell_Data[[#This Row],[DATUM]],-1)+1,tabell_Data[DATUM],"&lt;="&amp;EOMONTH(tabell_Data[[#This Row],[DATUM]],0))</f>
        <v>11055</v>
      </c>
      <c r="P10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0" s="50">
        <f>SUMIFS(tabell_Data[ORDER],tabell_Data[DATUM],"&gt;="&amp;DATE(YEAR(tabell_Data[[#This Row],[DATUM]]),1,1),tabell_Data[DATUM],"&lt;="&amp;DATE(YEAR(tabell_Data[[#This Row],[DATUM]]),12,31))</f>
        <v>201205</v>
      </c>
    </row>
    <row r="11" spans="2:17" ht="17.25" customHeight="1" x14ac:dyDescent="0.2">
      <c r="B11" s="38">
        <v>43064</v>
      </c>
      <c r="C11" s="34" t="s">
        <v>36</v>
      </c>
      <c r="D11" s="48">
        <v>5000</v>
      </c>
      <c r="E11" s="48">
        <v>4000</v>
      </c>
      <c r="F11" s="48">
        <v>3000</v>
      </c>
      <c r="G11" s="49">
        <f>tabell_Data[[#This Row],[BELOPP]]-tabell_Data[[#This Row],[KOSTNAD]]</f>
        <v>2000</v>
      </c>
      <c r="H11" s="35">
        <f>DATE(YEAR(tabell_Data[[#This Row],[DATUM]]),MONTH(tabell_Data[[#This Row],[DATUM]]),1)</f>
        <v>43040</v>
      </c>
      <c r="I11" s="36">
        <f>LOOKUP(MONTH(tabell_Data[[#This Row],[MÅNAD]]),{1,1;2,1;3,1;4,2;5,2;6,2;7,3;8,3;9,3;10,4;11,4;12,4})</f>
        <v>4</v>
      </c>
      <c r="J11" s="37">
        <f>YEAR(tabell_Data[[#This Row],[DATUM]])</f>
        <v>2017</v>
      </c>
      <c r="K11" s="32">
        <f>MONTH(tabell_Data[[#This Row],[DATUM]])</f>
        <v>11</v>
      </c>
      <c r="L11" s="50">
        <f>SUMIFS(tabell_Data[BELOPP],tabell_Data[DATUM],"&gt;="&amp;EOMONTH(tabell_Data[[#This Row],[DATUM]],-1)+1,tabell_Data[DATUM],"&lt;="&amp;EOMONTH(tabell_Data[[#This Row],[DATUM]],0))</f>
        <v>14055</v>
      </c>
      <c r="M11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1" s="50">
        <f>SUMIFS(tabell_Data[BELOPP],tabell_Data[DATUM],"&gt;="&amp;DATE(YEAR(tabell_Data[[#This Row],[DATUM]]),1,1),tabell_Data[DATUM],"&lt;="&amp;DATE(YEAR(tabell_Data[[#This Row],[DATUM]]),12,31))</f>
        <v>203955</v>
      </c>
      <c r="O11" s="50">
        <f>SUMIFS(tabell_Data[ORDER],tabell_Data[DATUM],"&gt;="&amp;EOMONTH(tabell_Data[[#This Row],[DATUM]],-1)+1,tabell_Data[DATUM],"&lt;="&amp;EOMONTH(tabell_Data[[#This Row],[DATUM]],0))</f>
        <v>11055</v>
      </c>
      <c r="P11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1" s="50">
        <f>SUMIFS(tabell_Data[ORDER],tabell_Data[DATUM],"&gt;="&amp;DATE(YEAR(tabell_Data[[#This Row],[DATUM]]),1,1),tabell_Data[DATUM],"&lt;="&amp;DATE(YEAR(tabell_Data[[#This Row],[DATUM]]),12,31))</f>
        <v>201205</v>
      </c>
    </row>
    <row r="12" spans="2:17" ht="17.25" customHeight="1" x14ac:dyDescent="0.2">
      <c r="B12" s="38">
        <v>43033</v>
      </c>
      <c r="C12" s="34" t="s">
        <v>40</v>
      </c>
      <c r="D12" s="48">
        <v>3000</v>
      </c>
      <c r="E12" s="48">
        <v>2700</v>
      </c>
      <c r="F12" s="48">
        <v>1900</v>
      </c>
      <c r="G12" s="49">
        <f>tabell_Data[[#This Row],[BELOPP]]-tabell_Data[[#This Row],[KOSTNAD]]</f>
        <v>1100</v>
      </c>
      <c r="H12" s="35">
        <f>DATE(YEAR(tabell_Data[[#This Row],[DATUM]]),MONTH(tabell_Data[[#This Row],[DATUM]]),1)</f>
        <v>43009</v>
      </c>
      <c r="I12" s="36">
        <f>LOOKUP(MONTH(tabell_Data[[#This Row],[MÅNAD]]),{1,1;2,1;3,1;4,2;5,2;6,2;7,3;8,3;9,3;10,4;11,4;12,4})</f>
        <v>4</v>
      </c>
      <c r="J12" s="37">
        <f>YEAR(tabell_Data[[#This Row],[DATUM]])</f>
        <v>2017</v>
      </c>
      <c r="K12" s="32">
        <f>MONTH(tabell_Data[[#This Row],[DATUM]])</f>
        <v>10</v>
      </c>
      <c r="L12" s="50">
        <f>SUMIFS(tabell_Data[BELOPP],tabell_Data[DATUM],"&gt;="&amp;EOMONTH(tabell_Data[[#This Row],[DATUM]],-1)+1,tabell_Data[DATUM],"&lt;="&amp;EOMONTH(tabell_Data[[#This Row],[DATUM]],0))</f>
        <v>33700</v>
      </c>
      <c r="M12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2" s="50">
        <f>SUMIFS(tabell_Data[BELOPP],tabell_Data[DATUM],"&gt;="&amp;DATE(YEAR(tabell_Data[[#This Row],[DATUM]]),1,1),tabell_Data[DATUM],"&lt;="&amp;DATE(YEAR(tabell_Data[[#This Row],[DATUM]]),12,31))</f>
        <v>203955</v>
      </c>
      <c r="O12" s="50">
        <f>SUMIFS(tabell_Data[ORDER],tabell_Data[DATUM],"&gt;="&amp;EOMONTH(tabell_Data[[#This Row],[DATUM]],-1)+1,tabell_Data[DATUM],"&lt;="&amp;EOMONTH(tabell_Data[[#This Row],[DATUM]],0))</f>
        <v>32600</v>
      </c>
      <c r="P12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2" s="50">
        <f>SUMIFS(tabell_Data[ORDER],tabell_Data[DATUM],"&gt;="&amp;DATE(YEAR(tabell_Data[[#This Row],[DATUM]]),1,1),tabell_Data[DATUM],"&lt;="&amp;DATE(YEAR(tabell_Data[[#This Row],[DATUM]]),12,31))</f>
        <v>201205</v>
      </c>
    </row>
    <row r="13" spans="2:17" ht="17.25" customHeight="1" x14ac:dyDescent="0.2">
      <c r="B13" s="38">
        <v>43033</v>
      </c>
      <c r="C13" s="34" t="s">
        <v>38</v>
      </c>
      <c r="D13" s="48">
        <v>6100</v>
      </c>
      <c r="E13" s="48">
        <v>5600</v>
      </c>
      <c r="F13" s="48">
        <v>4500</v>
      </c>
      <c r="G13" s="49">
        <f>tabell_Data[[#This Row],[BELOPP]]-tabell_Data[[#This Row],[KOSTNAD]]</f>
        <v>1600</v>
      </c>
      <c r="H13" s="35">
        <f>DATE(YEAR(tabell_Data[[#This Row],[DATUM]]),MONTH(tabell_Data[[#This Row],[DATUM]]),1)</f>
        <v>43009</v>
      </c>
      <c r="I13" s="36">
        <f>LOOKUP(MONTH(tabell_Data[[#This Row],[MÅNAD]]),{1,1;2,1;3,1;4,2;5,2;6,2;7,3;8,3;9,3;10,4;11,4;12,4})</f>
        <v>4</v>
      </c>
      <c r="J13" s="37">
        <f>YEAR(tabell_Data[[#This Row],[DATUM]])</f>
        <v>2017</v>
      </c>
      <c r="K13" s="32">
        <f>MONTH(tabell_Data[[#This Row],[DATUM]])</f>
        <v>10</v>
      </c>
      <c r="L13" s="50">
        <f>SUMIFS(tabell_Data[BELOPP],tabell_Data[DATUM],"&gt;="&amp;EOMONTH(tabell_Data[[#This Row],[DATUM]],-1)+1,tabell_Data[DATUM],"&lt;="&amp;EOMONTH(tabell_Data[[#This Row],[DATUM]],0))</f>
        <v>33700</v>
      </c>
      <c r="M13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3" s="50">
        <f>SUMIFS(tabell_Data[BELOPP],tabell_Data[DATUM],"&gt;="&amp;DATE(YEAR(tabell_Data[[#This Row],[DATUM]]),1,1),tabell_Data[DATUM],"&lt;="&amp;DATE(YEAR(tabell_Data[[#This Row],[DATUM]]),12,31))</f>
        <v>203955</v>
      </c>
      <c r="O13" s="50">
        <f>SUMIFS(tabell_Data[ORDER],tabell_Data[DATUM],"&gt;="&amp;EOMONTH(tabell_Data[[#This Row],[DATUM]],-1)+1,tabell_Data[DATUM],"&lt;="&amp;EOMONTH(tabell_Data[[#This Row],[DATUM]],0))</f>
        <v>32600</v>
      </c>
      <c r="P13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3" s="50">
        <f>SUMIFS(tabell_Data[ORDER],tabell_Data[DATUM],"&gt;="&amp;DATE(YEAR(tabell_Data[[#This Row],[DATUM]]),1,1),tabell_Data[DATUM],"&lt;="&amp;DATE(YEAR(tabell_Data[[#This Row],[DATUM]]),12,31))</f>
        <v>201205</v>
      </c>
    </row>
    <row r="14" spans="2:17" ht="17.25" customHeight="1" x14ac:dyDescent="0.2">
      <c r="B14" s="38">
        <v>43033</v>
      </c>
      <c r="C14" s="34" t="s">
        <v>41</v>
      </c>
      <c r="D14" s="48">
        <v>2800</v>
      </c>
      <c r="E14" s="48">
        <v>2900</v>
      </c>
      <c r="F14" s="48">
        <v>1600</v>
      </c>
      <c r="G14" s="49">
        <f>tabell_Data[[#This Row],[BELOPP]]-tabell_Data[[#This Row],[KOSTNAD]]</f>
        <v>1200</v>
      </c>
      <c r="H14" s="35">
        <f>DATE(YEAR(tabell_Data[[#This Row],[DATUM]]),MONTH(tabell_Data[[#This Row],[DATUM]]),1)</f>
        <v>43009</v>
      </c>
      <c r="I14" s="36">
        <f>LOOKUP(MONTH(tabell_Data[[#This Row],[MÅNAD]]),{1,1;2,1;3,1;4,2;5,2;6,2;7,3;8,3;9,3;10,4;11,4;12,4})</f>
        <v>4</v>
      </c>
      <c r="J14" s="37">
        <f>YEAR(tabell_Data[[#This Row],[DATUM]])</f>
        <v>2017</v>
      </c>
      <c r="K14" s="32">
        <f>MONTH(tabell_Data[[#This Row],[DATUM]])</f>
        <v>10</v>
      </c>
      <c r="L14" s="50">
        <f>SUMIFS(tabell_Data[BELOPP],tabell_Data[DATUM],"&gt;="&amp;EOMONTH(tabell_Data[[#This Row],[DATUM]],-1)+1,tabell_Data[DATUM],"&lt;="&amp;EOMONTH(tabell_Data[[#This Row],[DATUM]],0))</f>
        <v>33700</v>
      </c>
      <c r="M14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4" s="50">
        <f>SUMIFS(tabell_Data[BELOPP],tabell_Data[DATUM],"&gt;="&amp;DATE(YEAR(tabell_Data[[#This Row],[DATUM]]),1,1),tabell_Data[DATUM],"&lt;="&amp;DATE(YEAR(tabell_Data[[#This Row],[DATUM]]),12,31))</f>
        <v>203955</v>
      </c>
      <c r="O14" s="50">
        <f>SUMIFS(tabell_Data[ORDER],tabell_Data[DATUM],"&gt;="&amp;EOMONTH(tabell_Data[[#This Row],[DATUM]],-1)+1,tabell_Data[DATUM],"&lt;="&amp;EOMONTH(tabell_Data[[#This Row],[DATUM]],0))</f>
        <v>32600</v>
      </c>
      <c r="P14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4" s="50">
        <f>SUMIFS(tabell_Data[ORDER],tabell_Data[DATUM],"&gt;="&amp;DATE(YEAR(tabell_Data[[#This Row],[DATUM]]),1,1),tabell_Data[DATUM],"&lt;="&amp;DATE(YEAR(tabell_Data[[#This Row],[DATUM]]),12,31))</f>
        <v>201205</v>
      </c>
    </row>
    <row r="15" spans="2:17" ht="17.25" customHeight="1" x14ac:dyDescent="0.2">
      <c r="B15" s="38">
        <v>43033</v>
      </c>
      <c r="C15" s="34" t="s">
        <v>46</v>
      </c>
      <c r="D15" s="48">
        <v>4800</v>
      </c>
      <c r="E15" s="48">
        <v>5400</v>
      </c>
      <c r="F15" s="48">
        <v>3800</v>
      </c>
      <c r="G15" s="49">
        <f>tabell_Data[[#This Row],[BELOPP]]-tabell_Data[[#This Row],[KOSTNAD]]</f>
        <v>1000</v>
      </c>
      <c r="H15" s="35">
        <f>DATE(YEAR(tabell_Data[[#This Row],[DATUM]]),MONTH(tabell_Data[[#This Row],[DATUM]]),1)</f>
        <v>43009</v>
      </c>
      <c r="I15" s="36">
        <f>LOOKUP(MONTH(tabell_Data[[#This Row],[MÅNAD]]),{1,1;2,1;3,1;4,2;5,2;6,2;7,3;8,3;9,3;10,4;11,4;12,4})</f>
        <v>4</v>
      </c>
      <c r="J15" s="37">
        <f>YEAR(tabell_Data[[#This Row],[DATUM]])</f>
        <v>2017</v>
      </c>
      <c r="K15" s="32">
        <f>MONTH(tabell_Data[[#This Row],[DATUM]])</f>
        <v>10</v>
      </c>
      <c r="L15" s="50">
        <f>SUMIFS(tabell_Data[BELOPP],tabell_Data[DATUM],"&gt;="&amp;EOMONTH(tabell_Data[[#This Row],[DATUM]],-1)+1,tabell_Data[DATUM],"&lt;="&amp;EOMONTH(tabell_Data[[#This Row],[DATUM]],0))</f>
        <v>33700</v>
      </c>
      <c r="M15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5" s="50">
        <f>SUMIFS(tabell_Data[BELOPP],tabell_Data[DATUM],"&gt;="&amp;DATE(YEAR(tabell_Data[[#This Row],[DATUM]]),1,1),tabell_Data[DATUM],"&lt;="&amp;DATE(YEAR(tabell_Data[[#This Row],[DATUM]]),12,31))</f>
        <v>203955</v>
      </c>
      <c r="O15" s="50">
        <f>SUMIFS(tabell_Data[ORDER],tabell_Data[DATUM],"&gt;="&amp;EOMONTH(tabell_Data[[#This Row],[DATUM]],-1)+1,tabell_Data[DATUM],"&lt;="&amp;EOMONTH(tabell_Data[[#This Row],[DATUM]],0))</f>
        <v>32600</v>
      </c>
      <c r="P15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5" s="50">
        <f>SUMIFS(tabell_Data[ORDER],tabell_Data[DATUM],"&gt;="&amp;DATE(YEAR(tabell_Data[[#This Row],[DATUM]]),1,1),tabell_Data[DATUM],"&lt;="&amp;DATE(YEAR(tabell_Data[[#This Row],[DATUM]]),12,31))</f>
        <v>201205</v>
      </c>
    </row>
    <row r="16" spans="2:17" ht="17.25" customHeight="1" x14ac:dyDescent="0.2">
      <c r="B16" s="38">
        <v>43033</v>
      </c>
      <c r="C16" s="34" t="s">
        <v>37</v>
      </c>
      <c r="D16" s="48">
        <v>5500</v>
      </c>
      <c r="E16" s="48">
        <v>4500</v>
      </c>
      <c r="F16" s="48">
        <v>4000</v>
      </c>
      <c r="G16" s="49">
        <f>tabell_Data[[#This Row],[BELOPP]]-tabell_Data[[#This Row],[KOSTNAD]]</f>
        <v>1500</v>
      </c>
      <c r="H16" s="35">
        <f>DATE(YEAR(tabell_Data[[#This Row],[DATUM]]),MONTH(tabell_Data[[#This Row],[DATUM]]),1)</f>
        <v>43009</v>
      </c>
      <c r="I16" s="36">
        <f>LOOKUP(MONTH(tabell_Data[[#This Row],[MÅNAD]]),{1,1;2,1;3,1;4,2;5,2;6,2;7,3;8,3;9,3;10,4;11,4;12,4})</f>
        <v>4</v>
      </c>
      <c r="J16" s="37">
        <f>YEAR(tabell_Data[[#This Row],[DATUM]])</f>
        <v>2017</v>
      </c>
      <c r="K16" s="32">
        <f>MONTH(tabell_Data[[#This Row],[DATUM]])</f>
        <v>10</v>
      </c>
      <c r="L16" s="50">
        <f>SUMIFS(tabell_Data[BELOPP],tabell_Data[DATUM],"&gt;="&amp;EOMONTH(tabell_Data[[#This Row],[DATUM]],-1)+1,tabell_Data[DATUM],"&lt;="&amp;EOMONTH(tabell_Data[[#This Row],[DATUM]],0))</f>
        <v>33700</v>
      </c>
      <c r="M16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6" s="50">
        <f>SUMIFS(tabell_Data[BELOPP],tabell_Data[DATUM],"&gt;="&amp;DATE(YEAR(tabell_Data[[#This Row],[DATUM]]),1,1),tabell_Data[DATUM],"&lt;="&amp;DATE(YEAR(tabell_Data[[#This Row],[DATUM]]),12,31))</f>
        <v>203955</v>
      </c>
      <c r="O16" s="50">
        <f>SUMIFS(tabell_Data[ORDER],tabell_Data[DATUM],"&gt;="&amp;EOMONTH(tabell_Data[[#This Row],[DATUM]],-1)+1,tabell_Data[DATUM],"&lt;="&amp;EOMONTH(tabell_Data[[#This Row],[DATUM]],0))</f>
        <v>32600</v>
      </c>
      <c r="P16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6" s="50">
        <f>SUMIFS(tabell_Data[ORDER],tabell_Data[DATUM],"&gt;="&amp;DATE(YEAR(tabell_Data[[#This Row],[DATUM]]),1,1),tabell_Data[DATUM],"&lt;="&amp;DATE(YEAR(tabell_Data[[#This Row],[DATUM]]),12,31))</f>
        <v>201205</v>
      </c>
    </row>
    <row r="17" spans="1:18" ht="17.25" customHeight="1" x14ac:dyDescent="0.2">
      <c r="B17" s="38">
        <v>43033</v>
      </c>
      <c r="C17" s="34" t="s">
        <v>39</v>
      </c>
      <c r="D17" s="48">
        <v>3500</v>
      </c>
      <c r="E17" s="48">
        <v>3000</v>
      </c>
      <c r="F17" s="48">
        <v>2000</v>
      </c>
      <c r="G17" s="49">
        <f>tabell_Data[[#This Row],[BELOPP]]-tabell_Data[[#This Row],[KOSTNAD]]</f>
        <v>1500</v>
      </c>
      <c r="H17" s="35">
        <f>DATE(YEAR(tabell_Data[[#This Row],[DATUM]]),MONTH(tabell_Data[[#This Row],[DATUM]]),1)</f>
        <v>43009</v>
      </c>
      <c r="I17" s="36">
        <f>LOOKUP(MONTH(tabell_Data[[#This Row],[MÅNAD]]),{1,1;2,1;3,1;4,2;5,2;6,2;7,3;8,3;9,3;10,4;11,4;12,4})</f>
        <v>4</v>
      </c>
      <c r="J17" s="37">
        <f>YEAR(tabell_Data[[#This Row],[DATUM]])</f>
        <v>2017</v>
      </c>
      <c r="K17" s="32">
        <f>MONTH(tabell_Data[[#This Row],[DATUM]])</f>
        <v>10</v>
      </c>
      <c r="L17" s="50">
        <f>SUMIFS(tabell_Data[BELOPP],tabell_Data[DATUM],"&gt;="&amp;EOMONTH(tabell_Data[[#This Row],[DATUM]],-1)+1,tabell_Data[DATUM],"&lt;="&amp;EOMONTH(tabell_Data[[#This Row],[DATUM]],0))</f>
        <v>33700</v>
      </c>
      <c r="M17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7" s="50">
        <f>SUMIFS(tabell_Data[BELOPP],tabell_Data[DATUM],"&gt;="&amp;DATE(YEAR(tabell_Data[[#This Row],[DATUM]]),1,1),tabell_Data[DATUM],"&lt;="&amp;DATE(YEAR(tabell_Data[[#This Row],[DATUM]]),12,31))</f>
        <v>203955</v>
      </c>
      <c r="O17" s="50">
        <f>SUMIFS(tabell_Data[ORDER],tabell_Data[DATUM],"&gt;="&amp;EOMONTH(tabell_Data[[#This Row],[DATUM]],-1)+1,tabell_Data[DATUM],"&lt;="&amp;EOMONTH(tabell_Data[[#This Row],[DATUM]],0))</f>
        <v>32600</v>
      </c>
      <c r="P17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7" s="50">
        <f>SUMIFS(tabell_Data[ORDER],tabell_Data[DATUM],"&gt;="&amp;DATE(YEAR(tabell_Data[[#This Row],[DATUM]]),1,1),tabell_Data[DATUM],"&lt;="&amp;DATE(YEAR(tabell_Data[[#This Row],[DATUM]]),12,31))</f>
        <v>201205</v>
      </c>
    </row>
    <row r="18" spans="1:18" ht="17.25" customHeight="1" x14ac:dyDescent="0.2">
      <c r="B18" s="38">
        <v>43033</v>
      </c>
      <c r="C18" s="34" t="s">
        <v>36</v>
      </c>
      <c r="D18" s="48">
        <v>3000</v>
      </c>
      <c r="E18" s="48">
        <v>3500</v>
      </c>
      <c r="F18" s="48">
        <v>2500</v>
      </c>
      <c r="G18" s="49">
        <f>tabell_Data[[#This Row],[BELOPP]]-tabell_Data[[#This Row],[KOSTNAD]]</f>
        <v>500</v>
      </c>
      <c r="H18" s="35">
        <f>DATE(YEAR(tabell_Data[[#This Row],[DATUM]]),MONTH(tabell_Data[[#This Row],[DATUM]]),1)</f>
        <v>43009</v>
      </c>
      <c r="I18" s="36">
        <f>LOOKUP(MONTH(tabell_Data[[#This Row],[MÅNAD]]),{1,1;2,1;3,1;4,2;5,2;6,2;7,3;8,3;9,3;10,4;11,4;12,4})</f>
        <v>4</v>
      </c>
      <c r="J18" s="37">
        <f>YEAR(tabell_Data[[#This Row],[DATUM]])</f>
        <v>2017</v>
      </c>
      <c r="K18" s="32">
        <f>MONTH(tabell_Data[[#This Row],[DATUM]])</f>
        <v>10</v>
      </c>
      <c r="L18" s="50">
        <f>SUMIFS(tabell_Data[BELOPP],tabell_Data[DATUM],"&gt;="&amp;EOMONTH(tabell_Data[[#This Row],[DATUM]],-1)+1,tabell_Data[DATUM],"&lt;="&amp;EOMONTH(tabell_Data[[#This Row],[DATUM]],0))</f>
        <v>33700</v>
      </c>
      <c r="M18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8" s="50">
        <f>SUMIFS(tabell_Data[BELOPP],tabell_Data[DATUM],"&gt;="&amp;DATE(YEAR(tabell_Data[[#This Row],[DATUM]]),1,1),tabell_Data[DATUM],"&lt;="&amp;DATE(YEAR(tabell_Data[[#This Row],[DATUM]]),12,31))</f>
        <v>203955</v>
      </c>
      <c r="O18" s="50">
        <f>SUMIFS(tabell_Data[ORDER],tabell_Data[DATUM],"&gt;="&amp;EOMONTH(tabell_Data[[#This Row],[DATUM]],-1)+1,tabell_Data[DATUM],"&lt;="&amp;EOMONTH(tabell_Data[[#This Row],[DATUM]],0))</f>
        <v>32600</v>
      </c>
      <c r="P18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8" s="50">
        <f>SUMIFS(tabell_Data[ORDER],tabell_Data[DATUM],"&gt;="&amp;DATE(YEAR(tabell_Data[[#This Row],[DATUM]]),1,1),tabell_Data[DATUM],"&lt;="&amp;DATE(YEAR(tabell_Data[[#This Row],[DATUM]]),12,31))</f>
        <v>201205</v>
      </c>
    </row>
    <row r="19" spans="1:18" ht="17.25" customHeight="1" x14ac:dyDescent="0.2">
      <c r="B19" s="38">
        <v>43033</v>
      </c>
      <c r="C19" s="34" t="s">
        <v>42</v>
      </c>
      <c r="D19" s="48">
        <v>5000</v>
      </c>
      <c r="E19" s="48">
        <v>5000</v>
      </c>
      <c r="F19" s="48">
        <v>4000</v>
      </c>
      <c r="G19" s="49">
        <f>tabell_Data[[#This Row],[BELOPP]]-tabell_Data[[#This Row],[KOSTNAD]]</f>
        <v>1000</v>
      </c>
      <c r="H19" s="35">
        <f>DATE(YEAR(tabell_Data[[#This Row],[DATUM]]),MONTH(tabell_Data[[#This Row],[DATUM]]),1)</f>
        <v>43009</v>
      </c>
      <c r="I19" s="36">
        <f>LOOKUP(MONTH(tabell_Data[[#This Row],[MÅNAD]]),{1,1;2,1;3,1;4,2;5,2;6,2;7,3;8,3;9,3;10,4;11,4;12,4})</f>
        <v>4</v>
      </c>
      <c r="J19" s="37">
        <f>YEAR(tabell_Data[[#This Row],[DATUM]])</f>
        <v>2017</v>
      </c>
      <c r="K19" s="32">
        <f>MONTH(tabell_Data[[#This Row],[DATUM]])</f>
        <v>10</v>
      </c>
      <c r="L19" s="50">
        <f>SUMIFS(tabell_Data[BELOPP],tabell_Data[DATUM],"&gt;="&amp;EOMONTH(tabell_Data[[#This Row],[DATUM]],-1)+1,tabell_Data[DATUM],"&lt;="&amp;EOMONTH(tabell_Data[[#This Row],[DATUM]],0))</f>
        <v>33700</v>
      </c>
      <c r="M19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55755</v>
      </c>
      <c r="N19" s="50">
        <f>SUMIFS(tabell_Data[BELOPP],tabell_Data[DATUM],"&gt;="&amp;DATE(YEAR(tabell_Data[[#This Row],[DATUM]]),1,1),tabell_Data[DATUM],"&lt;="&amp;DATE(YEAR(tabell_Data[[#This Row],[DATUM]]),12,31))</f>
        <v>203955</v>
      </c>
      <c r="O19" s="50">
        <f>SUMIFS(tabell_Data[ORDER],tabell_Data[DATUM],"&gt;="&amp;EOMONTH(tabell_Data[[#This Row],[DATUM]],-1)+1,tabell_Data[DATUM],"&lt;="&amp;EOMONTH(tabell_Data[[#This Row],[DATUM]],0))</f>
        <v>32600</v>
      </c>
      <c r="P19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52355</v>
      </c>
      <c r="Q19" s="50">
        <f>SUMIFS(tabell_Data[ORDER],tabell_Data[DATUM],"&gt;="&amp;DATE(YEAR(tabell_Data[[#This Row],[DATUM]]),1,1),tabell_Data[DATUM],"&lt;="&amp;DATE(YEAR(tabell_Data[[#This Row],[DATUM]]),12,31))</f>
        <v>201205</v>
      </c>
    </row>
    <row r="20" spans="1:18" ht="17.25" customHeight="1" x14ac:dyDescent="0.2">
      <c r="A20" s="26"/>
      <c r="B20" s="27">
        <f>40576+(365*6)</f>
        <v>42766</v>
      </c>
      <c r="C20" s="28" t="s">
        <v>37</v>
      </c>
      <c r="D20" s="48">
        <v>9500</v>
      </c>
      <c r="E20" s="48">
        <v>9200</v>
      </c>
      <c r="F20" s="48">
        <v>8500</v>
      </c>
      <c r="G20" s="49">
        <f>tabell_Data[[#This Row],[BELOPP]]-tabell_Data[[#This Row],[KOSTNAD]]</f>
        <v>1000</v>
      </c>
      <c r="H20" s="29">
        <f>DATE(YEAR(tabell_Data[[#This Row],[DATUM]]),MONTH(tabell_Data[[#This Row],[DATUM]]),1)</f>
        <v>42736</v>
      </c>
      <c r="I20" s="30">
        <f>LOOKUP(MONTH(tabell_Data[[#This Row],[MÅNAD]]),{1,1;2,1;3,1;4,2;5,2;6,2;7,3;8,3;9,3;10,4;11,4;12,4})</f>
        <v>1</v>
      </c>
      <c r="J20" s="31">
        <f>YEAR(tabell_Data[[#This Row],[DATUM]])</f>
        <v>2017</v>
      </c>
      <c r="K20" s="32">
        <f>MONTH(tabell_Data[[#This Row],[DATUM]])</f>
        <v>1</v>
      </c>
      <c r="L20" s="50">
        <f>SUMIFS(tabell_Data[BELOPP],tabell_Data[DATUM],"&gt;="&amp;EOMONTH(tabell_Data[[#This Row],[DATUM]],-1)+1,tabell_Data[DATUM],"&lt;="&amp;EOMONTH(tabell_Data[[#This Row],[DATUM]],0))</f>
        <v>9500</v>
      </c>
      <c r="M20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21400</v>
      </c>
      <c r="N20" s="50">
        <f>SUMIFS(tabell_Data[BELOPP],tabell_Data[DATUM],"&gt;="&amp;DATE(YEAR(tabell_Data[[#This Row],[DATUM]]),1,1),tabell_Data[DATUM],"&lt;="&amp;DATE(YEAR(tabell_Data[[#This Row],[DATUM]]),12,31))</f>
        <v>203955</v>
      </c>
      <c r="O20" s="50">
        <f>SUMIFS(tabell_Data[ORDER],tabell_Data[DATUM],"&gt;="&amp;EOMONTH(tabell_Data[[#This Row],[DATUM]],-1)+1,tabell_Data[DATUM],"&lt;="&amp;EOMONTH(tabell_Data[[#This Row],[DATUM]],0))</f>
        <v>9200</v>
      </c>
      <c r="P20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21400</v>
      </c>
      <c r="Q20" s="50">
        <f>SUMIFS(tabell_Data[ORDER],tabell_Data[DATUM],"&gt;="&amp;DATE(YEAR(tabell_Data[[#This Row],[DATUM]]),1,1),tabell_Data[DATUM],"&lt;="&amp;DATE(YEAR(tabell_Data[[#This Row],[DATUM]]),12,31))</f>
        <v>201205</v>
      </c>
      <c r="R20" s="26"/>
    </row>
    <row r="21" spans="1:18" ht="17.25" customHeight="1" x14ac:dyDescent="0.2">
      <c r="A21" s="26"/>
      <c r="B21" s="27">
        <f>40599+(365*6)</f>
        <v>42789</v>
      </c>
      <c r="C21" s="28" t="s">
        <v>42</v>
      </c>
      <c r="D21" s="48">
        <v>4400</v>
      </c>
      <c r="E21" s="48">
        <v>4200</v>
      </c>
      <c r="F21" s="48">
        <v>2600</v>
      </c>
      <c r="G21" s="49">
        <f>tabell_Data[[#This Row],[BELOPP]]-tabell_Data[[#This Row],[KOSTNAD]]</f>
        <v>1800</v>
      </c>
      <c r="H21" s="29">
        <f>DATE(YEAR(tabell_Data[[#This Row],[DATUM]]),MONTH(tabell_Data[[#This Row],[DATUM]]),1)</f>
        <v>42767</v>
      </c>
      <c r="I21" s="30">
        <f>LOOKUP(MONTH(tabell_Data[[#This Row],[MÅNAD]]),{1,1;2,1;3,1;4,2;5,2;6,2;7,3;8,3;9,3;10,4;11,4;12,4})</f>
        <v>1</v>
      </c>
      <c r="J21" s="33">
        <f>YEAR(tabell_Data[[#This Row],[DATUM]])</f>
        <v>2017</v>
      </c>
      <c r="K21" s="32">
        <f>MONTH(tabell_Data[[#This Row],[DATUM]])</f>
        <v>2</v>
      </c>
      <c r="L21" s="50">
        <f>SUMIFS(tabell_Data[BELOPP],tabell_Data[DATUM],"&gt;="&amp;EOMONTH(tabell_Data[[#This Row],[DATUM]],-1)+1,tabell_Data[DATUM],"&lt;="&amp;EOMONTH(tabell_Data[[#This Row],[DATUM]],0))</f>
        <v>4400</v>
      </c>
      <c r="M21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21400</v>
      </c>
      <c r="N21" s="50">
        <f>SUMIFS(tabell_Data[BELOPP],tabell_Data[DATUM],"&gt;="&amp;DATE(YEAR(tabell_Data[[#This Row],[DATUM]]),1,1),tabell_Data[DATUM],"&lt;="&amp;DATE(YEAR(tabell_Data[[#This Row],[DATUM]]),12,31))</f>
        <v>203955</v>
      </c>
      <c r="O21" s="50">
        <f>SUMIFS(tabell_Data[ORDER],tabell_Data[DATUM],"&gt;="&amp;EOMONTH(tabell_Data[[#This Row],[DATUM]],-1)+1,tabell_Data[DATUM],"&lt;="&amp;EOMONTH(tabell_Data[[#This Row],[DATUM]],0))</f>
        <v>4200</v>
      </c>
      <c r="P21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21400</v>
      </c>
      <c r="Q21" s="50">
        <f>SUMIFS(tabell_Data[ORDER],tabell_Data[DATUM],"&gt;="&amp;DATE(YEAR(tabell_Data[[#This Row],[DATUM]]),1,1),tabell_Data[DATUM],"&lt;="&amp;DATE(YEAR(tabell_Data[[#This Row],[DATUM]]),12,31))</f>
        <v>201205</v>
      </c>
      <c r="R21" s="26"/>
    </row>
    <row r="22" spans="1:18" ht="17.25" customHeight="1" x14ac:dyDescent="0.2">
      <c r="A22" s="26"/>
      <c r="B22" s="27">
        <f>40610+(365*6)</f>
        <v>42800</v>
      </c>
      <c r="C22" s="28" t="s">
        <v>39</v>
      </c>
      <c r="D22" s="48">
        <v>7500</v>
      </c>
      <c r="E22" s="48">
        <v>8000</v>
      </c>
      <c r="F22" s="48">
        <v>5850</v>
      </c>
      <c r="G22" s="49">
        <f>tabell_Data[[#This Row],[BELOPP]]-tabell_Data[[#This Row],[KOSTNAD]]</f>
        <v>1650</v>
      </c>
      <c r="H22" s="29">
        <f>DATE(YEAR(tabell_Data[[#This Row],[DATUM]]),MONTH(tabell_Data[[#This Row],[DATUM]]),1)</f>
        <v>42795</v>
      </c>
      <c r="I22" s="30">
        <f>LOOKUP(MONTH(tabell_Data[[#This Row],[MÅNAD]]),{1,1;2,1;3,1;4,2;5,2;6,2;7,3;8,3;9,3;10,4;11,4;12,4})</f>
        <v>1</v>
      </c>
      <c r="J22" s="31">
        <f>YEAR(tabell_Data[[#This Row],[DATUM]])</f>
        <v>2017</v>
      </c>
      <c r="K22" s="32">
        <f>MONTH(tabell_Data[[#This Row],[DATUM]])</f>
        <v>3</v>
      </c>
      <c r="L22" s="50">
        <f>SUMIFS(tabell_Data[BELOPP],tabell_Data[DATUM],"&gt;="&amp;EOMONTH(tabell_Data[[#This Row],[DATUM]],-1)+1,tabell_Data[DATUM],"&lt;="&amp;EOMONTH(tabell_Data[[#This Row],[DATUM]],0))</f>
        <v>7500</v>
      </c>
      <c r="M22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21400</v>
      </c>
      <c r="N22" s="50">
        <f>SUMIFS(tabell_Data[BELOPP],tabell_Data[DATUM],"&gt;="&amp;DATE(YEAR(tabell_Data[[#This Row],[DATUM]]),1,1),tabell_Data[DATUM],"&lt;="&amp;DATE(YEAR(tabell_Data[[#This Row],[DATUM]]),12,31))</f>
        <v>203955</v>
      </c>
      <c r="O22" s="50">
        <f>SUMIFS(tabell_Data[ORDER],tabell_Data[DATUM],"&gt;="&amp;EOMONTH(tabell_Data[[#This Row],[DATUM]],-1)+1,tabell_Data[DATUM],"&lt;="&amp;EOMONTH(tabell_Data[[#This Row],[DATUM]],0))</f>
        <v>8000</v>
      </c>
      <c r="P22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21400</v>
      </c>
      <c r="Q22" s="50">
        <f>SUMIFS(tabell_Data[ORDER],tabell_Data[DATUM],"&gt;="&amp;DATE(YEAR(tabell_Data[[#This Row],[DATUM]]),1,1),tabell_Data[DATUM],"&lt;="&amp;DATE(YEAR(tabell_Data[[#This Row],[DATUM]]),12,31))</f>
        <v>201205</v>
      </c>
      <c r="R22" s="26"/>
    </row>
    <row r="23" spans="1:18" ht="17.25" customHeight="1" x14ac:dyDescent="0.2">
      <c r="A23" s="26"/>
      <c r="B23" s="27">
        <f>40653+(365*6)</f>
        <v>42843</v>
      </c>
      <c r="C23" s="28" t="s">
        <v>42</v>
      </c>
      <c r="D23" s="48">
        <v>9000</v>
      </c>
      <c r="E23" s="48">
        <v>10000</v>
      </c>
      <c r="F23" s="48">
        <v>7575</v>
      </c>
      <c r="G23" s="49">
        <f>tabell_Data[[#This Row],[BELOPP]]-tabell_Data[[#This Row],[KOSTNAD]]</f>
        <v>1425</v>
      </c>
      <c r="H23" s="29">
        <f>DATE(YEAR(tabell_Data[[#This Row],[DATUM]]),MONTH(tabell_Data[[#This Row],[DATUM]]),1)</f>
        <v>42826</v>
      </c>
      <c r="I23" s="30">
        <f>LOOKUP(MONTH(tabell_Data[[#This Row],[MÅNAD]]),{1,1;2,1;3,1;4,2;5,2;6,2;7,3;8,3;9,3;10,4;11,4;12,4})</f>
        <v>2</v>
      </c>
      <c r="J23" s="31">
        <f>YEAR(tabell_Data[[#This Row],[DATUM]])</f>
        <v>2017</v>
      </c>
      <c r="K23" s="32">
        <f>MONTH(tabell_Data[[#This Row],[DATUM]])</f>
        <v>4</v>
      </c>
      <c r="L23" s="50">
        <f>SUMIFS(tabell_Data[BELOPP],tabell_Data[DATUM],"&gt;="&amp;EOMONTH(tabell_Data[[#This Row],[DATUM]],-1)+1,tabell_Data[DATUM],"&lt;="&amp;EOMONTH(tabell_Data[[#This Row],[DATUM]],0))</f>
        <v>23600</v>
      </c>
      <c r="M23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23" s="50">
        <f>SUMIFS(tabell_Data[BELOPP],tabell_Data[DATUM],"&gt;="&amp;DATE(YEAR(tabell_Data[[#This Row],[DATUM]]),1,1),tabell_Data[DATUM],"&lt;="&amp;DATE(YEAR(tabell_Data[[#This Row],[DATUM]]),12,31))</f>
        <v>203955</v>
      </c>
      <c r="O23" s="50">
        <f>SUMIFS(tabell_Data[ORDER],tabell_Data[DATUM],"&gt;="&amp;EOMONTH(tabell_Data[[#This Row],[DATUM]],-1)+1,tabell_Data[DATUM],"&lt;="&amp;EOMONTH(tabell_Data[[#This Row],[DATUM]],0))</f>
        <v>24200</v>
      </c>
      <c r="P23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23" s="50">
        <f>SUMIFS(tabell_Data[ORDER],tabell_Data[DATUM],"&gt;="&amp;DATE(YEAR(tabell_Data[[#This Row],[DATUM]]),1,1),tabell_Data[DATUM],"&lt;="&amp;DATE(YEAR(tabell_Data[[#This Row],[DATUM]]),12,31))</f>
        <v>201205</v>
      </c>
      <c r="R23" s="26"/>
    </row>
    <row r="24" spans="1:18" ht="17.25" customHeight="1" x14ac:dyDescent="0.2">
      <c r="A24" s="26"/>
      <c r="B24" s="27">
        <f>40657+(365*6)</f>
        <v>42847</v>
      </c>
      <c r="C24" s="28" t="s">
        <v>40</v>
      </c>
      <c r="D24" s="48">
        <v>6400</v>
      </c>
      <c r="E24" s="48">
        <v>6200</v>
      </c>
      <c r="F24" s="48">
        <v>4450</v>
      </c>
      <c r="G24" s="49">
        <f>tabell_Data[[#This Row],[BELOPP]]-tabell_Data[[#This Row],[KOSTNAD]]</f>
        <v>1950</v>
      </c>
      <c r="H24" s="29">
        <f>DATE(YEAR(tabell_Data[[#This Row],[DATUM]]),MONTH(tabell_Data[[#This Row],[DATUM]]),1)</f>
        <v>42826</v>
      </c>
      <c r="I24" s="30">
        <f>LOOKUP(MONTH(tabell_Data[[#This Row],[MÅNAD]]),{1,1;2,1;3,1;4,2;5,2;6,2;7,3;8,3;9,3;10,4;11,4;12,4})</f>
        <v>2</v>
      </c>
      <c r="J24" s="31">
        <f>YEAR(tabell_Data[[#This Row],[DATUM]])</f>
        <v>2017</v>
      </c>
      <c r="K24" s="32">
        <f>MONTH(tabell_Data[[#This Row],[DATUM]])</f>
        <v>4</v>
      </c>
      <c r="L24" s="50">
        <f>SUMIFS(tabell_Data[BELOPP],tabell_Data[DATUM],"&gt;="&amp;EOMONTH(tabell_Data[[#This Row],[DATUM]],-1)+1,tabell_Data[DATUM],"&lt;="&amp;EOMONTH(tabell_Data[[#This Row],[DATUM]],0))</f>
        <v>23600</v>
      </c>
      <c r="M24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24" s="50">
        <f>SUMIFS(tabell_Data[BELOPP],tabell_Data[DATUM],"&gt;="&amp;DATE(YEAR(tabell_Data[[#This Row],[DATUM]]),1,1),tabell_Data[DATUM],"&lt;="&amp;DATE(YEAR(tabell_Data[[#This Row],[DATUM]]),12,31))</f>
        <v>203955</v>
      </c>
      <c r="O24" s="50">
        <f>SUMIFS(tabell_Data[ORDER],tabell_Data[DATUM],"&gt;="&amp;EOMONTH(tabell_Data[[#This Row],[DATUM]],-1)+1,tabell_Data[DATUM],"&lt;="&amp;EOMONTH(tabell_Data[[#This Row],[DATUM]],0))</f>
        <v>24200</v>
      </c>
      <c r="P24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24" s="50">
        <f>SUMIFS(tabell_Data[ORDER],tabell_Data[DATUM],"&gt;="&amp;DATE(YEAR(tabell_Data[[#This Row],[DATUM]]),1,1),tabell_Data[DATUM],"&lt;="&amp;DATE(YEAR(tabell_Data[[#This Row],[DATUM]]),12,31))</f>
        <v>201205</v>
      </c>
      <c r="R24" s="26"/>
    </row>
    <row r="25" spans="1:18" ht="17.25" customHeight="1" x14ac:dyDescent="0.2">
      <c r="A25" s="26"/>
      <c r="B25" s="27">
        <f>40659+(365*6)</f>
        <v>42849</v>
      </c>
      <c r="C25" s="28" t="s">
        <v>39</v>
      </c>
      <c r="D25" s="48">
        <v>8200</v>
      </c>
      <c r="E25" s="48">
        <v>8000</v>
      </c>
      <c r="F25" s="48">
        <v>6400</v>
      </c>
      <c r="G25" s="49">
        <f>tabell_Data[[#This Row],[BELOPP]]-tabell_Data[[#This Row],[KOSTNAD]]</f>
        <v>1800</v>
      </c>
      <c r="H25" s="29">
        <f>DATE(YEAR(tabell_Data[[#This Row],[DATUM]]),MONTH(tabell_Data[[#This Row],[DATUM]]),1)</f>
        <v>42826</v>
      </c>
      <c r="I25" s="30">
        <f>LOOKUP(MONTH(tabell_Data[[#This Row],[MÅNAD]]),{1,1;2,1;3,1;4,2;5,2;6,2;7,3;8,3;9,3;10,4;11,4;12,4})</f>
        <v>2</v>
      </c>
      <c r="J25" s="31">
        <f>YEAR(tabell_Data[[#This Row],[DATUM]])</f>
        <v>2017</v>
      </c>
      <c r="K25" s="32">
        <f>MONTH(tabell_Data[[#This Row],[DATUM]])</f>
        <v>4</v>
      </c>
      <c r="L25" s="50">
        <f>SUMIFS(tabell_Data[BELOPP],tabell_Data[DATUM],"&gt;="&amp;EOMONTH(tabell_Data[[#This Row],[DATUM]],-1)+1,tabell_Data[DATUM],"&lt;="&amp;EOMONTH(tabell_Data[[#This Row],[DATUM]],0))</f>
        <v>23600</v>
      </c>
      <c r="M25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25" s="50">
        <f>SUMIFS(tabell_Data[BELOPP],tabell_Data[DATUM],"&gt;="&amp;DATE(YEAR(tabell_Data[[#This Row],[DATUM]]),1,1),tabell_Data[DATUM],"&lt;="&amp;DATE(YEAR(tabell_Data[[#This Row],[DATUM]]),12,31))</f>
        <v>203955</v>
      </c>
      <c r="O25" s="50">
        <f>SUMIFS(tabell_Data[ORDER],tabell_Data[DATUM],"&gt;="&amp;EOMONTH(tabell_Data[[#This Row],[DATUM]],-1)+1,tabell_Data[DATUM],"&lt;="&amp;EOMONTH(tabell_Data[[#This Row],[DATUM]],0))</f>
        <v>24200</v>
      </c>
      <c r="P25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25" s="50">
        <f>SUMIFS(tabell_Data[ORDER],tabell_Data[DATUM],"&gt;="&amp;DATE(YEAR(tabell_Data[[#This Row],[DATUM]]),1,1),tabell_Data[DATUM],"&lt;="&amp;DATE(YEAR(tabell_Data[[#This Row],[DATUM]]),12,31))</f>
        <v>201205</v>
      </c>
      <c r="R25" s="26"/>
    </row>
    <row r="26" spans="1:18" ht="17.25" customHeight="1" x14ac:dyDescent="0.2">
      <c r="A26" s="26"/>
      <c r="B26" s="27">
        <f>40671+(365*6)</f>
        <v>42861</v>
      </c>
      <c r="C26" s="28" t="s">
        <v>37</v>
      </c>
      <c r="D26" s="48">
        <v>4400</v>
      </c>
      <c r="E26" s="48">
        <v>4200</v>
      </c>
      <c r="F26" s="48">
        <v>2600</v>
      </c>
      <c r="G26" s="49">
        <f>tabell_Data[[#This Row],[BELOPP]]-tabell_Data[[#This Row],[KOSTNAD]]</f>
        <v>1800</v>
      </c>
      <c r="H26" s="29">
        <f>DATE(YEAR(tabell_Data[[#This Row],[DATUM]]),MONTH(tabell_Data[[#This Row],[DATUM]]),1)</f>
        <v>42856</v>
      </c>
      <c r="I26" s="30">
        <f>LOOKUP(MONTH(tabell_Data[[#This Row],[MÅNAD]]),{1,1;2,1;3,1;4,2;5,2;6,2;7,3;8,3;9,3;10,4;11,4;12,4})</f>
        <v>2</v>
      </c>
      <c r="J26" s="31">
        <f>YEAR(tabell_Data[[#This Row],[DATUM]])</f>
        <v>2017</v>
      </c>
      <c r="K26" s="32">
        <f>MONTH(tabell_Data[[#This Row],[DATUM]])</f>
        <v>5</v>
      </c>
      <c r="L26" s="50">
        <f>SUMIFS(tabell_Data[BELOPP],tabell_Data[DATUM],"&gt;="&amp;EOMONTH(tabell_Data[[#This Row],[DATUM]],-1)+1,tabell_Data[DATUM],"&lt;="&amp;EOMONTH(tabell_Data[[#This Row],[DATUM]],0))</f>
        <v>21800</v>
      </c>
      <c r="M26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26" s="50">
        <f>SUMIFS(tabell_Data[BELOPP],tabell_Data[DATUM],"&gt;="&amp;DATE(YEAR(tabell_Data[[#This Row],[DATUM]]),1,1),tabell_Data[DATUM],"&lt;="&amp;DATE(YEAR(tabell_Data[[#This Row],[DATUM]]),12,31))</f>
        <v>203955</v>
      </c>
      <c r="O26" s="50">
        <f>SUMIFS(tabell_Data[ORDER],tabell_Data[DATUM],"&gt;="&amp;EOMONTH(tabell_Data[[#This Row],[DATUM]],-1)+1,tabell_Data[DATUM],"&lt;="&amp;EOMONTH(tabell_Data[[#This Row],[DATUM]],0))</f>
        <v>21700</v>
      </c>
      <c r="P26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26" s="50">
        <f>SUMIFS(tabell_Data[ORDER],tabell_Data[DATUM],"&gt;="&amp;DATE(YEAR(tabell_Data[[#This Row],[DATUM]]),1,1),tabell_Data[DATUM],"&lt;="&amp;DATE(YEAR(tabell_Data[[#This Row],[DATUM]]),12,31))</f>
        <v>201205</v>
      </c>
      <c r="R26" s="26"/>
    </row>
    <row r="27" spans="1:18" ht="17.25" customHeight="1" x14ac:dyDescent="0.2">
      <c r="A27" s="26"/>
      <c r="B27" s="27">
        <f>40678+(365*6)</f>
        <v>42868</v>
      </c>
      <c r="C27" s="28" t="s">
        <v>38</v>
      </c>
      <c r="D27" s="48">
        <v>5400</v>
      </c>
      <c r="E27" s="48">
        <v>5500</v>
      </c>
      <c r="F27" s="48">
        <v>4500</v>
      </c>
      <c r="G27" s="49">
        <f>tabell_Data[[#This Row],[BELOPP]]-tabell_Data[[#This Row],[KOSTNAD]]</f>
        <v>900</v>
      </c>
      <c r="H27" s="29">
        <f>DATE(YEAR(tabell_Data[[#This Row],[DATUM]]),MONTH(tabell_Data[[#This Row],[DATUM]]),1)</f>
        <v>42856</v>
      </c>
      <c r="I27" s="30">
        <f>LOOKUP(MONTH(tabell_Data[[#This Row],[MÅNAD]]),{1,1;2,1;3,1;4,2;5,2;6,2;7,3;8,3;9,3;10,4;11,4;12,4})</f>
        <v>2</v>
      </c>
      <c r="J27" s="31">
        <f>YEAR(tabell_Data[[#This Row],[DATUM]])</f>
        <v>2017</v>
      </c>
      <c r="K27" s="32">
        <f>MONTH(tabell_Data[[#This Row],[DATUM]])</f>
        <v>5</v>
      </c>
      <c r="L27" s="50">
        <f>SUMIFS(tabell_Data[BELOPP],tabell_Data[DATUM],"&gt;="&amp;EOMONTH(tabell_Data[[#This Row],[DATUM]],-1)+1,tabell_Data[DATUM],"&lt;="&amp;EOMONTH(tabell_Data[[#This Row],[DATUM]],0))</f>
        <v>21800</v>
      </c>
      <c r="M27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27" s="50">
        <f>SUMIFS(tabell_Data[BELOPP],tabell_Data[DATUM],"&gt;="&amp;DATE(YEAR(tabell_Data[[#This Row],[DATUM]]),1,1),tabell_Data[DATUM],"&lt;="&amp;DATE(YEAR(tabell_Data[[#This Row],[DATUM]]),12,31))</f>
        <v>203955</v>
      </c>
      <c r="O27" s="50">
        <f>SUMIFS(tabell_Data[ORDER],tabell_Data[DATUM],"&gt;="&amp;EOMONTH(tabell_Data[[#This Row],[DATUM]],-1)+1,tabell_Data[DATUM],"&lt;="&amp;EOMONTH(tabell_Data[[#This Row],[DATUM]],0))</f>
        <v>21700</v>
      </c>
      <c r="P27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27" s="50">
        <f>SUMIFS(tabell_Data[ORDER],tabell_Data[DATUM],"&gt;="&amp;DATE(YEAR(tabell_Data[[#This Row],[DATUM]]),1,1),tabell_Data[DATUM],"&lt;="&amp;DATE(YEAR(tabell_Data[[#This Row],[DATUM]]),12,31))</f>
        <v>201205</v>
      </c>
      <c r="R27" s="26"/>
    </row>
    <row r="28" spans="1:18" ht="17.25" customHeight="1" x14ac:dyDescent="0.2">
      <c r="A28" s="26"/>
      <c r="B28" s="27">
        <f>40678+(365*6)</f>
        <v>42868</v>
      </c>
      <c r="C28" s="28" t="s">
        <v>46</v>
      </c>
      <c r="D28" s="48">
        <v>5800</v>
      </c>
      <c r="E28" s="48">
        <v>6000</v>
      </c>
      <c r="F28" s="48">
        <v>4500</v>
      </c>
      <c r="G28" s="49">
        <f>tabell_Data[[#This Row],[BELOPP]]-tabell_Data[[#This Row],[KOSTNAD]]</f>
        <v>1300</v>
      </c>
      <c r="H28" s="29">
        <f>DATE(YEAR(tabell_Data[[#This Row],[DATUM]]),MONTH(tabell_Data[[#This Row],[DATUM]]),1)</f>
        <v>42856</v>
      </c>
      <c r="I28" s="30">
        <f>LOOKUP(MONTH(tabell_Data[[#This Row],[MÅNAD]]),{1,1;2,1;3,1;4,2;5,2;6,2;7,3;8,3;9,3;10,4;11,4;12,4})</f>
        <v>2</v>
      </c>
      <c r="J28" s="31">
        <f>YEAR(tabell_Data[[#This Row],[DATUM]])</f>
        <v>2017</v>
      </c>
      <c r="K28" s="32">
        <f>MONTH(tabell_Data[[#This Row],[DATUM]])</f>
        <v>5</v>
      </c>
      <c r="L28" s="50">
        <f>SUMIFS(tabell_Data[BELOPP],tabell_Data[DATUM],"&gt;="&amp;EOMONTH(tabell_Data[[#This Row],[DATUM]],-1)+1,tabell_Data[DATUM],"&lt;="&amp;EOMONTH(tabell_Data[[#This Row],[DATUM]],0))</f>
        <v>21800</v>
      </c>
      <c r="M28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28" s="50">
        <f>SUMIFS(tabell_Data[BELOPP],tabell_Data[DATUM],"&gt;="&amp;DATE(YEAR(tabell_Data[[#This Row],[DATUM]]),1,1),tabell_Data[DATUM],"&lt;="&amp;DATE(YEAR(tabell_Data[[#This Row],[DATUM]]),12,31))</f>
        <v>203955</v>
      </c>
      <c r="O28" s="50">
        <f>SUMIFS(tabell_Data[ORDER],tabell_Data[DATUM],"&gt;="&amp;EOMONTH(tabell_Data[[#This Row],[DATUM]],-1)+1,tabell_Data[DATUM],"&lt;="&amp;EOMONTH(tabell_Data[[#This Row],[DATUM]],0))</f>
        <v>21700</v>
      </c>
      <c r="P28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28" s="50">
        <f>SUMIFS(tabell_Data[ORDER],tabell_Data[DATUM],"&gt;="&amp;DATE(YEAR(tabell_Data[[#This Row],[DATUM]]),1,1),tabell_Data[DATUM],"&lt;="&amp;DATE(YEAR(tabell_Data[[#This Row],[DATUM]]),12,31))</f>
        <v>201205</v>
      </c>
      <c r="R28" s="26"/>
    </row>
    <row r="29" spans="1:18" ht="17.25" customHeight="1" x14ac:dyDescent="0.2">
      <c r="A29" s="26"/>
      <c r="B29" s="27">
        <f>40693+(365*6)</f>
        <v>42883</v>
      </c>
      <c r="C29" s="28" t="s">
        <v>40</v>
      </c>
      <c r="D29" s="48">
        <v>6200</v>
      </c>
      <c r="E29" s="48">
        <v>6000</v>
      </c>
      <c r="F29" s="48">
        <v>4500</v>
      </c>
      <c r="G29" s="49">
        <f>tabell_Data[[#This Row],[BELOPP]]-tabell_Data[[#This Row],[KOSTNAD]]</f>
        <v>1700</v>
      </c>
      <c r="H29" s="29">
        <f>DATE(YEAR(tabell_Data[[#This Row],[DATUM]]),MONTH(tabell_Data[[#This Row],[DATUM]]),1)</f>
        <v>42856</v>
      </c>
      <c r="I29" s="30">
        <f>LOOKUP(MONTH(tabell_Data[[#This Row],[MÅNAD]]),{1,1;2,1;3,1;4,2;5,2;6,2;7,3;8,3;9,3;10,4;11,4;12,4})</f>
        <v>2</v>
      </c>
      <c r="J29" s="31">
        <f>YEAR(tabell_Data[[#This Row],[DATUM]])</f>
        <v>2017</v>
      </c>
      <c r="K29" s="32">
        <f>MONTH(tabell_Data[[#This Row],[DATUM]])</f>
        <v>5</v>
      </c>
      <c r="L29" s="50">
        <f>SUMIFS(tabell_Data[BELOPP],tabell_Data[DATUM],"&gt;="&amp;EOMONTH(tabell_Data[[#This Row],[DATUM]],-1)+1,tabell_Data[DATUM],"&lt;="&amp;EOMONTH(tabell_Data[[#This Row],[DATUM]],0))</f>
        <v>21800</v>
      </c>
      <c r="M29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29" s="50">
        <f>SUMIFS(tabell_Data[BELOPP],tabell_Data[DATUM],"&gt;="&amp;DATE(YEAR(tabell_Data[[#This Row],[DATUM]]),1,1),tabell_Data[DATUM],"&lt;="&amp;DATE(YEAR(tabell_Data[[#This Row],[DATUM]]),12,31))</f>
        <v>203955</v>
      </c>
      <c r="O29" s="50">
        <f>SUMIFS(tabell_Data[ORDER],tabell_Data[DATUM],"&gt;="&amp;EOMONTH(tabell_Data[[#This Row],[DATUM]],-1)+1,tabell_Data[DATUM],"&lt;="&amp;EOMONTH(tabell_Data[[#This Row],[DATUM]],0))</f>
        <v>21700</v>
      </c>
      <c r="P29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29" s="50">
        <f>SUMIFS(tabell_Data[ORDER],tabell_Data[DATUM],"&gt;="&amp;DATE(YEAR(tabell_Data[[#This Row],[DATUM]]),1,1),tabell_Data[DATUM],"&lt;="&amp;DATE(YEAR(tabell_Data[[#This Row],[DATUM]]),12,31))</f>
        <v>201205</v>
      </c>
      <c r="R29" s="26"/>
    </row>
    <row r="30" spans="1:18" ht="17.25" customHeight="1" x14ac:dyDescent="0.2">
      <c r="A30" s="26"/>
      <c r="B30" s="27">
        <f>40699+(365*6)</f>
        <v>42889</v>
      </c>
      <c r="C30" s="28" t="s">
        <v>41</v>
      </c>
      <c r="D30" s="48">
        <v>9100</v>
      </c>
      <c r="E30" s="48">
        <v>9200</v>
      </c>
      <c r="F30" s="48">
        <v>7850</v>
      </c>
      <c r="G30" s="49">
        <f>tabell_Data[[#This Row],[BELOPP]]-tabell_Data[[#This Row],[KOSTNAD]]</f>
        <v>1250</v>
      </c>
      <c r="H30" s="29">
        <f>DATE(YEAR(tabell_Data[[#This Row],[DATUM]]),MONTH(tabell_Data[[#This Row],[DATUM]]),1)</f>
        <v>42887</v>
      </c>
      <c r="I30" s="30">
        <f>LOOKUP(MONTH(tabell_Data[[#This Row],[MÅNAD]]),{1,1;2,1;3,1;4,2;5,2;6,2;7,3;8,3;9,3;10,4;11,4;12,4})</f>
        <v>2</v>
      </c>
      <c r="J30" s="31">
        <f>YEAR(tabell_Data[[#This Row],[DATUM]])</f>
        <v>2017</v>
      </c>
      <c r="K30" s="32">
        <f>MONTH(tabell_Data[[#This Row],[DATUM]])</f>
        <v>6</v>
      </c>
      <c r="L30" s="50">
        <f>SUMIFS(tabell_Data[BELOPP],tabell_Data[DATUM],"&gt;="&amp;EOMONTH(tabell_Data[[#This Row],[DATUM]],-1)+1,tabell_Data[DATUM],"&lt;="&amp;EOMONTH(tabell_Data[[#This Row],[DATUM]],0))</f>
        <v>32300</v>
      </c>
      <c r="M30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30" s="50">
        <f>SUMIFS(tabell_Data[BELOPP],tabell_Data[DATUM],"&gt;="&amp;DATE(YEAR(tabell_Data[[#This Row],[DATUM]]),1,1),tabell_Data[DATUM],"&lt;="&amp;DATE(YEAR(tabell_Data[[#This Row],[DATUM]]),12,31))</f>
        <v>203955</v>
      </c>
      <c r="O30" s="50">
        <f>SUMIFS(tabell_Data[ORDER],tabell_Data[DATUM],"&gt;="&amp;EOMONTH(tabell_Data[[#This Row],[DATUM]],-1)+1,tabell_Data[DATUM],"&lt;="&amp;EOMONTH(tabell_Data[[#This Row],[DATUM]],0))</f>
        <v>33250</v>
      </c>
      <c r="P30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30" s="50">
        <f>SUMIFS(tabell_Data[ORDER],tabell_Data[DATUM],"&gt;="&amp;DATE(YEAR(tabell_Data[[#This Row],[DATUM]]),1,1),tabell_Data[DATUM],"&lt;="&amp;DATE(YEAR(tabell_Data[[#This Row],[DATUM]]),12,31))</f>
        <v>201205</v>
      </c>
      <c r="R30" s="26"/>
    </row>
    <row r="31" spans="1:18" ht="17.25" customHeight="1" x14ac:dyDescent="0.2">
      <c r="A31" s="26"/>
      <c r="B31" s="27">
        <f>40705+(365*6)</f>
        <v>42895</v>
      </c>
      <c r="C31" s="28" t="s">
        <v>36</v>
      </c>
      <c r="D31" s="48">
        <v>6900</v>
      </c>
      <c r="E31" s="48">
        <v>7500</v>
      </c>
      <c r="F31" s="48">
        <v>5400</v>
      </c>
      <c r="G31" s="49">
        <f>tabell_Data[[#This Row],[BELOPP]]-tabell_Data[[#This Row],[KOSTNAD]]</f>
        <v>1500</v>
      </c>
      <c r="H31" s="29">
        <f>DATE(YEAR(tabell_Data[[#This Row],[DATUM]]),MONTH(tabell_Data[[#This Row],[DATUM]]),1)</f>
        <v>42887</v>
      </c>
      <c r="I31" s="30">
        <f>LOOKUP(MONTH(tabell_Data[[#This Row],[MÅNAD]]),{1,1;2,1;3,1;4,2;5,2;6,2;7,3;8,3;9,3;10,4;11,4;12,4})</f>
        <v>2</v>
      </c>
      <c r="J31" s="31">
        <f>YEAR(tabell_Data[[#This Row],[DATUM]])</f>
        <v>2017</v>
      </c>
      <c r="K31" s="32">
        <f>MONTH(tabell_Data[[#This Row],[DATUM]])</f>
        <v>6</v>
      </c>
      <c r="L31" s="50">
        <f>SUMIFS(tabell_Data[BELOPP],tabell_Data[DATUM],"&gt;="&amp;EOMONTH(tabell_Data[[#This Row],[DATUM]],-1)+1,tabell_Data[DATUM],"&lt;="&amp;EOMONTH(tabell_Data[[#This Row],[DATUM]],0))</f>
        <v>32300</v>
      </c>
      <c r="M31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31" s="50">
        <f>SUMIFS(tabell_Data[BELOPP],tabell_Data[DATUM],"&gt;="&amp;DATE(YEAR(tabell_Data[[#This Row],[DATUM]]),1,1),tabell_Data[DATUM],"&lt;="&amp;DATE(YEAR(tabell_Data[[#This Row],[DATUM]]),12,31))</f>
        <v>203955</v>
      </c>
      <c r="O31" s="50">
        <f>SUMIFS(tabell_Data[ORDER],tabell_Data[DATUM],"&gt;="&amp;EOMONTH(tabell_Data[[#This Row],[DATUM]],-1)+1,tabell_Data[DATUM],"&lt;="&amp;EOMONTH(tabell_Data[[#This Row],[DATUM]],0))</f>
        <v>33250</v>
      </c>
      <c r="P31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31" s="50">
        <f>SUMIFS(tabell_Data[ORDER],tabell_Data[DATUM],"&gt;="&amp;DATE(YEAR(tabell_Data[[#This Row],[DATUM]]),1,1),tabell_Data[DATUM],"&lt;="&amp;DATE(YEAR(tabell_Data[[#This Row],[DATUM]]),12,31))</f>
        <v>201205</v>
      </c>
      <c r="R31" s="26"/>
    </row>
    <row r="32" spans="1:18" ht="17.25" customHeight="1" x14ac:dyDescent="0.2">
      <c r="A32" s="26"/>
      <c r="B32" s="27">
        <f>40715+(365*6)</f>
        <v>42905</v>
      </c>
      <c r="C32" s="28" t="s">
        <v>41</v>
      </c>
      <c r="D32" s="48">
        <v>8800</v>
      </c>
      <c r="E32" s="48">
        <v>9350</v>
      </c>
      <c r="F32" s="48">
        <v>7100</v>
      </c>
      <c r="G32" s="49">
        <f>tabell_Data[[#This Row],[BELOPP]]-tabell_Data[[#This Row],[KOSTNAD]]</f>
        <v>1700</v>
      </c>
      <c r="H32" s="29">
        <f>DATE(YEAR(tabell_Data[[#This Row],[DATUM]]),MONTH(tabell_Data[[#This Row],[DATUM]]),1)</f>
        <v>42887</v>
      </c>
      <c r="I32" s="30">
        <f>LOOKUP(MONTH(tabell_Data[[#This Row],[MÅNAD]]),{1,1;2,1;3,1;4,2;5,2;6,2;7,3;8,3;9,3;10,4;11,4;12,4})</f>
        <v>2</v>
      </c>
      <c r="J32" s="31">
        <f>YEAR(tabell_Data[[#This Row],[DATUM]])</f>
        <v>2017</v>
      </c>
      <c r="K32" s="32">
        <f>MONTH(tabell_Data[[#This Row],[DATUM]])</f>
        <v>6</v>
      </c>
      <c r="L32" s="50">
        <f>SUMIFS(tabell_Data[BELOPP],tabell_Data[DATUM],"&gt;="&amp;EOMONTH(tabell_Data[[#This Row],[DATUM]],-1)+1,tabell_Data[DATUM],"&lt;="&amp;EOMONTH(tabell_Data[[#This Row],[DATUM]],0))</f>
        <v>32300</v>
      </c>
      <c r="M32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32" s="50">
        <f>SUMIFS(tabell_Data[BELOPP],tabell_Data[DATUM],"&gt;="&amp;DATE(YEAR(tabell_Data[[#This Row],[DATUM]]),1,1),tabell_Data[DATUM],"&lt;="&amp;DATE(YEAR(tabell_Data[[#This Row],[DATUM]]),12,31))</f>
        <v>203955</v>
      </c>
      <c r="O32" s="50">
        <f>SUMIFS(tabell_Data[ORDER],tabell_Data[DATUM],"&gt;="&amp;EOMONTH(tabell_Data[[#This Row],[DATUM]],-1)+1,tabell_Data[DATUM],"&lt;="&amp;EOMONTH(tabell_Data[[#This Row],[DATUM]],0))</f>
        <v>33250</v>
      </c>
      <c r="P32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32" s="50">
        <f>SUMIFS(tabell_Data[ORDER],tabell_Data[DATUM],"&gt;="&amp;DATE(YEAR(tabell_Data[[#This Row],[DATUM]]),1,1),tabell_Data[DATUM],"&lt;="&amp;DATE(YEAR(tabell_Data[[#This Row],[DATUM]]),12,31))</f>
        <v>201205</v>
      </c>
      <c r="R32" s="26"/>
    </row>
    <row r="33" spans="1:18" ht="17.25" customHeight="1" x14ac:dyDescent="0.2">
      <c r="A33" s="26"/>
      <c r="B33" s="27">
        <f>40716+(365*6)</f>
        <v>42906</v>
      </c>
      <c r="C33" s="28" t="s">
        <v>46</v>
      </c>
      <c r="D33" s="48">
        <v>7500</v>
      </c>
      <c r="E33" s="48">
        <v>7200</v>
      </c>
      <c r="F33" s="48">
        <v>6500</v>
      </c>
      <c r="G33" s="49">
        <f>tabell_Data[[#This Row],[BELOPP]]-tabell_Data[[#This Row],[KOSTNAD]]</f>
        <v>1000</v>
      </c>
      <c r="H33" s="29">
        <f>DATE(YEAR(tabell_Data[[#This Row],[DATUM]]),MONTH(tabell_Data[[#This Row],[DATUM]]),1)</f>
        <v>42887</v>
      </c>
      <c r="I33" s="30">
        <f>LOOKUP(MONTH(tabell_Data[[#This Row],[MÅNAD]]),{1,1;2,1;3,1;4,2;5,2;6,2;7,3;8,3;9,3;10,4;11,4;12,4})</f>
        <v>2</v>
      </c>
      <c r="J33" s="31">
        <f>YEAR(tabell_Data[[#This Row],[DATUM]])</f>
        <v>2017</v>
      </c>
      <c r="K33" s="32">
        <f>MONTH(tabell_Data[[#This Row],[DATUM]])</f>
        <v>6</v>
      </c>
      <c r="L33" s="50">
        <f>SUMIFS(tabell_Data[BELOPP],tabell_Data[DATUM],"&gt;="&amp;EOMONTH(tabell_Data[[#This Row],[DATUM]],-1)+1,tabell_Data[DATUM],"&lt;="&amp;EOMONTH(tabell_Data[[#This Row],[DATUM]],0))</f>
        <v>32300</v>
      </c>
      <c r="M33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77700</v>
      </c>
      <c r="N33" s="50">
        <f>SUMIFS(tabell_Data[BELOPP],tabell_Data[DATUM],"&gt;="&amp;DATE(YEAR(tabell_Data[[#This Row],[DATUM]]),1,1),tabell_Data[DATUM],"&lt;="&amp;DATE(YEAR(tabell_Data[[#This Row],[DATUM]]),12,31))</f>
        <v>203955</v>
      </c>
      <c r="O33" s="50">
        <f>SUMIFS(tabell_Data[ORDER],tabell_Data[DATUM],"&gt;="&amp;EOMONTH(tabell_Data[[#This Row],[DATUM]],-1)+1,tabell_Data[DATUM],"&lt;="&amp;EOMONTH(tabell_Data[[#This Row],[DATUM]],0))</f>
        <v>33250</v>
      </c>
      <c r="P33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79150</v>
      </c>
      <c r="Q33" s="50">
        <f>SUMIFS(tabell_Data[ORDER],tabell_Data[DATUM],"&gt;="&amp;DATE(YEAR(tabell_Data[[#This Row],[DATUM]]),1,1),tabell_Data[DATUM],"&lt;="&amp;DATE(YEAR(tabell_Data[[#This Row],[DATUM]]),12,31))</f>
        <v>201205</v>
      </c>
      <c r="R33" s="26"/>
    </row>
    <row r="34" spans="1:18" ht="17.25" customHeight="1" x14ac:dyDescent="0.2">
      <c r="A34" s="26"/>
      <c r="B34" s="27">
        <f>40731+(365*6)</f>
        <v>42921</v>
      </c>
      <c r="C34" s="28" t="s">
        <v>38</v>
      </c>
      <c r="D34" s="48">
        <v>8700</v>
      </c>
      <c r="E34" s="48">
        <v>8500</v>
      </c>
      <c r="F34" s="48">
        <v>7250</v>
      </c>
      <c r="G34" s="49">
        <f>tabell_Data[[#This Row],[BELOPP]]-tabell_Data[[#This Row],[KOSTNAD]]</f>
        <v>1450</v>
      </c>
      <c r="H34" s="29">
        <f>DATE(YEAR(tabell_Data[[#This Row],[DATUM]]),MONTH(tabell_Data[[#This Row],[DATUM]]),1)</f>
        <v>42917</v>
      </c>
      <c r="I34" s="30">
        <f>LOOKUP(MONTH(tabell_Data[[#This Row],[MÅNAD]]),{1,1;2,1;3,1;4,2;5,2;6,2;7,3;8,3;9,3;10,4;11,4;12,4})</f>
        <v>3</v>
      </c>
      <c r="J34" s="31">
        <f>YEAR(tabell_Data[[#This Row],[DATUM]])</f>
        <v>2017</v>
      </c>
      <c r="K34" s="32">
        <f>MONTH(tabell_Data[[#This Row],[DATUM]])</f>
        <v>7</v>
      </c>
      <c r="L34" s="50">
        <f>SUMIFS(tabell_Data[BELOPP],tabell_Data[DATUM],"&gt;="&amp;EOMONTH(tabell_Data[[#This Row],[DATUM]],-1)+1,tabell_Data[DATUM],"&lt;="&amp;EOMONTH(tabell_Data[[#This Row],[DATUM]],0))</f>
        <v>8700</v>
      </c>
      <c r="M34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49100</v>
      </c>
      <c r="N34" s="50">
        <f>SUMIFS(tabell_Data[BELOPP],tabell_Data[DATUM],"&gt;="&amp;DATE(YEAR(tabell_Data[[#This Row],[DATUM]]),1,1),tabell_Data[DATUM],"&lt;="&amp;DATE(YEAR(tabell_Data[[#This Row],[DATUM]]),12,31))</f>
        <v>203955</v>
      </c>
      <c r="O34" s="50">
        <f>SUMIFS(tabell_Data[ORDER],tabell_Data[DATUM],"&gt;="&amp;EOMONTH(tabell_Data[[#This Row],[DATUM]],-1)+1,tabell_Data[DATUM],"&lt;="&amp;EOMONTH(tabell_Data[[#This Row],[DATUM]],0))</f>
        <v>8500</v>
      </c>
      <c r="P34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48300</v>
      </c>
      <c r="Q34" s="50">
        <f>SUMIFS(tabell_Data[ORDER],tabell_Data[DATUM],"&gt;="&amp;DATE(YEAR(tabell_Data[[#This Row],[DATUM]]),1,1),tabell_Data[DATUM],"&lt;="&amp;DATE(YEAR(tabell_Data[[#This Row],[DATUM]]),12,31))</f>
        <v>201205</v>
      </c>
      <c r="R34" s="26"/>
    </row>
    <row r="35" spans="1:18" ht="17.25" customHeight="1" x14ac:dyDescent="0.2">
      <c r="A35" s="26"/>
      <c r="B35" s="27">
        <f>40761+(365*6)</f>
        <v>42951</v>
      </c>
      <c r="C35" s="28" t="s">
        <v>39</v>
      </c>
      <c r="D35" s="48">
        <v>8500</v>
      </c>
      <c r="E35" s="48">
        <v>8300</v>
      </c>
      <c r="F35" s="48">
        <v>7100</v>
      </c>
      <c r="G35" s="49">
        <f>tabell_Data[[#This Row],[BELOPP]]-tabell_Data[[#This Row],[KOSTNAD]]</f>
        <v>1400</v>
      </c>
      <c r="H35" s="29">
        <f>DATE(YEAR(tabell_Data[[#This Row],[DATUM]]),MONTH(tabell_Data[[#This Row],[DATUM]]),1)</f>
        <v>42948</v>
      </c>
      <c r="I35" s="30">
        <f>LOOKUP(MONTH(tabell_Data[[#This Row],[MÅNAD]]),{1,1;2,1;3,1;4,2;5,2;6,2;7,3;8,3;9,3;10,4;11,4;12,4})</f>
        <v>3</v>
      </c>
      <c r="J35" s="31">
        <f>YEAR(tabell_Data[[#This Row],[DATUM]])</f>
        <v>2017</v>
      </c>
      <c r="K35" s="32">
        <f>MONTH(tabell_Data[[#This Row],[DATUM]])</f>
        <v>8</v>
      </c>
      <c r="L35" s="50">
        <f>SUMIFS(tabell_Data[BELOPP],tabell_Data[DATUM],"&gt;="&amp;EOMONTH(tabell_Data[[#This Row],[DATUM]],-1)+1,tabell_Data[DATUM],"&lt;="&amp;EOMONTH(tabell_Data[[#This Row],[DATUM]],0))</f>
        <v>16400</v>
      </c>
      <c r="M35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49100</v>
      </c>
      <c r="N35" s="50">
        <f>SUMIFS(tabell_Data[BELOPP],tabell_Data[DATUM],"&gt;="&amp;DATE(YEAR(tabell_Data[[#This Row],[DATUM]]),1,1),tabell_Data[DATUM],"&lt;="&amp;DATE(YEAR(tabell_Data[[#This Row],[DATUM]]),12,31))</f>
        <v>203955</v>
      </c>
      <c r="O35" s="50">
        <f>SUMIFS(tabell_Data[ORDER],tabell_Data[DATUM],"&gt;="&amp;EOMONTH(tabell_Data[[#This Row],[DATUM]],-1)+1,tabell_Data[DATUM],"&lt;="&amp;EOMONTH(tabell_Data[[#This Row],[DATUM]],0))</f>
        <v>16000</v>
      </c>
      <c r="P35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48300</v>
      </c>
      <c r="Q35" s="50">
        <f>SUMIFS(tabell_Data[ORDER],tabell_Data[DATUM],"&gt;="&amp;DATE(YEAR(tabell_Data[[#This Row],[DATUM]]),1,1),tabell_Data[DATUM],"&lt;="&amp;DATE(YEAR(tabell_Data[[#This Row],[DATUM]]),12,31))</f>
        <v>201205</v>
      </c>
      <c r="R35" s="26"/>
    </row>
    <row r="36" spans="1:18" ht="17.25" customHeight="1" x14ac:dyDescent="0.2">
      <c r="A36" s="26"/>
      <c r="B36" s="27">
        <f>40775+(365*6)</f>
        <v>42965</v>
      </c>
      <c r="C36" s="28" t="s">
        <v>41</v>
      </c>
      <c r="D36" s="48">
        <v>7900</v>
      </c>
      <c r="E36" s="48">
        <v>7700</v>
      </c>
      <c r="F36" s="48">
        <v>6600</v>
      </c>
      <c r="G36" s="49">
        <f>tabell_Data[[#This Row],[BELOPP]]-tabell_Data[[#This Row],[KOSTNAD]]</f>
        <v>1300</v>
      </c>
      <c r="H36" s="29">
        <f>DATE(YEAR(tabell_Data[[#This Row],[DATUM]]),MONTH(tabell_Data[[#This Row],[DATUM]]),1)</f>
        <v>42948</v>
      </c>
      <c r="I36" s="30">
        <f>LOOKUP(MONTH(tabell_Data[[#This Row],[MÅNAD]]),{1,1;2,1;3,1;4,2;5,2;6,2;7,3;8,3;9,3;10,4;11,4;12,4})</f>
        <v>3</v>
      </c>
      <c r="J36" s="31">
        <f>YEAR(tabell_Data[[#This Row],[DATUM]])</f>
        <v>2017</v>
      </c>
      <c r="K36" s="32">
        <f>MONTH(tabell_Data[[#This Row],[DATUM]])</f>
        <v>8</v>
      </c>
      <c r="L36" s="50">
        <f>SUMIFS(tabell_Data[BELOPP],tabell_Data[DATUM],"&gt;="&amp;EOMONTH(tabell_Data[[#This Row],[DATUM]],-1)+1,tabell_Data[DATUM],"&lt;="&amp;EOMONTH(tabell_Data[[#This Row],[DATUM]],0))</f>
        <v>16400</v>
      </c>
      <c r="M36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49100</v>
      </c>
      <c r="N36" s="50">
        <f>SUMIFS(tabell_Data[BELOPP],tabell_Data[DATUM],"&gt;="&amp;DATE(YEAR(tabell_Data[[#This Row],[DATUM]]),1,1),tabell_Data[DATUM],"&lt;="&amp;DATE(YEAR(tabell_Data[[#This Row],[DATUM]]),12,31))</f>
        <v>203955</v>
      </c>
      <c r="O36" s="50">
        <f>SUMIFS(tabell_Data[ORDER],tabell_Data[DATUM],"&gt;="&amp;EOMONTH(tabell_Data[[#This Row],[DATUM]],-1)+1,tabell_Data[DATUM],"&lt;="&amp;EOMONTH(tabell_Data[[#This Row],[DATUM]],0))</f>
        <v>16000</v>
      </c>
      <c r="P36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48300</v>
      </c>
      <c r="Q36" s="50">
        <f>SUMIFS(tabell_Data[ORDER],tabell_Data[DATUM],"&gt;="&amp;DATE(YEAR(tabell_Data[[#This Row],[DATUM]]),1,1),tabell_Data[DATUM],"&lt;="&amp;DATE(YEAR(tabell_Data[[#This Row],[DATUM]]),12,31))</f>
        <v>201205</v>
      </c>
      <c r="R36" s="26"/>
    </row>
    <row r="37" spans="1:18" ht="17.25" customHeight="1" x14ac:dyDescent="0.2">
      <c r="A37" s="26"/>
      <c r="B37" s="27">
        <f>40791+(365*6)</f>
        <v>42981</v>
      </c>
      <c r="C37" s="28" t="s">
        <v>36</v>
      </c>
      <c r="D37" s="48">
        <v>9100</v>
      </c>
      <c r="E37" s="48">
        <v>8900</v>
      </c>
      <c r="F37" s="48">
        <v>7900</v>
      </c>
      <c r="G37" s="49">
        <f>tabell_Data[[#This Row],[BELOPP]]-tabell_Data[[#This Row],[KOSTNAD]]</f>
        <v>1200</v>
      </c>
      <c r="H37" s="29">
        <f>DATE(YEAR(tabell_Data[[#This Row],[DATUM]]),MONTH(tabell_Data[[#This Row],[DATUM]]),1)</f>
        <v>42979</v>
      </c>
      <c r="I37" s="30">
        <f>LOOKUP(MONTH(tabell_Data[[#This Row],[MÅNAD]]),{1,1;2,1;3,1;4,2;5,2;6,2;7,3;8,3;9,3;10,4;11,4;12,4})</f>
        <v>3</v>
      </c>
      <c r="J37" s="31">
        <f>YEAR(tabell_Data[[#This Row],[DATUM]])</f>
        <v>2017</v>
      </c>
      <c r="K37" s="32">
        <f>MONTH(tabell_Data[[#This Row],[DATUM]])</f>
        <v>9</v>
      </c>
      <c r="L37" s="50">
        <f>SUMIFS(tabell_Data[BELOPP],tabell_Data[DATUM],"&gt;="&amp;EOMONTH(tabell_Data[[#This Row],[DATUM]],-1)+1,tabell_Data[DATUM],"&lt;="&amp;EOMONTH(tabell_Data[[#This Row],[DATUM]],0))</f>
        <v>24000</v>
      </c>
      <c r="M37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49100</v>
      </c>
      <c r="N37" s="50">
        <f>SUMIFS(tabell_Data[BELOPP],tabell_Data[DATUM],"&gt;="&amp;DATE(YEAR(tabell_Data[[#This Row],[DATUM]]),1,1),tabell_Data[DATUM],"&lt;="&amp;DATE(YEAR(tabell_Data[[#This Row],[DATUM]]),12,31))</f>
        <v>203955</v>
      </c>
      <c r="O37" s="50">
        <f>SUMIFS(tabell_Data[ORDER],tabell_Data[DATUM],"&gt;="&amp;EOMONTH(tabell_Data[[#This Row],[DATUM]],-1)+1,tabell_Data[DATUM],"&lt;="&amp;EOMONTH(tabell_Data[[#This Row],[DATUM]],0))</f>
        <v>23800</v>
      </c>
      <c r="P37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48300</v>
      </c>
      <c r="Q37" s="50">
        <f>SUMIFS(tabell_Data[ORDER],tabell_Data[DATUM],"&gt;="&amp;DATE(YEAR(tabell_Data[[#This Row],[DATUM]]),1,1),tabell_Data[DATUM],"&lt;="&amp;DATE(YEAR(tabell_Data[[#This Row],[DATUM]]),12,31))</f>
        <v>201205</v>
      </c>
      <c r="R37" s="26"/>
    </row>
    <row r="38" spans="1:18" ht="17.25" customHeight="1" x14ac:dyDescent="0.2">
      <c r="A38" s="26"/>
      <c r="B38" s="27">
        <f>40807+(365*6)</f>
        <v>42997</v>
      </c>
      <c r="C38" s="28" t="s">
        <v>37</v>
      </c>
      <c r="D38" s="48">
        <v>5600</v>
      </c>
      <c r="E38" s="48">
        <v>5800</v>
      </c>
      <c r="F38" s="48">
        <v>4500</v>
      </c>
      <c r="G38" s="49">
        <f>tabell_Data[[#This Row],[BELOPP]]-tabell_Data[[#This Row],[KOSTNAD]]</f>
        <v>1100</v>
      </c>
      <c r="H38" s="29">
        <f>DATE(YEAR(tabell_Data[[#This Row],[DATUM]]),MONTH(tabell_Data[[#This Row],[DATUM]]),1)</f>
        <v>42979</v>
      </c>
      <c r="I38" s="30">
        <f>LOOKUP(MONTH(tabell_Data[[#This Row],[MÅNAD]]),{1,1;2,1;3,1;4,2;5,2;6,2;7,3;8,3;9,3;10,4;11,4;12,4})</f>
        <v>3</v>
      </c>
      <c r="J38" s="31">
        <f>YEAR(tabell_Data[[#This Row],[DATUM]])</f>
        <v>2017</v>
      </c>
      <c r="K38" s="32">
        <f>MONTH(tabell_Data[[#This Row],[DATUM]])</f>
        <v>9</v>
      </c>
      <c r="L38" s="50">
        <f>SUMIFS(tabell_Data[BELOPP],tabell_Data[DATUM],"&gt;="&amp;EOMONTH(tabell_Data[[#This Row],[DATUM]],-1)+1,tabell_Data[DATUM],"&lt;="&amp;EOMONTH(tabell_Data[[#This Row],[DATUM]],0))</f>
        <v>24000</v>
      </c>
      <c r="M38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49100</v>
      </c>
      <c r="N38" s="50">
        <f>SUMIFS(tabell_Data[BELOPP],tabell_Data[DATUM],"&gt;="&amp;DATE(YEAR(tabell_Data[[#This Row],[DATUM]]),1,1),tabell_Data[DATUM],"&lt;="&amp;DATE(YEAR(tabell_Data[[#This Row],[DATUM]]),12,31))</f>
        <v>203955</v>
      </c>
      <c r="O38" s="50">
        <f>SUMIFS(tabell_Data[ORDER],tabell_Data[DATUM],"&gt;="&amp;EOMONTH(tabell_Data[[#This Row],[DATUM]],-1)+1,tabell_Data[DATUM],"&lt;="&amp;EOMONTH(tabell_Data[[#This Row],[DATUM]],0))</f>
        <v>23800</v>
      </c>
      <c r="P38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48300</v>
      </c>
      <c r="Q38" s="50">
        <f>SUMIFS(tabell_Data[ORDER],tabell_Data[DATUM],"&gt;="&amp;DATE(YEAR(tabell_Data[[#This Row],[DATUM]]),1,1),tabell_Data[DATUM],"&lt;="&amp;DATE(YEAR(tabell_Data[[#This Row],[DATUM]]),12,31))</f>
        <v>201205</v>
      </c>
      <c r="R38" s="26"/>
    </row>
    <row r="39" spans="1:18" ht="17.25" customHeight="1" x14ac:dyDescent="0.2">
      <c r="A39" s="26"/>
      <c r="B39" s="27">
        <f>40812+(365*6)</f>
        <v>43002</v>
      </c>
      <c r="C39" s="28" t="s">
        <v>38</v>
      </c>
      <c r="D39" s="48">
        <v>9300</v>
      </c>
      <c r="E39" s="48">
        <v>9100</v>
      </c>
      <c r="F39" s="48">
        <v>7500</v>
      </c>
      <c r="G39" s="49">
        <f>tabell_Data[[#This Row],[BELOPP]]-tabell_Data[[#This Row],[KOSTNAD]]</f>
        <v>1800</v>
      </c>
      <c r="H39" s="29">
        <f>DATE(YEAR(tabell_Data[[#This Row],[DATUM]]),MONTH(tabell_Data[[#This Row],[DATUM]]),1)</f>
        <v>42979</v>
      </c>
      <c r="I39" s="30">
        <f>LOOKUP(MONTH(tabell_Data[[#This Row],[MÅNAD]]),{1,1;2,1;3,1;4,2;5,2;6,2;7,3;8,3;9,3;10,4;11,4;12,4})</f>
        <v>3</v>
      </c>
      <c r="J39" s="31">
        <f>YEAR(tabell_Data[[#This Row],[DATUM]])</f>
        <v>2017</v>
      </c>
      <c r="K39" s="32">
        <f>MONTH(tabell_Data[[#This Row],[DATUM]])</f>
        <v>9</v>
      </c>
      <c r="L39" s="50">
        <f>SUMIFS(tabell_Data[BELOPP],tabell_Data[DATUM],"&gt;="&amp;EOMONTH(tabell_Data[[#This Row],[DATUM]],-1)+1,tabell_Data[DATUM],"&lt;="&amp;EOMONTH(tabell_Data[[#This Row],[DATUM]],0))</f>
        <v>24000</v>
      </c>
      <c r="M39" s="50">
        <f>SUMIFS(tabell_Data[BELOPP],tabell_Data[DATUM],"&gt;="&amp;DATE(YEAR(tabell_Data[[#This Row],[DATUM]]),1,1),tabell_Data[DATUM],"&lt;="&amp;DATE(YEAR(tabell_Data[[#This Row],[DATUM]]),12,31),tabell_Data[KVARTAL],tabell_Data[[#This Row],[KVARTAL]])</f>
        <v>49100</v>
      </c>
      <c r="N39" s="50">
        <f>SUMIFS(tabell_Data[BELOPP],tabell_Data[DATUM],"&gt;="&amp;DATE(YEAR(tabell_Data[[#This Row],[DATUM]]),1,1),tabell_Data[DATUM],"&lt;="&amp;DATE(YEAR(tabell_Data[[#This Row],[DATUM]]),12,31))</f>
        <v>203955</v>
      </c>
      <c r="O39" s="50">
        <f>SUMIFS(tabell_Data[ORDER],tabell_Data[DATUM],"&gt;="&amp;EOMONTH(tabell_Data[[#This Row],[DATUM]],-1)+1,tabell_Data[DATUM],"&lt;="&amp;EOMONTH(tabell_Data[[#This Row],[DATUM]],0))</f>
        <v>23800</v>
      </c>
      <c r="P39" s="50">
        <f>SUMIFS(tabell_Data[ORDER],tabell_Data[DATUM],"&gt;="&amp;DATE(YEAR(tabell_Data[[#This Row],[DATUM]]),1,1),tabell_Data[DATUM],"&lt;="&amp;DATE(YEAR(tabell_Data[[#This Row],[DATUM]]),12,31),tabell_Data[KVARTAL],tabell_Data[[#This Row],[KVARTAL]])</f>
        <v>48300</v>
      </c>
      <c r="Q39" s="50">
        <f>SUMIFS(tabell_Data[ORDER],tabell_Data[DATUM],"&gt;="&amp;DATE(YEAR(tabell_Data[[#This Row],[DATUM]]),1,1),tabell_Data[DATUM],"&lt;="&amp;DATE(YEAR(tabell_Data[[#This Row],[DATUM]]),12,31))</f>
        <v>201205</v>
      </c>
      <c r="R39" s="26"/>
    </row>
    <row r="40" spans="1:18" ht="17.2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</row>
  </sheetData>
  <printOptions horizontalCentered="1"/>
  <pageMargins left="0.25" right="0.25" top="0.75" bottom="0.75" header="0.3" footer="0.3"/>
  <pageSetup scale="74" fitToHeight="0" orientation="landscape" horizont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  <pageSetUpPr autoPageBreaks="0" fitToPage="1"/>
  </sheetPr>
  <dimension ref="A1:I45"/>
  <sheetViews>
    <sheetView showGridLines="0" topLeftCell="B10" zoomScaleNormal="100" workbookViewId="0">
      <selection activeCell="C4" sqref="C4"/>
    </sheetView>
  </sheetViews>
  <sheetFormatPr defaultColWidth="9.33203125" defaultRowHeight="17.25" customHeight="1" x14ac:dyDescent="0.2"/>
  <cols>
    <col min="1" max="1" width="2" style="14" customWidth="1"/>
    <col min="2" max="3" width="16.6640625" style="12" customWidth="1"/>
    <col min="4" max="4" width="16.6640625" style="43" customWidth="1"/>
    <col min="5" max="5" width="39.33203125" style="13" customWidth="1"/>
    <col min="6" max="6" width="27" style="13" customWidth="1"/>
    <col min="7" max="9" width="20.77734375" style="41" customWidth="1"/>
    <col min="10" max="16384" width="9.33203125" style="14"/>
  </cols>
  <sheetData>
    <row r="1" spans="1:9" s="11" customFormat="1" ht="11.25" customHeight="1" x14ac:dyDescent="0.2">
      <c r="B1" s="12"/>
      <c r="C1" s="12"/>
      <c r="D1" s="43"/>
      <c r="E1" s="13"/>
      <c r="F1" s="13"/>
      <c r="G1" s="41"/>
      <c r="H1" s="41"/>
      <c r="I1" s="41"/>
    </row>
    <row r="2" spans="1:9" customFormat="1" ht="33.5" x14ac:dyDescent="0.2">
      <c r="B2" s="1" t="s">
        <v>18</v>
      </c>
      <c r="D2" s="2"/>
      <c r="F2" s="16"/>
      <c r="G2" s="16"/>
      <c r="H2" s="16"/>
      <c r="I2" s="16"/>
    </row>
    <row r="3" spans="1:9" ht="17.25" customHeight="1" x14ac:dyDescent="0.2">
      <c r="A3" s="11"/>
      <c r="B3" s="53"/>
      <c r="F3" s="54" t="s">
        <v>47</v>
      </c>
    </row>
    <row r="4" spans="1:9" ht="17.25" customHeight="1" x14ac:dyDescent="0.2">
      <c r="A4" s="11"/>
    </row>
    <row r="5" spans="1:9" ht="12.5" x14ac:dyDescent="0.2">
      <c r="B5" s="25" t="s">
        <v>10</v>
      </c>
      <c r="C5" s="22" t="s">
        <v>9</v>
      </c>
      <c r="D5" s="44" t="s">
        <v>8</v>
      </c>
      <c r="E5" s="22" t="s">
        <v>4</v>
      </c>
      <c r="F5" s="16" t="s">
        <v>19</v>
      </c>
      <c r="G5" s="16" t="s">
        <v>29</v>
      </c>
      <c r="H5" s="16" t="s">
        <v>30</v>
      </c>
      <c r="I5" s="16" t="s">
        <v>44</v>
      </c>
    </row>
    <row r="6" spans="1:9" ht="17.25" customHeight="1" x14ac:dyDescent="0.2">
      <c r="B6" s="19">
        <v>2017</v>
      </c>
      <c r="C6" s="24">
        <v>1</v>
      </c>
      <c r="D6" s="47">
        <v>42736</v>
      </c>
      <c r="E6" t="s">
        <v>37</v>
      </c>
      <c r="F6" s="51">
        <v>9500</v>
      </c>
      <c r="G6" s="51">
        <v>1000</v>
      </c>
      <c r="H6" s="51">
        <v>8500</v>
      </c>
      <c r="I6" s="51">
        <v>9200</v>
      </c>
    </row>
    <row r="7" spans="1:9" ht="17.25" customHeight="1" x14ac:dyDescent="0.2">
      <c r="B7" s="16"/>
      <c r="C7" s="16"/>
      <c r="D7" s="47">
        <v>42795</v>
      </c>
      <c r="E7" t="s">
        <v>39</v>
      </c>
      <c r="F7" s="51">
        <v>7500</v>
      </c>
      <c r="G7" s="51">
        <v>1650</v>
      </c>
      <c r="H7" s="51">
        <v>5850</v>
      </c>
      <c r="I7" s="51">
        <v>8000</v>
      </c>
    </row>
    <row r="8" spans="1:9" ht="17.25" customHeight="1" x14ac:dyDescent="0.2">
      <c r="B8" s="16"/>
      <c r="C8" s="16"/>
      <c r="D8" s="47">
        <v>42767</v>
      </c>
      <c r="E8" t="s">
        <v>42</v>
      </c>
      <c r="F8" s="51">
        <v>4400</v>
      </c>
      <c r="G8" s="51">
        <v>1800</v>
      </c>
      <c r="H8" s="51">
        <v>2600</v>
      </c>
      <c r="I8" s="51">
        <v>4200</v>
      </c>
    </row>
    <row r="9" spans="1:9" ht="17.25" customHeight="1" x14ac:dyDescent="0.2">
      <c r="B9" s="16"/>
      <c r="C9" s="23" t="s">
        <v>24</v>
      </c>
      <c r="D9"/>
      <c r="E9"/>
      <c r="F9" s="51">
        <v>21400</v>
      </c>
      <c r="G9" s="51">
        <v>4450</v>
      </c>
      <c r="H9" s="51">
        <v>16950</v>
      </c>
      <c r="I9" s="51">
        <v>21400</v>
      </c>
    </row>
    <row r="10" spans="1:9" ht="17.25" customHeight="1" x14ac:dyDescent="0.2">
      <c r="B10" s="16"/>
      <c r="C10" s="24">
        <v>2</v>
      </c>
      <c r="D10" s="47">
        <v>42826</v>
      </c>
      <c r="E10" t="s">
        <v>39</v>
      </c>
      <c r="F10" s="51">
        <v>8200</v>
      </c>
      <c r="G10" s="51">
        <v>1800</v>
      </c>
      <c r="H10" s="51">
        <v>6400</v>
      </c>
      <c r="I10" s="51">
        <v>8000</v>
      </c>
    </row>
    <row r="11" spans="1:9" ht="17.25" customHeight="1" x14ac:dyDescent="0.2">
      <c r="B11" s="16"/>
      <c r="C11" s="16"/>
      <c r="D11"/>
      <c r="E11" t="s">
        <v>42</v>
      </c>
      <c r="F11" s="51">
        <v>9000</v>
      </c>
      <c r="G11" s="51">
        <v>1425</v>
      </c>
      <c r="H11" s="51">
        <v>7575</v>
      </c>
      <c r="I11" s="51">
        <v>10000</v>
      </c>
    </row>
    <row r="12" spans="1:9" ht="17.25" customHeight="1" x14ac:dyDescent="0.2">
      <c r="B12" s="16"/>
      <c r="C12" s="16"/>
      <c r="D12"/>
      <c r="E12" t="s">
        <v>40</v>
      </c>
      <c r="F12" s="51">
        <v>6400</v>
      </c>
      <c r="G12" s="51">
        <v>1950</v>
      </c>
      <c r="H12" s="51">
        <v>4450</v>
      </c>
      <c r="I12" s="51">
        <v>6200</v>
      </c>
    </row>
    <row r="13" spans="1:9" ht="17.25" customHeight="1" x14ac:dyDescent="0.2">
      <c r="B13" s="16"/>
      <c r="C13" s="16"/>
      <c r="D13" s="47">
        <v>42856</v>
      </c>
      <c r="E13" t="s">
        <v>37</v>
      </c>
      <c r="F13" s="51">
        <v>4400</v>
      </c>
      <c r="G13" s="51">
        <v>1800</v>
      </c>
      <c r="H13" s="51">
        <v>2600</v>
      </c>
      <c r="I13" s="51">
        <v>4200</v>
      </c>
    </row>
    <row r="14" spans="1:9" ht="17.25" customHeight="1" x14ac:dyDescent="0.2">
      <c r="B14" s="16"/>
      <c r="C14" s="16"/>
      <c r="D14"/>
      <c r="E14" t="s">
        <v>38</v>
      </c>
      <c r="F14" s="51">
        <v>5400</v>
      </c>
      <c r="G14" s="51">
        <v>900</v>
      </c>
      <c r="H14" s="51">
        <v>4500</v>
      </c>
      <c r="I14" s="51">
        <v>5500</v>
      </c>
    </row>
    <row r="15" spans="1:9" ht="17.25" customHeight="1" x14ac:dyDescent="0.2">
      <c r="B15" s="16"/>
      <c r="C15" s="16"/>
      <c r="D15"/>
      <c r="E15" t="s">
        <v>40</v>
      </c>
      <c r="F15" s="51">
        <v>6200</v>
      </c>
      <c r="G15" s="51">
        <v>1700</v>
      </c>
      <c r="H15" s="51">
        <v>4500</v>
      </c>
      <c r="I15" s="51">
        <v>6000</v>
      </c>
    </row>
    <row r="16" spans="1:9" ht="17.25" customHeight="1" x14ac:dyDescent="0.2">
      <c r="B16" s="16"/>
      <c r="C16" s="16"/>
      <c r="D16"/>
      <c r="E16" t="s">
        <v>46</v>
      </c>
      <c r="F16" s="51">
        <v>5800</v>
      </c>
      <c r="G16" s="51">
        <v>1300</v>
      </c>
      <c r="H16" s="51">
        <v>4500</v>
      </c>
      <c r="I16" s="51">
        <v>6000</v>
      </c>
    </row>
    <row r="17" spans="2:9" ht="17.25" customHeight="1" x14ac:dyDescent="0.2">
      <c r="B17" s="16"/>
      <c r="C17" s="16"/>
      <c r="D17" s="47">
        <v>42887</v>
      </c>
      <c r="E17" t="s">
        <v>36</v>
      </c>
      <c r="F17" s="51">
        <v>6900</v>
      </c>
      <c r="G17" s="51">
        <v>1500</v>
      </c>
      <c r="H17" s="51">
        <v>5400</v>
      </c>
      <c r="I17" s="51">
        <v>7500</v>
      </c>
    </row>
    <row r="18" spans="2:9" ht="17.25" customHeight="1" x14ac:dyDescent="0.2">
      <c r="B18" s="16"/>
      <c r="C18" s="16"/>
      <c r="D18"/>
      <c r="E18" t="s">
        <v>41</v>
      </c>
      <c r="F18" s="51">
        <v>17900</v>
      </c>
      <c r="G18" s="51">
        <v>2950</v>
      </c>
      <c r="H18" s="51">
        <v>14950</v>
      </c>
      <c r="I18" s="51">
        <v>18550</v>
      </c>
    </row>
    <row r="19" spans="2:9" ht="17.25" customHeight="1" x14ac:dyDescent="0.2">
      <c r="B19" s="16"/>
      <c r="C19" s="16"/>
      <c r="D19"/>
      <c r="E19" t="s">
        <v>46</v>
      </c>
      <c r="F19" s="51">
        <v>7500</v>
      </c>
      <c r="G19" s="51">
        <v>1000</v>
      </c>
      <c r="H19" s="51">
        <v>6500</v>
      </c>
      <c r="I19" s="51">
        <v>7200</v>
      </c>
    </row>
    <row r="20" spans="2:9" ht="17.25" customHeight="1" x14ac:dyDescent="0.2">
      <c r="B20" s="16"/>
      <c r="C20" s="23" t="s">
        <v>20</v>
      </c>
      <c r="D20"/>
      <c r="E20"/>
      <c r="F20" s="51">
        <v>77700</v>
      </c>
      <c r="G20" s="42">
        <v>16325</v>
      </c>
      <c r="H20" s="42">
        <v>61375</v>
      </c>
      <c r="I20" s="42">
        <v>79150</v>
      </c>
    </row>
    <row r="21" spans="2:9" ht="17.25" customHeight="1" x14ac:dyDescent="0.2">
      <c r="B21" s="16"/>
      <c r="C21" s="24">
        <v>3</v>
      </c>
      <c r="D21" s="47">
        <v>42917</v>
      </c>
      <c r="E21" t="s">
        <v>38</v>
      </c>
      <c r="F21" s="51">
        <v>8700</v>
      </c>
      <c r="G21" s="51">
        <v>1450</v>
      </c>
      <c r="H21" s="51">
        <v>7250</v>
      </c>
      <c r="I21" s="51">
        <v>8500</v>
      </c>
    </row>
    <row r="22" spans="2:9" ht="17.25" customHeight="1" x14ac:dyDescent="0.2">
      <c r="B22" s="16"/>
      <c r="C22" s="16"/>
      <c r="D22" s="47">
        <v>42948</v>
      </c>
      <c r="E22" t="s">
        <v>39</v>
      </c>
      <c r="F22" s="51">
        <v>8500</v>
      </c>
      <c r="G22" s="51">
        <v>1400</v>
      </c>
      <c r="H22" s="51">
        <v>7100</v>
      </c>
      <c r="I22" s="51">
        <v>8300</v>
      </c>
    </row>
    <row r="23" spans="2:9" ht="17.25" customHeight="1" x14ac:dyDescent="0.2">
      <c r="B23" s="16"/>
      <c r="C23" s="16"/>
      <c r="D23"/>
      <c r="E23" t="s">
        <v>41</v>
      </c>
      <c r="F23" s="51">
        <v>7900</v>
      </c>
      <c r="G23" s="51">
        <v>1300</v>
      </c>
      <c r="H23" s="51">
        <v>6600</v>
      </c>
      <c r="I23" s="51">
        <v>7700</v>
      </c>
    </row>
    <row r="24" spans="2:9" ht="17.25" customHeight="1" x14ac:dyDescent="0.2">
      <c r="B24" s="16"/>
      <c r="C24" s="16"/>
      <c r="D24" s="47">
        <v>42979</v>
      </c>
      <c r="E24" t="s">
        <v>36</v>
      </c>
      <c r="F24" s="51">
        <v>9100</v>
      </c>
      <c r="G24" s="51">
        <v>1200</v>
      </c>
      <c r="H24" s="51">
        <v>7900</v>
      </c>
      <c r="I24" s="51">
        <v>8900</v>
      </c>
    </row>
    <row r="25" spans="2:9" ht="17.25" customHeight="1" x14ac:dyDescent="0.2">
      <c r="B25" s="16"/>
      <c r="C25" s="16"/>
      <c r="D25"/>
      <c r="E25" t="s">
        <v>37</v>
      </c>
      <c r="F25" s="51">
        <v>5600</v>
      </c>
      <c r="G25" s="51">
        <v>1100</v>
      </c>
      <c r="H25" s="51">
        <v>4500</v>
      </c>
      <c r="I25" s="51">
        <v>5800</v>
      </c>
    </row>
    <row r="26" spans="2:9" ht="17.25" customHeight="1" x14ac:dyDescent="0.2">
      <c r="B26" s="16"/>
      <c r="C26" s="16"/>
      <c r="D26"/>
      <c r="E26" t="s">
        <v>38</v>
      </c>
      <c r="F26" s="51">
        <v>9300</v>
      </c>
      <c r="G26" s="51">
        <v>1800</v>
      </c>
      <c r="H26" s="51">
        <v>7500</v>
      </c>
      <c r="I26" s="51">
        <v>9100</v>
      </c>
    </row>
    <row r="27" spans="2:9" ht="17.25" customHeight="1" x14ac:dyDescent="0.2">
      <c r="B27" s="16"/>
      <c r="C27" s="23" t="s">
        <v>21</v>
      </c>
      <c r="D27"/>
      <c r="E27"/>
      <c r="F27" s="51">
        <v>49100</v>
      </c>
      <c r="G27" s="42">
        <v>8250</v>
      </c>
      <c r="H27" s="42">
        <v>40850</v>
      </c>
      <c r="I27" s="42">
        <v>48300</v>
      </c>
    </row>
    <row r="28" spans="2:9" ht="17.25" customHeight="1" x14ac:dyDescent="0.2">
      <c r="B28" s="16"/>
      <c r="C28" s="24">
        <v>4</v>
      </c>
      <c r="D28" s="47">
        <v>43009</v>
      </c>
      <c r="E28" t="s">
        <v>36</v>
      </c>
      <c r="F28" s="51">
        <v>3000</v>
      </c>
      <c r="G28" s="51">
        <v>500</v>
      </c>
      <c r="H28" s="51">
        <v>2500</v>
      </c>
      <c r="I28" s="51">
        <v>3500</v>
      </c>
    </row>
    <row r="29" spans="2:9" ht="17.25" customHeight="1" x14ac:dyDescent="0.2">
      <c r="B29" s="16"/>
      <c r="C29" s="16"/>
      <c r="D29"/>
      <c r="E29" t="s">
        <v>39</v>
      </c>
      <c r="F29" s="51">
        <v>3500</v>
      </c>
      <c r="G29" s="51">
        <v>1500</v>
      </c>
      <c r="H29" s="51">
        <v>2000</v>
      </c>
      <c r="I29" s="51">
        <v>3000</v>
      </c>
    </row>
    <row r="30" spans="2:9" ht="17.25" customHeight="1" x14ac:dyDescent="0.2">
      <c r="B30" s="16"/>
      <c r="C30" s="16"/>
      <c r="D30"/>
      <c r="E30" t="s">
        <v>37</v>
      </c>
      <c r="F30" s="51">
        <v>5500</v>
      </c>
      <c r="G30" s="51">
        <v>1500</v>
      </c>
      <c r="H30" s="51">
        <v>4000</v>
      </c>
      <c r="I30" s="51">
        <v>4500</v>
      </c>
    </row>
    <row r="31" spans="2:9" ht="17.25" customHeight="1" x14ac:dyDescent="0.2">
      <c r="B31" s="16"/>
      <c r="C31" s="16"/>
      <c r="D31"/>
      <c r="E31" t="s">
        <v>41</v>
      </c>
      <c r="F31" s="51">
        <v>2800</v>
      </c>
      <c r="G31" s="51">
        <v>1200</v>
      </c>
      <c r="H31" s="51">
        <v>1600</v>
      </c>
      <c r="I31" s="51">
        <v>2900</v>
      </c>
    </row>
    <row r="32" spans="2:9" ht="17.25" customHeight="1" x14ac:dyDescent="0.2">
      <c r="B32" s="16"/>
      <c r="C32" s="16"/>
      <c r="D32"/>
      <c r="E32" t="s">
        <v>38</v>
      </c>
      <c r="F32" s="51">
        <v>6100</v>
      </c>
      <c r="G32" s="51">
        <v>1600</v>
      </c>
      <c r="H32" s="51">
        <v>4500</v>
      </c>
      <c r="I32" s="51">
        <v>5600</v>
      </c>
    </row>
    <row r="33" spans="2:9" ht="17.25" customHeight="1" x14ac:dyDescent="0.2">
      <c r="B33" s="16"/>
      <c r="C33" s="16"/>
      <c r="D33"/>
      <c r="E33" t="s">
        <v>42</v>
      </c>
      <c r="F33" s="51">
        <v>5000</v>
      </c>
      <c r="G33" s="51">
        <v>1000</v>
      </c>
      <c r="H33" s="51">
        <v>4000</v>
      </c>
      <c r="I33" s="51">
        <v>5000</v>
      </c>
    </row>
    <row r="34" spans="2:9" ht="17.25" customHeight="1" x14ac:dyDescent="0.2">
      <c r="B34" s="16"/>
      <c r="C34" s="16"/>
      <c r="D34"/>
      <c r="E34" t="s">
        <v>40</v>
      </c>
      <c r="F34" s="51">
        <v>3000</v>
      </c>
      <c r="G34" s="51">
        <v>1100</v>
      </c>
      <c r="H34" s="51">
        <v>1900</v>
      </c>
      <c r="I34" s="51">
        <v>2700</v>
      </c>
    </row>
    <row r="35" spans="2:9" ht="10" x14ac:dyDescent="0.2">
      <c r="B35" s="16"/>
      <c r="C35" s="16"/>
      <c r="D35"/>
      <c r="E35" t="s">
        <v>46</v>
      </c>
      <c r="F35" s="51">
        <v>4800</v>
      </c>
      <c r="G35" s="51">
        <v>1000</v>
      </c>
      <c r="H35" s="51">
        <v>3800</v>
      </c>
      <c r="I35" s="51">
        <v>5400</v>
      </c>
    </row>
    <row r="36" spans="2:9" ht="10" x14ac:dyDescent="0.2">
      <c r="B36" s="16"/>
      <c r="C36" s="16"/>
      <c r="D36" s="47">
        <v>43040</v>
      </c>
      <c r="E36" t="s">
        <v>36</v>
      </c>
      <c r="F36" s="51">
        <v>5000</v>
      </c>
      <c r="G36" s="51">
        <v>2000</v>
      </c>
      <c r="H36" s="51">
        <v>3000</v>
      </c>
      <c r="I36" s="51">
        <v>4000</v>
      </c>
    </row>
    <row r="37" spans="2:9" ht="10" x14ac:dyDescent="0.2">
      <c r="B37" s="16"/>
      <c r="C37" s="16"/>
      <c r="D37"/>
      <c r="E37" t="s">
        <v>37</v>
      </c>
      <c r="F37" s="51">
        <v>5555</v>
      </c>
      <c r="G37" s="51">
        <v>2000</v>
      </c>
      <c r="H37" s="51">
        <v>3555</v>
      </c>
      <c r="I37" s="51">
        <v>4555</v>
      </c>
    </row>
    <row r="38" spans="2:9" ht="10" x14ac:dyDescent="0.2">
      <c r="B38" s="16"/>
      <c r="C38" s="16"/>
      <c r="D38"/>
      <c r="E38" t="s">
        <v>41</v>
      </c>
      <c r="F38" s="51">
        <v>500</v>
      </c>
      <c r="G38" s="51">
        <v>400</v>
      </c>
      <c r="H38" s="51">
        <v>100</v>
      </c>
      <c r="I38" s="51">
        <v>500</v>
      </c>
    </row>
    <row r="39" spans="2:9" ht="10" x14ac:dyDescent="0.2">
      <c r="B39" s="16"/>
      <c r="C39" s="16"/>
      <c r="D39"/>
      <c r="E39" t="s">
        <v>46</v>
      </c>
      <c r="F39" s="51">
        <v>3000</v>
      </c>
      <c r="G39" s="51">
        <v>1500</v>
      </c>
      <c r="H39" s="51">
        <v>1500</v>
      </c>
      <c r="I39" s="51">
        <v>2000</v>
      </c>
    </row>
    <row r="40" spans="2:9" ht="10" hidden="1" x14ac:dyDescent="0.2">
      <c r="B40" s="16"/>
      <c r="C40" s="16"/>
      <c r="D40" s="47">
        <v>43070</v>
      </c>
      <c r="E40" t="s">
        <v>36</v>
      </c>
      <c r="F40" s="51">
        <v>3000</v>
      </c>
      <c r="G40" s="42">
        <v>1100</v>
      </c>
      <c r="H40" s="42">
        <v>1900</v>
      </c>
      <c r="I40" s="42">
        <v>3200</v>
      </c>
    </row>
    <row r="41" spans="2:9" ht="10" x14ac:dyDescent="0.2">
      <c r="B41" s="16"/>
      <c r="C41" s="16"/>
      <c r="D41"/>
      <c r="E41" t="s">
        <v>41</v>
      </c>
      <c r="F41" s="51">
        <v>5000</v>
      </c>
      <c r="G41" s="42">
        <v>1000</v>
      </c>
      <c r="H41" s="42">
        <v>4000</v>
      </c>
      <c r="I41" s="42">
        <v>5500</v>
      </c>
    </row>
    <row r="42" spans="2:9" ht="10" x14ac:dyDescent="0.2">
      <c r="B42" s="16"/>
      <c r="C42" s="23" t="s">
        <v>22</v>
      </c>
      <c r="D42"/>
      <c r="E42"/>
      <c r="F42" s="51">
        <v>55755</v>
      </c>
      <c r="G42" s="42">
        <v>17400</v>
      </c>
      <c r="H42" s="42">
        <v>38355</v>
      </c>
      <c r="I42" s="42">
        <v>52355</v>
      </c>
    </row>
    <row r="43" spans="2:9" ht="10.5" x14ac:dyDescent="0.2">
      <c r="B43" s="18" t="s">
        <v>25</v>
      </c>
      <c r="C43" s="15"/>
      <c r="D43" s="15"/>
      <c r="E43" s="15"/>
      <c r="F43" s="52">
        <v>203955</v>
      </c>
      <c r="G43" s="52">
        <v>46425</v>
      </c>
      <c r="H43" s="52">
        <v>157530</v>
      </c>
      <c r="I43" s="52">
        <v>201205</v>
      </c>
    </row>
    <row r="44" spans="2:9" ht="10" x14ac:dyDescent="0.2">
      <c r="B44" s="17" t="s">
        <v>1</v>
      </c>
      <c r="C44"/>
      <c r="D44"/>
      <c r="E44"/>
      <c r="F44" s="51">
        <v>203955</v>
      </c>
      <c r="G44" s="42">
        <v>46425</v>
      </c>
      <c r="H44" s="42">
        <v>157530</v>
      </c>
      <c r="I44" s="42">
        <v>201205</v>
      </c>
    </row>
    <row r="45" spans="2:9" ht="10" x14ac:dyDescent="0.2">
      <c r="B45"/>
      <c r="C45"/>
      <c r="D45"/>
      <c r="E45"/>
      <c r="F45"/>
      <c r="G45"/>
      <c r="H45"/>
      <c r="I45"/>
    </row>
  </sheetData>
  <conditionalFormatting sqref="E1:E4 E30:E1048553">
    <cfRule type="expression" dxfId="63" priority="5">
      <formula>(LEN($E1)&gt;0)*(LEN($D2)&gt;0)</formula>
    </cfRule>
  </conditionalFormatting>
  <conditionalFormatting sqref="D1:D5 D26:D1048576 F46:F1048576">
    <cfRule type="expression" dxfId="62" priority="4">
      <formula>(LEN($D1)&gt;0)*(LEN($C1)=0)</formula>
    </cfRule>
  </conditionalFormatting>
  <conditionalFormatting sqref="F1:F5">
    <cfRule type="expression" dxfId="61" priority="2">
      <formula>(LEN($D1)&gt;0)*(LEN($C1)=0)</formula>
    </cfRule>
  </conditionalFormatting>
  <conditionalFormatting sqref="E1048554:E1048576">
    <cfRule type="expression" dxfId="60" priority="11">
      <formula>(LEN($E1048554)&gt;0)*(LEN($D1)&gt;0)</formula>
    </cfRule>
  </conditionalFormatting>
  <conditionalFormatting sqref="G5">
    <cfRule type="expression" dxfId="59" priority="1">
      <formula>(LEN($D5)&gt;0)*(LEN($C5)=0)</formula>
    </cfRule>
  </conditionalFormatting>
  <printOptions horizontalCentered="1"/>
  <pageMargins left="0.25" right="0.25" top="0.75" bottom="0.75" header="0.3" footer="0.3"/>
  <pageSetup fitToHeight="0" orientation="portrait" horizont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09B9-2274-4768-A952-6171846902E9}">
  <sheetPr>
    <tabColor theme="5"/>
    <pageSetUpPr autoPageBreaks="0" fitToPage="1"/>
  </sheetPr>
  <dimension ref="A1:I33"/>
  <sheetViews>
    <sheetView showGridLines="0" tabSelected="1" zoomScaleNormal="100" workbookViewId="0">
      <selection activeCell="C4" sqref="C4"/>
    </sheetView>
  </sheetViews>
  <sheetFormatPr defaultColWidth="9.33203125" defaultRowHeight="17.25" customHeight="1" x14ac:dyDescent="0.2"/>
  <cols>
    <col min="1" max="1" width="2" style="14" customWidth="1"/>
    <col min="2" max="2" width="16.6640625" style="12" customWidth="1"/>
    <col min="3" max="3" width="21.44140625" style="12" customWidth="1"/>
    <col min="4" max="4" width="21.6640625" style="13" customWidth="1"/>
    <col min="5" max="6" width="20.77734375" style="13" customWidth="1"/>
    <col min="7" max="7" width="20.77734375" style="41" customWidth="1"/>
    <col min="8" max="8" width="19.44140625" style="14" customWidth="1"/>
    <col min="9" max="9" width="21.44140625" style="14" customWidth="1"/>
    <col min="10" max="16384" width="9.33203125" style="14"/>
  </cols>
  <sheetData>
    <row r="1" spans="1:9" s="11" customFormat="1" ht="11.25" customHeight="1" x14ac:dyDescent="0.2">
      <c r="B1" s="12"/>
      <c r="C1" s="12"/>
      <c r="D1" s="13"/>
      <c r="E1" s="13"/>
      <c r="F1" s="13"/>
      <c r="G1" s="41"/>
    </row>
    <row r="2" spans="1:9" customFormat="1" ht="27.5" x14ac:dyDescent="0.2">
      <c r="B2" s="45" t="s">
        <v>45</v>
      </c>
      <c r="D2" s="16"/>
      <c r="E2" s="16"/>
      <c r="F2" s="16"/>
      <c r="G2" s="16"/>
    </row>
    <row r="3" spans="1:9" ht="17.25" customHeight="1" x14ac:dyDescent="0.2">
      <c r="A3" s="11"/>
      <c r="D3" s="54" t="s">
        <v>47</v>
      </c>
    </row>
    <row r="4" spans="1:9" ht="17.25" customHeight="1" x14ac:dyDescent="0.2">
      <c r="A4" s="11"/>
    </row>
    <row r="5" spans="1:9" ht="12.5" x14ac:dyDescent="0.2">
      <c r="B5" s="25" t="s">
        <v>10</v>
      </c>
      <c r="C5" s="22" t="s">
        <v>4</v>
      </c>
      <c r="D5" s="16" t="s">
        <v>19</v>
      </c>
      <c r="E5" s="16" t="s">
        <v>29</v>
      </c>
      <c r="F5" s="16" t="s">
        <v>30</v>
      </c>
      <c r="G5" s="16" t="s">
        <v>44</v>
      </c>
      <c r="H5"/>
      <c r="I5"/>
    </row>
    <row r="6" spans="1:9" ht="17.25" customHeight="1" x14ac:dyDescent="0.2">
      <c r="B6" s="19">
        <v>2017</v>
      </c>
      <c r="C6" t="s">
        <v>36</v>
      </c>
      <c r="D6" s="51">
        <v>27000</v>
      </c>
      <c r="E6" s="51">
        <v>6300</v>
      </c>
      <c r="F6" s="51">
        <v>20700</v>
      </c>
      <c r="G6" s="51">
        <v>27100</v>
      </c>
      <c r="H6"/>
      <c r="I6"/>
    </row>
    <row r="7" spans="1:9" ht="17.25" customHeight="1" x14ac:dyDescent="0.2">
      <c r="B7" s="16"/>
      <c r="C7" t="s">
        <v>39</v>
      </c>
      <c r="D7" s="51">
        <v>27700</v>
      </c>
      <c r="E7" s="51">
        <v>6350</v>
      </c>
      <c r="F7" s="51">
        <v>21350</v>
      </c>
      <c r="G7" s="51">
        <v>27300</v>
      </c>
      <c r="H7"/>
      <c r="I7"/>
    </row>
    <row r="8" spans="1:9" ht="17.25" customHeight="1" x14ac:dyDescent="0.2">
      <c r="B8" s="16"/>
      <c r="C8" t="s">
        <v>37</v>
      </c>
      <c r="D8" s="51">
        <v>30555</v>
      </c>
      <c r="E8" s="51">
        <v>7400</v>
      </c>
      <c r="F8" s="51">
        <v>23155</v>
      </c>
      <c r="G8" s="51">
        <v>28255</v>
      </c>
      <c r="H8"/>
      <c r="I8"/>
    </row>
    <row r="9" spans="1:9" ht="17.25" customHeight="1" x14ac:dyDescent="0.2">
      <c r="B9" s="16"/>
      <c r="C9" t="s">
        <v>41</v>
      </c>
      <c r="D9" s="51">
        <v>34100</v>
      </c>
      <c r="E9" s="51">
        <v>6850</v>
      </c>
      <c r="F9" s="51">
        <v>27250</v>
      </c>
      <c r="G9" s="51">
        <v>35150</v>
      </c>
      <c r="H9"/>
      <c r="I9"/>
    </row>
    <row r="10" spans="1:9" ht="17.25" customHeight="1" x14ac:dyDescent="0.2">
      <c r="B10" s="16"/>
      <c r="C10" t="s">
        <v>38</v>
      </c>
      <c r="D10" s="51">
        <v>29500</v>
      </c>
      <c r="E10" s="51">
        <v>5750</v>
      </c>
      <c r="F10" s="51">
        <v>23750</v>
      </c>
      <c r="G10" s="51">
        <v>28700</v>
      </c>
      <c r="H10"/>
      <c r="I10"/>
    </row>
    <row r="11" spans="1:9" ht="17.25" customHeight="1" x14ac:dyDescent="0.2">
      <c r="B11" s="16"/>
      <c r="C11" t="s">
        <v>42</v>
      </c>
      <c r="D11" s="51">
        <v>18400</v>
      </c>
      <c r="E11" s="51">
        <v>4225</v>
      </c>
      <c r="F11" s="51">
        <v>14175</v>
      </c>
      <c r="G11" s="51">
        <v>19200</v>
      </c>
      <c r="H11"/>
      <c r="I11"/>
    </row>
    <row r="12" spans="1:9" ht="17.25" customHeight="1" x14ac:dyDescent="0.2">
      <c r="B12" s="16"/>
      <c r="C12" t="s">
        <v>40</v>
      </c>
      <c r="D12" s="51">
        <v>15600</v>
      </c>
      <c r="E12" s="51">
        <v>4750</v>
      </c>
      <c r="F12" s="51">
        <v>10850</v>
      </c>
      <c r="G12" s="51">
        <v>14900</v>
      </c>
      <c r="H12"/>
      <c r="I12"/>
    </row>
    <row r="13" spans="1:9" ht="17.25" customHeight="1" x14ac:dyDescent="0.2">
      <c r="B13" s="16"/>
      <c r="C13" t="s">
        <v>46</v>
      </c>
      <c r="D13" s="51">
        <v>21100</v>
      </c>
      <c r="E13" s="51">
        <v>4800</v>
      </c>
      <c r="F13" s="51">
        <v>16300</v>
      </c>
      <c r="G13" s="51">
        <v>20600</v>
      </c>
      <c r="H13"/>
      <c r="I13"/>
    </row>
    <row r="14" spans="1:9" ht="10.5" x14ac:dyDescent="0.2">
      <c r="B14" s="18" t="s">
        <v>25</v>
      </c>
      <c r="C14" s="15"/>
      <c r="D14" s="52">
        <v>203955</v>
      </c>
      <c r="E14" s="52">
        <v>46425</v>
      </c>
      <c r="F14" s="52">
        <v>157530</v>
      </c>
      <c r="G14" s="52">
        <v>201205</v>
      </c>
      <c r="H14"/>
      <c r="I14"/>
    </row>
    <row r="15" spans="1:9" ht="10" hidden="1" x14ac:dyDescent="0.2">
      <c r="B15" s="17" t="s">
        <v>1</v>
      </c>
      <c r="C15"/>
      <c r="D15" s="46">
        <v>203955</v>
      </c>
      <c r="E15" s="42">
        <v>46425</v>
      </c>
      <c r="F15" s="42">
        <v>157530</v>
      </c>
      <c r="G15" s="42">
        <v>201205</v>
      </c>
      <c r="H15"/>
      <c r="I15"/>
    </row>
    <row r="16" spans="1:9" ht="17.25" customHeight="1" x14ac:dyDescent="0.2">
      <c r="B16"/>
      <c r="C16"/>
      <c r="D16"/>
      <c r="E16"/>
      <c r="F16"/>
      <c r="G16"/>
      <c r="H16"/>
      <c r="I16"/>
    </row>
    <row r="17" spans="2:9" ht="17.25" customHeight="1" x14ac:dyDescent="0.2">
      <c r="B17"/>
      <c r="C17"/>
      <c r="D17" s="16"/>
      <c r="E17" s="16"/>
      <c r="F17" s="16"/>
      <c r="G17" s="16"/>
      <c r="H17"/>
      <c r="I17"/>
    </row>
    <row r="18" spans="2:9" ht="17.25" customHeight="1" x14ac:dyDescent="0.2">
      <c r="B18"/>
      <c r="C18"/>
      <c r="D18" s="16"/>
      <c r="E18" s="16"/>
      <c r="F18" s="16"/>
      <c r="G18" s="16"/>
      <c r="H18"/>
      <c r="I18"/>
    </row>
    <row r="19" spans="2:9" ht="17.25" customHeight="1" x14ac:dyDescent="0.2">
      <c r="B19"/>
      <c r="C19"/>
      <c r="D19" s="16"/>
      <c r="E19" s="16"/>
      <c r="F19" s="16"/>
      <c r="G19" s="16"/>
      <c r="H19"/>
      <c r="I19"/>
    </row>
    <row r="20" spans="2:9" ht="17.25" customHeight="1" x14ac:dyDescent="0.2">
      <c r="B20"/>
      <c r="C20"/>
      <c r="D20" s="16"/>
      <c r="E20" s="16"/>
      <c r="F20" s="16"/>
      <c r="G20" s="16"/>
      <c r="H20"/>
      <c r="I20"/>
    </row>
    <row r="21" spans="2:9" ht="17.25" customHeight="1" x14ac:dyDescent="0.2">
      <c r="B21"/>
      <c r="C21"/>
      <c r="D21" s="16"/>
      <c r="E21" s="16"/>
      <c r="F21" s="16"/>
      <c r="G21" s="16"/>
      <c r="H21"/>
      <c r="I21"/>
    </row>
    <row r="22" spans="2:9" ht="17.25" customHeight="1" x14ac:dyDescent="0.2">
      <c r="B22"/>
      <c r="C22"/>
      <c r="D22" s="16"/>
      <c r="E22" s="16"/>
      <c r="F22" s="16"/>
      <c r="G22" s="16"/>
      <c r="H22"/>
      <c r="I22"/>
    </row>
    <row r="23" spans="2:9" ht="17.25" customHeight="1" x14ac:dyDescent="0.2">
      <c r="B23"/>
      <c r="C23"/>
      <c r="D23" s="16"/>
      <c r="E23" s="16"/>
      <c r="F23" s="16"/>
      <c r="G23" s="16"/>
      <c r="H23"/>
      <c r="I23"/>
    </row>
    <row r="24" spans="2:9" ht="10" x14ac:dyDescent="0.2">
      <c r="B24"/>
      <c r="C24"/>
      <c r="D24" s="16"/>
      <c r="E24" s="16"/>
      <c r="F24" s="16"/>
      <c r="G24" s="16"/>
      <c r="H24"/>
      <c r="I24"/>
    </row>
    <row r="25" spans="2:9" ht="17.25" customHeight="1" x14ac:dyDescent="0.2">
      <c r="B25"/>
      <c r="C25"/>
      <c r="D25" s="16"/>
      <c r="E25" s="16"/>
      <c r="F25" s="16"/>
      <c r="G25" s="16"/>
      <c r="H25"/>
      <c r="I25"/>
    </row>
    <row r="26" spans="2:9" ht="17.25" customHeight="1" x14ac:dyDescent="0.2">
      <c r="B26"/>
      <c r="C26"/>
      <c r="D26" s="16"/>
      <c r="E26" s="16"/>
      <c r="F26" s="16"/>
      <c r="G26" s="16"/>
      <c r="H26"/>
      <c r="I26"/>
    </row>
    <row r="27" spans="2:9" ht="10" x14ac:dyDescent="0.2">
      <c r="B27"/>
      <c r="C27"/>
      <c r="D27" s="16"/>
      <c r="E27" s="16"/>
      <c r="F27" s="16"/>
      <c r="G27" s="16"/>
      <c r="H27"/>
      <c r="I27"/>
    </row>
    <row r="28" spans="2:9" ht="16" customHeight="1" x14ac:dyDescent="0.2">
      <c r="B28"/>
      <c r="C28"/>
      <c r="D28" s="16"/>
      <c r="E28" s="16"/>
      <c r="F28" s="16"/>
      <c r="G28" s="16"/>
      <c r="H28"/>
      <c r="I28"/>
    </row>
    <row r="29" spans="2:9" ht="17.25" customHeight="1" x14ac:dyDescent="0.2">
      <c r="B29"/>
      <c r="C29"/>
      <c r="D29" s="16"/>
      <c r="E29" s="16"/>
      <c r="F29" s="16"/>
      <c r="G29" s="16"/>
      <c r="H29"/>
      <c r="I29"/>
    </row>
    <row r="30" spans="2:9" ht="10" x14ac:dyDescent="0.2">
      <c r="B30"/>
      <c r="C30"/>
      <c r="D30" s="16"/>
      <c r="E30" s="16"/>
      <c r="F30" s="16"/>
      <c r="G30" s="16"/>
      <c r="H30"/>
      <c r="I30"/>
    </row>
    <row r="31" spans="2:9" ht="10" x14ac:dyDescent="0.2">
      <c r="B31"/>
      <c r="C31"/>
      <c r="D31" s="16"/>
      <c r="E31" s="16"/>
      <c r="F31" s="16"/>
      <c r="G31" s="16"/>
      <c r="H31"/>
      <c r="I31"/>
    </row>
    <row r="32" spans="2:9" ht="10" x14ac:dyDescent="0.2">
      <c r="B32"/>
      <c r="C32"/>
      <c r="D32" s="16"/>
      <c r="E32" s="16"/>
      <c r="F32" s="16"/>
      <c r="G32" s="16"/>
      <c r="H32"/>
      <c r="I32"/>
    </row>
    <row r="33" spans="2:9" ht="10" x14ac:dyDescent="0.2">
      <c r="B33"/>
      <c r="C33"/>
      <c r="D33" s="16"/>
      <c r="E33" s="16"/>
      <c r="F33" s="16"/>
      <c r="G33" s="16"/>
      <c r="H33"/>
      <c r="I33"/>
    </row>
  </sheetData>
  <conditionalFormatting sqref="E1:E4 E30:E1048553">
    <cfRule type="expression" dxfId="33" priority="4">
      <formula>(LEN($E1)&gt;0)*(LEN($D2)&gt;0)</formula>
    </cfRule>
  </conditionalFormatting>
  <conditionalFormatting sqref="D1:D5 D26:D1048576 F34:F1048576">
    <cfRule type="expression" dxfId="32" priority="3">
      <formula>(LEN($D1)&gt;0)*(LEN($C1)=0)</formula>
    </cfRule>
  </conditionalFormatting>
  <conditionalFormatting sqref="F1:F5">
    <cfRule type="expression" dxfId="31" priority="2">
      <formula>(LEN($D1)&gt;0)*(LEN($C1)=0)</formula>
    </cfRule>
  </conditionalFormatting>
  <conditionalFormatting sqref="E1048554:E1048576">
    <cfRule type="expression" dxfId="30" priority="5">
      <formula>(LEN($E1048554)&gt;0)*(LEN($D1)&gt;0)</formula>
    </cfRule>
  </conditionalFormatting>
  <conditionalFormatting sqref="G5">
    <cfRule type="expression" dxfId="29" priority="1">
      <formula>(LEN($D5)&gt;0)*(LEN($C5)=0)</formula>
    </cfRule>
  </conditionalFormatting>
  <printOptions horizontalCentered="1"/>
  <pageMargins left="0.25" right="0.25" top="0.75" bottom="0.75" header="0.3" footer="0.3"/>
  <pageSetup fitToHeight="0" orientation="portrait" horizont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4DE6-87DF-41A7-8E06-EB1BA7D505D0}">
  <dimension ref="A2:F9"/>
  <sheetViews>
    <sheetView workbookViewId="0">
      <selection activeCell="B12" sqref="B12"/>
    </sheetView>
  </sheetViews>
  <sheetFormatPr defaultRowHeight="10" x14ac:dyDescent="0.2"/>
  <cols>
    <col min="1" max="1" width="2" customWidth="1"/>
    <col min="2" max="2" width="28.109375" customWidth="1"/>
    <col min="3" max="6" width="16" customWidth="1"/>
    <col min="7" max="9" width="28.33203125" customWidth="1"/>
  </cols>
  <sheetData>
    <row r="2" spans="1:6" ht="33.5" x14ac:dyDescent="0.2">
      <c r="B2" s="39" t="s">
        <v>35</v>
      </c>
    </row>
    <row r="3" spans="1:6" ht="27.75" customHeight="1" x14ac:dyDescent="0.35">
      <c r="B3" s="5" t="str">
        <f ca="1">"DAGENS DATUM: "&amp;UPPER(TEXT(TODAY(),"d MMM åååå"))</f>
        <v>DAGENS DATUM: 13 NOV 2017</v>
      </c>
      <c r="D3" s="6">
        <f ca="1">--TRIM(RIGHT(B3,LEN(B3)-FIND(":",B3)))</f>
        <v>43052</v>
      </c>
    </row>
    <row r="4" spans="1:6" ht="15" customHeight="1" x14ac:dyDescent="0.2">
      <c r="B4" s="15" t="s">
        <v>47</v>
      </c>
    </row>
    <row r="5" spans="1:6" ht="11.5" x14ac:dyDescent="0.2">
      <c r="A5" t="s">
        <v>0</v>
      </c>
      <c r="C5" s="40" t="s">
        <v>32</v>
      </c>
      <c r="D5" s="40" t="s">
        <v>33</v>
      </c>
      <c r="E5" s="40" t="s">
        <v>34</v>
      </c>
      <c r="F5" s="40" t="s">
        <v>43</v>
      </c>
    </row>
    <row r="6" spans="1:6" ht="10.5" x14ac:dyDescent="0.2">
      <c r="B6" s="4" t="s">
        <v>31</v>
      </c>
      <c r="C6" s="16">
        <f>GETPIVOTDATA("BELOPP",Försäljningsrapport!$B$5,"KVARTAL",1,"ÅR",2017)</f>
        <v>21400</v>
      </c>
      <c r="D6" s="16">
        <f>GETPIVOTDATA("Summa av INTÄKT",Försäljningsrapport!$B$5,"KVARTAL",1,"ÅR",2017)</f>
        <v>4450</v>
      </c>
      <c r="E6" s="16">
        <f>GETPIVOTDATA("Summa av KOSTNAD",Försäljningsrapport!$B$5,"KVARTAL",1,"ÅR",2017)</f>
        <v>16950</v>
      </c>
      <c r="F6" s="16">
        <f>GETPIVOTDATA("Summa av ORDER",Försäljningsrapport!$B$5,"KVARTAL",1,"ÅR",2017)</f>
        <v>21400</v>
      </c>
    </row>
    <row r="7" spans="1:6" ht="10.5" x14ac:dyDescent="0.2">
      <c r="B7" s="4" t="s">
        <v>26</v>
      </c>
      <c r="C7" s="16">
        <f>GETPIVOTDATA("BELOPP",Försäljningsrapport!$B$5,"KVARTAL",2,"ÅR",2017)</f>
        <v>77700</v>
      </c>
      <c r="D7" s="16">
        <f>GETPIVOTDATA("Summa av INTÄKT",Försäljningsrapport!$B$5,"KVARTAL",2,"ÅR",2017)</f>
        <v>16325</v>
      </c>
      <c r="E7" s="16">
        <f>GETPIVOTDATA("Summa av KOSTNAD",Försäljningsrapport!$B$5,"KVARTAL",2,"ÅR",2017)</f>
        <v>61375</v>
      </c>
      <c r="F7" s="16">
        <f>GETPIVOTDATA("Summa av ORDER",Försäljningsrapport!$B$5,"KVARTAL",2,"ÅR",2017)</f>
        <v>79150</v>
      </c>
    </row>
    <row r="8" spans="1:6" ht="10.5" x14ac:dyDescent="0.2">
      <c r="B8" s="4" t="s">
        <v>27</v>
      </c>
      <c r="C8" s="16">
        <f>GETPIVOTDATA("BELOPP",Försäljningsrapport!$B$5,"KVARTAL",3,"ÅR",2017)</f>
        <v>49100</v>
      </c>
      <c r="D8" s="16">
        <f>GETPIVOTDATA("Summa av INTÄKT",Försäljningsrapport!$B$5,"KVARTAL",3,"ÅR",2017)</f>
        <v>8250</v>
      </c>
      <c r="E8" s="16">
        <f>GETPIVOTDATA("Summa av KOSTNAD",Försäljningsrapport!$B$5,"KVARTAL",3,"ÅR",2017)</f>
        <v>40850</v>
      </c>
      <c r="F8" s="16">
        <f>GETPIVOTDATA("Summa av ORDER",Försäljningsrapport!$B$5,"KVARTAL",3,"ÅR",2017)</f>
        <v>48300</v>
      </c>
    </row>
    <row r="9" spans="1:6" ht="10.5" x14ac:dyDescent="0.2">
      <c r="B9" s="4" t="s">
        <v>28</v>
      </c>
      <c r="C9" s="16">
        <f>GETPIVOTDATA("BELOPP",Försäljningsrapport!$B$5,"KVARTAL",4,"ÅR",2017)</f>
        <v>55755</v>
      </c>
      <c r="D9" s="16">
        <f>GETPIVOTDATA("Summa av INTÄKT",Försäljningsrapport!$B$5,"KVARTAL",4,"ÅR",2017)</f>
        <v>17400</v>
      </c>
      <c r="E9" s="16">
        <f>GETPIVOTDATA("Summa av KOSTNAD",Försäljningsrapport!$B$5,"KVARTAL",4,"ÅR",2017)</f>
        <v>38355</v>
      </c>
      <c r="F9" s="16">
        <f>GETPIVOTDATA("Summa av ORDER",Försäljningsrapport!$B$5,"KVARTAL",4,"ÅR",2017)</f>
        <v>52355</v>
      </c>
    </row>
  </sheetData>
  <conditionalFormatting sqref="E2">
    <cfRule type="expression" dxfId="2" priority="3">
      <formula>(LEN($E2)&gt;0)*(LEN($D3)&gt;0)</formula>
    </cfRule>
  </conditionalFormatting>
  <conditionalFormatting sqref="D2">
    <cfRule type="expression" dxfId="1" priority="2">
      <formula>(LEN($D2)&gt;0)*(LEN($C2)=0)</formula>
    </cfRule>
  </conditionalFormatting>
  <conditionalFormatting sqref="F2">
    <cfRule type="expression" dxfId="0" priority="1">
      <formula>(LEN($D2)&gt;0)*(LEN($C2)=0)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EE7169-E8EC-4E19-BA48-3F46D4C388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</vt:i4>
      </vt:variant>
    </vt:vector>
  </HeadingPairs>
  <TitlesOfParts>
    <vt:vector size="6" baseType="lpstr">
      <vt:lpstr>Datainmatning</vt:lpstr>
      <vt:lpstr>Försäljningsrapport</vt:lpstr>
      <vt:lpstr>Försäljningsrapport helår</vt:lpstr>
      <vt:lpstr>Sammanfattning</vt:lpstr>
      <vt:lpstr>Försäljningsrapport!Utskriftsrubriker</vt:lpstr>
      <vt:lpstr>'Försäljningsrapport helår'!Utskriftsrubriker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Hirvonen</dc:creator>
  <cp:keywords/>
  <cp:lastModifiedBy>Paul Hirvonen</cp:lastModifiedBy>
  <dcterms:created xsi:type="dcterms:W3CDTF">2017-10-25T13:53:06Z</dcterms:created>
  <dcterms:modified xsi:type="dcterms:W3CDTF">2017-11-13T08:44:50Z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TC029300469991</vt:lpwstr>
  </property>
</Properties>
</file>