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i\Downloads\"/>
    </mc:Choice>
  </mc:AlternateContent>
  <xr:revisionPtr revIDLastSave="0" documentId="13_ncr:1_{6EE29B34-2CD2-4495-9AF0-207226F24762}" xr6:coauthVersionLast="36" xr6:coauthVersionMax="46" xr10:uidLastSave="{00000000-0000-0000-0000-000000000000}"/>
  <workbookProtection workbookAlgorithmName="SHA-512" workbookHashValue="OGJmCxfz23NeBBa2bubnxfUXwS4hI3x3+IR/kqNt1mlji0ANhfYZiot5CSnMDrxUrmgSUa4nME24RDyooLYxDA==" workbookSaltValue="pFaXa+PEL7wAk525fTdqdA==" workbookSpinCount="100000" lockStructure="1"/>
  <bookViews>
    <workbookView xWindow="0" yWindow="0" windowWidth="28800" windowHeight="11775" tabRatio="391" xr2:uid="{00000000-000D-0000-FFFF-FFFF00000000}"/>
  </bookViews>
  <sheets>
    <sheet name="Regulation" sheetId="1" r:id="rId1"/>
    <sheet name="Acreditation" sheetId="5" r:id="rId2"/>
    <sheet name="Lifelong Learning" sheetId="6" r:id="rId3"/>
    <sheet name="Validation" sheetId="7" state="hidden" r:id="rId4"/>
    <sheet name="Metadata" sheetId="8" state="hidden" r:id="rId5"/>
  </sheets>
  <definedNames>
    <definedName name="_a0Tb0vzKk1m">Metadata!$C$221</definedName>
    <definedName name="_aBpbcEgtzgw">Metadata!$C$150</definedName>
    <definedName name="_ACalScnrl2I">Metadata!$C$302</definedName>
    <definedName name="_adhcUwpwjrt">Metadata!$C$20</definedName>
    <definedName name="_Adzexk8xbzD">Metadata!$C$437</definedName>
    <definedName name="_aEDrisPWh6i">Metadata!$C$85</definedName>
    <definedName name="_afgPWA9EO9d">Metadata!$C$13</definedName>
    <definedName name="_AFIorEPU00q">Metadata!$C$223</definedName>
    <definedName name="_AJBfDthkySs">Metadata!$C$212</definedName>
    <definedName name="_AjeCGGb8H76">Metadata!$C$206</definedName>
    <definedName name="_Ajnw1b8m6eL">Metadata!$C$315</definedName>
    <definedName name="_ALBRKpJsddQ">Metadata!$C$152</definedName>
    <definedName name="_aNIrqpwcKXv">Metadata!$C$416</definedName>
    <definedName name="_aNkwiAZwM7f">Metadata!$C$47</definedName>
    <definedName name="_apVWLKfARpb">Metadata!$C$278</definedName>
    <definedName name="_AUStREIxT4s">Metadata!$C$276</definedName>
    <definedName name="_AuztI35M2eU">Metadata!$C$121</definedName>
    <definedName name="_av3fkpFxEXj">Metadata!$C$428</definedName>
    <definedName name="_AYWCbVecRKQ">Metadata!$C$423</definedName>
    <definedName name="_aZ7Bm5L90rn">Metadata!$C$366</definedName>
    <definedName name="_AZdPnw0b1lm">Metadata!$C$181</definedName>
    <definedName name="_B4iWc3gcDcn">Metadata!$C$325</definedName>
    <definedName name="_B9p76UEP9T6">Metadata!$C$161</definedName>
    <definedName name="_BABcY9z1yhJ">Metadata!$C$24</definedName>
    <definedName name="_BAYPJS2PaYa">Metadata!$C$29</definedName>
    <definedName name="_Bc3mYAhlY1a">Metadata!$C$282</definedName>
    <definedName name="_bcy4159FETR">Metadata!$C$309</definedName>
    <definedName name="_BGi4lPgaJ07">Metadata!$C$144</definedName>
    <definedName name="_bGWaeVBrOcc">Metadata!$C$209</definedName>
    <definedName name="_bhkJDAiqVKX">Metadata!$C$272</definedName>
    <definedName name="_BK0kijGEWMy">Metadata!$C$15</definedName>
    <definedName name="_BlC8wOVHBlb">Metadata!$C$367</definedName>
    <definedName name="_BLpPqpMtgQY">Metadata!$C$257</definedName>
    <definedName name="_BmTVMvJHVBO">Metadata!$C$311</definedName>
    <definedName name="_bnQX2QIuIY9">Metadata!$C$253</definedName>
    <definedName name="_Bon3xyAAWKf">Metadata!$C$319</definedName>
    <definedName name="_bq7cDa5kIgG">Metadata!$C$94</definedName>
    <definedName name="_buSEeeViTo3">Metadata!$C$436</definedName>
    <definedName name="_Bvwo2Tnwg6K">Metadata!$C$101</definedName>
    <definedName name="_bvyjEfI0d2V">Metadata!$C$300</definedName>
    <definedName name="_BVzmce6DVeS">Metadata!$C$266</definedName>
    <definedName name="_c3tvWVyotti">Metadata!$C$35</definedName>
    <definedName name="_c82mDnhUQly">Metadata!$C$200</definedName>
    <definedName name="_cCgL3J7Lsgn">Metadata!$C$382</definedName>
    <definedName name="_CCl7hAqlrmE">Metadata!$C$238</definedName>
    <definedName name="_cemAvj8TkMX">Metadata!$C$128</definedName>
    <definedName name="_cfBaKMnsXd1">Metadata!$C$341</definedName>
    <definedName name="_CHeEETUlnlu">Metadata!$C$30</definedName>
    <definedName name="_cJU4qStc9QT">Metadata!$C$402</definedName>
    <definedName name="_COs48yLdDvg">Metadata!$C$333</definedName>
    <definedName name="_CPexoOTnUQZ">Metadata!$C$95</definedName>
    <definedName name="_cpmmPDsQ3uG">Metadata!$C$197</definedName>
    <definedName name="_CpV0L0Y9i9h">Metadata!$C$166</definedName>
    <definedName name="_cRWrIpjzvVl">Metadata!$C$270</definedName>
    <definedName name="_CVlyw498LdE">Metadata!$C$140</definedName>
    <definedName name="_cWrL45je7mw">Metadata!$C$182</definedName>
    <definedName name="_cZ8823L0fLJ">Metadata!$C$322</definedName>
    <definedName name="_D4JnxOsqwE4">Metadata!$C$303</definedName>
    <definedName name="_d5tEbnmf2Yl">Metadata!$C$102</definedName>
    <definedName name="_DMyxTSpvKOp">Metadata!$C$143</definedName>
    <definedName name="_Dn2P7GXFCTr">Metadata!$C$40</definedName>
    <definedName name="_dNdiNzgxEAO">Metadata!$C$73</definedName>
    <definedName name="_dNLjKwsVjod">Metadata!$C$189</definedName>
    <definedName name="_dpcvWc01CeN">Metadata!$C$202</definedName>
    <definedName name="_dscgTvwyCw8">Metadata!$C$210</definedName>
    <definedName name="_DVnpk4xiXGJ">Metadata!$C$390</definedName>
    <definedName name="_DzAOqCf0ots">Metadata!$C$194</definedName>
    <definedName name="_E9G2aQpCs1A">Metadata!$C$263</definedName>
    <definedName name="_e9IoKRAkYLO">Metadata!$C$185</definedName>
    <definedName name="_eaxvIzrZDyz">Metadata!$C$28</definedName>
    <definedName name="_EB4aSZN0eQr">Metadata!$C$318</definedName>
    <definedName name="_EDHO4qOyY88">Metadata!$C$237</definedName>
    <definedName name="_EgaLdA1UaEV">Metadata!$C$108</definedName>
    <definedName name="_EGGz5kkdVNl">Metadata!$C$103</definedName>
    <definedName name="_EGLpIMSAWhx">Metadata!$C$258</definedName>
    <definedName name="_ehNfKt5LpG9">Metadata!$C$288</definedName>
    <definedName name="_eizhjSo5svd">Metadata!$C$115</definedName>
    <definedName name="_ejraR8DfZPf">Metadata!$C$54</definedName>
    <definedName name="_el5QnfrCW5R">Metadata!$C$118</definedName>
    <definedName name="_ElwEWppmGgv">Metadata!$C$290</definedName>
    <definedName name="_er7MPiN3tdH">Metadata!$C$391</definedName>
    <definedName name="_EubjsxqlA4d">Metadata!$C$313</definedName>
    <definedName name="_EUuaZTsVCUP">Metadata!$C$109</definedName>
    <definedName name="_eVEK7djdWqV">Metadata!$C$408</definedName>
    <definedName name="_eVp1pvRfPKS">Metadata!$C$429</definedName>
    <definedName name="_eyvitcZL4ex">Metadata!$C$267</definedName>
    <definedName name="_f4ZFD2aswys">Metadata!$C$179</definedName>
    <definedName name="_false">Metadata!$C$439</definedName>
    <definedName name="_FbLuOUxYtvW">Metadata!$C$34</definedName>
    <definedName name="_fg8TSIHSGHX">Metadata!$C$260</definedName>
    <definedName name="_fGOgbIqsxDn">Metadata!$C$154</definedName>
    <definedName name="_fHaKXfcKthe">Metadata!$C$352</definedName>
    <definedName name="_fhe12emlYec">Metadata!$C$88</definedName>
    <definedName name="_fHXW26zg2U6">Metadata!$C$286</definedName>
    <definedName name="_Fi5lLVwe1Th">Metadata!$C$245</definedName>
    <definedName name="_fIlPGTXBCUm">Metadata!$C$434</definedName>
    <definedName name="_fkrzFaeuYDn">Metadata!$C$427</definedName>
    <definedName name="_fLT65oEdyRn">Metadata!$C$32</definedName>
    <definedName name="_FNduj2N3e8s">Metadata!$C$374</definedName>
    <definedName name="_FOJUXD6f6lB">Metadata!$C$312</definedName>
    <definedName name="_Fq9qs6Kn6wN">Metadata!$C$264</definedName>
    <definedName name="_frJLJlrvNt0">Metadata!$C$158</definedName>
    <definedName name="_Fu0P8tj6k3M">Metadata!$C$124</definedName>
    <definedName name="_FUieyovDec8">Metadata!$C$385</definedName>
    <definedName name="_fYeClLy8K2x">Metadata!$C$406</definedName>
    <definedName name="_G037PAPU5dO">Metadata!$C$310</definedName>
    <definedName name="_G3thRWUQAX9">Metadata!$C$248</definedName>
    <definedName name="_g49fuSiB623">Metadata!$C$281</definedName>
    <definedName name="_G8FCnT37gyb">Metadata!$C$344</definedName>
    <definedName name="_G9o5ad4oJJX">Metadata!$C$275</definedName>
    <definedName name="_Gan3VYicAWe">Metadata!$C$327</definedName>
    <definedName name="_gb7vWtO7Wjp">Metadata!$C$435</definedName>
    <definedName name="_GEDhlVgull2">Metadata!$C$39</definedName>
    <definedName name="_gg9DH7dvdeD">Metadata!$C$269</definedName>
    <definedName name="_gMz0MxjZcEt">Metadata!$C$306</definedName>
    <definedName name="_GNErbB4poQO">Metadata!$C$64</definedName>
    <definedName name="_Gnz4lqrVEMf">Metadata!$C$417</definedName>
    <definedName name="_GPyOOoIby8R">Metadata!$C$365</definedName>
    <definedName name="_grFSq6NI6Rv">Metadata!$C$5</definedName>
    <definedName name="_GRpQAAvLFM6">Metadata!$C$41</definedName>
    <definedName name="_GrU8zQv510v">Metadata!$C$411</definedName>
    <definedName name="_GrZXd4osOGW">Metadata!$C$66</definedName>
    <definedName name="_gs8HWsMAFFl">Metadata!$C$114</definedName>
    <definedName name="_gUsLcRFoCG6">Metadata!$C$145</definedName>
    <definedName name="_GuVpRPGCTK4">Metadata!$C$55</definedName>
    <definedName name="_Gvox4WmLiYC">Metadata!$C$420</definedName>
    <definedName name="_GWQBgBHdbbp">Metadata!$C$294</definedName>
    <definedName name="_gxi9jcBYyrL">Metadata!$C$301</definedName>
    <definedName name="_gytTkeQWyoA">Metadata!$C$92</definedName>
    <definedName name="_H4L8KbENVVk">Metadata!$C$22</definedName>
    <definedName name="_h580rDibPjP">Metadata!$C$60</definedName>
    <definedName name="_H7lhdWUUWxH">Metadata!$C$52</definedName>
    <definedName name="_HDN85xUGB65">Metadata!$C$398</definedName>
    <definedName name="_HfUw03ynsgX">Metadata!$C$79</definedName>
    <definedName name="_HfVjCurKxh2">Metadata!$C$296</definedName>
    <definedName name="_hG1CNbw8wSF">Metadata!$C$335</definedName>
    <definedName name="_hgGOTFYZxMO">Metadata!$C$262</definedName>
    <definedName name="_HHu5mmkn9nI">Metadata!$C$117</definedName>
    <definedName name="_HizhPCC5Ps5">Metadata!$C$378</definedName>
    <definedName name="_hJJOo4gRjQA">Metadata!$C$72</definedName>
    <definedName name="_hmZE3mVAZFf">Metadata!$C$207</definedName>
    <definedName name="_hpXoMVtJpT3">Metadata!$C$372</definedName>
    <definedName name="_hUTcFeRUFve">Metadata!$C$21</definedName>
    <definedName name="_HwqfuL9pQz5">Metadata!$C$409</definedName>
    <definedName name="_HX7fBSMCCbL">Metadata!$C$433</definedName>
    <definedName name="_HYEuE8zV74t">Metadata!$C$370</definedName>
    <definedName name="_HZci3ozLEL4">Metadata!$C$26</definedName>
    <definedName name="_I3NxIqG7bD4">Metadata!$C$338</definedName>
    <definedName name="_i3v8r9XNls2">Metadata!$C$361</definedName>
    <definedName name="_I7m7EOrcrNa">Metadata!$C$8</definedName>
    <definedName name="_I93t0K7b1oN">Metadata!$C$149</definedName>
    <definedName name="_IbGbsybdeou">Metadata!$C$357</definedName>
    <definedName name="_ibGsqmiVkoU">Metadata!$C$295</definedName>
    <definedName name="_IFAb1JUZ0Fz">Metadata!$C$396</definedName>
    <definedName name="_iFaKKDtb7nf">Metadata!$C$346</definedName>
    <definedName name="_IjLnDADGraQ">Metadata!$C$393</definedName>
    <definedName name="_iNT35p3jsEM">Metadata!$C$190</definedName>
    <definedName name="_ipe4pT2TW7G">Metadata!$C$277</definedName>
    <definedName name="_IPThC4rBaja">Metadata!$C$141</definedName>
    <definedName name="_IRewF07UDgW">Metadata!$C$68</definedName>
    <definedName name="_IS6oWwtsElu">Metadata!$C$99</definedName>
    <definedName name="_iWRW6jXAzvP">Metadata!$C$148</definedName>
    <definedName name="_Iz9uNISIBW5">Metadata!$C$113</definedName>
    <definedName name="_IZSm5iPKkDg">Metadata!$C$323</definedName>
    <definedName name="_IZy3ESdFnp5">Metadata!$C$268</definedName>
    <definedName name="_j4pHY4ToKPi">Metadata!$C$84</definedName>
    <definedName name="_J9kRmc46Slz">Metadata!$C$57</definedName>
    <definedName name="_jCtFxm8aADJ">Metadata!$C$356</definedName>
    <definedName name="_JEHwU064LAj">Metadata!$C$304</definedName>
    <definedName name="_jFOZHDZpjPL">Metadata!$C$178</definedName>
    <definedName name="_JI5lagoUJR4">Metadata!$C$292</definedName>
    <definedName name="_JIr15Xt3EQn">Metadata!$C$243</definedName>
    <definedName name="_jkyBvNzcTLl">Metadata!$C$394</definedName>
    <definedName name="_JLq8DlnnFF9">Metadata!$C$4</definedName>
    <definedName name="_jMGr96nGwHN">Metadata!$C$334</definedName>
    <definedName name="_Jo5JCqQn6a4">Metadata!$C$23</definedName>
    <definedName name="_jQ05qNtE9HB">Metadata!$C$97</definedName>
    <definedName name="_JQ5qF3mRCMe">Metadata!$C$196</definedName>
    <definedName name="_juBxu3AprlM">Metadata!$C$431</definedName>
    <definedName name="_jVqoXv7rFns">Metadata!$C$284</definedName>
    <definedName name="_JX7HJfPfbog">Metadata!$C$324</definedName>
    <definedName name="_jXQq22U4Y2e">Metadata!$C$224</definedName>
    <definedName name="_jZOt27rWre8">Metadata!$C$279</definedName>
    <definedName name="_JzvGfLYkX17">Metadata!$C$139</definedName>
    <definedName name="_K5u7PTVJDz9">Metadata!$C$172</definedName>
    <definedName name="_K9YrD3rxhIm">Metadata!$C$120</definedName>
    <definedName name="_KAUSOoBq5Ft">Metadata!$C$320</definedName>
    <definedName name="_KcDPaDGLf9P">Metadata!$C$122</definedName>
    <definedName name="_kf5mAEgzRro">Metadata!$C$132</definedName>
    <definedName name="_kfQaLeZLepq">Metadata!$C$93</definedName>
    <definedName name="_KI35YVBqwOH">Metadata!$C$76</definedName>
    <definedName name="_KKBsggVfCTv">Metadata!$C$162</definedName>
    <definedName name="_klUdBljsnYT">Metadata!$C$46</definedName>
    <definedName name="_Km3h0ydFI2j">Metadata!$C$16</definedName>
    <definedName name="_KM3j2qURZvm">Metadata!$C$96</definedName>
    <definedName name="_KOUhvjWIy6V">Metadata!$C$422</definedName>
    <definedName name="_kpFgAwwSjCZ">Metadata!$C$425</definedName>
    <definedName name="_KPlsuTaezlc">Metadata!$C$86</definedName>
    <definedName name="_KqaTbKanCG3">Metadata!$C$339</definedName>
    <definedName name="_KrU8C1YTdao">Metadata!$C$430</definedName>
    <definedName name="_KwgjnBBpe5b">Metadata!$C$192</definedName>
    <definedName name="_kxeieT5f8wy">Metadata!$C$125</definedName>
    <definedName name="_KyFesytPvpt">Metadata!$C$163</definedName>
    <definedName name="_KYNXNZlaQBc">Metadata!$C$87</definedName>
    <definedName name="_l1U9oBgd2Pg">Metadata!$C$43</definedName>
    <definedName name="_L8r8I4WDRUp">Metadata!$C$112</definedName>
    <definedName name="_LAPR4Iu2NVS">Metadata!$C$242</definedName>
    <definedName name="_lbMrRSBsXh3">Metadata!$C$229</definedName>
    <definedName name="_LbWpsX1FJcC">Metadata!$C$184</definedName>
    <definedName name="_LDYaGTqoAd4">Metadata!$C$147</definedName>
    <definedName name="_lGN2n7pZ6Ua">Metadata!$C$220</definedName>
    <definedName name="_LHbCtHlZr3Y">Metadata!$C$156</definedName>
    <definedName name="_LJNl2upvs8S">Metadata!$C$61</definedName>
    <definedName name="_lKZR6UK0afN">Metadata!$C$183</definedName>
    <definedName name="_lnvESj20mWZ">Metadata!$C$321</definedName>
    <definedName name="_LTLHCOHyyWS">Metadata!$C$363</definedName>
    <definedName name="_LTTnjIq6X6j">Metadata!$C$78</definedName>
    <definedName name="_lVPoUAKCdmU">Metadata!$C$387</definedName>
    <definedName name="_M09xmOtGx9r">Metadata!$C$44</definedName>
    <definedName name="_m8xYEbXD3Ee">Metadata!$C$59</definedName>
    <definedName name="_M9HrCkIwaKy">Metadata!$C$412</definedName>
    <definedName name="_Mb9IYOFZYCv">Metadata!$C$232</definedName>
    <definedName name="_mDSuyD9lOM5">Metadata!$C$280</definedName>
    <definedName name="_mHNrhvqWd3X">Metadata!$C$12</definedName>
    <definedName name="_mhWSEv79IJW">Metadata!$C$389</definedName>
    <definedName name="_MJEntShoQVK">Metadata!$C$205</definedName>
    <definedName name="_Mk7P920hkBa">Metadata!$C$244</definedName>
    <definedName name="_mmJUi0PpvGi">Metadata!$C$308</definedName>
    <definedName name="_mNa42CHbkO7">Metadata!$C$175</definedName>
    <definedName name="_MPzyVWiSFF2">Metadata!$C$159</definedName>
    <definedName name="_Mx06wOF9Edi">Metadata!$C$3</definedName>
    <definedName name="_myv7amOYTHn">Metadata!$C$218</definedName>
    <definedName name="_N2cOrvYlDJJ">Metadata!$C$7</definedName>
    <definedName name="_n8iofJiiX4T">Metadata!$C$199</definedName>
    <definedName name="_N9i1v07Ro0E">Metadata!$C$360</definedName>
    <definedName name="_ncopO2Sj2RB">Metadata!$C$164</definedName>
    <definedName name="_ngUSWwX0Oby">Metadata!$C$251</definedName>
    <definedName name="_NhuW760cOQG">Metadata!$C$234</definedName>
    <definedName name="_Nlv8oKkoAwp">Metadata!$C$297</definedName>
    <definedName name="_Nrnay4JA8Ga">Metadata!$C$193</definedName>
    <definedName name="_NUkOvK4bnj2">Metadata!$C$273</definedName>
    <definedName name="_nwlPIKGV1gP">Metadata!$C$31</definedName>
    <definedName name="_nwRqq6w8MKq">Metadata!$C$77</definedName>
    <definedName name="_O0hWoXlHhIS">Metadata!$C$337</definedName>
    <definedName name="_o64uNjIuRXr">Metadata!$C$48</definedName>
    <definedName name="_O7BGyJhV2Tc">Metadata!$C$340</definedName>
    <definedName name="_oBOgUPGLDM8">Metadata!$C$6</definedName>
    <definedName name="_OBs444qCCU9">Metadata!$C$42</definedName>
    <definedName name="_OFXJXWnOG0R">Metadata!$C$236</definedName>
    <definedName name="_OJ2BPEwWYG9">Metadata!$C$116</definedName>
    <definedName name="_oofyLUJJ6Vy">Metadata!$C$173</definedName>
    <definedName name="_oroMC4mMzMq">Metadata!$C$377</definedName>
    <definedName name="_oTTeFlxkljB">Metadata!$C$83</definedName>
    <definedName name="_oWNF4d3PK8C">Metadata!$C$386</definedName>
    <definedName name="_oy494aJtjTB">Metadata!$C$343</definedName>
    <definedName name="_pbH6bmcioGw">Metadata!$C$228</definedName>
    <definedName name="_PE5XG7ZZgdc">Metadata!$C$9</definedName>
    <definedName name="_PevCwH17M73">Metadata!$C$354</definedName>
    <definedName name="_Pf77Sb5TYCR">Metadata!$C$11</definedName>
    <definedName name="_PFAtPR87fHs">Metadata!$C$203</definedName>
    <definedName name="_pfhvgmllA9M">Metadata!$C$180</definedName>
    <definedName name="_PG2MTqzwOAT">Metadata!$C$127</definedName>
    <definedName name="_pGLy2Zj2lVg">Metadata!$C$401</definedName>
    <definedName name="_phnE76RjYz8">Metadata!$C$142</definedName>
    <definedName name="_PJS910L8KtX">Metadata!$C$424</definedName>
    <definedName name="_pL6jJhifUxq">Metadata!$C$165</definedName>
    <definedName name="_pMukkUmnnkh">Metadata!$C$407</definedName>
    <definedName name="_pnySnJ6om1A">Metadata!$C$37</definedName>
    <definedName name="_PPfHCBsbdGU">Metadata!$C$81</definedName>
    <definedName name="_PpjdOoVUc7k">Metadata!$C$241</definedName>
    <definedName name="_PRrdILmQQb3">Metadata!$C$250</definedName>
    <definedName name="_PvrMV4NjbtR">Metadata!$C$432</definedName>
    <definedName name="_pWAGDlaDi7y">Metadata!$C$17</definedName>
    <definedName name="_Px7yHDZGBQS">Metadata!$C$89</definedName>
    <definedName name="_PY4aKgi30fr">Metadata!$C$384</definedName>
    <definedName name="_pyMHfUIDXRf">Metadata!$C$104</definedName>
    <definedName name="_Pz0LCggcqES">Metadata!$C$330</definedName>
    <definedName name="_pZ3XRBi9gYE">Metadata!$C$146</definedName>
    <definedName name="_pZZriU4sY0l">Metadata!$C$331</definedName>
    <definedName name="_q23bFLr2E5D">Metadata!$C$217</definedName>
    <definedName name="_q2HqXV5OO3z">Metadata!$C$397</definedName>
    <definedName name="_Q8De2VxoKXS">Metadata!$C$419</definedName>
    <definedName name="_q9u7nkNkuGy">Metadata!$C$271</definedName>
    <definedName name="_qbqrFLCJewu">Metadata!$C$380</definedName>
    <definedName name="_QcMU3E5D2eN">Metadata!$C$58</definedName>
    <definedName name="_qDrIfDpZQzJ">Metadata!$C$51</definedName>
    <definedName name="_Qj97xn0ejxd">Metadata!$C$70</definedName>
    <definedName name="_QkOClVdLto1">Metadata!$C$351</definedName>
    <definedName name="_QLERXr2o7IE">Metadata!$C$256</definedName>
    <definedName name="_QqAzWHtJ8VC">Metadata!$C$392</definedName>
    <definedName name="_QSpLidCdqMU">Metadata!$C$231</definedName>
    <definedName name="_quQpOfBIDFC">Metadata!$C$274</definedName>
    <definedName name="_qZ9h4jv9cgO">Metadata!$C$91</definedName>
    <definedName name="_rb6V38jgfFc">Metadata!$C$381</definedName>
    <definedName name="_RBkF8N37tQl">Metadata!$C$135</definedName>
    <definedName name="_RDiXMdNXg16">Metadata!$C$383</definedName>
    <definedName name="_rEQqufy2KNi">Metadata!$C$332</definedName>
    <definedName name="_Ri2tb7LBVtP">Metadata!$C$261</definedName>
    <definedName name="_Rmy6DbwekE1">Metadata!$C$177</definedName>
    <definedName name="_RQZXBtwBToV">Metadata!$C$50</definedName>
    <definedName name="_RTdjvXHJdnH">Metadata!$C$225</definedName>
    <definedName name="_rtLnlu4GUI2">Metadata!$C$329</definedName>
    <definedName name="_RyAd6laKg3U">Metadata!$C$368</definedName>
    <definedName name="_S0cJazBoB9r">Metadata!$C$105</definedName>
    <definedName name="_s1mzBU7YOaZ">Metadata!$C$240</definedName>
    <definedName name="_S52uSY3lb8V">Metadata!$C$421</definedName>
    <definedName name="_s6Rrf01L045">Metadata!$C$38</definedName>
    <definedName name="_SAsS1Kwc4iW">Metadata!$C$373</definedName>
    <definedName name="_sg5v6c9tCZ3">Metadata!$C$201</definedName>
    <definedName name="_shRXArPWh8H">Metadata!$C$226</definedName>
    <definedName name="_sIxOvk6qfU2">Metadata!$C$19</definedName>
    <definedName name="_slfNDnwGD4i">Metadata!$C$107</definedName>
    <definedName name="_Snhh7MxvJ09">Metadata!$C$170</definedName>
    <definedName name="_sNmNyudrFxw">Metadata!$C$138</definedName>
    <definedName name="_SnYHrnchKjL">Metadata!$C$414</definedName>
    <definedName name="_sRswNwJvzd2">Metadata!$C$137</definedName>
    <definedName name="_SsAjVE1S87E">Metadata!$C$285</definedName>
    <definedName name="_sSIYRwB1r74">Metadata!$C$252</definedName>
    <definedName name="_ST86paYjRHP">Metadata!$C$186</definedName>
    <definedName name="_SUvvKWCJO5S">Metadata!$C$75</definedName>
    <definedName name="_SvnuCPrV3m8">Metadata!$C$45</definedName>
    <definedName name="_T1irZBQ9gNW">Metadata!$C$307</definedName>
    <definedName name="_T7tKHiW1Db1">Metadata!$C$188</definedName>
    <definedName name="_tDFavWinSwr">Metadata!$C$299</definedName>
    <definedName name="_TdnUj1l3Z4i">Metadata!$C$129</definedName>
    <definedName name="_TIhakAVsQwM">Metadata!$C$314</definedName>
    <definedName name="_TldYkeCwb5r">Metadata!$C$227</definedName>
    <definedName name="_tnTRnfd2aVs">Metadata!$C$298</definedName>
    <definedName name="_TpDwlm2Spev">Metadata!$C$418</definedName>
    <definedName name="_Tr4i6jeDDqj">Metadata!$C$191</definedName>
    <definedName name="_true">Metadata!$C$438</definedName>
    <definedName name="_tSBEjAHKj9V">Metadata!$C$369</definedName>
    <definedName name="_tV0rWhHr9cj">Metadata!$C$215</definedName>
    <definedName name="_TVuwNm1PyRC">Metadata!$C$80</definedName>
    <definedName name="_TWyMjVaaxmT">Metadata!$C$395</definedName>
    <definedName name="_TYtubJjtDDs">Metadata!$C$133</definedName>
    <definedName name="_u06rnfoY988">Metadata!$C$14</definedName>
    <definedName name="_u3GOCB1Hu01">Metadata!$C$213</definedName>
    <definedName name="_U5S2sbEnGT9">Metadata!$C$69</definedName>
    <definedName name="_u7H4MyT2Y0A">Metadata!$C$204</definedName>
    <definedName name="_U9JXvMTuigM">Metadata!$C$67</definedName>
    <definedName name="_ubXH2Mko823">Metadata!$C$134</definedName>
    <definedName name="_uEt3e82IzsK">Metadata!$C$27</definedName>
    <definedName name="_UJVEh0g7qOo">Metadata!$C$255</definedName>
    <definedName name="_UlQiEogy3wG">Metadata!$C$362</definedName>
    <definedName name="_uvTw0Kus5KZ">Metadata!$C$287</definedName>
    <definedName name="_v2B5AtYQV8H">Metadata!$C$316</definedName>
    <definedName name="_v6O0oWTXY34">Metadata!$C$56</definedName>
    <definedName name="_VbbSe7wgS9s">Metadata!$C$187</definedName>
    <definedName name="_vboedbUs1As">Metadata!$C$400</definedName>
    <definedName name="_VCZsq4EzHM1">Metadata!$C$106</definedName>
    <definedName name="_vg4b11FL2Gl">Metadata!$C$410</definedName>
    <definedName name="_VGOzFKfSazN">Metadata!$C$174</definedName>
    <definedName name="_VJrTuNXAg9G">Metadata!$C$415</definedName>
    <definedName name="_vKV2AVBhstz">Metadata!$C$82</definedName>
    <definedName name="_vkXlj7ZPkGi">Metadata!$C$350</definedName>
    <definedName name="_VMqDEughMuP">Metadata!$C$404</definedName>
    <definedName name="_vnbnnSZXGTv">Metadata!$C$246</definedName>
    <definedName name="_VnTycSnraEY">Metadata!$C$254</definedName>
    <definedName name="_VPesUmegQpP">Metadata!$C$211</definedName>
    <definedName name="_vPoFz9J1v6Y">Metadata!$C$342</definedName>
    <definedName name="_VQk5aenfDR4">Metadata!$C$53</definedName>
    <definedName name="_vRh6cPENAgr">Metadata!$C$71</definedName>
    <definedName name="_VtVkbvygJnm">Metadata!$C$155</definedName>
    <definedName name="_vVPyD60zs2c">Metadata!$C$33</definedName>
    <definedName name="_VwqhqUCaMgk">Metadata!$C$364</definedName>
    <definedName name="_VYVKdqiXo4b">Metadata!$C$176</definedName>
    <definedName name="_W1nqjNXF8t7">Metadata!$C$62</definedName>
    <definedName name="_w3IJVQhc8Rm">Metadata!$C$355</definedName>
    <definedName name="_w3Lz42yCAiU">Metadata!$C$10</definedName>
    <definedName name="_WApLDd37Yj2">Metadata!$C$283</definedName>
    <definedName name="_WC5rU5fLMzY">Metadata!$C$265</definedName>
    <definedName name="_wFkq5oB0dFS">Metadata!$C$413</definedName>
    <definedName name="_wimH12ukPK5">Metadata!$C$379</definedName>
    <definedName name="_wj7iV08dvFq">Metadata!$C$376</definedName>
    <definedName name="_wMTP4GblKr8">Metadata!$C$353</definedName>
    <definedName name="_wnuoeS9sVZR">Metadata!$C$336</definedName>
    <definedName name="_Wpzccx0vjIP">Metadata!$C$349</definedName>
    <definedName name="_wqcSEURdLVe">Metadata!$C$119</definedName>
    <definedName name="_WsHpge8yVZM">Metadata!$C$98</definedName>
    <definedName name="_WtcZBCTspgM">Metadata!$C$403</definedName>
    <definedName name="_wTJuvXKZCrz">Metadata!$C$110</definedName>
    <definedName name="_wTTVz32PAOn">Metadata!$C$63</definedName>
    <definedName name="_wUBWZEHJm6Q">Metadata!$C$347</definedName>
    <definedName name="_WuQvgvXKamv">Metadata!$C$326</definedName>
    <definedName name="_wurYrdkfzFD">Metadata!$C$168</definedName>
    <definedName name="_WXGcnQWJ0Qd">Metadata!$C$235</definedName>
    <definedName name="_wY9lL47ojb6">Metadata!$C$136</definedName>
    <definedName name="_wyKC2eWRH3y">Metadata!$C$198</definedName>
    <definedName name="_x6DVvicRjYC">Metadata!$C$291</definedName>
    <definedName name="_x9MXiBfrfFG">Metadata!$C$123</definedName>
    <definedName name="_xb2ezJcUoSR">Metadata!$C$399</definedName>
    <definedName name="_xB6nQN5Wtpg">Metadata!$C$375</definedName>
    <definedName name="_XebDUbuPqVx">Metadata!$C$289</definedName>
    <definedName name="_XeWqwCw9G5s">Metadata!$C$247</definedName>
    <definedName name="_Xgr3PJxcWfJ">Metadata!$C$151</definedName>
    <definedName name="_xIdJZgy5GSy">Metadata!$C$130</definedName>
    <definedName name="_XiMIOSJ0d3c">Metadata!$C$167</definedName>
    <definedName name="_XjHXb0aFH5w">Metadata!$C$222</definedName>
    <definedName name="_XJscL6IuHpd">Metadata!$C$293</definedName>
    <definedName name="_XKKI1hhyFxk">Metadata!$C$233</definedName>
    <definedName name="_XQajU8YgbXg">Metadata!$C$36</definedName>
    <definedName name="_XQgL1GHsnrT">Metadata!$C$65</definedName>
    <definedName name="_xqjIL1cGrl1">Metadata!$C$426</definedName>
    <definedName name="_Xr12mI7VPn3">Metadata!$C$157</definedName>
    <definedName name="_XYpsN5j30R9">Metadata!$C$317</definedName>
    <definedName name="_Xz7rnovuiOx">Metadata!$C$208</definedName>
    <definedName name="_y582ESg0Vjo">Metadata!$C$219</definedName>
    <definedName name="_Y7EAGQA1bfv">Metadata!$C$153</definedName>
    <definedName name="_Y7fcspgsU43">Metadata!$C$160</definedName>
    <definedName name="_YacgcRFGe70">Metadata!$C$25</definedName>
    <definedName name="_yBqy4nxuOCA">Metadata!$C$358</definedName>
    <definedName name="_YDkIX98NArQ">Metadata!$C$100</definedName>
    <definedName name="_Ye7wRY6LeT4">Metadata!$C$74</definedName>
    <definedName name="_Yg9QkNQk9p7">Metadata!$C$239</definedName>
    <definedName name="_YOL13ptz4ef">Metadata!$C$328</definedName>
    <definedName name="_yp7OM2HDp2q">Metadata!$C$169</definedName>
    <definedName name="_YVbwt0lb1lA">Metadata!$C$131</definedName>
    <definedName name="_yzAMOdV0Pmr">Metadata!$C$345</definedName>
    <definedName name="_z51rgcc5R8V">Metadata!$C$259</definedName>
    <definedName name="_z5ouOuycTPO">Metadata!$C$388</definedName>
    <definedName name="_Z6c1T3O7q0S">Metadata!$C$111</definedName>
    <definedName name="_zaluKz5Llai">Metadata!$C$305</definedName>
    <definedName name="_zAN1yQdYbcB">Metadata!$C$126</definedName>
    <definedName name="_Zav7juzGmEo">Metadata!$C$348</definedName>
    <definedName name="_ZcrjvJaYQb7">Metadata!$C$214</definedName>
    <definedName name="_Zdl3ad7PayF">Metadata!$C$230</definedName>
    <definedName name="_zEYrsiNUGIo">Metadata!$C$249</definedName>
    <definedName name="_zFInPJBZVbN">Metadata!$C$216</definedName>
    <definedName name="_ZgsdoEiTlLq">Metadata!$C$371</definedName>
    <definedName name="_zHNwRzmyOeL">Metadata!$C$18</definedName>
    <definedName name="_zJNTztzEUjf">Metadata!$C$49</definedName>
    <definedName name="_ZPpJ9xeJN6C">Metadata!$C$171</definedName>
    <definedName name="_ZRxKEGQmkWI">Metadata!$C$359</definedName>
    <definedName name="_ZVZnw9CazmI">Metadata!$C$90</definedName>
    <definedName name="_zYQqFxQw5jj">Metadata!$C$405</definedName>
    <definedName name="_ZzoDfdWIt6z">Metadata!$C$195</definedName>
  </definedNames>
  <calcPr calcId="191029"/>
</workbook>
</file>

<file path=xl/calcChain.xml><?xml version="1.0" encoding="utf-8"?>
<calcChain xmlns="http://schemas.openxmlformats.org/spreadsheetml/2006/main">
  <c r="W37" i="1" l="1"/>
  <c r="W36" i="1" s="1"/>
  <c r="W35" i="1" s="1"/>
  <c r="W34" i="1" s="1"/>
  <c r="W33" i="1" s="1"/>
  <c r="W32" i="1" s="1"/>
  <c r="W31" i="1" s="1"/>
  <c r="W30" i="1" s="1"/>
  <c r="W29" i="1" s="1"/>
  <c r="W28" i="1" s="1"/>
  <c r="W27" i="1" s="1"/>
  <c r="W26" i="1" s="1"/>
  <c r="W25" i="1" s="1"/>
  <c r="W24" i="1" s="1"/>
  <c r="W23" i="1" s="1"/>
  <c r="W22" i="1" s="1"/>
  <c r="W21" i="1" s="1"/>
  <c r="W20" i="1" s="1"/>
  <c r="W19" i="1" s="1"/>
  <c r="W18" i="1" s="1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D4" i="7"/>
  <c r="A4" i="7"/>
  <c r="E3" i="7"/>
  <c r="D3" i="7"/>
  <c r="C3" i="7"/>
  <c r="A3" i="7"/>
  <c r="A1" i="7"/>
  <c r="M4" i="6"/>
  <c r="C4" i="6"/>
  <c r="S2" i="6"/>
  <c r="L4" i="5"/>
  <c r="C4" i="5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5" i="1"/>
  <c r="AE4" i="1"/>
  <c r="F4" i="1"/>
  <c r="H4" i="5" s="1"/>
  <c r="AE3" i="1"/>
  <c r="AF3" i="1" s="1"/>
  <c r="AE2" i="1"/>
  <c r="AF11" i="1" l="1"/>
  <c r="AF27" i="1"/>
  <c r="AF59" i="1"/>
  <c r="AF91" i="1"/>
  <c r="AF123" i="1"/>
  <c r="AF187" i="1"/>
  <c r="AF16" i="1"/>
  <c r="AF24" i="1"/>
  <c r="AF56" i="1"/>
  <c r="AF80" i="1"/>
  <c r="AF88" i="1"/>
  <c r="AF112" i="1"/>
  <c r="AF120" i="1"/>
  <c r="AF144" i="1"/>
  <c r="AF152" i="1"/>
  <c r="AF176" i="1"/>
  <c r="AF184" i="1"/>
  <c r="AF208" i="1"/>
  <c r="AF216" i="1"/>
  <c r="AF35" i="1"/>
  <c r="AF17" i="1"/>
  <c r="AF25" i="1"/>
  <c r="AF41" i="1"/>
  <c r="AF49" i="1"/>
  <c r="AF73" i="1"/>
  <c r="AF105" i="1"/>
  <c r="AF137" i="1"/>
  <c r="AF169" i="1"/>
  <c r="AF201" i="1"/>
  <c r="AF155" i="1"/>
  <c r="AF219" i="1"/>
  <c r="AF45" i="1"/>
  <c r="AF5" i="1"/>
  <c r="AF14" i="1"/>
  <c r="AF30" i="1"/>
  <c r="AF38" i="1"/>
  <c r="AF46" i="1"/>
  <c r="AF62" i="1"/>
  <c r="AF70" i="1"/>
  <c r="AF94" i="1"/>
  <c r="AF102" i="1"/>
  <c r="AF126" i="1"/>
  <c r="AF134" i="1"/>
  <c r="AF158" i="1"/>
  <c r="AF166" i="1"/>
  <c r="AF190" i="1"/>
  <c r="AF198" i="1"/>
  <c r="AF222" i="1"/>
  <c r="AF230" i="1"/>
  <c r="AF238" i="1"/>
  <c r="AF246" i="1"/>
  <c r="AF254" i="1"/>
  <c r="AF262" i="1"/>
  <c r="AF28" i="1"/>
  <c r="AF52" i="1"/>
  <c r="AF121" i="1"/>
  <c r="AF148" i="1"/>
  <c r="AF162" i="1"/>
  <c r="AF203" i="1"/>
  <c r="AF259" i="1"/>
  <c r="AF116" i="1"/>
  <c r="AF39" i="1"/>
  <c r="AF89" i="1"/>
  <c r="AF139" i="1"/>
  <c r="AF185" i="1"/>
  <c r="AF217" i="1"/>
  <c r="AF40" i="1"/>
  <c r="AF140" i="1"/>
  <c r="AF228" i="1"/>
  <c r="AF71" i="1"/>
  <c r="AF103" i="1"/>
  <c r="AF135" i="1"/>
  <c r="AF167" i="1"/>
  <c r="AF195" i="1"/>
  <c r="AF223" i="1"/>
  <c r="AF250" i="1"/>
  <c r="AF37" i="1"/>
  <c r="AF54" i="1"/>
  <c r="AF86" i="1"/>
  <c r="AF113" i="1"/>
  <c r="AF127" i="1"/>
  <c r="AF141" i="1"/>
  <c r="AF150" i="1"/>
  <c r="AF182" i="1"/>
  <c r="AF191" i="1"/>
  <c r="AF205" i="1"/>
  <c r="AF214" i="1"/>
  <c r="AF224" i="1"/>
  <c r="AF57" i="1"/>
  <c r="AF107" i="1"/>
  <c r="AF180" i="1"/>
  <c r="AF243" i="1"/>
  <c r="AF21" i="1"/>
  <c r="AF108" i="1"/>
  <c r="AF244" i="1"/>
  <c r="AF67" i="1"/>
  <c r="AF99" i="1"/>
  <c r="AF163" i="1"/>
  <c r="AF199" i="1"/>
  <c r="AF234" i="1"/>
  <c r="AF266" i="1"/>
  <c r="AF33" i="1"/>
  <c r="AF72" i="1"/>
  <c r="AF104" i="1"/>
  <c r="AF118" i="1"/>
  <c r="AF136" i="1"/>
  <c r="AF168" i="1"/>
  <c r="AF209" i="1"/>
  <c r="AF178" i="1"/>
  <c r="AF235" i="1"/>
  <c r="AF240" i="1"/>
  <c r="AF251" i="1"/>
  <c r="AF256" i="1"/>
  <c r="AF267" i="1"/>
  <c r="AF9" i="1"/>
  <c r="AF32" i="1"/>
  <c r="AF48" i="1"/>
  <c r="AF84" i="1"/>
  <c r="AF130" i="1"/>
  <c r="AF171" i="1"/>
  <c r="AF232" i="1"/>
  <c r="AF76" i="1"/>
  <c r="AF74" i="1"/>
  <c r="AF66" i="1"/>
  <c r="AF58" i="1"/>
  <c r="AF50" i="1"/>
  <c r="AF42" i="1"/>
  <c r="AF34" i="1"/>
  <c r="AF26" i="1"/>
  <c r="AF18" i="1"/>
  <c r="AF10" i="1"/>
  <c r="AF261" i="1"/>
  <c r="AF253" i="1"/>
  <c r="AF245" i="1"/>
  <c r="AF237" i="1"/>
  <c r="AF229" i="1"/>
  <c r="AF189" i="1"/>
  <c r="AF157" i="1"/>
  <c r="AF125" i="1"/>
  <c r="AF93" i="1"/>
  <c r="AF61" i="1"/>
  <c r="AF221" i="1"/>
  <c r="AF213" i="1"/>
  <c r="AF181" i="1"/>
  <c r="AF149" i="1"/>
  <c r="AF117" i="1"/>
  <c r="AF85" i="1"/>
  <c r="AF53" i="1"/>
  <c r="AF75" i="1"/>
  <c r="AF194" i="1"/>
  <c r="AF204" i="1"/>
  <c r="AF260" i="1"/>
  <c r="AF22" i="1"/>
  <c r="AF63" i="1"/>
  <c r="AF77" i="1"/>
  <c r="AF95" i="1"/>
  <c r="AF109" i="1"/>
  <c r="AF177" i="1"/>
  <c r="AF200" i="1"/>
  <c r="AF7" i="1"/>
  <c r="AF82" i="1"/>
  <c r="AF114" i="1"/>
  <c r="AF8" i="1"/>
  <c r="AF23" i="1"/>
  <c r="AF55" i="1"/>
  <c r="AF64" i="1"/>
  <c r="AF87" i="1"/>
  <c r="AF96" i="1"/>
  <c r="AF119" i="1"/>
  <c r="AF128" i="1"/>
  <c r="AF151" i="1"/>
  <c r="AF160" i="1"/>
  <c r="AF192" i="1"/>
  <c r="AF252" i="1"/>
  <c r="AF31" i="1"/>
  <c r="AF115" i="1"/>
  <c r="AF133" i="1"/>
  <c r="AF142" i="1"/>
  <c r="AF165" i="1"/>
  <c r="AF174" i="1"/>
  <c r="AF179" i="1"/>
  <c r="AF197" i="1"/>
  <c r="AF206" i="1"/>
  <c r="AF211" i="1"/>
  <c r="AF226" i="1"/>
  <c r="AF242" i="1"/>
  <c r="AF258" i="1"/>
  <c r="AF44" i="1"/>
  <c r="AF98" i="1"/>
  <c r="AF153" i="1"/>
  <c r="AF212" i="1"/>
  <c r="AF227" i="1"/>
  <c r="AF248" i="1"/>
  <c r="AF264" i="1"/>
  <c r="AF2" i="1"/>
  <c r="AF36" i="1"/>
  <c r="AF172" i="1"/>
  <c r="AF29" i="1"/>
  <c r="AF131" i="1"/>
  <c r="AF81" i="1"/>
  <c r="AF145" i="1"/>
  <c r="AF159" i="1"/>
  <c r="AF173" i="1"/>
  <c r="AF146" i="1"/>
  <c r="AF210" i="1"/>
  <c r="AF12" i="1"/>
  <c r="AF19" i="1"/>
  <c r="AF183" i="1"/>
  <c r="AF215" i="1"/>
  <c r="AF225" i="1"/>
  <c r="AF236" i="1"/>
  <c r="AF51" i="1"/>
  <c r="AF69" i="1"/>
  <c r="AF78" i="1"/>
  <c r="AF83" i="1"/>
  <c r="AF101" i="1"/>
  <c r="AF110" i="1"/>
  <c r="AF147" i="1"/>
  <c r="AF4" i="1"/>
  <c r="AF13" i="1"/>
  <c r="AF20" i="1"/>
  <c r="AF43" i="1"/>
  <c r="AF65" i="1"/>
  <c r="AF97" i="1"/>
  <c r="AF106" i="1"/>
  <c r="AF129" i="1"/>
  <c r="AF138" i="1"/>
  <c r="AF161" i="1"/>
  <c r="AF170" i="1"/>
  <c r="AF193" i="1"/>
  <c r="AF202" i="1"/>
  <c r="AF231" i="1"/>
  <c r="AF239" i="1"/>
  <c r="AF247" i="1"/>
  <c r="AF255" i="1"/>
  <c r="AF263" i="1"/>
  <c r="AF60" i="1"/>
  <c r="AF92" i="1"/>
  <c r="AF124" i="1"/>
  <c r="AF156" i="1"/>
  <c r="AF188" i="1"/>
  <c r="AF220" i="1"/>
  <c r="AF196" i="1"/>
  <c r="AF68" i="1"/>
  <c r="AF100" i="1"/>
  <c r="AF132" i="1"/>
  <c r="AF164" i="1"/>
  <c r="AF15" i="1"/>
  <c r="AF47" i="1"/>
  <c r="AF79" i="1"/>
  <c r="AF90" i="1"/>
  <c r="AF111" i="1"/>
  <c r="AF122" i="1"/>
  <c r="AF143" i="1"/>
  <c r="AF154" i="1"/>
  <c r="AF175" i="1"/>
  <c r="AF186" i="1"/>
  <c r="AF207" i="1"/>
  <c r="AF218" i="1"/>
  <c r="AF233" i="1"/>
  <c r="AF241" i="1"/>
  <c r="AF249" i="1"/>
  <c r="AF257" i="1"/>
  <c r="AF265" i="1"/>
  <c r="AG263" i="1" l="1"/>
  <c r="AG255" i="1"/>
  <c r="AG247" i="1"/>
  <c r="AG239" i="1"/>
  <c r="AG231" i="1"/>
  <c r="AG223" i="1"/>
  <c r="AG215" i="1"/>
  <c r="AG207" i="1"/>
  <c r="AG199" i="1"/>
  <c r="AG191" i="1"/>
  <c r="AG183" i="1"/>
  <c r="AG175" i="1"/>
  <c r="AG167" i="1"/>
  <c r="AG159" i="1"/>
  <c r="AG151" i="1"/>
  <c r="AG143" i="1"/>
  <c r="AG135" i="1"/>
  <c r="AG127" i="1"/>
  <c r="AG119" i="1"/>
  <c r="AG111" i="1"/>
  <c r="AG103" i="1"/>
  <c r="AG95" i="1"/>
  <c r="AG87" i="1"/>
  <c r="AG79" i="1"/>
  <c r="AG71" i="1"/>
  <c r="AG63" i="1"/>
  <c r="AG55" i="1"/>
  <c r="AG47" i="1"/>
  <c r="AG39" i="1"/>
  <c r="AG31" i="1"/>
  <c r="AG23" i="1"/>
  <c r="AG15" i="1"/>
  <c r="AG7" i="1"/>
  <c r="AG161" i="1"/>
  <c r="AG129" i="1"/>
  <c r="AG121" i="1"/>
  <c r="AG113" i="1"/>
  <c r="AG81" i="1"/>
  <c r="AG33" i="1"/>
  <c r="AG25" i="1"/>
  <c r="AG3" i="1"/>
  <c r="AG260" i="1"/>
  <c r="AG252" i="1"/>
  <c r="AG244" i="1"/>
  <c r="AG236" i="1"/>
  <c r="AG228" i="1"/>
  <c r="AG220" i="1"/>
  <c r="AG212" i="1"/>
  <c r="AG204" i="1"/>
  <c r="AG196" i="1"/>
  <c r="AG188" i="1"/>
  <c r="AG180" i="1"/>
  <c r="AG172" i="1"/>
  <c r="AG164" i="1"/>
  <c r="AG156" i="1"/>
  <c r="AG148" i="1"/>
  <c r="AG140" i="1"/>
  <c r="AG132" i="1"/>
  <c r="AG124" i="1"/>
  <c r="AG116" i="1"/>
  <c r="AG108" i="1"/>
  <c r="AG100" i="1"/>
  <c r="AG92" i="1"/>
  <c r="AG84" i="1"/>
  <c r="AG76" i="1"/>
  <c r="AG68" i="1"/>
  <c r="AG60" i="1"/>
  <c r="AG52" i="1"/>
  <c r="AG44" i="1"/>
  <c r="AG36" i="1"/>
  <c r="AG28" i="1"/>
  <c r="AG20" i="1"/>
  <c r="AG12" i="1"/>
  <c r="AG177" i="1"/>
  <c r="AG169" i="1"/>
  <c r="AG153" i="1"/>
  <c r="AG145" i="1"/>
  <c r="AG137" i="1"/>
  <c r="AG73" i="1"/>
  <c r="AG65" i="1"/>
  <c r="AG57" i="1"/>
  <c r="AG41" i="1"/>
  <c r="AG238" i="1"/>
  <c r="AG230" i="1"/>
  <c r="AG265" i="1"/>
  <c r="AG257" i="1"/>
  <c r="AG249" i="1"/>
  <c r="AG241" i="1"/>
  <c r="AG233" i="1"/>
  <c r="AG225" i="1"/>
  <c r="AG217" i="1"/>
  <c r="AG209" i="1"/>
  <c r="AG201" i="1"/>
  <c r="AG193" i="1"/>
  <c r="AG185" i="1"/>
  <c r="AG105" i="1"/>
  <c r="AG97" i="1"/>
  <c r="AG89" i="1"/>
  <c r="AG49" i="1"/>
  <c r="AG17" i="1"/>
  <c r="AG9" i="1"/>
  <c r="AG262" i="1"/>
  <c r="AG254" i="1"/>
  <c r="AG246" i="1"/>
  <c r="AG222" i="1"/>
  <c r="AG221" i="1"/>
  <c r="AG203" i="1"/>
  <c r="AG189" i="1"/>
  <c r="AG171" i="1"/>
  <c r="AG157" i="1"/>
  <c r="AG139" i="1"/>
  <c r="AG125" i="1"/>
  <c r="AG107" i="1"/>
  <c r="AG93" i="1"/>
  <c r="AG75" i="1"/>
  <c r="AG61" i="1"/>
  <c r="AG43" i="1"/>
  <c r="AG29" i="1"/>
  <c r="AG11" i="1"/>
  <c r="AG192" i="1"/>
  <c r="AG178" i="1"/>
  <c r="AG174" i="1"/>
  <c r="AG160" i="1"/>
  <c r="AG146" i="1"/>
  <c r="AG142" i="1"/>
  <c r="AG128" i="1"/>
  <c r="AG114" i="1"/>
  <c r="AG110" i="1"/>
  <c r="AG96" i="1"/>
  <c r="AG82" i="1"/>
  <c r="AG78" i="1"/>
  <c r="AG64" i="1"/>
  <c r="AG50" i="1"/>
  <c r="AG46" i="1"/>
  <c r="AG264" i="1"/>
  <c r="AG256" i="1"/>
  <c r="AG248" i="1"/>
  <c r="AG240" i="1"/>
  <c r="AG232" i="1"/>
  <c r="AG210" i="1"/>
  <c r="AG206" i="1"/>
  <c r="AG267" i="1"/>
  <c r="AG259" i="1"/>
  <c r="AG251" i="1"/>
  <c r="AG243" i="1"/>
  <c r="AG235" i="1"/>
  <c r="AG227" i="1"/>
  <c r="AG216" i="1"/>
  <c r="AG202" i="1"/>
  <c r="AG198" i="1"/>
  <c r="AG184" i="1"/>
  <c r="AG170" i="1"/>
  <c r="AG166" i="1"/>
  <c r="AG152" i="1"/>
  <c r="AG138" i="1"/>
  <c r="AG134" i="1"/>
  <c r="AG120" i="1"/>
  <c r="AG106" i="1"/>
  <c r="AG102" i="1"/>
  <c r="AG88" i="1"/>
  <c r="AG74" i="1"/>
  <c r="AG70" i="1"/>
  <c r="AG56" i="1"/>
  <c r="AG258" i="1"/>
  <c r="AG253" i="1"/>
  <c r="AG242" i="1"/>
  <c r="AG237" i="1"/>
  <c r="AG226" i="1"/>
  <c r="AG211" i="1"/>
  <c r="AG197" i="1"/>
  <c r="AG179" i="1"/>
  <c r="AG165" i="1"/>
  <c r="AG147" i="1"/>
  <c r="AG133" i="1"/>
  <c r="AG115" i="1"/>
  <c r="AG101" i="1"/>
  <c r="AG83" i="1"/>
  <c r="AG69" i="1"/>
  <c r="AG51" i="1"/>
  <c r="AG38" i="1"/>
  <c r="AG27" i="1"/>
  <c r="AG16" i="1"/>
  <c r="AG42" i="1"/>
  <c r="AG8" i="1"/>
  <c r="AG155" i="1"/>
  <c r="AG123" i="1"/>
  <c r="AG91" i="1"/>
  <c r="AG59" i="1"/>
  <c r="AG30" i="1"/>
  <c r="AG182" i="1"/>
  <c r="AG168" i="1"/>
  <c r="AG136" i="1"/>
  <c r="AG118" i="1"/>
  <c r="AG104" i="1"/>
  <c r="AG86" i="1"/>
  <c r="AG22" i="1"/>
  <c r="AG195" i="1"/>
  <c r="AG99" i="1"/>
  <c r="AG18" i="1"/>
  <c r="AG5" i="1"/>
  <c r="AG208" i="1"/>
  <c r="AG176" i="1"/>
  <c r="AG154" i="1"/>
  <c r="AG85" i="1"/>
  <c r="AG53" i="1"/>
  <c r="AG2" i="1"/>
  <c r="AG98" i="1"/>
  <c r="AG66" i="1"/>
  <c r="AG13" i="1"/>
  <c r="AG19" i="1"/>
  <c r="AG219" i="1"/>
  <c r="AG187" i="1"/>
  <c r="AG34" i="1"/>
  <c r="AG224" i="1"/>
  <c r="AG200" i="1"/>
  <c r="AG173" i="1"/>
  <c r="AG141" i="1"/>
  <c r="AG54" i="1"/>
  <c r="AG26" i="1"/>
  <c r="AG131" i="1"/>
  <c r="AG45" i="1"/>
  <c r="AG190" i="1"/>
  <c r="AG158" i="1"/>
  <c r="AG144" i="1"/>
  <c r="AG117" i="1"/>
  <c r="AG94" i="1"/>
  <c r="AG80" i="1"/>
  <c r="AG58" i="1"/>
  <c r="AG40" i="1"/>
  <c r="AG32" i="1"/>
  <c r="AG194" i="1"/>
  <c r="AG24" i="1"/>
  <c r="AG214" i="1"/>
  <c r="AG205" i="1"/>
  <c r="AG150" i="1"/>
  <c r="AG109" i="1"/>
  <c r="AG77" i="1"/>
  <c r="AG72" i="1"/>
  <c r="AG37" i="1"/>
  <c r="AG14" i="1"/>
  <c r="AG218" i="1"/>
  <c r="AG186" i="1"/>
  <c r="AG181" i="1"/>
  <c r="AG126" i="1"/>
  <c r="AG112" i="1"/>
  <c r="AG10" i="1"/>
  <c r="AG162" i="1"/>
  <c r="AG130" i="1"/>
  <c r="AG48" i="1"/>
  <c r="AG266" i="1"/>
  <c r="AG261" i="1"/>
  <c r="AG250" i="1"/>
  <c r="AG245" i="1"/>
  <c r="AG234" i="1"/>
  <c r="AG229" i="1"/>
  <c r="AG163" i="1"/>
  <c r="AG67" i="1"/>
  <c r="AG213" i="1"/>
  <c r="AG149" i="1"/>
  <c r="AG122" i="1"/>
  <c r="AG90" i="1"/>
  <c r="AG62" i="1"/>
  <c r="AG21" i="1"/>
  <c r="AG35" i="1"/>
  <c r="AG4" i="1"/>
</calcChain>
</file>

<file path=xl/sharedStrings.xml><?xml version="1.0" encoding="utf-8"?>
<sst xmlns="http://schemas.openxmlformats.org/spreadsheetml/2006/main" count="2801" uniqueCount="1192">
  <si>
    <t>REGION:</t>
  </si>
  <si>
    <t>COUNTRY:</t>
  </si>
  <si>
    <t>PERIOD:</t>
  </si>
  <si>
    <t>Medical Doctors</t>
  </si>
  <si>
    <t>SN</t>
  </si>
  <si>
    <t>Algeria</t>
  </si>
  <si>
    <t>Angola</t>
  </si>
  <si>
    <t>Benin</t>
  </si>
  <si>
    <t>DzAOqCf0ots</t>
  </si>
  <si>
    <t>Botswana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</si>
  <si>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</si>
  <si>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</si>
  <si>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</si>
  <si>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</si>
  <si>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</si>
  <si>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</si>
  <si>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</si>
  <si>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</si>
  <si>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</si>
  <si>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</si>
  <si>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</si>
  <si>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</si>
  <si>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</si>
  <si>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</si>
  <si>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</si>
  <si>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</si>
  <si>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</si>
  <si>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</si>
  <si>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</si>
  <si>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</si>
  <si>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</si>
  <si>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</si>
  <si>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</si>
  <si>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</si>
  <si>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</si>
  <si>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</si>
  <si>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</si>
  <si>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</si>
  <si>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</si>
  <si>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</si>
  <si>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</si>
  <si>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</si>
  <si>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</si>
  <si>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</si>
  <si>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</si>
  <si>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</si>
  <si>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</si>
  <si>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</si>
  <si>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</si>
  <si>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</si>
  <si>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</si>
  <si>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</si>
  <si>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</si>
  <si>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</si>
  <si>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</si>
  <si>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</si>
  <si>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</si>
  <si>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</si>
  <si>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</si>
  <si>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</si>
  <si>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</si>
  <si>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</si>
  <si>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</si>
  <si>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</si>
  <si>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</si>
  <si>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</si>
  <si>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</si>
  <si>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</si>
  <si>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</si>
  <si>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</si>
  <si>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</si>
  <si>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</si>
  <si>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</si>
  <si>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</si>
  <si>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</si>
  <si>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</si>
  <si>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</si>
  <si>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</si>
  <si>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</si>
  <si>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</si>
  <si>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</si>
  <si>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</si>
  <si>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</si>
  <si>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</si>
  <si>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</si>
  <si>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</si>
  <si>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</si>
  <si>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</si>
  <si>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</si>
  <si>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</si>
  <si>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</si>
  <si>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</si>
  <si>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</si>
  <si>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</si>
  <si>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</si>
  <si>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</si>
  <si>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</si>
  <si>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</si>
  <si>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</si>
  <si>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</si>
  <si>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</si>
  <si>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</si>
  <si>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</si>
  <si>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</si>
  <si>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</si>
  <si>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</si>
  <si>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</si>
  <si>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</si>
  <si>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</si>
  <si>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</si>
  <si>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</si>
  <si>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</si>
  <si>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</si>
  <si>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</si>
  <si>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</si>
  <si>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</si>
  <si>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</si>
  <si>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</si>
  <si>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</si>
  <si>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</si>
  <si>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</si>
  <si>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</si>
  <si>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</si>
  <si>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</si>
  <si>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</si>
  <si>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</si>
  <si>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</si>
  <si>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</si>
  <si>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</si>
  <si>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</si>
  <si>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</si>
  <si>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</si>
  <si>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</si>
  <si>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</si>
  <si>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</si>
  <si>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</si>
  <si>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</si>
  <si>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</si>
  <si>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</si>
  <si>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</si>
  <si>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</si>
  <si>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</si>
  <si>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</si>
  <si>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</si>
  <si>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</si>
  <si>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</si>
  <si>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</si>
  <si>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</si>
  <si>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</si>
  <si>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</si>
  <si>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</si>
  <si>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</si>
  <si>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</si>
  <si>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</si>
  <si>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</si>
  <si>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</si>
  <si>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</si>
  <si>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</si>
  <si>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</si>
  <si>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</si>
  <si>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</si>
  <si>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</si>
  <si>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</si>
  <si>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</si>
  <si>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</si>
  <si>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</si>
  <si>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</si>
  <si>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</si>
  <si>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</si>
  <si>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</si>
  <si>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</si>
  <si>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</si>
  <si>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</si>
  <si>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</si>
  <si>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</si>
  <si>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</si>
  <si>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</si>
  <si>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</si>
  <si>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</si>
  <si>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</si>
  <si>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</si>
  <si>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</si>
  <si>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</si>
  <si>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</si>
  <si>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</si>
  <si>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</si>
  <si>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</si>
  <si>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</si>
  <si>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</si>
  <si>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</si>
  <si>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</si>
  <si>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</si>
  <si>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</si>
  <si>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</si>
  <si>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</si>
  <si>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</si>
  <si>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</si>
  <si>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</si>
  <si>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</si>
  <si>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</si>
  <si>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</si>
  <si>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</si>
  <si>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</si>
  <si>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</si>
  <si>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</si>
  <si>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</si>
  <si>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</si>
  <si>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</si>
  <si>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</si>
  <si>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</si>
  <si>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</si>
  <si>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</si>
  <si>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</si>
  <si>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</si>
  <si>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</si>
  <si>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</si>
  <si>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</si>
  <si>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</si>
  <si>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</si>
  <si>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</si>
  <si>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</si>
  <si>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</si>
  <si>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</si>
  <si>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</si>
  <si>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</si>
  <si>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</si>
  <si>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</si>
  <si>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</si>
  <si>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</si>
  <si>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</si>
  <si>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</si>
  <si>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</si>
  <si>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</si>
  <si>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</si>
  <si>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</si>
  <si>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</si>
  <si>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</si>
  <si>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</si>
  <si>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</si>
  <si>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</si>
  <si>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</si>
  <si>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</si>
  <si>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</si>
  <si>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</si>
  <si>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</si>
  <si>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</si>
  <si>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</si>
  <si>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</si>
  <si>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</si>
  <si>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</si>
  <si>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</si>
  <si>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</si>
  <si>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</si>
  <si>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</si>
  <si>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</si>
  <si>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</si>
  <si>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</si>
  <si>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</si>
  <si>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</si>
  <si>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</si>
  <si>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</si>
  <si>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</si>
  <si>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</si>
  <si>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</si>
  <si>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</si>
  <si>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</si>
  <si>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</si>
  <si>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</si>
  <si>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</si>
  <si>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</si>
  <si>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</si>
  <si>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</si>
  <si>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</si>
  <si>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</si>
  <si>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</si>
  <si>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</si>
  <si>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</si>
  <si>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</si>
  <si>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</si>
  <si>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</si>
  <si>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</si>
  <si>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</si>
  <si>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</si>
  <si>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</si>
  <si>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</si>
  <si>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</si>
  <si>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</si>
  <si>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</si>
  <si>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</si>
  <si>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</si>
  <si>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</si>
  <si>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</si>
  <si>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</si>
  <si>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</si>
  <si>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</si>
  <si>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</si>
  <si>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</si>
  <si>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</si>
  <si>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</si>
  <si>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</si>
  <si>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</si>
  <si>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</si>
  <si>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</si>
  <si>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</si>
  <si>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</si>
  <si>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</si>
  <si>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</si>
  <si>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</si>
  <si>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</si>
  <si>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</si>
  <si>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</si>
  <si>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</si>
  <si>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</si>
  <si>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</si>
  <si>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</si>
  <si>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</si>
  <si>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</si>
  <si>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</si>
  <si>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</si>
  <si>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</si>
  <si>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</si>
  <si>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</si>
  <si>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</si>
  <si>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</si>
  <si>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</si>
  <si>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</si>
  <si>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</si>
  <si>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</si>
  <si>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</si>
  <si>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</si>
  <si>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</si>
  <si>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</si>
  <si>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</si>
  <si>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</si>
  <si>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</si>
  <si>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</si>
  <si>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</si>
  <si>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</si>
  <si>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</si>
  <si>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</si>
  <si>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</si>
  <si>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</si>
  <si>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</si>
  <si>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</si>
  <si>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</si>
  <si>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</si>
  <si>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</si>
  <si>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</si>
  <si>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</si>
  <si>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</si>
  <si>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</si>
  <si>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</si>
  <si>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</si>
  <si>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</si>
  <si>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</si>
  <si>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</si>
  <si>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</si>
  <si>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</si>
  <si>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</si>
  <si>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</si>
  <si>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</si>
  <si>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</si>
  <si>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</si>
  <si>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</si>
  <si>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</si>
  <si>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</si>
  <si>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</si>
  <si>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</si>
  <si>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</si>
  <si>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</si>
  <si>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</si>
  <si>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</si>
  <si>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</si>
  <si>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</si>
  <si>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</si>
  <si>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</si>
  <si>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</si>
  <si>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</si>
  <si>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</si>
  <si>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</si>
  <si>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</si>
  <si>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</si>
  <si>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</si>
  <si>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</si>
  <si>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</si>
  <si>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</si>
  <si>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</si>
  <si>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</si>
  <si>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</si>
  <si>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</si>
  <si>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</si>
  <si>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</si>
  <si>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</si>
  <si>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</si>
  <si>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</si>
  <si>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</si>
  <si>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</si>
  <si>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</si>
  <si>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</si>
  <si>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</si>
  <si>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</si>
  <si>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</si>
  <si>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</si>
  <si>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</si>
  <si>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</si>
  <si>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</si>
  <si>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</si>
  <si>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</si>
  <si>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</si>
  <si>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</si>
  <si>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</si>
  <si>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</si>
  <si>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</si>
  <si>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</si>
  <si>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</si>
  <si>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</si>
  <si>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</si>
  <si>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</si>
  <si>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</si>
  <si>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</si>
  <si>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</si>
  <si>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</si>
  <si>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</si>
  <si>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</si>
  <si>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</si>
  <si>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</si>
  <si>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</si>
  <si>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</si>
  <si>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</si>
  <si>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</si>
  <si>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</si>
  <si>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</si>
  <si>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</si>
  <si>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</si>
  <si>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</si>
  <si>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</si>
  <si>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</si>
  <si>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</si>
  <si>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</si>
  <si>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</si>
  <si>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</si>
  <si>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</si>
  <si>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</si>
  <si>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</si>
  <si>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</si>
  <si>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</si>
  <si>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</si>
  <si>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</si>
  <si>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</si>
  <si>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</si>
  <si>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</si>
  <si>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</si>
  <si>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</si>
  <si>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</si>
  <si>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</si>
  <si>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</si>
  <si>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</si>
  <si>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</si>
  <si>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</si>
  <si>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</si>
  <si>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</si>
  <si>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</si>
  <si>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</si>
  <si>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</si>
  <si>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</si>
  <si>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</si>
  <si>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</si>
  <si>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</si>
  <si>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</si>
  <si>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</si>
  <si>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</si>
  <si>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</si>
  <si>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</si>
  <si>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</si>
  <si>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</si>
  <si>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</si>
  <si>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</si>
  <si>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</si>
  <si>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</si>
  <si>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</si>
  <si>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</si>
  <si>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</si>
  <si>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</si>
  <si>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</si>
  <si>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</si>
  <si>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</si>
  <si>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</si>
  <si>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</si>
  <si>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</si>
  <si>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</si>
  <si>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</si>
  <si>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</si>
  <si>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</si>
  <si>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</si>
  <si>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</si>
  <si>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</si>
  <si>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</si>
  <si>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</si>
  <si>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</si>
  <si>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</si>
  <si>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</si>
  <si>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</si>
  <si>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</si>
  <si>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</si>
  <si>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</si>
  <si>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</si>
  <si>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</si>
  <si>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</si>
  <si>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</si>
  <si>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</si>
  <si>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</si>
  <si>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</si>
  <si>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</si>
  <si>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</si>
  <si>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</si>
  <si>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</si>
  <si>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</si>
  <si>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</si>
  <si>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</si>
  <si>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</si>
  <si>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</si>
  <si>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</si>
  <si>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</si>
  <si>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</si>
  <si>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</si>
  <si>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</si>
  <si>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</si>
  <si>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</si>
  <si>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</si>
  <si>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</si>
  <si>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</si>
  <si>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</si>
  <si>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</si>
  <si>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</si>
  <si>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</si>
  <si>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</si>
  <si>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</si>
  <si>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</si>
  <si>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</si>
  <si>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</si>
  <si>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</si>
  <si>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</si>
  <si>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</si>
  <si>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</si>
  <si>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</si>
  <si>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</si>
  <si>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</si>
  <si>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</si>
  <si>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</si>
  <si>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</si>
  <si>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</si>
  <si>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</si>
  <si>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</si>
  <si>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</si>
  <si>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</si>
  <si>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</si>
  <si>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</si>
  <si>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</si>
  <si>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</si>
  <si>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</si>
  <si>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</si>
  <si>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</si>
  <si>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</si>
  <si>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</si>
  <si>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</si>
  <si>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</si>
  <si>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</si>
  <si>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</si>
  <si>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</si>
  <si>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</si>
  <si>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</si>
  <si>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</si>
  <si>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</si>
  <si>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</si>
  <si>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</si>
  <si>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</si>
  <si>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</si>
  <si>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</si>
  <si>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</si>
  <si>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</si>
  <si>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</si>
  <si>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</si>
  <si>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</si>
  <si>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</si>
  <si>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</si>
  <si>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</si>
  <si>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</si>
  <si>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</si>
  <si>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</si>
  <si>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</si>
  <si>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</si>
  <si>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</si>
  <si>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</si>
  <si>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</si>
  <si>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</si>
  <si>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</si>
  <si>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</si>
  <si>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</si>
  <si>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</si>
  <si>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</si>
  <si>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</si>
  <si>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</si>
  <si>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</si>
  <si>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</si>
  <si>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</si>
  <si>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</si>
  <si>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</si>
  <si>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</si>
  <si>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</si>
  <si>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</si>
  <si>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</si>
  <si>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</si>
  <si>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</si>
  <si>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</si>
  <si>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</si>
  <si>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</si>
  <si>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</si>
  <si>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</si>
  <si>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</si>
  <si>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</si>
  <si>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</si>
  <si>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</si>
  <si>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</si>
  <si>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</si>
  <si>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</si>
  <si>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</si>
  <si>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</si>
  <si>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</si>
  <si>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</si>
  <si>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</si>
  <si>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</si>
  <si>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</si>
  <si>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</si>
  <si>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</si>
  <si>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</si>
  <si>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</si>
  <si>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</si>
  <si>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</si>
  <si>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</si>
  <si>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</si>
  <si>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</si>
  <si>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</si>
  <si>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</si>
  <si>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</si>
  <si>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</si>
  <si>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</si>
  <si>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</si>
  <si>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</si>
  <si>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</si>
  <si>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</si>
  <si>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</si>
  <si>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</si>
  <si>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</si>
  <si>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</si>
  <si>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</si>
  <si>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</si>
  <si>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</si>
  <si>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</si>
  <si>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</si>
  <si>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</si>
  <si>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</si>
  <si>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</si>
  <si>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</si>
  <si>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</si>
  <si>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</si>
  <si>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</si>
  <si>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</si>
  <si>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</si>
  <si>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</si>
  <si>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</si>
  <si>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</si>
  <si>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</si>
  <si>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</si>
  <si>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</si>
  <si>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</si>
  <si>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</si>
  <si>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</si>
  <si>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</si>
  <si>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</si>
  <si>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</si>
  <si>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</si>
  <si>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</si>
  <si>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</si>
  <si>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</si>
  <si>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</si>
  <si>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</si>
  <si>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</si>
  <si>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</si>
  <si>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</si>
  <si>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</si>
  <si>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</si>
  <si>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</si>
  <si>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</si>
  <si>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</si>
  <si>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</si>
  <si>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</si>
  <si>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</si>
  <si>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</si>
  <si>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</si>
  <si>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</si>
  <si>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</si>
  <si>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</si>
  <si>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</si>
  <si>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</si>
  <si>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</si>
  <si>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</si>
  <si>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</si>
  <si>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</si>
  <si>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</si>
  <si>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</si>
  <si>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</si>
  <si>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</si>
  <si>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</si>
  <si>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</si>
  <si>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</si>
  <si>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</si>
  <si>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</si>
  <si>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</si>
  <si>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</si>
  <si>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</si>
  <si>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</si>
  <si>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</si>
  <si>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</si>
  <si>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</si>
  <si>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</si>
  <si>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</si>
  <si>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</si>
  <si>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</si>
  <si>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</si>
  <si>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</si>
  <si>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</si>
  <si>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</si>
  <si>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</si>
  <si>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</si>
  <si>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</si>
  <si>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</si>
  <si>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</si>
  <si>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</si>
  <si>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</si>
  <si>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</si>
  <si>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</si>
  <si>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</si>
  <si>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>Health Workforce Education Regulation</t>
  </si>
  <si>
    <t xml:space="preserve">    Specialist Medical Practitioner</t>
  </si>
  <si>
    <t>Nursing Professional</t>
  </si>
  <si>
    <t xml:space="preserve"> Midwifery Professional</t>
  </si>
  <si>
    <t>Dentist</t>
  </si>
  <si>
    <t>Pharmacist</t>
  </si>
  <si>
    <t xml:space="preserve"> </t>
  </si>
  <si>
    <t xml:space="preserve">    General Medical Practitioner</t>
  </si>
  <si>
    <t>Comment</t>
  </si>
  <si>
    <t xml:space="preserve">HWF Education and Training Programme </t>
  </si>
  <si>
    <t>PARTIAL</t>
  </si>
  <si>
    <t>Occupation</t>
  </si>
  <si>
    <t>Existence of national and/or sub-national standard on the duration and contents of education and training (3-01)</t>
  </si>
  <si>
    <t>Midwifery Professional</t>
  </si>
  <si>
    <t xml:space="preserve">NATIONAL HEALTH WORKFORCE ACCOUNTS DATA </t>
  </si>
  <si>
    <t>Existence of national and/or subnational standards for social accountability in accreditation mechanisms
(3-03)</t>
  </si>
  <si>
    <t>Existence of national and/or sub-national mechanisms for accreditation of education and training institutions and their programmes
(3-02)</t>
  </si>
  <si>
    <t>Effective implementation of standards for social accountability
(3-04)</t>
  </si>
  <si>
    <t>Existence of national and/or sub-national standards for the social determinants of health in accreditation mechanisms
(3-05)</t>
  </si>
  <si>
    <t>Existence of national and/or sub-national standards on interprofessional education in accreditation mechanisms
(3-06)</t>
  </si>
  <si>
    <t>Existence of cooperation between education and training institutions and regulatory bodies on accreditation standards
(3-07)</t>
  </si>
  <si>
    <t>Existence of national systems for continuing professional development (3-08)</t>
  </si>
  <si>
    <t>Existence of in-service training as an element of national education plans for health workers (3-09)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</si>
  <si>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</si>
  <si>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</si>
  <si>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</si>
  <si>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</si>
  <si>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</si>
  <si>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</si>
  <si>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</si>
  <si>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Burkina Faso</t>
  </si>
  <si>
    <t>hmZE3mVAZFf</t>
  </si>
  <si>
    <t>BFA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</si>
  <si>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</si>
  <si>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</si>
  <si>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</si>
  <si>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</si>
  <si>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</si>
  <si>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</si>
  <si>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</si>
  <si>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</si>
  <si>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</si>
  <si>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</si>
  <si>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</si>
  <si>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</si>
  <si>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</si>
  <si>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</si>
  <si>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</si>
  <si>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</si>
  <si>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</si>
  <si>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</si>
  <si>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</si>
  <si>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</si>
  <si>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</si>
  <si>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</si>
  <si>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</si>
  <si>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</si>
  <si>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</si>
  <si>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</si>
  <si>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</si>
  <si>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</si>
  <si>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</si>
  <si>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</si>
  <si>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</si>
  <si>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</si>
  <si>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</si>
  <si>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</si>
  <si>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</si>
  <si>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</si>
  <si>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</si>
  <si>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</si>
  <si>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</si>
  <si>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</si>
  <si>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</si>
  <si>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</si>
  <si>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</si>
  <si>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</si>
  <si>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</si>
  <si>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</si>
  <si>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</si>
  <si>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</si>
  <si>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</si>
  <si>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</si>
  <si>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</si>
  <si>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</si>
  <si>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</si>
  <si>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</si>
  <si>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</si>
  <si>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</si>
  <si>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</si>
  <si>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</si>
  <si>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</si>
  <si>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</si>
  <si>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</si>
  <si>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NHWA_MODULE_3_v1</t>
  </si>
  <si>
    <t>True only</t>
  </si>
  <si>
    <t>Boolean</t>
  </si>
  <si>
    <t>Options</t>
  </si>
  <si>
    <t>Periods</t>
  </si>
  <si>
    <t>Organisation Units</t>
  </si>
  <si>
    <t>No</t>
  </si>
  <si>
    <t>boolean</t>
  </si>
  <si>
    <t>false</t>
  </si>
  <si>
    <t>Yes</t>
  </si>
  <si>
    <t>true</t>
  </si>
  <si>
    <t>organisationUnit</t>
  </si>
  <si>
    <t>categoryOptions</t>
  </si>
  <si>
    <t>K5u7PTVJDz9</t>
  </si>
  <si>
    <t>Ministry of Education</t>
  </si>
  <si>
    <t>ZPpJ9xeJN6C</t>
  </si>
  <si>
    <t>Specialist Medical Practitioner</t>
  </si>
  <si>
    <t>Snhh7MxvJ09</t>
  </si>
  <si>
    <t>General Medical Practitioner</t>
  </si>
  <si>
    <t>yp7OM2HDp2q</t>
  </si>
  <si>
    <t>Ministry of Finance</t>
  </si>
  <si>
    <t>wurYrdkfzFD</t>
  </si>
  <si>
    <t>XiMIOSJ0d3c</t>
  </si>
  <si>
    <t>CpV0L0Y9i9h</t>
  </si>
  <si>
    <t>pL6jJhifUxq</t>
  </si>
  <si>
    <t>ncopO2Sj2RB</t>
  </si>
  <si>
    <t>Partial</t>
  </si>
  <si>
    <t>KyFesytPvpt</t>
  </si>
  <si>
    <t>KKBsggVfCTv</t>
  </si>
  <si>
    <t>B9p76UEP9T6</t>
  </si>
  <si>
    <t>default</t>
  </si>
  <si>
    <t>Y7fcspgsU43</t>
  </si>
  <si>
    <t>old_NHWA_Midwifery Professional</t>
  </si>
  <si>
    <t>categoryOptionCombos</t>
  </si>
  <si>
    <t>MPzyVWiSFF2</t>
  </si>
  <si>
    <t>NHWA_Ministry of Education</t>
  </si>
  <si>
    <t>frJLJlrvNt0</t>
  </si>
  <si>
    <t>Xr12mI7VPn3</t>
  </si>
  <si>
    <t>old_NHWA_General Medical Practitioner</t>
  </si>
  <si>
    <t>LHbCtHlZr3Y</t>
  </si>
  <si>
    <t>old_NHWA_Specialist Medical Practitioner</t>
  </si>
  <si>
    <t>VtVkbvygJnm</t>
  </si>
  <si>
    <t>old_NHWA_Nursing Professional</t>
  </si>
  <si>
    <t>fGOgbIqsxDn</t>
  </si>
  <si>
    <t>NHWA_No</t>
  </si>
  <si>
    <t>Y7EAGQA1bfv</t>
  </si>
  <si>
    <t>old_NHWA_Dentist</t>
  </si>
  <si>
    <t>ALBRKpJsddQ</t>
  </si>
  <si>
    <t>NHWA_Partial</t>
  </si>
  <si>
    <t>Xgr3PJxcWfJ</t>
  </si>
  <si>
    <t>old_NHWA_Medical Doctors</t>
  </si>
  <si>
    <t>aBpbcEgtzgw</t>
  </si>
  <si>
    <t>NHWA_Yes</t>
  </si>
  <si>
    <t>I93t0K7b1oN</t>
  </si>
  <si>
    <t>old_NHWA_Pharmacist</t>
  </si>
  <si>
    <t>iWRW6jXAzvP</t>
  </si>
  <si>
    <t>NHWA_Ministry of Finance</t>
  </si>
  <si>
    <t>LDYaGTqoAd4</t>
  </si>
  <si>
    <t>NHWA Module 3</t>
  </si>
  <si>
    <t>dataSets</t>
  </si>
  <si>
    <t>pZ3XRBi9gYE</t>
  </si>
  <si>
    <t>HWF Module 3</t>
  </si>
  <si>
    <t>dataEntryForms</t>
  </si>
  <si>
    <t>gUsLcRFoCG6</t>
  </si>
  <si>
    <t>NHWA_Yes Partial No</t>
  </si>
  <si>
    <t>categories</t>
  </si>
  <si>
    <t>BGi4lPgaJ07</t>
  </si>
  <si>
    <t>DMyxTSpvKOp</t>
  </si>
  <si>
    <t>NHWA_Key Occupations</t>
  </si>
  <si>
    <t>phnE76RjYz8</t>
  </si>
  <si>
    <t>NHWA_Source Type Mod 3</t>
  </si>
  <si>
    <t>IPThC4rBaja</t>
  </si>
  <si>
    <t>categoryCombos</t>
  </si>
  <si>
    <t>CVlyw498LdE</t>
  </si>
  <si>
    <t>JzvGfLYkX17</t>
  </si>
  <si>
    <t>sNmNyudrFxw</t>
  </si>
  <si>
    <t>sRswNwJvzd2</t>
  </si>
  <si>
    <t>TRUE_ONLY</t>
  </si>
  <si>
    <t>Effective social accNursing Professional</t>
  </si>
  <si>
    <t>dataElements</t>
  </si>
  <si>
    <t>wY9lL47ojb6</t>
  </si>
  <si>
    <t>LONG_TEXT</t>
  </si>
  <si>
    <t>Comment dura. and contents of education Pharmacist</t>
  </si>
  <si>
    <t>RBkF8N37tQl</t>
  </si>
  <si>
    <t>standards on social accountability Medical Doctors</t>
  </si>
  <si>
    <t>ubXH2Mko823</t>
  </si>
  <si>
    <t>National standard for CPD General Medical</t>
  </si>
  <si>
    <t>TYtubJjtDDs</t>
  </si>
  <si>
    <t>Comment Social account Midwifery Professional</t>
  </si>
  <si>
    <t>kf5mAEgzRro</t>
  </si>
  <si>
    <t>National standard for CPD Pharmacist</t>
  </si>
  <si>
    <t>YVbwt0lb1lA</t>
  </si>
  <si>
    <t>Comment of mech. for accreditation Medical Doctor</t>
  </si>
  <si>
    <t>xIdJZgy5GSy</t>
  </si>
  <si>
    <t>Social accountability Dentist</t>
  </si>
  <si>
    <t>TdnUj1l3Z4i</t>
  </si>
  <si>
    <t>Effective social accountability Pharmacist</t>
  </si>
  <si>
    <t>cemAvj8TkMX</t>
  </si>
  <si>
    <t>National standard for CPD Nursing Professional</t>
  </si>
  <si>
    <t>PG2MTqzwOAT</t>
  </si>
  <si>
    <t>Comment national standard for CPD Medical Doctors</t>
  </si>
  <si>
    <t>zAN1yQdYbcB</t>
  </si>
  <si>
    <t>National standard for CPD Specialist Medical</t>
  </si>
  <si>
    <t>kxeieT5f8wy</t>
  </si>
  <si>
    <t>cooperation between inst Dentist</t>
  </si>
  <si>
    <t>Fu0P8tj6k3M</t>
  </si>
  <si>
    <t>Effective social accountability Specialist Medical</t>
  </si>
  <si>
    <t>x9MXiBfrfFG</t>
  </si>
  <si>
    <t>Social accountability General Medical Practitioner</t>
  </si>
  <si>
    <t>KcDPaDGLf9P</t>
  </si>
  <si>
    <t>Comment Social acc General Medical Practitioner</t>
  </si>
  <si>
    <t>AuztI35M2eU</t>
  </si>
  <si>
    <t>Comment effective social accNursing Professional</t>
  </si>
  <si>
    <t>K9YrD3rxhIm</t>
  </si>
  <si>
    <t>interprofessional education Specialist Medical</t>
  </si>
  <si>
    <t>wqcSEURdLVe</t>
  </si>
  <si>
    <t>Comment of Determinants Pharmacist</t>
  </si>
  <si>
    <t>el5QnfrCW5R</t>
  </si>
  <si>
    <t>Comment social accountability Specialist Medical</t>
  </si>
  <si>
    <t>HHu5mmkn9nI</t>
  </si>
  <si>
    <t>Comment effective social accountability Pharmacist</t>
  </si>
  <si>
    <t>OJ2BPEwWYG9</t>
  </si>
  <si>
    <t>Midwifery Professional education regulation source</t>
  </si>
  <si>
    <t>eizhjSo5svd</t>
  </si>
  <si>
    <t>mechanisms for accreditation Nursing Professional</t>
  </si>
  <si>
    <t>gs8HWsMAFFl</t>
  </si>
  <si>
    <t>Comment cooperation inst Nursing Professional</t>
  </si>
  <si>
    <t>Iz9uNISIBW5</t>
  </si>
  <si>
    <t>Comment of in-service training in NEP Pharmacist</t>
  </si>
  <si>
    <t>L8r8I4WDRUp</t>
  </si>
  <si>
    <t>Comment national standard for CPD General Medical</t>
  </si>
  <si>
    <t>Z6c1T3O7q0S</t>
  </si>
  <si>
    <t>Comment in-service training in NEP Medical Doctors</t>
  </si>
  <si>
    <t>wTJuvXKZCrz</t>
  </si>
  <si>
    <t>Comment mechanism accreditation Specialist Medical</t>
  </si>
  <si>
    <t>EUuaZTsVCUP</t>
  </si>
  <si>
    <t>Comment in-service tra NEP Midwifery Professional</t>
  </si>
  <si>
    <t>EgaLdA1UaEV</t>
  </si>
  <si>
    <t>Comment of duration and contents Medical Doctors</t>
  </si>
  <si>
    <t>slfNDnwGD4i</t>
  </si>
  <si>
    <t>National standard for CPD Medical Doctors</t>
  </si>
  <si>
    <t>VCZsq4EzHM1</t>
  </si>
  <si>
    <t>Comment of duration and Midwifery Professional</t>
  </si>
  <si>
    <t>S0cJazBoB9r</t>
  </si>
  <si>
    <t>National standard for CPD Dentist</t>
  </si>
  <si>
    <t>pyMHfUIDXRf</t>
  </si>
  <si>
    <t>interprofessional education Nursing Professional</t>
  </si>
  <si>
    <t>EGGz5kkdVNl</t>
  </si>
  <si>
    <t>Comment of interprofessional education Dentist</t>
  </si>
  <si>
    <t>d5tEbnmf2Yl</t>
  </si>
  <si>
    <t>Comment cooperation institutions Medical Doctors</t>
  </si>
  <si>
    <t>Bvwo2Tnwg6K</t>
  </si>
  <si>
    <t>interprofessional education Pharmacist</t>
  </si>
  <si>
    <t>YDkIX98NArQ</t>
  </si>
  <si>
    <t>Comment of duration and Nursing Professional</t>
  </si>
  <si>
    <t>IS6oWwtsElu</t>
  </si>
  <si>
    <t>Social accountability Pharmacist</t>
  </si>
  <si>
    <t>WsHpge8yVZM</t>
  </si>
  <si>
    <t>Comment national standard CPD Nursing Professional</t>
  </si>
  <si>
    <t>jQ05qNtE9HB</t>
  </si>
  <si>
    <t>Comment dura. cont. General Medical Practitioner</t>
  </si>
  <si>
    <t>KM3j2qURZvm</t>
  </si>
  <si>
    <t>Comment in-service train NEP Nursing Professional</t>
  </si>
  <si>
    <t>CPexoOTnUQZ</t>
  </si>
  <si>
    <t>cooperation between inst Midwifery Professional</t>
  </si>
  <si>
    <t>bq7cDa5kIgG</t>
  </si>
  <si>
    <t>Comment of national standard for CPD Pharmacist</t>
  </si>
  <si>
    <t>kfQaLeZLepq</t>
  </si>
  <si>
    <t>Comment of national standard for CPD Dentist</t>
  </si>
  <si>
    <t>gytTkeQWyoA</t>
  </si>
  <si>
    <t>Social accountability Midwifery Professional</t>
  </si>
  <si>
    <t>qZ9h4jv9cgO</t>
  </si>
  <si>
    <t>Comment of duration contents of education Dentist</t>
  </si>
  <si>
    <t>ZVZnw9CazmI</t>
  </si>
  <si>
    <t>Comment effective social acc Midwifery Professiona</t>
  </si>
  <si>
    <t>Px7yHDZGBQS</t>
  </si>
  <si>
    <t>determinants Dentist</t>
  </si>
  <si>
    <t>fhe12emlYec</t>
  </si>
  <si>
    <t>standards on social accountability General Medical</t>
  </si>
  <si>
    <t>KYNXNZlaQBc</t>
  </si>
  <si>
    <t>in-service training in NEP Nursing Professional</t>
  </si>
  <si>
    <t>KPlsuTaezlc</t>
  </si>
  <si>
    <t>Social accountability Medical Doctors</t>
  </si>
  <si>
    <t>aEDrisPWh6i</t>
  </si>
  <si>
    <t>cooperation between institutions Medical Doctors</t>
  </si>
  <si>
    <t>j4pHY4ToKPi</t>
  </si>
  <si>
    <t>Comment of social accountability Medical Doctors</t>
  </si>
  <si>
    <t>oTTeFlxkljB</t>
  </si>
  <si>
    <t>in-service training in NEP Pharmacist</t>
  </si>
  <si>
    <t>vKV2AVBhstz</t>
  </si>
  <si>
    <t>mechanisms for accreditation Specialist Medical</t>
  </si>
  <si>
    <t>PPfHCBsbdGU</t>
  </si>
  <si>
    <t>Comment effective implementation Medical Doctors</t>
  </si>
  <si>
    <t>TVuwNm1PyRC</t>
  </si>
  <si>
    <t>Comment interprof education Midwifery Professional</t>
  </si>
  <si>
    <t>HfUw03ynsgX</t>
  </si>
  <si>
    <t>duration and contents of education Pharmacist</t>
  </si>
  <si>
    <t>LTTnjIq6X6j</t>
  </si>
  <si>
    <t>interprofessional education Generalist Medical</t>
  </si>
  <si>
    <t>nwRqq6w8MKq</t>
  </si>
  <si>
    <t>Comment interprofess educa Nursing Professional</t>
  </si>
  <si>
    <t>KI35YVBqwOH</t>
  </si>
  <si>
    <t>Comment social determinants health Medical Doctors</t>
  </si>
  <si>
    <t>SUvvKWCJO5S</t>
  </si>
  <si>
    <t>Comment of social accountability Pharmacist</t>
  </si>
  <si>
    <t>Ye7wRY6LeT4</t>
  </si>
  <si>
    <t>Comment of Social accountability Dentist</t>
  </si>
  <si>
    <t>dNdiNzgxEAO</t>
  </si>
  <si>
    <t>cooperation between inst Specialist Medical</t>
  </si>
  <si>
    <t>hJJOo4gRjQA</t>
  </si>
  <si>
    <t>Comment of in-service training in NEP Dentist</t>
  </si>
  <si>
    <t>vRh6cPENAgr</t>
  </si>
  <si>
    <t>interprofessional education Medical Doctors</t>
  </si>
  <si>
    <t>Qj97xn0ejxd</t>
  </si>
  <si>
    <t>social determinants of health Medical Doctors</t>
  </si>
  <si>
    <t>U5S2sbEnGT9</t>
  </si>
  <si>
    <t>Comment of content Specialist Medical Practitioner</t>
  </si>
  <si>
    <t>IRewF07UDgW</t>
  </si>
  <si>
    <t>Pharmacist education regulation source type</t>
  </si>
  <si>
    <t>U9JXvMTuigM</t>
  </si>
  <si>
    <t>Comment in-service training in NEP General Medical</t>
  </si>
  <si>
    <t>GrZXd4osOGW</t>
  </si>
  <si>
    <t>determinants Specialist Medical Practitioner</t>
  </si>
  <si>
    <t>XQgL1GHsnrT</t>
  </si>
  <si>
    <t>cooperation between inst Nursing Professional</t>
  </si>
  <si>
    <t>GNErbB4poQO</t>
  </si>
  <si>
    <t>Determinants Pharmacist</t>
  </si>
  <si>
    <t>wTTVz32PAOn</t>
  </si>
  <si>
    <t>Comment interprofess education Specialist Medical</t>
  </si>
  <si>
    <t>W1nqjNXF8t7</t>
  </si>
  <si>
    <t>in-service training in NEP Dentist</t>
  </si>
  <si>
    <t>LJNl2upvs8S</t>
  </si>
  <si>
    <t>duration and Nursing Professional</t>
  </si>
  <si>
    <t>h580rDibPjP</t>
  </si>
  <si>
    <t>in-service training in NEP Medical Doctors</t>
  </si>
  <si>
    <t>m8xYEbXD3Ee</t>
  </si>
  <si>
    <t>mechanisms for accreditation General Medical Pra</t>
  </si>
  <si>
    <t>QcMU3E5D2eN</t>
  </si>
  <si>
    <t>Dentist education regulation source type</t>
  </si>
  <si>
    <t>J9kRmc46Slz</t>
  </si>
  <si>
    <t>cooperation between inst Pharmacist</t>
  </si>
  <si>
    <t>v6O0oWTXY34</t>
  </si>
  <si>
    <t>FILE_RESOURCE</t>
  </si>
  <si>
    <t>HWF Module 3 File upload</t>
  </si>
  <si>
    <t>GuVpRPGCTK4</t>
  </si>
  <si>
    <t>Comment in-service training NEP Specialist Medical</t>
  </si>
  <si>
    <t>ejraR8DfZPf</t>
  </si>
  <si>
    <t>National standard for CPD Midwifery Professional</t>
  </si>
  <si>
    <t>VQk5aenfDR4</t>
  </si>
  <si>
    <t>Comment of Effective social accountability Dentist</t>
  </si>
  <si>
    <t>H7lhdWUUWxH</t>
  </si>
  <si>
    <t>Comment mechanisms accred Nursing Professional</t>
  </si>
  <si>
    <t>qDrIfDpZQzJ</t>
  </si>
  <si>
    <t>duration and Specialist Medical Practitioner</t>
  </si>
  <si>
    <t>RQZXBtwBToV</t>
  </si>
  <si>
    <t>Comment of cooperation between inst Dentist</t>
  </si>
  <si>
    <t>zJNTztzEUjf</t>
  </si>
  <si>
    <t>determinants Generalist Medical Practitioner</t>
  </si>
  <si>
    <t>o64uNjIuRXr</t>
  </si>
  <si>
    <t>Comment interprofes education Generalist Medical</t>
  </si>
  <si>
    <t>aNkwiAZwM7f</t>
  </si>
  <si>
    <t>Comment of mechanisms for accreditation Pharmacist</t>
  </si>
  <si>
    <t>klUdBljsnYT</t>
  </si>
  <si>
    <t>Comment effective implementation Special Medical</t>
  </si>
  <si>
    <t>SvnuCPrV3m8</t>
  </si>
  <si>
    <t>Comment determinants Special Medical Practitioner</t>
  </si>
  <si>
    <t>M09xmOtGx9r</t>
  </si>
  <si>
    <t>interprofessional education Midwifery Professional</t>
  </si>
  <si>
    <t>l1U9oBgd2Pg</t>
  </si>
  <si>
    <t>Effective social acc Midwifery Professiona</t>
  </si>
  <si>
    <t>OBs444qCCU9</t>
  </si>
  <si>
    <t>Comment interprofessional educa. Medical Doctors</t>
  </si>
  <si>
    <t>GRpQAAvLFM6</t>
  </si>
  <si>
    <t>determinants Nursing Professional</t>
  </si>
  <si>
    <t>Dn2P7GXFCTr</t>
  </si>
  <si>
    <t>mechanisms for accreditation Pharmacist</t>
  </si>
  <si>
    <t>GEDhlVgull2</t>
  </si>
  <si>
    <t>Comment of determinants Nursing Professional</t>
  </si>
  <si>
    <t>s6Rrf01L045</t>
  </si>
  <si>
    <t>determinants Midwifery Professional</t>
  </si>
  <si>
    <t>pnySnJ6om1A</t>
  </si>
  <si>
    <t>Comment National standard CPD Specialist Medical</t>
  </si>
  <si>
    <t>XQajU8YgbXg</t>
  </si>
  <si>
    <t>duration and Midwifery Professional</t>
  </si>
  <si>
    <t>c3tvWVyotti</t>
  </si>
  <si>
    <t>Comment of cooperation inst Midwifery Professional</t>
  </si>
  <si>
    <t>FbLuOUxYtvW</t>
  </si>
  <si>
    <t>Comment cooperation inst Specialist Medical</t>
  </si>
  <si>
    <t>vVPyD60zs2c</t>
  </si>
  <si>
    <t>mechanisms for accreditation Dentist</t>
  </si>
  <si>
    <t>fLT65oEdyRn</t>
  </si>
  <si>
    <t>Medical Doctor education regulation source type</t>
  </si>
  <si>
    <t>nwlPIKGV1gP</t>
  </si>
  <si>
    <t>Comment stand social accounta General Medical</t>
  </si>
  <si>
    <t>CHeEETUlnlu</t>
  </si>
  <si>
    <t>Comment mechanisms for accred General Medical Pra</t>
  </si>
  <si>
    <t>BAYPJS2PaYa</t>
  </si>
  <si>
    <t>duration and contents General Medical Practitioner</t>
  </si>
  <si>
    <t>eaxvIzrZDyz</t>
  </si>
  <si>
    <t>Comment of cooperation between inst Pharmacist</t>
  </si>
  <si>
    <t>uEt3e82IzsK</t>
  </si>
  <si>
    <t>mechanisms for accreditation Medical Doctor</t>
  </si>
  <si>
    <t>HZci3ozLEL4</t>
  </si>
  <si>
    <t>Specialist Medical Practitioner education regulati</t>
  </si>
  <si>
    <t>YacgcRFGe70</t>
  </si>
  <si>
    <t>Comment mechanism accred Midwifery Professional</t>
  </si>
  <si>
    <t>BABcY9z1yhJ</t>
  </si>
  <si>
    <t>Comment of determinants Midwifery Professional</t>
  </si>
  <si>
    <t>Jo5JCqQn6a4</t>
  </si>
  <si>
    <t>in-service training in NEP Specialist Medical</t>
  </si>
  <si>
    <t>H4L8KbENVVk</t>
  </si>
  <si>
    <t>Comment determi Generalist Medical Practitioner</t>
  </si>
  <si>
    <t>hUTcFeRUFve</t>
  </si>
  <si>
    <t>Comment cooperation institutions General Medical</t>
  </si>
  <si>
    <t>adhcUwpwjrt</t>
  </si>
  <si>
    <t>Comment of mechanisms for accreditation Dentist</t>
  </si>
  <si>
    <t>sIxOvk6qfU2</t>
  </si>
  <si>
    <t>Social accountability Specialist Medical</t>
  </si>
  <si>
    <t>zHNwRzmyOeL</t>
  </si>
  <si>
    <t>in-service training in NEP General Medical</t>
  </si>
  <si>
    <t>pWAGDlaDi7y</t>
  </si>
  <si>
    <t>mechanism for accreditation Midwifery Professional</t>
  </si>
  <si>
    <t>Km3h0ydFI2j</t>
  </si>
  <si>
    <t>Comment National stand CPD Midwifery Professional</t>
  </si>
  <si>
    <t>BK0kijGEWMy</t>
  </si>
  <si>
    <t>duration and contents of education Dentist</t>
  </si>
  <si>
    <t>u06rnfoY988</t>
  </si>
  <si>
    <t>duration and contents of education Medical Doctors</t>
  </si>
  <si>
    <t>afgPWA9EO9d</t>
  </si>
  <si>
    <t>Effective social accountability Dentist</t>
  </si>
  <si>
    <t>mHNrhvqWd3X</t>
  </si>
  <si>
    <t>in-service training in NEP Midwifery Professional</t>
  </si>
  <si>
    <t>Pf77Sb5TYCR</t>
  </si>
  <si>
    <t>Comment of interprofessional education Pharmacist</t>
  </si>
  <si>
    <t>w3Lz42yCAiU</t>
  </si>
  <si>
    <t>Social accountability Nursing Professional</t>
  </si>
  <si>
    <t>PE5XG7ZZgdc</t>
  </si>
  <si>
    <t>Nursing Professional education regulation source t</t>
  </si>
  <si>
    <t>I7m7EOrcrNa</t>
  </si>
  <si>
    <t>General Medical Practitioner education regulation</t>
  </si>
  <si>
    <t>N2cOrvYlDJJ</t>
  </si>
  <si>
    <t>Comment of social account Nursing Professional</t>
  </si>
  <si>
    <t>oBOgUPGLDM8</t>
  </si>
  <si>
    <t>Comment of determinants Dentist</t>
  </si>
  <si>
    <t>grFSq6NI6Rv</t>
  </si>
  <si>
    <t>interprofessional education Dentist</t>
  </si>
  <si>
    <t>JLq8DlnnFF9</t>
  </si>
  <si>
    <t>cooperation between institutions General Medical</t>
  </si>
  <si>
    <t>Mx06wOF9Edi</t>
  </si>
  <si>
    <t>Possible Values</t>
  </si>
  <si>
    <t>Option Set</t>
  </si>
  <si>
    <t>Value Type</t>
  </si>
  <si>
    <t>Type</t>
  </si>
  <si>
    <t>Identifier</t>
  </si>
  <si>
    <t>☐</t>
  </si>
  <si>
    <t>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</si>
</sst>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Arial"/>
      <family val="2"/>
    </font>
    <font>
      <sz val="12"/>
      <color rgb="FF000000"/>
      <name val="Calibri"/>
      <family val="1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  <xf numFmtId="0" fontId="10" fillId="0" borderId="0"/>
  </cellStyleXfs>
  <cellXfs count="44">
    <xf numFmtId="0" fontId="0" fillId="0" borderId="0" xfId="0"/>
    <xf numFmtId="0" fontId="0" fillId="0" borderId="0" xfId="0" applyProtection="1"/>
    <xf numFmtId="0" fontId="0" fillId="3" borderId="0" xfId="0" applyFill="1" applyProtection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7" fillId="2" borderId="1" xfId="1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vertical="center" wrapText="1"/>
    </xf>
    <xf numFmtId="0" fontId="8" fillId="0" borderId="0" xfId="0" applyFont="1" applyProtection="1"/>
    <xf numFmtId="0" fontId="0" fillId="0" borderId="0" xfId="0" applyFill="1" applyBorder="1" applyProtection="1"/>
    <xf numFmtId="0" fontId="2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7" fillId="2" borderId="1" xfId="1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/>
    </xf>
    <xf numFmtId="0" fontId="6" fillId="0" borderId="0" xfId="9" applyFont="1" applyAlignment="1" applyProtection="1">
      <alignment vertical="center"/>
    </xf>
    <xf numFmtId="0" fontId="6" fillId="0" borderId="0" xfId="9" applyFont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 wrapText="1"/>
    </xf>
    <xf numFmtId="0" fontId="0" fillId="4" borderId="1" xfId="0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/>
    <xf numFmtId="0" fontId="8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</xf>
    <xf numFmtId="0" fontId="10" fillId="0" borderId="0" xfId="19"/>
    <xf numFmtId="0" fontId="0" fillId="0" borderId="1" xfId="0" applyBorder="1" applyAlignment="1" applyProtection="1">
      <alignment horizontal="center" vertical="center"/>
      <protection locked="0"/>
    </xf>
    <xf numFmtId="0" fontId="9" fillId="0" borderId="0" xfId="9" applyFont="1" applyAlignment="1" applyProtection="1">
      <alignment vertical="center"/>
    </xf>
    <xf numFmtId="0" fontId="3" fillId="0" borderId="0" xfId="9" applyProtection="1"/>
    <xf numFmtId="0" fontId="11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 applyProtection="1"/>
    <xf numFmtId="0" fontId="2" fillId="0" borderId="1" xfId="0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left" vertical="center"/>
    </xf>
    <xf numFmtId="0" fontId="0" fillId="4" borderId="1" xfId="0" applyFill="1" applyBorder="1" applyAlignment="1" applyProtection="1">
      <alignment horizontal="left" vertical="center"/>
    </xf>
    <xf numFmtId="0" fontId="2" fillId="0" borderId="1" xfId="0" applyFont="1" applyBorder="1" applyAlignment="1" applyProtection="1">
      <alignment horizontal="left"/>
    </xf>
    <xf numFmtId="0" fontId="0" fillId="0" borderId="1" xfId="0" applyBorder="1" applyAlignment="1" applyProtection="1">
      <alignment horizontal="left"/>
    </xf>
    <xf numFmtId="0" fontId="0" fillId="4" borderId="1" xfId="0" applyFill="1" applyBorder="1" applyProtection="1"/>
    <xf numFmtId="0" fontId="0" fillId="0" borderId="0" xfId="0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</xf>
    <xf numFmtId="0" fontId="7" fillId="2" borderId="1" xfId="1" applyFont="1" applyBorder="1" applyAlignment="1" applyProtection="1">
      <alignment horizontal="center" vertical="center" wrapText="1"/>
    </xf>
    <xf numFmtId="0" fontId="7" fillId="2" borderId="1" xfId="1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10" fillId="5" borderId="0" xfId="19" applyFont="1" applyFill="1" applyAlignment="1">
      <alignment horizontal="center" vertical="center" wrapText="1" shrinkToFit="1"/>
    </xf>
  </cellXfs>
  <cellStyles count="20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9" xr:uid="{3B62C95E-B722-49D0-B955-1A22E3F56CD9}"/>
    <cellStyle name="tgl" xfId="18" xr:uid="{00000000-0005-0000-0000-000012000000}"/>
  </cellStyles>
  <dxfs count="8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67"/>
  <sheetViews>
    <sheetView tabSelected="1" zoomScaleNormal="100" workbookViewId="0">
      <pane ySplit="7" topLeftCell="A8" activePane="bottomLeft" state="frozen"/>
      <selection activeCell="D20" sqref="D20"/>
      <selection pane="bottomLeft" activeCell="C4" sqref="C4"/>
    </sheetView>
  </sheetViews>
  <sheetFormatPr defaultColWidth="9.140625" defaultRowHeight="15" customHeight="1" x14ac:dyDescent="0.25"/>
  <cols>
    <col min="1" max="1" width="9.140625" style="1"/>
    <col min="2" max="2" width="10.85546875" style="1" customWidth="1"/>
    <col min="3" max="3" width="82.7109375" style="1" customWidth="1"/>
    <col min="4" max="9" width="17.5703125" style="1" customWidth="1"/>
    <col min="10" max="10" width="16.5703125" style="1" customWidth="1"/>
    <col min="11" max="15" width="17.5703125" style="1" customWidth="1"/>
    <col min="16" max="17" width="9.140625" style="1" customWidth="1"/>
    <col min="18" max="18" width="12.5703125" style="1" customWidth="1"/>
    <col min="19" max="19" width="11.5703125" style="1" customWidth="1"/>
    <col min="20" max="20" width="16.28515625" style="1" customWidth="1"/>
    <col min="21" max="21" width="12" style="1" customWidth="1"/>
    <col min="22" max="22" width="12.140625" style="1" hidden="1" customWidth="1"/>
    <col min="23" max="23" width="9.7109375" style="1" hidden="1" customWidth="1"/>
    <col min="24" max="24" width="17" style="1" hidden="1" customWidth="1"/>
    <col min="25" max="26" width="9.140625" style="1" hidden="1" customWidth="1"/>
    <col min="27" max="27" width="47.140625" style="1" hidden="1" customWidth="1"/>
    <col min="28" max="28" width="15.140625" style="1" hidden="1" customWidth="1"/>
    <col min="29" max="32" width="9.140625" style="1" hidden="1" customWidth="1"/>
    <col min="33" max="33" width="47.140625" style="1" hidden="1" customWidth="1"/>
    <col min="34" max="42" width="9.140625" style="1" customWidth="1"/>
    <col min="43" max="16384" width="9.140625" style="1"/>
  </cols>
  <sheetData>
    <row r="1" spans="1:33" ht="30" customHeight="1" x14ac:dyDescent="0.25">
      <c r="A1" s="26" t="s">
        <v>836</v>
      </c>
      <c r="B1" s="37" t="s">
        <v>756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16"/>
      <c r="N1" s="16"/>
      <c r="O1" s="16"/>
      <c r="P1" s="16"/>
      <c r="Q1" s="16"/>
      <c r="R1" s="16"/>
      <c r="S1" s="16"/>
      <c r="T1" s="16"/>
      <c r="V1" s="16"/>
      <c r="W1" s="16"/>
      <c r="X1" s="27"/>
      <c r="Y1" s="16"/>
      <c r="Z1" s="16"/>
      <c r="AA1" s="1" t="s">
        <v>186</v>
      </c>
      <c r="AB1" s="1" t="s">
        <v>187</v>
      </c>
      <c r="AC1" s="1" t="s">
        <v>188</v>
      </c>
      <c r="AD1" s="1" t="s">
        <v>189</v>
      </c>
    </row>
    <row r="2" spans="1:33" ht="30" customHeight="1" x14ac:dyDescent="0.25">
      <c r="A2" s="37" t="s">
        <v>742</v>
      </c>
      <c r="B2" s="37"/>
      <c r="C2" s="37"/>
      <c r="D2" s="37"/>
      <c r="E2" s="37"/>
      <c r="F2" s="37"/>
      <c r="G2" s="37"/>
      <c r="H2" s="37"/>
      <c r="I2" s="37"/>
      <c r="J2" s="37"/>
      <c r="K2" s="16"/>
      <c r="L2" s="16"/>
      <c r="M2" s="16"/>
      <c r="N2" s="16"/>
      <c r="O2" s="16"/>
      <c r="P2" s="16"/>
      <c r="Q2" s="16"/>
      <c r="R2" s="16"/>
      <c r="S2" s="16"/>
      <c r="T2" s="16"/>
      <c r="V2" s="16"/>
      <c r="W2" s="16"/>
      <c r="X2" s="16"/>
      <c r="Y2" s="16"/>
      <c r="Z2" s="16"/>
      <c r="AA2" s="1" t="s">
        <v>80</v>
      </c>
      <c r="AB2" s="1" t="s">
        <v>358</v>
      </c>
      <c r="AC2" s="1" t="s">
        <v>359</v>
      </c>
      <c r="AD2" s="1" t="s">
        <v>360</v>
      </c>
      <c r="AE2" s="1">
        <f t="shared" ref="AE2" si="0">--ISNUMBER(IFERROR(SEARCH($X$1,AA2,1),""))</f>
        <v>1</v>
      </c>
      <c r="AF2" s="1">
        <f>IF(AE2=1,COUNTIF($AE$2:AE2,1),"")</f>
        <v>1</v>
      </c>
      <c r="AG2" s="1" t="str">
        <f>IFERROR(INDEX($AA$2:$AA$248,MATCH(ROWS($AF$2:AF2),$AF$2:$AF$248,0)),"")</f>
        <v>Afghanistan</v>
      </c>
    </row>
    <row r="3" spans="1:33" ht="1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" t="s">
        <v>100</v>
      </c>
      <c r="AB3" s="1" t="s">
        <v>404</v>
      </c>
      <c r="AC3" s="1" t="s">
        <v>405</v>
      </c>
      <c r="AD3" s="1" t="s">
        <v>406</v>
      </c>
      <c r="AE3" s="1">
        <f t="shared" ref="AE3:AE67" si="1">--ISNUMBER(IFERROR(SEARCH($X$1,AA3,1),""))</f>
        <v>1</v>
      </c>
      <c r="AF3" s="1">
        <f>IF(AE3=1,COUNTIF($AE$2:AE3,1),"")</f>
        <v>2</v>
      </c>
      <c r="AG3" s="1" t="str">
        <f>IFERROR(INDEX($AA$2:$AA$248,MATCH(ROWS($AF$2:AF3),$AF$2:$AF$248,0)),"")</f>
        <v>Albania</v>
      </c>
    </row>
    <row r="4" spans="1:33" ht="15" customHeight="1" x14ac:dyDescent="0.25">
      <c r="B4" s="11" t="s">
        <v>1</v>
      </c>
      <c r="C4" s="25"/>
      <c r="E4" s="12" t="s">
        <v>0</v>
      </c>
      <c r="F4" s="19" t="str">
        <f>IFERROR(VLOOKUP(C4,AA2:AD248,4,0),"")</f>
        <v/>
      </c>
      <c r="H4" s="11" t="s">
        <v>2</v>
      </c>
      <c r="I4" s="13"/>
      <c r="X4" s="1" t="s">
        <v>740</v>
      </c>
      <c r="AA4" s="1" t="s">
        <v>5</v>
      </c>
      <c r="AB4" s="1" t="s">
        <v>190</v>
      </c>
      <c r="AC4" s="1" t="s">
        <v>191</v>
      </c>
      <c r="AD4" s="1" t="s">
        <v>192</v>
      </c>
      <c r="AE4" s="1">
        <f t="shared" si="1"/>
        <v>1</v>
      </c>
      <c r="AF4" s="1">
        <f>IF(AE4=1,COUNTIF($AE$2:AE4,1),"")</f>
        <v>3</v>
      </c>
      <c r="AG4" s="1" t="str">
        <f>IFERROR(INDEX($AA$2:$AA$248,MATCH(ROWS($AF$2:AF4),$AF$2:$AF$248,0)),"")</f>
        <v>Algeria</v>
      </c>
    </row>
    <row r="5" spans="1:33" ht="15" customHeight="1" x14ac:dyDescent="0.25">
      <c r="B5" s="17"/>
      <c r="C5" s="17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X5" s="1" t="s">
        <v>752</v>
      </c>
      <c r="AA5" s="1" t="s">
        <v>511</v>
      </c>
      <c r="AB5" s="1" t="s">
        <v>512</v>
      </c>
      <c r="AC5" s="1" t="s">
        <v>513</v>
      </c>
      <c r="AD5" s="1" t="s">
        <v>685</v>
      </c>
      <c r="AE5" s="1">
        <f t="shared" si="1"/>
        <v>1</v>
      </c>
      <c r="AF5" s="1">
        <f>IF(AE5=1,COUNTIF($AE$2:AE5,1),"")</f>
        <v>4</v>
      </c>
      <c r="AG5" s="1" t="str">
        <f>IFERROR(INDEX($AA$2:$AA$248,MATCH(ROWS($AF$2:AF5),$AF$2:$AF$248,0)),"")</f>
        <v>American Samoa</v>
      </c>
    </row>
    <row r="6" spans="1:33" ht="45" customHeight="1" x14ac:dyDescent="0.25">
      <c r="B6" s="39" t="s">
        <v>4</v>
      </c>
      <c r="C6" s="39" t="s">
        <v>751</v>
      </c>
      <c r="D6" s="38" t="s">
        <v>754</v>
      </c>
      <c r="E6" s="38"/>
      <c r="F6" s="38"/>
      <c r="G6" s="38" t="s">
        <v>750</v>
      </c>
      <c r="H6" s="38"/>
      <c r="I6" s="3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1:33" ht="45" customHeight="1" x14ac:dyDescent="0.25">
      <c r="B7" s="39"/>
      <c r="C7" s="39"/>
      <c r="D7" s="6" t="s">
        <v>845</v>
      </c>
      <c r="E7" s="6" t="s">
        <v>862</v>
      </c>
      <c r="F7" s="6" t="s">
        <v>842</v>
      </c>
      <c r="G7" s="38"/>
      <c r="H7" s="38"/>
      <c r="I7" s="38"/>
      <c r="J7" s="20"/>
      <c r="K7" s="20"/>
      <c r="L7" s="3"/>
      <c r="M7" s="4"/>
      <c r="N7" s="4"/>
      <c r="O7" s="4"/>
      <c r="P7" s="4"/>
      <c r="Q7" s="4"/>
      <c r="X7" s="1" t="s">
        <v>741</v>
      </c>
      <c r="AA7" s="1" t="s">
        <v>101</v>
      </c>
      <c r="AB7" s="1" t="s">
        <v>407</v>
      </c>
      <c r="AC7" s="1" t="s">
        <v>408</v>
      </c>
      <c r="AD7" s="1" t="s">
        <v>406</v>
      </c>
      <c r="AE7" s="1">
        <f t="shared" si="1"/>
        <v>1</v>
      </c>
      <c r="AF7" s="1">
        <f>IF(AE7=1,COUNTIF($AE$2:AE7,1),"")</f>
        <v>5</v>
      </c>
      <c r="AG7" s="1" t="str">
        <f>IFERROR(INDEX($AA$2:$AA$248,MATCH(ROWS($AF$2:AF7),$AF$2:$AF$248,0)),"")</f>
        <v>Angola</v>
      </c>
    </row>
    <row r="8" spans="1:33" ht="30" customHeight="1" x14ac:dyDescent="0.25">
      <c r="B8" s="7">
        <v>1</v>
      </c>
      <c r="C8" s="8" t="s">
        <v>3</v>
      </c>
      <c r="D8" s="28" t="s">
        <v>1190</v>
      </c>
      <c r="E8" s="28" t="s">
        <v>1190</v>
      </c>
      <c r="F8" s="28" t="s">
        <v>1190</v>
      </c>
      <c r="G8" s="40"/>
      <c r="H8" s="41"/>
      <c r="I8" s="42"/>
      <c r="J8" s="21"/>
      <c r="K8" s="21"/>
      <c r="L8" s="10"/>
      <c r="M8" s="10"/>
      <c r="N8" s="10"/>
      <c r="O8" s="10"/>
      <c r="P8" s="10"/>
      <c r="Q8" s="10"/>
      <c r="AA8" s="1" t="s">
        <v>6</v>
      </c>
      <c r="AB8" s="1" t="s">
        <v>193</v>
      </c>
      <c r="AC8" s="1" t="s">
        <v>194</v>
      </c>
      <c r="AD8" s="1" t="s">
        <v>192</v>
      </c>
      <c r="AE8" s="1">
        <f t="shared" si="1"/>
        <v>1</v>
      </c>
      <c r="AF8" s="1">
        <f>IF(AE8=1,COUNTIF($AE$2:AE8,1),"")</f>
        <v>6</v>
      </c>
      <c r="AG8" s="1" t="str">
        <f>IFERROR(INDEX($AA$2:$AA$248,MATCH(ROWS($AF$2:AF8),$AF$2:$AF$248,0)),"")</f>
        <v>Anguilla</v>
      </c>
    </row>
    <row r="9" spans="1:33" ht="30" customHeight="1" x14ac:dyDescent="0.25">
      <c r="B9" s="7">
        <v>1.1000000000000001</v>
      </c>
      <c r="C9" s="8" t="s">
        <v>749</v>
      </c>
      <c r="D9" s="28" t="s">
        <v>1190</v>
      </c>
      <c r="E9" s="28" t="s">
        <v>1190</v>
      </c>
      <c r="F9" s="28" t="s">
        <v>1190</v>
      </c>
      <c r="G9" s="40"/>
      <c r="H9" s="41"/>
      <c r="I9" s="42"/>
      <c r="J9" s="21"/>
      <c r="K9" s="21"/>
      <c r="L9" s="10"/>
      <c r="M9" s="10"/>
      <c r="N9" s="10"/>
      <c r="O9" s="10"/>
      <c r="P9" s="10"/>
      <c r="Q9" s="10"/>
      <c r="AA9" s="23" t="s">
        <v>515</v>
      </c>
      <c r="AB9" s="23" t="s">
        <v>516</v>
      </c>
      <c r="AC9" s="23" t="s">
        <v>517</v>
      </c>
      <c r="AD9" s="23" t="s">
        <v>288</v>
      </c>
      <c r="AE9" s="1">
        <f t="shared" si="1"/>
        <v>1</v>
      </c>
      <c r="AF9" s="1">
        <f>IF(AE9=1,COUNTIF($AE$2:AE9,1),"")</f>
        <v>7</v>
      </c>
      <c r="AG9" s="1" t="str">
        <f>IFERROR(INDEX($AA$2:$AA$248,MATCH(ROWS($AF$2:AF9),$AF$2:$AF$248,0)),"")</f>
        <v>Antigua and Barbuda</v>
      </c>
    </row>
    <row r="10" spans="1:33" ht="30" customHeight="1" x14ac:dyDescent="0.25">
      <c r="B10" s="7">
        <v>1.2</v>
      </c>
      <c r="C10" s="8" t="s">
        <v>743</v>
      </c>
      <c r="D10" s="28" t="s">
        <v>1190</v>
      </c>
      <c r="E10" s="28" t="s">
        <v>1190</v>
      </c>
      <c r="F10" s="28" t="s">
        <v>1190</v>
      </c>
      <c r="G10" s="40"/>
      <c r="H10" s="41"/>
      <c r="I10" s="42"/>
      <c r="J10" s="21"/>
      <c r="K10" s="21"/>
      <c r="L10" s="10"/>
      <c r="M10" s="10"/>
      <c r="N10" s="10"/>
      <c r="O10" s="10"/>
      <c r="P10" s="10"/>
      <c r="Q10" s="10"/>
      <c r="AA10" s="23" t="s">
        <v>46</v>
      </c>
      <c r="AB10" s="23" t="s">
        <v>286</v>
      </c>
      <c r="AC10" s="23" t="s">
        <v>287</v>
      </c>
      <c r="AD10" s="23" t="s">
        <v>288</v>
      </c>
      <c r="AE10" s="1">
        <f t="shared" si="1"/>
        <v>1</v>
      </c>
      <c r="AF10" s="1">
        <f>IF(AE10=1,COUNTIF($AE$2:AE10,1),"")</f>
        <v>8</v>
      </c>
      <c r="AG10" s="1" t="str">
        <f>IFERROR(INDEX($AA$2:$AA$248,MATCH(ROWS($AF$2:AF10),$AF$2:$AF$248,0)),"")</f>
        <v>Argentina</v>
      </c>
    </row>
    <row r="11" spans="1:33" ht="30" customHeight="1" x14ac:dyDescent="0.25">
      <c r="B11" s="7">
        <v>2</v>
      </c>
      <c r="C11" s="8" t="s">
        <v>744</v>
      </c>
      <c r="D11" s="28" t="s">
        <v>1190</v>
      </c>
      <c r="E11" s="28" t="s">
        <v>1190</v>
      </c>
      <c r="F11" s="28" t="s">
        <v>1190</v>
      </c>
      <c r="G11" s="40"/>
      <c r="H11" s="41"/>
      <c r="I11" s="42"/>
      <c r="J11" s="21"/>
      <c r="K11" s="21"/>
      <c r="L11" s="10"/>
      <c r="M11" s="10"/>
      <c r="N11" s="10"/>
      <c r="O11" s="10"/>
      <c r="P11" s="10"/>
      <c r="Q11" s="10"/>
      <c r="AA11" s="23" t="s">
        <v>47</v>
      </c>
      <c r="AB11" s="23" t="s">
        <v>289</v>
      </c>
      <c r="AC11" s="23" t="s">
        <v>290</v>
      </c>
      <c r="AD11" s="23" t="s">
        <v>288</v>
      </c>
      <c r="AE11" s="1">
        <f t="shared" si="1"/>
        <v>1</v>
      </c>
      <c r="AF11" s="1">
        <f>IF(AE11=1,COUNTIF($AE$2:AE11,1),"")</f>
        <v>9</v>
      </c>
      <c r="AG11" s="1" t="str">
        <f>IFERROR(INDEX($AA$2:$AA$248,MATCH(ROWS($AF$2:AF11),$AF$2:$AF$248,0)),"")</f>
        <v>Armenia</v>
      </c>
    </row>
    <row r="12" spans="1:33" ht="30" customHeight="1" x14ac:dyDescent="0.25">
      <c r="B12" s="7">
        <v>3</v>
      </c>
      <c r="C12" s="8" t="s">
        <v>755</v>
      </c>
      <c r="D12" s="28" t="s">
        <v>1190</v>
      </c>
      <c r="E12" s="28" t="s">
        <v>1190</v>
      </c>
      <c r="F12" s="28" t="s">
        <v>1190</v>
      </c>
      <c r="G12" s="40"/>
      <c r="H12" s="41"/>
      <c r="I12" s="42"/>
      <c r="J12" s="21"/>
      <c r="K12" s="2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AA12" s="23" t="s">
        <v>102</v>
      </c>
      <c r="AB12" s="23" t="s">
        <v>409</v>
      </c>
      <c r="AC12" s="23" t="s">
        <v>410</v>
      </c>
      <c r="AD12" s="23" t="s">
        <v>406</v>
      </c>
      <c r="AE12" s="1">
        <f t="shared" si="1"/>
        <v>1</v>
      </c>
      <c r="AF12" s="1">
        <f>IF(AE12=1,COUNTIF($AE$2:AE12,1),"")</f>
        <v>10</v>
      </c>
      <c r="AG12" s="1" t="str">
        <f>IFERROR(INDEX($AA$2:$AA$248,MATCH(ROWS($AF$2:AF12),$AF$2:$AF$248,0)),"")</f>
        <v>Aruba</v>
      </c>
    </row>
    <row r="13" spans="1:33" ht="30" customHeight="1" x14ac:dyDescent="0.25">
      <c r="B13" s="7">
        <v>4</v>
      </c>
      <c r="C13" s="8" t="s">
        <v>746</v>
      </c>
      <c r="D13" s="28" t="s">
        <v>1190</v>
      </c>
      <c r="E13" s="28" t="s">
        <v>1190</v>
      </c>
      <c r="F13" s="28" t="s">
        <v>1190</v>
      </c>
      <c r="G13" s="40"/>
      <c r="H13" s="41"/>
      <c r="I13" s="42"/>
      <c r="J13" s="21"/>
      <c r="K13" s="2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AA13" s="23" t="s">
        <v>518</v>
      </c>
      <c r="AB13" s="23" t="s">
        <v>519</v>
      </c>
      <c r="AC13" s="23" t="s">
        <v>520</v>
      </c>
      <c r="AD13" s="23" t="s">
        <v>288</v>
      </c>
      <c r="AE13" s="1">
        <f t="shared" si="1"/>
        <v>1</v>
      </c>
      <c r="AF13" s="1">
        <f>IF(AE13=1,COUNTIF($AE$2:AE13,1),"")</f>
        <v>11</v>
      </c>
      <c r="AG13" s="1" t="str">
        <f>IFERROR(INDEX($AA$2:$AA$248,MATCH(ROWS($AF$2:AF13),$AF$2:$AF$248,0)),"")</f>
        <v>Australia</v>
      </c>
    </row>
    <row r="14" spans="1:33" ht="30" customHeight="1" x14ac:dyDescent="0.25">
      <c r="B14" s="7">
        <v>5</v>
      </c>
      <c r="C14" s="8" t="s">
        <v>747</v>
      </c>
      <c r="D14" s="28" t="s">
        <v>1190</v>
      </c>
      <c r="E14" s="28" t="s">
        <v>1190</v>
      </c>
      <c r="F14" s="28" t="s">
        <v>1190</v>
      </c>
      <c r="G14" s="40"/>
      <c r="H14" s="41"/>
      <c r="I14" s="42"/>
      <c r="J14" s="21"/>
      <c r="K14" s="21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AA14" s="23" t="s">
        <v>161</v>
      </c>
      <c r="AB14" s="23" t="s">
        <v>683</v>
      </c>
      <c r="AC14" s="23" t="s">
        <v>684</v>
      </c>
      <c r="AD14" s="23" t="s">
        <v>685</v>
      </c>
      <c r="AE14" s="1">
        <f t="shared" si="1"/>
        <v>1</v>
      </c>
      <c r="AF14" s="1">
        <f>IF(AE14=1,COUNTIF($AE$2:AE14,1),"")</f>
        <v>12</v>
      </c>
      <c r="AG14" s="1" t="str">
        <f>IFERROR(INDEX($AA$2:$AA$248,MATCH(ROWS($AF$2:AF14),$AF$2:$AF$248,0)),"")</f>
        <v>Austria</v>
      </c>
    </row>
    <row r="15" spans="1:33" ht="15" customHeight="1" x14ac:dyDescent="0.25">
      <c r="B15" s="9"/>
      <c r="C15" s="9"/>
      <c r="D15" s="9"/>
      <c r="E15" s="9"/>
      <c r="F15" s="9"/>
      <c r="G15" s="9"/>
      <c r="H15" s="9"/>
      <c r="I15" s="9"/>
      <c r="J15" s="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AA15" s="23" t="s">
        <v>103</v>
      </c>
      <c r="AB15" s="23" t="s">
        <v>411</v>
      </c>
      <c r="AC15" s="23" t="s">
        <v>412</v>
      </c>
      <c r="AD15" s="23" t="s">
        <v>406</v>
      </c>
      <c r="AE15" s="1">
        <f t="shared" si="1"/>
        <v>1</v>
      </c>
      <c r="AF15" s="1">
        <f>IF(AE15=1,COUNTIF($AE$2:AE15,1),"")</f>
        <v>13</v>
      </c>
      <c r="AG15" s="1" t="str">
        <f>IFERROR(INDEX($AA$2:$AA$248,MATCH(ROWS($AF$2:AF15),$AF$2:$AF$248,0)),"")</f>
        <v>Azerbaijan</v>
      </c>
    </row>
    <row r="16" spans="1:33" ht="15" customHeight="1" x14ac:dyDescent="0.25">
      <c r="B16" s="9"/>
      <c r="C16" s="9"/>
      <c r="D16" s="9"/>
      <c r="E16" s="9"/>
      <c r="F16" s="9"/>
      <c r="G16" s="9"/>
      <c r="H16" s="9"/>
      <c r="I16" s="9"/>
      <c r="J16" s="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AA16" s="23" t="s">
        <v>104</v>
      </c>
      <c r="AB16" s="23" t="s">
        <v>413</v>
      </c>
      <c r="AC16" s="23" t="s">
        <v>414</v>
      </c>
      <c r="AD16" s="23" t="s">
        <v>406</v>
      </c>
      <c r="AE16" s="1">
        <f t="shared" si="1"/>
        <v>1</v>
      </c>
      <c r="AF16" s="1">
        <f>IF(AE16=1,COUNTIF($AE$2:AE16,1),"")</f>
        <v>14</v>
      </c>
      <c r="AG16" s="1" t="str">
        <f>IFERROR(INDEX($AA$2:$AA$248,MATCH(ROWS($AF$2:AF16),$AF$2:$AF$248,0)),"")</f>
        <v>Bahamas</v>
      </c>
    </row>
    <row r="17" spans="2:33" ht="15" customHeight="1" x14ac:dyDescent="0.25">
      <c r="B17" s="9"/>
      <c r="C17" s="9" t="s">
        <v>748</v>
      </c>
      <c r="D17" s="9"/>
      <c r="E17" s="9"/>
      <c r="F17" s="9"/>
      <c r="G17" s="9"/>
      <c r="H17" s="9"/>
      <c r="I17" s="9"/>
      <c r="J17" s="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AA17" s="23" t="s">
        <v>291</v>
      </c>
      <c r="AB17" s="23" t="s">
        <v>292</v>
      </c>
      <c r="AC17" s="23" t="s">
        <v>293</v>
      </c>
      <c r="AD17" s="23" t="s">
        <v>288</v>
      </c>
      <c r="AE17" s="1">
        <f t="shared" si="1"/>
        <v>1</v>
      </c>
      <c r="AF17" s="1">
        <f>IF(AE17=1,COUNTIF($AE$2:AE17,1),"")</f>
        <v>15</v>
      </c>
      <c r="AG17" s="1" t="str">
        <f>IFERROR(INDEX($AA$2:$AA$248,MATCH(ROWS($AF$2:AF17),$AF$2:$AF$248,0)),"")</f>
        <v>Bahrain</v>
      </c>
    </row>
    <row r="18" spans="2:33" ht="15" customHeight="1" x14ac:dyDescent="0.25">
      <c r="B18" s="9"/>
      <c r="C18" s="9"/>
      <c r="D18" s="9"/>
      <c r="E18" s="9"/>
      <c r="F18" s="9"/>
      <c r="G18" s="9"/>
      <c r="H18" s="9"/>
      <c r="I18" s="9"/>
      <c r="J18" s="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>
        <f t="shared" ref="W18:W35" ca="1" si="2">W19+1</f>
        <v>2020</v>
      </c>
      <c r="X18" s="10"/>
      <c r="Y18" s="10"/>
      <c r="AA18" s="23" t="s">
        <v>81</v>
      </c>
      <c r="AB18" s="23" t="s">
        <v>361</v>
      </c>
      <c r="AC18" s="23" t="s">
        <v>362</v>
      </c>
      <c r="AD18" s="23" t="s">
        <v>360</v>
      </c>
      <c r="AE18" s="1">
        <f t="shared" si="1"/>
        <v>1</v>
      </c>
      <c r="AF18" s="1">
        <f>IF(AE18=1,COUNTIF($AE$2:AE18,1),"")</f>
        <v>16</v>
      </c>
      <c r="AG18" s="1" t="str">
        <f>IFERROR(INDEX($AA$2:$AA$248,MATCH(ROWS($AF$2:AF18),$AF$2:$AF$248,0)),"")</f>
        <v>Bangladesh</v>
      </c>
    </row>
    <row r="19" spans="2:33" ht="15" customHeight="1" x14ac:dyDescent="0.25">
      <c r="B19" s="9"/>
      <c r="C19" s="9"/>
      <c r="D19" s="9"/>
      <c r="E19" s="9"/>
      <c r="F19" s="9"/>
      <c r="G19" s="9"/>
      <c r="H19" s="9"/>
      <c r="I19" s="9"/>
      <c r="J19" s="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>
        <f t="shared" ca="1" si="2"/>
        <v>2019</v>
      </c>
      <c r="X19" s="10"/>
      <c r="Y19" s="10"/>
      <c r="AA19" s="23" t="s">
        <v>150</v>
      </c>
      <c r="AB19" s="23" t="s">
        <v>765</v>
      </c>
      <c r="AC19" s="23" t="s">
        <v>661</v>
      </c>
      <c r="AD19" s="23" t="s">
        <v>662</v>
      </c>
      <c r="AE19" s="1">
        <f t="shared" si="1"/>
        <v>1</v>
      </c>
      <c r="AF19" s="1">
        <f>IF(AE19=1,COUNTIF($AE$2:AE19,1),"")</f>
        <v>17</v>
      </c>
      <c r="AG19" s="1" t="str">
        <f>IFERROR(INDEX($AA$2:$AA$248,MATCH(ROWS($AF$2:AF19),$AF$2:$AF$248,0)),"")</f>
        <v>Barbados</v>
      </c>
    </row>
    <row r="20" spans="2:33" ht="15" customHeight="1" x14ac:dyDescent="0.25">
      <c r="B20" s="9"/>
      <c r="C20" s="9"/>
      <c r="D20" s="9"/>
      <c r="E20" s="9"/>
      <c r="F20" s="9"/>
      <c r="G20" s="9"/>
      <c r="H20" s="9"/>
      <c r="I20" s="9"/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>
        <f t="shared" ca="1" si="2"/>
        <v>2018</v>
      </c>
      <c r="X20" s="10"/>
      <c r="Y20" s="10"/>
      <c r="AA20" s="23" t="s">
        <v>48</v>
      </c>
      <c r="AB20" s="23" t="s">
        <v>294</v>
      </c>
      <c r="AC20" s="23" t="s">
        <v>295</v>
      </c>
      <c r="AD20" s="23" t="s">
        <v>288</v>
      </c>
      <c r="AE20" s="1">
        <f t="shared" si="1"/>
        <v>1</v>
      </c>
      <c r="AF20" s="1">
        <f>IF(AE20=1,COUNTIF($AE$2:AE20,1),"")</f>
        <v>18</v>
      </c>
      <c r="AG20" s="1" t="str">
        <f>IFERROR(INDEX($AA$2:$AA$248,MATCH(ROWS($AF$2:AF20),$AF$2:$AF$248,0)),"")</f>
        <v>Belarus</v>
      </c>
    </row>
    <row r="21" spans="2:33" ht="15" customHeight="1" x14ac:dyDescent="0.25">
      <c r="B21" s="9"/>
      <c r="C21" s="9"/>
      <c r="D21" s="9"/>
      <c r="E21" s="9"/>
      <c r="F21" s="9"/>
      <c r="G21" s="9"/>
      <c r="H21" s="9"/>
      <c r="I21" s="9"/>
      <c r="J21" s="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>
        <f t="shared" ca="1" si="2"/>
        <v>2017</v>
      </c>
      <c r="X21" s="10"/>
      <c r="Y21" s="10"/>
      <c r="AA21" s="23" t="s">
        <v>105</v>
      </c>
      <c r="AB21" s="23" t="s">
        <v>415</v>
      </c>
      <c r="AC21" s="23" t="s">
        <v>416</v>
      </c>
      <c r="AD21" s="23" t="s">
        <v>406</v>
      </c>
      <c r="AE21" s="1">
        <f t="shared" si="1"/>
        <v>1</v>
      </c>
      <c r="AF21" s="1">
        <f>IF(AE21=1,COUNTIF($AE$2:AE21,1),"")</f>
        <v>19</v>
      </c>
      <c r="AG21" s="1" t="str">
        <f>IFERROR(INDEX($AA$2:$AA$248,MATCH(ROWS($AF$2:AF21),$AF$2:$AF$248,0)),"")</f>
        <v>Belgium</v>
      </c>
    </row>
    <row r="22" spans="2:33" ht="15" customHeight="1" x14ac:dyDescent="0.25">
      <c r="B22" s="9"/>
      <c r="C22" s="9"/>
      <c r="D22" s="9"/>
      <c r="E22" s="9"/>
      <c r="F22" s="9"/>
      <c r="G22" s="9"/>
      <c r="H22" s="9"/>
      <c r="I22" s="9"/>
      <c r="J22" s="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>
        <f t="shared" ca="1" si="2"/>
        <v>2016</v>
      </c>
      <c r="X22" s="10"/>
      <c r="Y22" s="10"/>
      <c r="AA22" s="23" t="s">
        <v>106</v>
      </c>
      <c r="AB22" s="23" t="s">
        <v>417</v>
      </c>
      <c r="AC22" s="23" t="s">
        <v>418</v>
      </c>
      <c r="AD22" s="23" t="s">
        <v>406</v>
      </c>
      <c r="AE22" s="1">
        <f t="shared" si="1"/>
        <v>1</v>
      </c>
      <c r="AF22" s="1">
        <f>IF(AE22=1,COUNTIF($AE$2:AE22,1),"")</f>
        <v>20</v>
      </c>
      <c r="AG22" s="1" t="str">
        <f>IFERROR(INDEX($AA$2:$AA$248,MATCH(ROWS($AF$2:AF22),$AF$2:$AF$248,0)),"")</f>
        <v>Belize</v>
      </c>
    </row>
    <row r="23" spans="2:33" ht="15" customHeight="1" x14ac:dyDescent="0.25">
      <c r="B23" s="9"/>
      <c r="C23" s="15"/>
      <c r="D23" s="9"/>
      <c r="E23" s="9"/>
      <c r="F23" s="9"/>
      <c r="G23" s="9"/>
      <c r="H23" s="9"/>
      <c r="I23" s="9"/>
      <c r="J23" s="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>
        <f t="shared" ca="1" si="2"/>
        <v>2015</v>
      </c>
      <c r="X23" s="10"/>
      <c r="Y23" s="10"/>
      <c r="AA23" s="23" t="s">
        <v>49</v>
      </c>
      <c r="AB23" s="23" t="s">
        <v>296</v>
      </c>
      <c r="AC23" s="23" t="s">
        <v>297</v>
      </c>
      <c r="AD23" s="23" t="s">
        <v>288</v>
      </c>
      <c r="AE23" s="1">
        <f t="shared" si="1"/>
        <v>1</v>
      </c>
      <c r="AF23" s="1">
        <f>IF(AE23=1,COUNTIF($AE$2:AE23,1),"")</f>
        <v>21</v>
      </c>
      <c r="AG23" s="1" t="str">
        <f>IFERROR(INDEX($AA$2:$AA$248,MATCH(ROWS($AF$2:AF23),$AF$2:$AF$248,0)),"")</f>
        <v>Benin</v>
      </c>
    </row>
    <row r="24" spans="2:33" ht="15" customHeight="1" x14ac:dyDescent="0.25">
      <c r="B24" s="9"/>
      <c r="C24" s="9"/>
      <c r="D24" s="9"/>
      <c r="E24" s="9"/>
      <c r="F24" s="9"/>
      <c r="G24" s="9"/>
      <c r="H24" s="9"/>
      <c r="I24" s="9"/>
      <c r="J24" s="9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>
        <f t="shared" ca="1" si="2"/>
        <v>2014</v>
      </c>
      <c r="X24" s="10"/>
      <c r="Y24" s="10"/>
      <c r="AA24" s="23" t="s">
        <v>7</v>
      </c>
      <c r="AB24" s="23" t="s">
        <v>8</v>
      </c>
      <c r="AC24" s="23" t="s">
        <v>195</v>
      </c>
      <c r="AD24" s="23" t="s">
        <v>192</v>
      </c>
      <c r="AE24" s="1">
        <f t="shared" si="1"/>
        <v>1</v>
      </c>
      <c r="AF24" s="1">
        <f>IF(AE24=1,COUNTIF($AE$2:AE24,1),"")</f>
        <v>22</v>
      </c>
      <c r="AG24" s="1" t="str">
        <f>IFERROR(INDEX($AA$2:$AA$248,MATCH(ROWS($AF$2:AF24),$AF$2:$AF$248,0)),"")</f>
        <v>Bermuda</v>
      </c>
    </row>
    <row r="25" spans="2:33" ht="15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f t="shared" ca="1" si="2"/>
        <v>2013</v>
      </c>
      <c r="X25" s="10"/>
      <c r="Y25" s="10"/>
      <c r="AA25" s="23" t="s">
        <v>521</v>
      </c>
      <c r="AB25" s="23" t="s">
        <v>522</v>
      </c>
      <c r="AC25" s="23" t="s">
        <v>523</v>
      </c>
      <c r="AD25" s="23" t="s">
        <v>288</v>
      </c>
      <c r="AE25" s="1">
        <f t="shared" si="1"/>
        <v>1</v>
      </c>
      <c r="AF25" s="1">
        <f>IF(AE25=1,COUNTIF($AE$2:AE25,1),"")</f>
        <v>23</v>
      </c>
      <c r="AG25" s="1" t="str">
        <f>IFERROR(INDEX($AA$2:$AA$248,MATCH(ROWS($AF$2:AF25),$AF$2:$AF$248,0)),"")</f>
        <v>Bhutan</v>
      </c>
    </row>
    <row r="26" spans="2:33" ht="15" customHeight="1" x14ac:dyDescent="0.25">
      <c r="B26" s="9"/>
      <c r="C26" s="9"/>
      <c r="D26" s="9"/>
      <c r="E26" s="9"/>
      <c r="F26" s="9"/>
      <c r="G26" s="9"/>
      <c r="H26" s="9"/>
      <c r="I26" s="9"/>
      <c r="J26" s="9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>
        <f t="shared" ca="1" si="2"/>
        <v>2012</v>
      </c>
      <c r="X26" s="10"/>
      <c r="Y26" s="10"/>
      <c r="AA26" s="23" t="s">
        <v>151</v>
      </c>
      <c r="AB26" s="23" t="s">
        <v>663</v>
      </c>
      <c r="AC26" s="23" t="s">
        <v>664</v>
      </c>
      <c r="AD26" s="23" t="s">
        <v>662</v>
      </c>
      <c r="AE26" s="1">
        <f t="shared" si="1"/>
        <v>1</v>
      </c>
      <c r="AF26" s="1">
        <f>IF(AE26=1,COUNTIF($AE$2:AE26,1),"")</f>
        <v>24</v>
      </c>
      <c r="AG26" s="1" t="str">
        <f>IFERROR(INDEX($AA$2:$AA$248,MATCH(ROWS($AF$2:AF26),$AF$2:$AF$248,0)),"")</f>
        <v>Bolivia (Plurinational State of)</v>
      </c>
    </row>
    <row r="27" spans="2:33" ht="15" customHeight="1" x14ac:dyDescent="0.25">
      <c r="B27" s="9"/>
      <c r="C27" s="9"/>
      <c r="D27" s="9"/>
      <c r="E27" s="9"/>
      <c r="F27" s="9"/>
      <c r="G27" s="9"/>
      <c r="H27" s="9"/>
      <c r="I27" s="9"/>
      <c r="J27" s="9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>
        <f t="shared" ca="1" si="2"/>
        <v>2011</v>
      </c>
      <c r="X27" s="10"/>
      <c r="Y27" s="10"/>
      <c r="AA27" s="23" t="s">
        <v>50</v>
      </c>
      <c r="AB27" s="23" t="s">
        <v>298</v>
      </c>
      <c r="AC27" s="23" t="s">
        <v>299</v>
      </c>
      <c r="AD27" s="23" t="s">
        <v>288</v>
      </c>
      <c r="AE27" s="1">
        <f t="shared" si="1"/>
        <v>1</v>
      </c>
      <c r="AF27" s="1">
        <f>IF(AE27=1,COUNTIF($AE$2:AE27,1),"")</f>
        <v>25</v>
      </c>
      <c r="AG27" s="1" t="str">
        <f>IFERROR(INDEX($AA$2:$AA$248,MATCH(ROWS($AF$2:AF27),$AF$2:$AF$248,0)),"")</f>
        <v>Bonaire, Saint Eustatius and Saba</v>
      </c>
    </row>
    <row r="28" spans="2:33" ht="15" customHeight="1" x14ac:dyDescent="0.25">
      <c r="B28" s="9"/>
      <c r="C28" s="9"/>
      <c r="D28" s="9"/>
      <c r="E28" s="9"/>
      <c r="F28" s="9"/>
      <c r="G28" s="9"/>
      <c r="H28" s="9"/>
      <c r="I28" s="9"/>
      <c r="J28" s="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>
        <f t="shared" ca="1" si="2"/>
        <v>2010</v>
      </c>
      <c r="X28" s="10"/>
      <c r="Y28" s="10"/>
      <c r="AA28" s="23" t="s">
        <v>524</v>
      </c>
      <c r="AB28" s="23" t="s">
        <v>525</v>
      </c>
      <c r="AC28" s="23" t="s">
        <v>526</v>
      </c>
      <c r="AD28" s="23" t="s">
        <v>288</v>
      </c>
      <c r="AE28" s="1">
        <f t="shared" si="1"/>
        <v>1</v>
      </c>
      <c r="AF28" s="1">
        <f>IF(AE28=1,COUNTIF($AE$2:AE28,1),"")</f>
        <v>26</v>
      </c>
      <c r="AG28" s="1" t="str">
        <f>IFERROR(INDEX($AA$2:$AA$248,MATCH(ROWS($AF$2:AF28),$AF$2:$AF$248,0)),"")</f>
        <v>Bosnia and Herzegovina</v>
      </c>
    </row>
    <row r="29" spans="2:33" ht="15" customHeight="1" x14ac:dyDescent="0.25">
      <c r="B29" s="9"/>
      <c r="C29" s="9"/>
      <c r="D29" s="9"/>
      <c r="E29" s="9"/>
      <c r="F29" s="9"/>
      <c r="G29" s="9"/>
      <c r="H29" s="9"/>
      <c r="I29" s="9"/>
      <c r="J29" s="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>
        <f t="shared" ca="1" si="2"/>
        <v>2009</v>
      </c>
      <c r="X29" s="10"/>
      <c r="Y29" s="10"/>
      <c r="AA29" s="23" t="s">
        <v>107</v>
      </c>
      <c r="AB29" s="23" t="s">
        <v>419</v>
      </c>
      <c r="AC29" s="23" t="s">
        <v>420</v>
      </c>
      <c r="AD29" s="23" t="s">
        <v>406</v>
      </c>
      <c r="AE29" s="1">
        <f t="shared" si="1"/>
        <v>1</v>
      </c>
      <c r="AF29" s="1">
        <f>IF(AE29=1,COUNTIF($AE$2:AE29,1),"")</f>
        <v>27</v>
      </c>
      <c r="AG29" s="1" t="str">
        <f>IFERROR(INDEX($AA$2:$AA$248,MATCH(ROWS($AF$2:AF29),$AF$2:$AF$248,0)),"")</f>
        <v>Botswana</v>
      </c>
    </row>
    <row r="30" spans="2:33" ht="15" customHeight="1" x14ac:dyDescent="0.25">
      <c r="B30" s="9"/>
      <c r="C30" s="9"/>
      <c r="D30" s="9"/>
      <c r="E30" s="9"/>
      <c r="F30" s="9"/>
      <c r="G30" s="9"/>
      <c r="H30" s="9"/>
      <c r="I30" s="9"/>
      <c r="J30" s="9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>
        <f t="shared" ca="1" si="2"/>
        <v>2008</v>
      </c>
      <c r="X30" s="10"/>
      <c r="Y30" s="10"/>
      <c r="AA30" s="23" t="s">
        <v>9</v>
      </c>
      <c r="AB30" s="23" t="s">
        <v>196</v>
      </c>
      <c r="AC30" s="23" t="s">
        <v>197</v>
      </c>
      <c r="AD30" s="23" t="s">
        <v>192</v>
      </c>
      <c r="AE30" s="1">
        <f t="shared" si="1"/>
        <v>1</v>
      </c>
      <c r="AF30" s="1">
        <f>IF(AE30=1,COUNTIF($AE$2:AE30,1),"")</f>
        <v>28</v>
      </c>
      <c r="AG30" s="1" t="str">
        <f>IFERROR(INDEX($AA$2:$AA$248,MATCH(ROWS($AF$2:AF30),$AF$2:$AF$248,0)),"")</f>
        <v>Bouvet Island</v>
      </c>
    </row>
    <row r="31" spans="2:33" ht="1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>
        <f t="shared" ca="1" si="2"/>
        <v>2007</v>
      </c>
      <c r="X31" s="10"/>
      <c r="Y31" s="10"/>
      <c r="AA31" s="23" t="s">
        <v>766</v>
      </c>
      <c r="AB31" s="23" t="s">
        <v>767</v>
      </c>
      <c r="AC31" s="23" t="s">
        <v>768</v>
      </c>
      <c r="AD31" s="23" t="s">
        <v>514</v>
      </c>
      <c r="AE31" s="1">
        <f t="shared" si="1"/>
        <v>1</v>
      </c>
      <c r="AF31" s="1">
        <f>IF(AE31=1,COUNTIF($AE$2:AE31,1),"")</f>
        <v>29</v>
      </c>
      <c r="AG31" s="1" t="str">
        <f>IFERROR(INDEX($AA$2:$AA$248,MATCH(ROWS($AF$2:AF31),$AF$2:$AF$248,0)),"")</f>
        <v>Brazil</v>
      </c>
    </row>
    <row r="32" spans="2:33" ht="15" customHeight="1" x14ac:dyDescent="0.25">
      <c r="B32" s="9"/>
      <c r="C32" s="9"/>
      <c r="D32" s="9"/>
      <c r="E32" s="9"/>
      <c r="F32" s="9"/>
      <c r="G32" s="9"/>
      <c r="H32" s="9"/>
      <c r="I32" s="9"/>
      <c r="J32" s="9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>
        <f t="shared" ca="1" si="2"/>
        <v>2006</v>
      </c>
      <c r="X32" s="10"/>
      <c r="Y32" s="10"/>
      <c r="AA32" s="23" t="s">
        <v>51</v>
      </c>
      <c r="AB32" s="23" t="s">
        <v>300</v>
      </c>
      <c r="AC32" s="23" t="s">
        <v>301</v>
      </c>
      <c r="AD32" s="23" t="s">
        <v>288</v>
      </c>
      <c r="AE32" s="1">
        <f t="shared" si="1"/>
        <v>1</v>
      </c>
      <c r="AF32" s="1">
        <f>IF(AE32=1,COUNTIF($AE$2:AE32,1),"")</f>
        <v>30</v>
      </c>
      <c r="AG32" s="1" t="str">
        <f>IFERROR(INDEX($AA$2:$AA$248,MATCH(ROWS($AF$2:AF32),$AF$2:$AF$248,0)),"")</f>
        <v>British Indian Ocean Territory</v>
      </c>
    </row>
    <row r="33" spans="2:33" ht="15" customHeight="1" x14ac:dyDescent="0.25">
      <c r="B33" s="9"/>
      <c r="C33" s="9"/>
      <c r="D33" s="9"/>
      <c r="E33" s="9"/>
      <c r="F33" s="9"/>
      <c r="G33" s="9"/>
      <c r="H33" s="9"/>
      <c r="I33" s="9"/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>
        <f t="shared" ca="1" si="2"/>
        <v>2005</v>
      </c>
      <c r="X33" s="10"/>
      <c r="Y33" s="10"/>
      <c r="AA33" s="23" t="s">
        <v>769</v>
      </c>
      <c r="AB33" s="23" t="s">
        <v>770</v>
      </c>
      <c r="AC33" s="23" t="s">
        <v>771</v>
      </c>
      <c r="AD33" s="23" t="s">
        <v>514</v>
      </c>
      <c r="AE33" s="1">
        <f t="shared" si="1"/>
        <v>1</v>
      </c>
      <c r="AF33" s="1">
        <f>IF(AE33=1,COUNTIF($AE$2:AE33,1),"")</f>
        <v>31</v>
      </c>
      <c r="AG33" s="1" t="str">
        <f>IFERROR(INDEX($AA$2:$AA$248,MATCH(ROWS($AF$2:AF33),$AF$2:$AF$248,0)),"")</f>
        <v>British Virgin Islands</v>
      </c>
    </row>
    <row r="34" spans="2:33" ht="15" customHeight="1" x14ac:dyDescent="0.25">
      <c r="B34" s="9"/>
      <c r="C34" s="9"/>
      <c r="D34" s="9"/>
      <c r="E34" s="9"/>
      <c r="F34" s="9"/>
      <c r="G34" s="9"/>
      <c r="H34" s="9"/>
      <c r="I34" s="9"/>
      <c r="J34" s="9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>
        <f t="shared" ca="1" si="2"/>
        <v>2004</v>
      </c>
      <c r="X34" s="10"/>
      <c r="Y34" s="10"/>
      <c r="AA34" s="23" t="s">
        <v>527</v>
      </c>
      <c r="AB34" s="23" t="s">
        <v>528</v>
      </c>
      <c r="AC34" s="23" t="s">
        <v>529</v>
      </c>
      <c r="AD34" s="23" t="s">
        <v>288</v>
      </c>
      <c r="AE34" s="1">
        <f t="shared" si="1"/>
        <v>1</v>
      </c>
      <c r="AF34" s="1">
        <f>IF(AE34=1,COUNTIF($AE$2:AE34,1),"")</f>
        <v>32</v>
      </c>
      <c r="AG34" s="1" t="str">
        <f>IFERROR(INDEX($AA$2:$AA$248,MATCH(ROWS($AF$2:AF34),$AF$2:$AF$248,0)),"")</f>
        <v>Brunei Darussalam</v>
      </c>
    </row>
    <row r="35" spans="2:33" ht="15" customHeight="1" x14ac:dyDescent="0.25">
      <c r="B35" s="9"/>
      <c r="C35" s="9"/>
      <c r="D35" s="9"/>
      <c r="E35" s="9"/>
      <c r="F35" s="9"/>
      <c r="G35" s="9"/>
      <c r="H35" s="9"/>
      <c r="I35" s="9"/>
      <c r="J35" s="9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>
        <f t="shared" ca="1" si="2"/>
        <v>2003</v>
      </c>
      <c r="X35" s="10"/>
      <c r="Y35" s="10"/>
      <c r="AA35" s="23" t="s">
        <v>162</v>
      </c>
      <c r="AB35" s="23" t="s">
        <v>686</v>
      </c>
      <c r="AC35" s="23" t="s">
        <v>687</v>
      </c>
      <c r="AD35" s="23" t="s">
        <v>685</v>
      </c>
      <c r="AE35" s="1">
        <f t="shared" si="1"/>
        <v>1</v>
      </c>
      <c r="AF35" s="1">
        <f>IF(AE35=1,COUNTIF($AE$2:AE35,1),"")</f>
        <v>33</v>
      </c>
      <c r="AG35" s="1" t="str">
        <f>IFERROR(INDEX($AA$2:$AA$248,MATCH(ROWS($AF$2:AF35),$AF$2:$AF$248,0)),"")</f>
        <v>Bulgaria</v>
      </c>
    </row>
    <row r="36" spans="2:33" ht="15" customHeight="1" x14ac:dyDescent="0.25">
      <c r="B36" s="9"/>
      <c r="C36" s="9"/>
      <c r="D36" s="9"/>
      <c r="E36" s="9"/>
      <c r="F36" s="9"/>
      <c r="G36" s="9"/>
      <c r="H36" s="9"/>
      <c r="I36" s="9"/>
      <c r="J36" s="9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>
        <f ca="1">W37+1</f>
        <v>2002</v>
      </c>
      <c r="X36" s="10"/>
      <c r="Y36" s="10"/>
      <c r="AA36" s="23" t="s">
        <v>108</v>
      </c>
      <c r="AB36" s="23" t="s">
        <v>421</v>
      </c>
      <c r="AC36" s="23" t="s">
        <v>422</v>
      </c>
      <c r="AD36" s="23" t="s">
        <v>406</v>
      </c>
      <c r="AE36" s="1">
        <f t="shared" si="1"/>
        <v>1</v>
      </c>
      <c r="AF36" s="1">
        <f>IF(AE36=1,COUNTIF($AE$2:AE36,1),"")</f>
        <v>34</v>
      </c>
      <c r="AG36" s="1" t="str">
        <f>IFERROR(INDEX($AA$2:$AA$248,MATCH(ROWS($AF$2:AF36),$AF$2:$AF$248,0)),"")</f>
        <v>Burkina Faso</v>
      </c>
    </row>
    <row r="37" spans="2:33" ht="15" customHeight="1" x14ac:dyDescent="0.25"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>
        <f ca="1">YEAR(TODAY())-20</f>
        <v>2001</v>
      </c>
      <c r="X37" s="10"/>
      <c r="Y37" s="10"/>
      <c r="AA37" s="23" t="s">
        <v>772</v>
      </c>
      <c r="AB37" s="23" t="s">
        <v>773</v>
      </c>
      <c r="AC37" s="23" t="s">
        <v>774</v>
      </c>
      <c r="AD37" s="23" t="s">
        <v>192</v>
      </c>
      <c r="AE37" s="1">
        <f t="shared" si="1"/>
        <v>1</v>
      </c>
      <c r="AF37" s="1">
        <f>IF(AE37=1,COUNTIF($AE$2:AE37,1),"")</f>
        <v>35</v>
      </c>
      <c r="AG37" s="1" t="str">
        <f>IFERROR(INDEX($AA$2:$AA$248,MATCH(ROWS($AF$2:AF37),$AF$2:$AF$248,0)),"")</f>
        <v>Burundi</v>
      </c>
    </row>
    <row r="38" spans="2:33" ht="15" customHeight="1" x14ac:dyDescent="0.25"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23" t="s">
        <v>10</v>
      </c>
      <c r="AB38" s="23" t="s">
        <v>198</v>
      </c>
      <c r="AC38" s="23" t="s">
        <v>199</v>
      </c>
      <c r="AD38" s="23" t="s">
        <v>192</v>
      </c>
      <c r="AE38" s="1">
        <f t="shared" si="1"/>
        <v>1</v>
      </c>
      <c r="AF38" s="1">
        <f>IF(AE38=1,COUNTIF($AE$2:AE38,1),"")</f>
        <v>36</v>
      </c>
      <c r="AG38" s="1" t="str">
        <f>IFERROR(INDEX($AA$2:$AA$248,MATCH(ROWS($AF$2:AF38),$AF$2:$AF$248,0)),"")</f>
        <v>Cabo Verde</v>
      </c>
    </row>
    <row r="39" spans="2:33" ht="15" customHeight="1" x14ac:dyDescent="0.25"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23" t="s">
        <v>200</v>
      </c>
      <c r="AB39" s="23" t="s">
        <v>201</v>
      </c>
      <c r="AC39" s="23" t="s">
        <v>202</v>
      </c>
      <c r="AD39" s="23" t="s">
        <v>192</v>
      </c>
      <c r="AE39" s="1">
        <f t="shared" si="1"/>
        <v>1</v>
      </c>
      <c r="AF39" s="1">
        <f>IF(AE39=1,COUNTIF($AE$2:AE39,1),"")</f>
        <v>37</v>
      </c>
      <c r="AG39" s="1" t="str">
        <f>IFERROR(INDEX($AA$2:$AA$248,MATCH(ROWS($AF$2:AF39),$AF$2:$AF$248,0)),"")</f>
        <v>Cambodia</v>
      </c>
    </row>
    <row r="40" spans="2:33" ht="15" customHeight="1" x14ac:dyDescent="0.25"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23" t="s">
        <v>163</v>
      </c>
      <c r="AB40" s="23" t="s">
        <v>688</v>
      </c>
      <c r="AC40" s="23" t="s">
        <v>689</v>
      </c>
      <c r="AD40" s="23" t="s">
        <v>685</v>
      </c>
      <c r="AE40" s="1">
        <f t="shared" si="1"/>
        <v>1</v>
      </c>
      <c r="AF40" s="1">
        <f>IF(AE40=1,COUNTIF($AE$2:AE40,1),"")</f>
        <v>38</v>
      </c>
      <c r="AG40" s="1" t="str">
        <f>IFERROR(INDEX($AA$2:$AA$248,MATCH(ROWS($AF$2:AF40),$AF$2:$AF$248,0)),"")</f>
        <v>Cameroon</v>
      </c>
    </row>
    <row r="41" spans="2:33" ht="15" customHeight="1" x14ac:dyDescent="0.25"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23" t="s">
        <v>11</v>
      </c>
      <c r="AB41" s="23" t="s">
        <v>203</v>
      </c>
      <c r="AC41" s="23" t="s">
        <v>204</v>
      </c>
      <c r="AD41" s="23" t="s">
        <v>192</v>
      </c>
      <c r="AE41" s="1">
        <f t="shared" si="1"/>
        <v>1</v>
      </c>
      <c r="AF41" s="1">
        <f>IF(AE41=1,COUNTIF($AE$2:AE41,1),"")</f>
        <v>39</v>
      </c>
      <c r="AG41" s="1" t="str">
        <f>IFERROR(INDEX($AA$2:$AA$248,MATCH(ROWS($AF$2:AF41),$AF$2:$AF$248,0)),"")</f>
        <v>Canada</v>
      </c>
    </row>
    <row r="42" spans="2:33" ht="15" customHeight="1" x14ac:dyDescent="0.25"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23" t="s">
        <v>52</v>
      </c>
      <c r="AB42" s="23" t="s">
        <v>302</v>
      </c>
      <c r="AC42" s="23" t="s">
        <v>303</v>
      </c>
      <c r="AD42" s="23" t="s">
        <v>288</v>
      </c>
      <c r="AE42" s="1">
        <f t="shared" si="1"/>
        <v>1</v>
      </c>
      <c r="AF42" s="1">
        <f>IF(AE42=1,COUNTIF($AE$2:AE42,1),"")</f>
        <v>40</v>
      </c>
      <c r="AG42" s="1" t="str">
        <f>IFERROR(INDEX($AA$2:$AA$248,MATCH(ROWS($AF$2:AF42),$AF$2:$AF$248,0)),"")</f>
        <v>Cayman Islands</v>
      </c>
    </row>
    <row r="43" spans="2:33" ht="15" customHeight="1" x14ac:dyDescent="0.25"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23" t="s">
        <v>530</v>
      </c>
      <c r="AB43" s="23" t="s">
        <v>531</v>
      </c>
      <c r="AC43" s="23" t="s">
        <v>532</v>
      </c>
      <c r="AD43" s="23" t="s">
        <v>288</v>
      </c>
      <c r="AE43" s="1">
        <f t="shared" si="1"/>
        <v>1</v>
      </c>
      <c r="AF43" s="1">
        <f>IF(AE43=1,COUNTIF($AE$2:AE43,1),"")</f>
        <v>41</v>
      </c>
      <c r="AG43" s="1" t="str">
        <f>IFERROR(INDEX($AA$2:$AA$248,MATCH(ROWS($AF$2:AF43),$AF$2:$AF$248,0)),"")</f>
        <v>Central African Republic</v>
      </c>
    </row>
    <row r="44" spans="2:33" ht="15" customHeight="1" x14ac:dyDescent="0.25"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AA44" s="23" t="s">
        <v>12</v>
      </c>
      <c r="AB44" s="23" t="s">
        <v>205</v>
      </c>
      <c r="AC44" s="23" t="s">
        <v>206</v>
      </c>
      <c r="AD44" s="23" t="s">
        <v>192</v>
      </c>
      <c r="AE44" s="1">
        <f t="shared" si="1"/>
        <v>1</v>
      </c>
      <c r="AF44" s="1">
        <f>IF(AE44=1,COUNTIF($AE$2:AE44,1),"")</f>
        <v>42</v>
      </c>
      <c r="AG44" s="1" t="str">
        <f>IFERROR(INDEX($AA$2:$AA$248,MATCH(ROWS($AF$2:AF44),$AF$2:$AF$248,0)),"")</f>
        <v>Chad</v>
      </c>
    </row>
    <row r="45" spans="2:33" ht="15" customHeight="1" x14ac:dyDescent="0.25"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23" t="s">
        <v>13</v>
      </c>
      <c r="AB45" s="23" t="s">
        <v>207</v>
      </c>
      <c r="AC45" s="23" t="s">
        <v>208</v>
      </c>
      <c r="AD45" s="23" t="s">
        <v>192</v>
      </c>
      <c r="AE45" s="1">
        <f t="shared" si="1"/>
        <v>1</v>
      </c>
      <c r="AF45" s="1">
        <f>IF(AE45=1,COUNTIF($AE$2:AE45,1),"")</f>
        <v>43</v>
      </c>
      <c r="AG45" s="1" t="str">
        <f>IFERROR(INDEX($AA$2:$AA$248,MATCH(ROWS($AF$2:AF45),$AF$2:$AF$248,0)),"")</f>
        <v>Chile</v>
      </c>
    </row>
    <row r="46" spans="2:33" ht="15" customHeight="1" x14ac:dyDescent="0.25"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23" t="s">
        <v>53</v>
      </c>
      <c r="AB46" s="23" t="s">
        <v>304</v>
      </c>
      <c r="AC46" s="23" t="s">
        <v>305</v>
      </c>
      <c r="AD46" s="23" t="s">
        <v>288</v>
      </c>
      <c r="AE46" s="1">
        <f t="shared" si="1"/>
        <v>1</v>
      </c>
      <c r="AF46" s="1">
        <f>IF(AE46=1,COUNTIF($AE$2:AE46,1),"")</f>
        <v>44</v>
      </c>
      <c r="AG46" s="1" t="str">
        <f>IFERROR(INDEX($AA$2:$AA$248,MATCH(ROWS($AF$2:AF46),$AF$2:$AF$248,0)),"")</f>
        <v>China</v>
      </c>
    </row>
    <row r="47" spans="2:33" ht="15" customHeight="1" x14ac:dyDescent="0.25"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23" t="s">
        <v>690</v>
      </c>
      <c r="AB47" s="23" t="s">
        <v>691</v>
      </c>
      <c r="AC47" s="23" t="s">
        <v>692</v>
      </c>
      <c r="AD47" s="23" t="s">
        <v>685</v>
      </c>
      <c r="AE47" s="1">
        <f t="shared" si="1"/>
        <v>1</v>
      </c>
      <c r="AF47" s="1">
        <f>IF(AE47=1,COUNTIF($AE$2:AE47,1),"")</f>
        <v>45</v>
      </c>
      <c r="AG47" s="1" t="str">
        <f>IFERROR(INDEX($AA$2:$AA$248,MATCH(ROWS($AF$2:AF47),$AF$2:$AF$248,0)),"")</f>
        <v>China, Hong Kong SAR</v>
      </c>
    </row>
    <row r="48" spans="2:33" ht="15" customHeight="1" x14ac:dyDescent="0.25"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23" t="s">
        <v>775</v>
      </c>
      <c r="AB48" s="23" t="s">
        <v>533</v>
      </c>
      <c r="AC48" s="23" t="s">
        <v>534</v>
      </c>
      <c r="AD48" s="23" t="s">
        <v>685</v>
      </c>
      <c r="AE48" s="1">
        <f t="shared" si="1"/>
        <v>1</v>
      </c>
      <c r="AF48" s="1">
        <f>IF(AE48=1,COUNTIF($AE$2:AE48,1),"")</f>
        <v>46</v>
      </c>
      <c r="AG48" s="1" t="str">
        <f>IFERROR(INDEX($AA$2:$AA$248,MATCH(ROWS($AF$2:AF48),$AF$2:$AF$248,0)),"")</f>
        <v>China, Macao SAR</v>
      </c>
    </row>
    <row r="49" spans="1:80" ht="15" customHeight="1" x14ac:dyDescent="0.25"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23" t="s">
        <v>776</v>
      </c>
      <c r="AB49" s="23" t="s">
        <v>535</v>
      </c>
      <c r="AC49" s="23" t="s">
        <v>536</v>
      </c>
      <c r="AD49" s="23" t="s">
        <v>685</v>
      </c>
      <c r="AE49" s="1">
        <f t="shared" si="1"/>
        <v>1</v>
      </c>
      <c r="AF49" s="1">
        <f>IF(AE49=1,COUNTIF($AE$2:AE49,1),"")</f>
        <v>47</v>
      </c>
      <c r="AG49" s="1" t="str">
        <f>IFERROR(INDEX($AA$2:$AA$248,MATCH(ROWS($AF$2:AF49),$AF$2:$AF$248,0)),"")</f>
        <v>China, Province of Taiwan</v>
      </c>
    </row>
    <row r="50" spans="1:80" ht="15" customHeight="1" x14ac:dyDescent="0.25"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AA50" s="23" t="s">
        <v>777</v>
      </c>
      <c r="AB50" s="23" t="s">
        <v>778</v>
      </c>
      <c r="AC50" s="23" t="s">
        <v>779</v>
      </c>
      <c r="AD50" s="23" t="s">
        <v>514</v>
      </c>
      <c r="AE50" s="1">
        <f t="shared" si="1"/>
        <v>1</v>
      </c>
      <c r="AF50" s="1">
        <f>IF(AE50=1,COUNTIF($AE$2:AE50,1),"")</f>
        <v>48</v>
      </c>
      <c r="AG50" s="1" t="str">
        <f>IFERROR(INDEX($AA$2:$AA$248,MATCH(ROWS($AF$2:AF50),$AF$2:$AF$248,0)),"")</f>
        <v>China: Province of Taiwan only</v>
      </c>
    </row>
    <row r="51" spans="1:80" ht="15" customHeight="1" x14ac:dyDescent="0.25"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23" t="s">
        <v>537</v>
      </c>
      <c r="AB51" s="23" t="s">
        <v>538</v>
      </c>
      <c r="AC51" s="23" t="s">
        <v>539</v>
      </c>
      <c r="AD51" s="23" t="s">
        <v>514</v>
      </c>
      <c r="AE51" s="1">
        <f t="shared" si="1"/>
        <v>1</v>
      </c>
      <c r="AF51" s="1">
        <f>IF(AE51=1,COUNTIF($AE$2:AE51,1),"")</f>
        <v>49</v>
      </c>
      <c r="AG51" s="1" t="str">
        <f>IFERROR(INDEX($AA$2:$AA$248,MATCH(ROWS($AF$2:AF51),$AF$2:$AF$248,0)),"")</f>
        <v>Christmas Island</v>
      </c>
    </row>
    <row r="52" spans="1:80" ht="15" customHeight="1" x14ac:dyDescent="0.25"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23" t="s">
        <v>780</v>
      </c>
      <c r="AB52" s="23" t="s">
        <v>781</v>
      </c>
      <c r="AC52" s="23" t="s">
        <v>782</v>
      </c>
      <c r="AD52" s="23" t="s">
        <v>514</v>
      </c>
      <c r="AE52" s="1">
        <f t="shared" si="1"/>
        <v>1</v>
      </c>
      <c r="AF52" s="1">
        <f>IF(AE52=1,COUNTIF($AE$2:AE52,1),"")</f>
        <v>50</v>
      </c>
      <c r="AG52" s="1" t="str">
        <f>IFERROR(INDEX($AA$2:$AA$248,MATCH(ROWS($AF$2:AF52),$AF$2:$AF$248,0)),"")</f>
        <v>Cocos (Keeling) Islands</v>
      </c>
    </row>
    <row r="53" spans="1:80" ht="15" customHeight="1" x14ac:dyDescent="0.25"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AA53" s="23" t="s">
        <v>783</v>
      </c>
      <c r="AB53" s="23" t="s">
        <v>784</v>
      </c>
      <c r="AC53" s="23" t="s">
        <v>785</v>
      </c>
      <c r="AD53" s="23" t="s">
        <v>514</v>
      </c>
      <c r="AE53" s="1">
        <f t="shared" si="1"/>
        <v>1</v>
      </c>
      <c r="AF53" s="1">
        <f>IF(AE53=1,COUNTIF($AE$2:AE53,1),"")</f>
        <v>51</v>
      </c>
      <c r="AG53" s="1" t="str">
        <f>IFERROR(INDEX($AA$2:$AA$248,MATCH(ROWS($AF$2:AF53),$AF$2:$AF$248,0)),"")</f>
        <v>Colombia</v>
      </c>
    </row>
    <row r="54" spans="1:80" ht="15" customHeight="1" x14ac:dyDescent="0.25"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AA54" s="23" t="s">
        <v>54</v>
      </c>
      <c r="AB54" s="23" t="s">
        <v>306</v>
      </c>
      <c r="AC54" s="23" t="s">
        <v>307</v>
      </c>
      <c r="AD54" s="23" t="s">
        <v>288</v>
      </c>
      <c r="AE54" s="1">
        <f t="shared" si="1"/>
        <v>1</v>
      </c>
      <c r="AF54" s="1">
        <f>IF(AE54=1,COUNTIF($AE$2:AE54,1),"")</f>
        <v>52</v>
      </c>
      <c r="AG54" s="1" t="str">
        <f>IFERROR(INDEX($AA$2:$AA$248,MATCH(ROWS($AF$2:AF54),$AF$2:$AF$248,0)),"")</f>
        <v>Comoros</v>
      </c>
    </row>
    <row r="55" spans="1:80" ht="15" customHeight="1" x14ac:dyDescent="0.25"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AA55" s="23" t="s">
        <v>209</v>
      </c>
      <c r="AB55" s="23" t="s">
        <v>210</v>
      </c>
      <c r="AC55" s="23" t="s">
        <v>211</v>
      </c>
      <c r="AD55" s="23" t="s">
        <v>192</v>
      </c>
      <c r="AE55" s="1">
        <f t="shared" si="1"/>
        <v>1</v>
      </c>
      <c r="AF55" s="1">
        <f>IF(AE55=1,COUNTIF($AE$2:AE55,1),"")</f>
        <v>53</v>
      </c>
      <c r="AG55" s="1" t="str">
        <f>IFERROR(INDEX($AA$2:$AA$248,MATCH(ROWS($AF$2:AF55),$AF$2:$AF$248,0)),"")</f>
        <v>Congo</v>
      </c>
    </row>
    <row r="56" spans="1:80" ht="15" customHeight="1" x14ac:dyDescent="0.25"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AA56" s="23" t="s">
        <v>212</v>
      </c>
      <c r="AB56" s="23" t="s">
        <v>213</v>
      </c>
      <c r="AC56" s="23" t="s">
        <v>214</v>
      </c>
      <c r="AD56" s="23" t="s">
        <v>192</v>
      </c>
      <c r="AE56" s="1">
        <f t="shared" si="1"/>
        <v>1</v>
      </c>
      <c r="AF56" s="1">
        <f>IF(AE56=1,COUNTIF($AE$2:AE56,1),"")</f>
        <v>54</v>
      </c>
      <c r="AG56" s="1" t="str">
        <f>IFERROR(INDEX($AA$2:$AA$248,MATCH(ROWS($AF$2:AF56),$AF$2:$AF$248,0)),"")</f>
        <v>Cook Islands</v>
      </c>
    </row>
    <row r="57" spans="1:80" ht="15" customHeight="1" x14ac:dyDescent="0.25"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AA57" s="23" t="s">
        <v>164</v>
      </c>
      <c r="AB57" s="23" t="s">
        <v>693</v>
      </c>
      <c r="AC57" s="23" t="s">
        <v>694</v>
      </c>
      <c r="AD57" s="23" t="s">
        <v>685</v>
      </c>
      <c r="AE57" s="1">
        <f t="shared" si="1"/>
        <v>1</v>
      </c>
      <c r="AF57" s="1">
        <f>IF(AE57=1,COUNTIF($AE$2:AE57,1),"")</f>
        <v>55</v>
      </c>
      <c r="AG57" s="1" t="str">
        <f>IFERROR(INDEX($AA$2:$AA$248,MATCH(ROWS($AF$2:AF57),$AF$2:$AF$248,0)),"")</f>
        <v>Costa Rica</v>
      </c>
    </row>
    <row r="58" spans="1:80" ht="15" customHeight="1" x14ac:dyDescent="0.25"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AA58" s="23" t="s">
        <v>55</v>
      </c>
      <c r="AB58" s="23" t="s">
        <v>308</v>
      </c>
      <c r="AC58" s="23" t="s">
        <v>309</v>
      </c>
      <c r="AD58" s="23" t="s">
        <v>288</v>
      </c>
      <c r="AE58" s="1">
        <f t="shared" si="1"/>
        <v>1</v>
      </c>
      <c r="AF58" s="1">
        <f>IF(AE58=1,COUNTIF($AE$2:AE58,1),"")</f>
        <v>56</v>
      </c>
      <c r="AG58" s="1" t="str">
        <f>IFERROR(INDEX($AA$2:$AA$248,MATCH(ROWS($AF$2:AF58),$AF$2:$AF$248,0)),"")</f>
        <v>Croatia</v>
      </c>
    </row>
    <row r="59" spans="1:80" s="2" customFormat="1" ht="1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"/>
      <c r="AA59" s="23" t="s">
        <v>109</v>
      </c>
      <c r="AB59" s="23" t="s">
        <v>423</v>
      </c>
      <c r="AC59" s="23" t="s">
        <v>424</v>
      </c>
      <c r="AD59" s="23" t="s">
        <v>406</v>
      </c>
      <c r="AE59" s="1">
        <f t="shared" si="1"/>
        <v>1</v>
      </c>
      <c r="AF59" s="1">
        <f>IF(AE59=1,COUNTIF($AE$2:AE59,1),"")</f>
        <v>57</v>
      </c>
      <c r="AG59" s="1" t="str">
        <f>IFERROR(INDEX($AA$2:$AA$248,MATCH(ROWS($AF$2:AF59),$AF$2:$AF$248,0)),"")</f>
        <v>Cuba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</row>
    <row r="60" spans="1:80" ht="15" customHeight="1" x14ac:dyDescent="0.25"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AA60" s="23" t="s">
        <v>56</v>
      </c>
      <c r="AB60" s="23" t="s">
        <v>310</v>
      </c>
      <c r="AC60" s="23" t="s">
        <v>311</v>
      </c>
      <c r="AD60" s="23" t="s">
        <v>288</v>
      </c>
      <c r="AE60" s="1">
        <f t="shared" si="1"/>
        <v>1</v>
      </c>
      <c r="AF60" s="1">
        <f>IF(AE60=1,COUNTIF($AE$2:AE60,1),"")</f>
        <v>58</v>
      </c>
      <c r="AG60" s="1" t="str">
        <f>IFERROR(INDEX($AA$2:$AA$248,MATCH(ROWS($AF$2:AF60),$AF$2:$AF$248,0)),"")</f>
        <v>Curaçao</v>
      </c>
    </row>
    <row r="61" spans="1:80" ht="15" customHeight="1" x14ac:dyDescent="0.25"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AA61" s="23" t="s">
        <v>786</v>
      </c>
      <c r="AB61" s="23" t="s">
        <v>540</v>
      </c>
      <c r="AC61" s="23" t="s">
        <v>541</v>
      </c>
      <c r="AD61" s="23" t="s">
        <v>288</v>
      </c>
      <c r="AE61" s="1">
        <f t="shared" si="1"/>
        <v>1</v>
      </c>
      <c r="AF61" s="1">
        <f>IF(AE61=1,COUNTIF($AE$2:AE61,1),"")</f>
        <v>59</v>
      </c>
      <c r="AG61" s="1" t="str">
        <f>IFERROR(INDEX($AA$2:$AA$248,MATCH(ROWS($AF$2:AF61),$AF$2:$AF$248,0)),"")</f>
        <v>Cyprus</v>
      </c>
    </row>
    <row r="62" spans="1:80" ht="15" customHeight="1" x14ac:dyDescent="0.25"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AA62" s="23" t="s">
        <v>110</v>
      </c>
      <c r="AB62" s="23" t="s">
        <v>425</v>
      </c>
      <c r="AC62" s="23" t="s">
        <v>426</v>
      </c>
      <c r="AD62" s="23" t="s">
        <v>406</v>
      </c>
      <c r="AE62" s="1">
        <f t="shared" si="1"/>
        <v>1</v>
      </c>
      <c r="AF62" s="1">
        <f>IF(AE62=1,COUNTIF($AE$2:AE62,1),"")</f>
        <v>60</v>
      </c>
      <c r="AG62" s="1" t="str">
        <f>IFERROR(INDEX($AA$2:$AA$248,MATCH(ROWS($AF$2:AF62),$AF$2:$AF$248,0)),"")</f>
        <v>Czechia</v>
      </c>
    </row>
    <row r="63" spans="1:80" ht="15" customHeight="1" x14ac:dyDescent="0.25"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AA63" s="23" t="s">
        <v>787</v>
      </c>
      <c r="AB63" s="23" t="s">
        <v>427</v>
      </c>
      <c r="AC63" s="23" t="s">
        <v>428</v>
      </c>
      <c r="AD63" s="23" t="s">
        <v>406</v>
      </c>
      <c r="AE63" s="1">
        <f t="shared" si="1"/>
        <v>1</v>
      </c>
      <c r="AF63" s="1">
        <f>IF(AE63=1,COUNTIF($AE$2:AE63,1),"")</f>
        <v>61</v>
      </c>
      <c r="AG63" s="1" t="str">
        <f>IFERROR(INDEX($AA$2:$AA$248,MATCH(ROWS($AF$2:AF63),$AF$2:$AF$248,0)),"")</f>
        <v>Czechoslovakia, Former</v>
      </c>
    </row>
    <row r="64" spans="1:80" ht="15" customHeight="1" x14ac:dyDescent="0.25"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AA64" s="23" t="s">
        <v>542</v>
      </c>
      <c r="AB64" s="23" t="s">
        <v>543</v>
      </c>
      <c r="AC64" s="23" t="s">
        <v>544</v>
      </c>
      <c r="AD64" s="23" t="s">
        <v>514</v>
      </c>
      <c r="AE64" s="1">
        <f t="shared" si="1"/>
        <v>1</v>
      </c>
      <c r="AF64" s="1">
        <f>IF(AE64=1,COUNTIF($AE$2:AE64,1),"")</f>
        <v>62</v>
      </c>
      <c r="AG64" s="1" t="str">
        <f>IFERROR(INDEX($AA$2:$AA$248,MATCH(ROWS($AF$2:AF64),$AF$2:$AF$248,0)),"")</f>
        <v>Côte d'Ivoire</v>
      </c>
    </row>
    <row r="65" spans="11:33" ht="15" customHeight="1" x14ac:dyDescent="0.25"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AA65" s="23" t="s">
        <v>788</v>
      </c>
      <c r="AB65" s="23" t="s">
        <v>215</v>
      </c>
      <c r="AC65" s="23" t="s">
        <v>216</v>
      </c>
      <c r="AD65" s="23" t="s">
        <v>192</v>
      </c>
      <c r="AE65" s="1">
        <f t="shared" si="1"/>
        <v>1</v>
      </c>
      <c r="AF65" s="1">
        <f>IF(AE65=1,COUNTIF($AE$2:AE65,1),"")</f>
        <v>63</v>
      </c>
      <c r="AG65" s="1" t="str">
        <f>IFERROR(INDEX($AA$2:$AA$248,MATCH(ROWS($AF$2:AF65),$AF$2:$AF$248,0)),"")</f>
        <v>Democratic People's Republic of Korea</v>
      </c>
    </row>
    <row r="66" spans="11:33" ht="15" customHeight="1" x14ac:dyDescent="0.25"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AA66" s="23" t="s">
        <v>152</v>
      </c>
      <c r="AB66" s="23" t="s">
        <v>665</v>
      </c>
      <c r="AC66" s="23" t="s">
        <v>666</v>
      </c>
      <c r="AD66" s="23" t="s">
        <v>662</v>
      </c>
      <c r="AE66" s="1">
        <f t="shared" si="1"/>
        <v>1</v>
      </c>
      <c r="AF66" s="1">
        <f>IF(AE66=1,COUNTIF($AE$2:AE66,1),"")</f>
        <v>64</v>
      </c>
      <c r="AG66" s="1" t="str">
        <f>IFERROR(INDEX($AA$2:$AA$248,MATCH(ROWS($AF$2:AF66),$AF$2:$AF$248,0)),"")</f>
        <v>Democratic Republic of the Congo</v>
      </c>
    </row>
    <row r="67" spans="11:33" ht="15" customHeight="1" x14ac:dyDescent="0.25"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AA67" s="23" t="s">
        <v>14</v>
      </c>
      <c r="AB67" s="23" t="s">
        <v>217</v>
      </c>
      <c r="AC67" s="23" t="s">
        <v>218</v>
      </c>
      <c r="AD67" s="23" t="s">
        <v>192</v>
      </c>
      <c r="AE67" s="1">
        <f t="shared" si="1"/>
        <v>1</v>
      </c>
      <c r="AF67" s="1">
        <f>IF(AE67=1,COUNTIF($AE$2:AE67,1),"")</f>
        <v>65</v>
      </c>
      <c r="AG67" s="1" t="str">
        <f>IFERROR(INDEX($AA$2:$AA$248,MATCH(ROWS($AF$2:AF67),$AF$2:$AF$248,0)),"")</f>
        <v>Denmark</v>
      </c>
    </row>
    <row r="68" spans="11:33" ht="15" customHeight="1" x14ac:dyDescent="0.25">
      <c r="AA68" s="23" t="s">
        <v>111</v>
      </c>
      <c r="AB68" s="23" t="s">
        <v>429</v>
      </c>
      <c r="AC68" s="23" t="s">
        <v>430</v>
      </c>
      <c r="AD68" s="23" t="s">
        <v>406</v>
      </c>
      <c r="AE68" s="1">
        <f t="shared" ref="AE68:AE131" si="3">--ISNUMBER(IFERROR(SEARCH($X$1,AA68,1),""))</f>
        <v>1</v>
      </c>
      <c r="AF68" s="1">
        <f>IF(AE68=1,COUNTIF($AE$2:AE68,1),"")</f>
        <v>66</v>
      </c>
      <c r="AG68" s="1" t="str">
        <f>IFERROR(INDEX($AA$2:$AA$248,MATCH(ROWS($AF$2:AF68),$AF$2:$AF$248,0)),"")</f>
        <v>Djibouti</v>
      </c>
    </row>
    <row r="69" spans="11:33" ht="15" customHeight="1" x14ac:dyDescent="0.25">
      <c r="AA69" s="1" t="s">
        <v>82</v>
      </c>
      <c r="AB69" s="1" t="s">
        <v>363</v>
      </c>
      <c r="AC69" s="1" t="s">
        <v>364</v>
      </c>
      <c r="AD69" s="1" t="s">
        <v>360</v>
      </c>
      <c r="AE69" s="1">
        <f t="shared" si="3"/>
        <v>1</v>
      </c>
      <c r="AF69" s="1">
        <f>IF(AE69=1,COUNTIF($AE$2:AE69,1),"")</f>
        <v>67</v>
      </c>
      <c r="AG69" s="1" t="str">
        <f>IFERROR(INDEX($AA$2:$AA$248,MATCH(ROWS($AF$2:AF69),$AF$2:$AF$248,0)),"")</f>
        <v>Dominica</v>
      </c>
    </row>
    <row r="70" spans="11:33" ht="15" customHeight="1" x14ac:dyDescent="0.25">
      <c r="AA70" s="1" t="s">
        <v>57</v>
      </c>
      <c r="AB70" s="1" t="s">
        <v>312</v>
      </c>
      <c r="AC70" s="1" t="s">
        <v>313</v>
      </c>
      <c r="AD70" s="1" t="s">
        <v>288</v>
      </c>
      <c r="AE70" s="1">
        <f t="shared" si="3"/>
        <v>1</v>
      </c>
      <c r="AF70" s="1">
        <f>IF(AE70=1,COUNTIF($AE$2:AE70,1),"")</f>
        <v>68</v>
      </c>
      <c r="AG70" s="1" t="str">
        <f>IFERROR(INDEX($AA$2:$AA$248,MATCH(ROWS($AF$2:AF70),$AF$2:$AF$248,0)),"")</f>
        <v>Dominican Republic</v>
      </c>
    </row>
    <row r="71" spans="11:33" ht="15" customHeight="1" x14ac:dyDescent="0.25">
      <c r="AA71" s="1" t="s">
        <v>58</v>
      </c>
      <c r="AB71" s="1" t="s">
        <v>314</v>
      </c>
      <c r="AC71" s="1" t="s">
        <v>315</v>
      </c>
      <c r="AD71" s="1" t="s">
        <v>288</v>
      </c>
      <c r="AE71" s="1">
        <f t="shared" si="3"/>
        <v>1</v>
      </c>
      <c r="AF71" s="1">
        <f>IF(AE71=1,COUNTIF($AE$2:AE71,1),"")</f>
        <v>69</v>
      </c>
      <c r="AG71" s="1" t="str">
        <f>IFERROR(INDEX($AA$2:$AA$248,MATCH(ROWS($AF$2:AF71),$AF$2:$AF$248,0)),"")</f>
        <v>Ecuador</v>
      </c>
    </row>
    <row r="72" spans="11:33" ht="15" customHeight="1" x14ac:dyDescent="0.25">
      <c r="AA72" s="1" t="s">
        <v>59</v>
      </c>
      <c r="AB72" s="1" t="s">
        <v>316</v>
      </c>
      <c r="AC72" s="1" t="s">
        <v>317</v>
      </c>
      <c r="AD72" s="1" t="s">
        <v>288</v>
      </c>
      <c r="AE72" s="1">
        <f t="shared" si="3"/>
        <v>1</v>
      </c>
      <c r="AF72" s="1">
        <f>IF(AE72=1,COUNTIF($AE$2:AE72,1),"")</f>
        <v>70</v>
      </c>
      <c r="AG72" s="1" t="str">
        <f>IFERROR(INDEX($AA$2:$AA$248,MATCH(ROWS($AF$2:AF72),$AF$2:$AF$248,0)),"")</f>
        <v>Egypt</v>
      </c>
    </row>
    <row r="73" spans="11:33" ht="15" customHeight="1" x14ac:dyDescent="0.25">
      <c r="AA73" s="1" t="s">
        <v>83</v>
      </c>
      <c r="AB73" s="1" t="s">
        <v>365</v>
      </c>
      <c r="AC73" s="1" t="s">
        <v>366</v>
      </c>
      <c r="AD73" s="1" t="s">
        <v>360</v>
      </c>
      <c r="AE73" s="1">
        <f t="shared" si="3"/>
        <v>1</v>
      </c>
      <c r="AF73" s="1">
        <f>IF(AE73=1,COUNTIF($AE$2:AE73,1),"")</f>
        <v>71</v>
      </c>
      <c r="AG73" s="1" t="str">
        <f>IFERROR(INDEX($AA$2:$AA$248,MATCH(ROWS($AF$2:AF73),$AF$2:$AF$248,0)),"")</f>
        <v>El Salvador</v>
      </c>
    </row>
    <row r="74" spans="11:33" ht="15" customHeight="1" x14ac:dyDescent="0.25">
      <c r="AA74" s="1" t="s">
        <v>60</v>
      </c>
      <c r="AB74" s="1" t="s">
        <v>318</v>
      </c>
      <c r="AC74" s="1" t="s">
        <v>319</v>
      </c>
      <c r="AD74" s="1" t="s">
        <v>288</v>
      </c>
      <c r="AE74" s="1">
        <f t="shared" si="3"/>
        <v>1</v>
      </c>
      <c r="AF74" s="1">
        <f>IF(AE74=1,COUNTIF($AE$2:AE74,1),"")</f>
        <v>72</v>
      </c>
      <c r="AG74" s="1" t="str">
        <f>IFERROR(INDEX($AA$2:$AA$248,MATCH(ROWS($AF$2:AF74),$AF$2:$AF$248,0)),"")</f>
        <v>Equatorial Guinea</v>
      </c>
    </row>
    <row r="75" spans="11:33" ht="15" customHeight="1" x14ac:dyDescent="0.25">
      <c r="AA75" s="1" t="s">
        <v>15</v>
      </c>
      <c r="AB75" s="1" t="s">
        <v>219</v>
      </c>
      <c r="AC75" s="1" t="s">
        <v>220</v>
      </c>
      <c r="AD75" s="1" t="s">
        <v>192</v>
      </c>
      <c r="AE75" s="1">
        <f t="shared" si="3"/>
        <v>1</v>
      </c>
      <c r="AF75" s="1">
        <f>IF(AE75=1,COUNTIF($AE$2:AE75,1),"")</f>
        <v>73</v>
      </c>
      <c r="AG75" s="1" t="str">
        <f>IFERROR(INDEX($AA$2:$AA$248,MATCH(ROWS($AF$2:AF75),$AF$2:$AF$248,0)),"")</f>
        <v>Eritrea</v>
      </c>
    </row>
    <row r="76" spans="11:33" ht="15" customHeight="1" x14ac:dyDescent="0.25">
      <c r="AA76" s="1" t="s">
        <v>16</v>
      </c>
      <c r="AB76" s="1" t="s">
        <v>221</v>
      </c>
      <c r="AC76" s="1" t="s">
        <v>222</v>
      </c>
      <c r="AD76" s="1" t="s">
        <v>192</v>
      </c>
      <c r="AE76" s="1">
        <f t="shared" si="3"/>
        <v>1</v>
      </c>
      <c r="AF76" s="1">
        <f>IF(AE76=1,COUNTIF($AE$2:AE76,1),"")</f>
        <v>74</v>
      </c>
      <c r="AG76" s="1" t="str">
        <f>IFERROR(INDEX($AA$2:$AA$248,MATCH(ROWS($AF$2:AF76),$AF$2:$AF$248,0)),"")</f>
        <v>Estonia</v>
      </c>
    </row>
    <row r="77" spans="11:33" ht="15" customHeight="1" x14ac:dyDescent="0.25">
      <c r="AA77" s="1" t="s">
        <v>112</v>
      </c>
      <c r="AB77" s="1" t="s">
        <v>431</v>
      </c>
      <c r="AC77" s="1" t="s">
        <v>432</v>
      </c>
      <c r="AD77" s="1" t="s">
        <v>406</v>
      </c>
      <c r="AE77" s="1">
        <f t="shared" si="3"/>
        <v>1</v>
      </c>
      <c r="AF77" s="1">
        <f>IF(AE77=1,COUNTIF($AE$2:AE77,1),"")</f>
        <v>75</v>
      </c>
      <c r="AG77" s="1" t="str">
        <f>IFERROR(INDEX($AA$2:$AA$248,MATCH(ROWS($AF$2:AF77),$AF$2:$AF$248,0)),"")</f>
        <v>Eswatini</v>
      </c>
    </row>
    <row r="78" spans="11:33" ht="15" customHeight="1" x14ac:dyDescent="0.25">
      <c r="AA78" s="1" t="s">
        <v>789</v>
      </c>
      <c r="AB78" s="1" t="s">
        <v>274</v>
      </c>
      <c r="AC78" s="1" t="s">
        <v>275</v>
      </c>
      <c r="AD78" s="1" t="s">
        <v>192</v>
      </c>
      <c r="AE78" s="1">
        <f t="shared" si="3"/>
        <v>1</v>
      </c>
      <c r="AF78" s="1">
        <f>IF(AE78=1,COUNTIF($AE$2:AE78,1),"")</f>
        <v>76</v>
      </c>
      <c r="AG78" s="1" t="str">
        <f>IFERROR(INDEX($AA$2:$AA$248,MATCH(ROWS($AF$2:AF78),$AF$2:$AF$248,0)),"")</f>
        <v>Ethiopia</v>
      </c>
    </row>
    <row r="79" spans="11:33" ht="15" customHeight="1" x14ac:dyDescent="0.25">
      <c r="AA79" s="1" t="s">
        <v>17</v>
      </c>
      <c r="AB79" s="1" t="s">
        <v>223</v>
      </c>
      <c r="AC79" s="1" t="s">
        <v>224</v>
      </c>
      <c r="AD79" s="1" t="s">
        <v>192</v>
      </c>
      <c r="AE79" s="1">
        <f t="shared" si="3"/>
        <v>1</v>
      </c>
      <c r="AF79" s="1">
        <f>IF(AE79=1,COUNTIF($AE$2:AE79,1),"")</f>
        <v>77</v>
      </c>
      <c r="AG79" s="1" t="str">
        <f>IFERROR(INDEX($AA$2:$AA$248,MATCH(ROWS($AF$2:AF79),$AF$2:$AF$248,0)),"")</f>
        <v>Falkland Islands (Malvinas)</v>
      </c>
    </row>
    <row r="80" spans="11:33" ht="15" customHeight="1" x14ac:dyDescent="0.25">
      <c r="AA80" s="1" t="s">
        <v>545</v>
      </c>
      <c r="AB80" s="1" t="s">
        <v>546</v>
      </c>
      <c r="AC80" s="1" t="s">
        <v>547</v>
      </c>
      <c r="AD80" s="1" t="s">
        <v>514</v>
      </c>
      <c r="AE80" s="1">
        <f t="shared" si="3"/>
        <v>1</v>
      </c>
      <c r="AF80" s="1">
        <f>IF(AE80=1,COUNTIF($AE$2:AE80,1),"")</f>
        <v>78</v>
      </c>
      <c r="AG80" s="1" t="str">
        <f>IFERROR(INDEX($AA$2:$AA$248,MATCH(ROWS($AF$2:AF80),$AF$2:$AF$248,0)),"")</f>
        <v>Faroe Islands</v>
      </c>
    </row>
    <row r="81" spans="27:33" ht="15" customHeight="1" x14ac:dyDescent="0.25">
      <c r="AA81" s="1" t="s">
        <v>548</v>
      </c>
      <c r="AB81" s="1" t="s">
        <v>549</v>
      </c>
      <c r="AC81" s="1" t="s">
        <v>550</v>
      </c>
      <c r="AD81" s="1" t="s">
        <v>514</v>
      </c>
      <c r="AE81" s="1">
        <f t="shared" si="3"/>
        <v>1</v>
      </c>
      <c r="AF81" s="1">
        <f>IF(AE81=1,COUNTIF($AE$2:AE81,1),"")</f>
        <v>79</v>
      </c>
      <c r="AG81" s="1" t="str">
        <f>IFERROR(INDEX($AA$2:$AA$248,MATCH(ROWS($AF$2:AF81),$AF$2:$AF$248,0)),"")</f>
        <v>Fiji</v>
      </c>
    </row>
    <row r="82" spans="27:33" ht="15" customHeight="1" x14ac:dyDescent="0.25">
      <c r="AA82" s="1" t="s">
        <v>165</v>
      </c>
      <c r="AB82" s="1" t="s">
        <v>695</v>
      </c>
      <c r="AC82" s="1" t="s">
        <v>696</v>
      </c>
      <c r="AD82" s="1" t="s">
        <v>685</v>
      </c>
      <c r="AE82" s="1">
        <f t="shared" si="3"/>
        <v>1</v>
      </c>
      <c r="AF82" s="1">
        <f>IF(AE82=1,COUNTIF($AE$2:AE82,1),"")</f>
        <v>80</v>
      </c>
      <c r="AG82" s="1" t="str">
        <f>IFERROR(INDEX($AA$2:$AA$248,MATCH(ROWS($AF$2:AF82),$AF$2:$AF$248,0)),"")</f>
        <v>Finland</v>
      </c>
    </row>
    <row r="83" spans="27:33" ht="15" customHeight="1" x14ac:dyDescent="0.25">
      <c r="AA83" s="1" t="s">
        <v>113</v>
      </c>
      <c r="AB83" s="1" t="s">
        <v>433</v>
      </c>
      <c r="AC83" s="1" t="s">
        <v>434</v>
      </c>
      <c r="AD83" s="1" t="s">
        <v>406</v>
      </c>
      <c r="AE83" s="1">
        <f t="shared" si="3"/>
        <v>1</v>
      </c>
      <c r="AF83" s="1">
        <f>IF(AE83=1,COUNTIF($AE$2:AE83,1),"")</f>
        <v>81</v>
      </c>
      <c r="AG83" s="1" t="str">
        <f>IFERROR(INDEX($AA$2:$AA$248,MATCH(ROWS($AF$2:AF83),$AF$2:$AF$248,0)),"")</f>
        <v>France</v>
      </c>
    </row>
    <row r="84" spans="27:33" ht="15" customHeight="1" x14ac:dyDescent="0.25">
      <c r="AA84" s="1" t="s">
        <v>114</v>
      </c>
      <c r="AB84" s="1" t="s">
        <v>435</v>
      </c>
      <c r="AC84" s="1" t="s">
        <v>436</v>
      </c>
      <c r="AD84" s="1" t="s">
        <v>406</v>
      </c>
      <c r="AE84" s="1">
        <f t="shared" si="3"/>
        <v>1</v>
      </c>
      <c r="AF84" s="1">
        <f>IF(AE84=1,COUNTIF($AE$2:AE84,1),"")</f>
        <v>82</v>
      </c>
      <c r="AG84" s="1" t="str">
        <f>IFERROR(INDEX($AA$2:$AA$248,MATCH(ROWS($AF$2:AF84),$AF$2:$AF$248,0)),"")</f>
        <v>French Guiana</v>
      </c>
    </row>
    <row r="85" spans="27:33" ht="15" customHeight="1" x14ac:dyDescent="0.25">
      <c r="AA85" s="1" t="s">
        <v>551</v>
      </c>
      <c r="AB85" s="1" t="s">
        <v>552</v>
      </c>
      <c r="AC85" s="1" t="s">
        <v>553</v>
      </c>
      <c r="AD85" s="1" t="s">
        <v>514</v>
      </c>
      <c r="AE85" s="1">
        <f t="shared" si="3"/>
        <v>1</v>
      </c>
      <c r="AF85" s="1">
        <f>IF(AE85=1,COUNTIF($AE$2:AE85,1),"")</f>
        <v>83</v>
      </c>
      <c r="AG85" s="1" t="str">
        <f>IFERROR(INDEX($AA$2:$AA$248,MATCH(ROWS($AF$2:AF85),$AF$2:$AF$248,0)),"")</f>
        <v>French Polynesia</v>
      </c>
    </row>
    <row r="86" spans="27:33" ht="15" customHeight="1" x14ac:dyDescent="0.25">
      <c r="AA86" s="1" t="s">
        <v>554</v>
      </c>
      <c r="AB86" s="1" t="s">
        <v>555</v>
      </c>
      <c r="AC86" s="1" t="s">
        <v>556</v>
      </c>
      <c r="AD86" s="1" t="s">
        <v>685</v>
      </c>
      <c r="AE86" s="1">
        <f t="shared" si="3"/>
        <v>1</v>
      </c>
      <c r="AF86" s="1">
        <f>IF(AE86=1,COUNTIF($AE$2:AE86,1),"")</f>
        <v>84</v>
      </c>
      <c r="AG86" s="1" t="str">
        <f>IFERROR(INDEX($AA$2:$AA$248,MATCH(ROWS($AF$2:AF86),$AF$2:$AF$248,0)),"")</f>
        <v>French Southern Territories</v>
      </c>
    </row>
    <row r="87" spans="27:33" ht="15" customHeight="1" x14ac:dyDescent="0.25">
      <c r="AA87" s="1" t="s">
        <v>790</v>
      </c>
      <c r="AB87" s="1" t="s">
        <v>791</v>
      </c>
      <c r="AC87" s="1" t="s">
        <v>792</v>
      </c>
      <c r="AD87" s="1" t="s">
        <v>514</v>
      </c>
      <c r="AE87" s="1">
        <f t="shared" si="3"/>
        <v>1</v>
      </c>
      <c r="AF87" s="1">
        <f>IF(AE87=1,COUNTIF($AE$2:AE87,1),"")</f>
        <v>85</v>
      </c>
      <c r="AG87" s="1" t="str">
        <f>IFERROR(INDEX($AA$2:$AA$248,MATCH(ROWS($AF$2:AF87),$AF$2:$AF$248,0)),"")</f>
        <v>Gabon</v>
      </c>
    </row>
    <row r="88" spans="27:33" ht="15" customHeight="1" x14ac:dyDescent="0.25">
      <c r="AA88" s="1" t="s">
        <v>18</v>
      </c>
      <c r="AB88" s="1" t="s">
        <v>225</v>
      </c>
      <c r="AC88" s="1" t="s">
        <v>226</v>
      </c>
      <c r="AD88" s="1" t="s">
        <v>192</v>
      </c>
      <c r="AE88" s="1">
        <f t="shared" si="3"/>
        <v>1</v>
      </c>
      <c r="AF88" s="1">
        <f>IF(AE88=1,COUNTIF($AE$2:AE88,1),"")</f>
        <v>86</v>
      </c>
      <c r="AG88" s="1" t="str">
        <f>IFERROR(INDEX($AA$2:$AA$248,MATCH(ROWS($AF$2:AF88),$AF$2:$AF$248,0)),"")</f>
        <v>Gambia</v>
      </c>
    </row>
    <row r="89" spans="27:33" ht="15" customHeight="1" x14ac:dyDescent="0.25">
      <c r="AA89" s="1" t="s">
        <v>19</v>
      </c>
      <c r="AB89" s="1" t="s">
        <v>227</v>
      </c>
      <c r="AC89" s="1" t="s">
        <v>228</v>
      </c>
      <c r="AD89" s="1" t="s">
        <v>192</v>
      </c>
      <c r="AE89" s="1">
        <f t="shared" si="3"/>
        <v>1</v>
      </c>
      <c r="AF89" s="1">
        <f>IF(AE89=1,COUNTIF($AE$2:AE89,1),"")</f>
        <v>87</v>
      </c>
      <c r="AG89" s="1" t="str">
        <f>IFERROR(INDEX($AA$2:$AA$248,MATCH(ROWS($AF$2:AF89),$AF$2:$AF$248,0)),"")</f>
        <v>Georgia</v>
      </c>
    </row>
    <row r="90" spans="27:33" ht="15" customHeight="1" x14ac:dyDescent="0.25">
      <c r="AA90" s="1" t="s">
        <v>115</v>
      </c>
      <c r="AB90" s="1" t="s">
        <v>437</v>
      </c>
      <c r="AC90" s="1" t="s">
        <v>438</v>
      </c>
      <c r="AD90" s="1" t="s">
        <v>406</v>
      </c>
      <c r="AE90" s="1">
        <f t="shared" si="3"/>
        <v>1</v>
      </c>
      <c r="AF90" s="1">
        <f>IF(AE90=1,COUNTIF($AE$2:AE90,1),"")</f>
        <v>88</v>
      </c>
      <c r="AG90" s="1" t="str">
        <f>IFERROR(INDEX($AA$2:$AA$248,MATCH(ROWS($AF$2:AF90),$AF$2:$AF$248,0)),"")</f>
        <v>Germany</v>
      </c>
    </row>
    <row r="91" spans="27:33" ht="15" customHeight="1" x14ac:dyDescent="0.25">
      <c r="AA91" s="1" t="s">
        <v>116</v>
      </c>
      <c r="AB91" s="1" t="s">
        <v>439</v>
      </c>
      <c r="AC91" s="1" t="s">
        <v>440</v>
      </c>
      <c r="AD91" s="1" t="s">
        <v>406</v>
      </c>
      <c r="AE91" s="1">
        <f t="shared" si="3"/>
        <v>1</v>
      </c>
      <c r="AF91" s="1">
        <f>IF(AE91=1,COUNTIF($AE$2:AE91,1),"")</f>
        <v>89</v>
      </c>
      <c r="AG91" s="1" t="str">
        <f>IFERROR(INDEX($AA$2:$AA$248,MATCH(ROWS($AF$2:AF91),$AF$2:$AF$248,0)),"")</f>
        <v>Germany, Former Democratic Republic</v>
      </c>
    </row>
    <row r="92" spans="27:33" ht="15" customHeight="1" x14ac:dyDescent="0.25">
      <c r="AA92" s="1" t="s">
        <v>557</v>
      </c>
      <c r="AB92" s="1" t="s">
        <v>558</v>
      </c>
      <c r="AC92" s="1" t="s">
        <v>559</v>
      </c>
      <c r="AD92" s="1" t="s">
        <v>514</v>
      </c>
      <c r="AE92" s="1">
        <f t="shared" si="3"/>
        <v>1</v>
      </c>
      <c r="AF92" s="1">
        <f>IF(AE92=1,COUNTIF($AE$2:AE92,1),"")</f>
        <v>90</v>
      </c>
      <c r="AG92" s="1" t="str">
        <f>IFERROR(INDEX($AA$2:$AA$248,MATCH(ROWS($AF$2:AF92),$AF$2:$AF$248,0)),"")</f>
        <v>Germany, Former Federal Republic</v>
      </c>
    </row>
    <row r="93" spans="27:33" ht="15" customHeight="1" x14ac:dyDescent="0.25">
      <c r="AA93" s="1" t="s">
        <v>560</v>
      </c>
      <c r="AB93" s="1" t="s">
        <v>561</v>
      </c>
      <c r="AC93" s="1" t="s">
        <v>562</v>
      </c>
      <c r="AD93" s="1" t="s">
        <v>514</v>
      </c>
      <c r="AE93" s="1">
        <f t="shared" si="3"/>
        <v>1</v>
      </c>
      <c r="AF93" s="1">
        <f>IF(AE93=1,COUNTIF($AE$2:AE93,1),"")</f>
        <v>91</v>
      </c>
      <c r="AG93" s="1" t="str">
        <f>IFERROR(INDEX($AA$2:$AA$248,MATCH(ROWS($AF$2:AF93),$AF$2:$AF$248,0)),"")</f>
        <v>Germany, West Berlin</v>
      </c>
    </row>
    <row r="94" spans="27:33" ht="15" customHeight="1" x14ac:dyDescent="0.25">
      <c r="AA94" s="1" t="s">
        <v>563</v>
      </c>
      <c r="AB94" s="1" t="s">
        <v>564</v>
      </c>
      <c r="AC94" s="1" t="s">
        <v>565</v>
      </c>
      <c r="AD94" s="1" t="s">
        <v>514</v>
      </c>
      <c r="AE94" s="1">
        <f t="shared" si="3"/>
        <v>1</v>
      </c>
      <c r="AF94" s="1">
        <f>IF(AE94=1,COUNTIF($AE$2:AE94,1),"")</f>
        <v>92</v>
      </c>
      <c r="AG94" s="1" t="str">
        <f>IFERROR(INDEX($AA$2:$AA$248,MATCH(ROWS($AF$2:AF94),$AF$2:$AF$248,0)),"")</f>
        <v>Ghana</v>
      </c>
    </row>
    <row r="95" spans="27:33" ht="15" customHeight="1" x14ac:dyDescent="0.25">
      <c r="AA95" s="1" t="s">
        <v>20</v>
      </c>
      <c r="AB95" s="1" t="s">
        <v>229</v>
      </c>
      <c r="AC95" s="1" t="s">
        <v>230</v>
      </c>
      <c r="AD95" s="1" t="s">
        <v>192</v>
      </c>
      <c r="AE95" s="1">
        <f t="shared" si="3"/>
        <v>1</v>
      </c>
      <c r="AF95" s="1">
        <f>IF(AE95=1,COUNTIF($AE$2:AE95,1),"")</f>
        <v>93</v>
      </c>
      <c r="AG95" s="1" t="str">
        <f>IFERROR(INDEX($AA$2:$AA$248,MATCH(ROWS($AF$2:AF95),$AF$2:$AF$248,0)),"")</f>
        <v>Gibraltar</v>
      </c>
    </row>
    <row r="96" spans="27:33" ht="15" customHeight="1" x14ac:dyDescent="0.25">
      <c r="AA96" s="1" t="s">
        <v>566</v>
      </c>
      <c r="AB96" s="1" t="s">
        <v>567</v>
      </c>
      <c r="AC96" s="1" t="s">
        <v>568</v>
      </c>
      <c r="AD96" s="1" t="s">
        <v>514</v>
      </c>
      <c r="AE96" s="1">
        <f t="shared" si="3"/>
        <v>1</v>
      </c>
      <c r="AF96" s="1">
        <f>IF(AE96=1,COUNTIF($AE$2:AE96,1),"")</f>
        <v>94</v>
      </c>
      <c r="AG96" s="1" t="str">
        <f>IFERROR(INDEX($AA$2:$AA$248,MATCH(ROWS($AF$2:AF96),$AF$2:$AF$248,0)),"")</f>
        <v>Greece</v>
      </c>
    </row>
    <row r="97" spans="27:33" ht="15" customHeight="1" x14ac:dyDescent="0.25">
      <c r="AA97" s="1" t="s">
        <v>117</v>
      </c>
      <c r="AB97" s="1" t="s">
        <v>441</v>
      </c>
      <c r="AC97" s="1" t="s">
        <v>442</v>
      </c>
      <c r="AD97" s="1" t="s">
        <v>406</v>
      </c>
      <c r="AE97" s="1">
        <f t="shared" si="3"/>
        <v>1</v>
      </c>
      <c r="AF97" s="1">
        <f>IF(AE97=1,COUNTIF($AE$2:AE97,1),"")</f>
        <v>95</v>
      </c>
      <c r="AG97" s="1" t="str">
        <f>IFERROR(INDEX($AA$2:$AA$248,MATCH(ROWS($AF$2:AF97),$AF$2:$AF$248,0)),"")</f>
        <v>Greenland</v>
      </c>
    </row>
    <row r="98" spans="27:33" ht="15" customHeight="1" x14ac:dyDescent="0.25">
      <c r="AA98" s="1" t="s">
        <v>569</v>
      </c>
      <c r="AB98" s="1" t="s">
        <v>570</v>
      </c>
      <c r="AC98" s="1" t="s">
        <v>571</v>
      </c>
      <c r="AD98" s="1" t="s">
        <v>406</v>
      </c>
      <c r="AE98" s="1">
        <f t="shared" si="3"/>
        <v>1</v>
      </c>
      <c r="AF98" s="1">
        <f>IF(AE98=1,COUNTIF($AE$2:AE98,1),"")</f>
        <v>96</v>
      </c>
      <c r="AG98" s="1" t="str">
        <f>IFERROR(INDEX($AA$2:$AA$248,MATCH(ROWS($AF$2:AF98),$AF$2:$AF$248,0)),"")</f>
        <v>Grenada</v>
      </c>
    </row>
    <row r="99" spans="27:33" ht="15" customHeight="1" x14ac:dyDescent="0.25">
      <c r="AA99" s="1" t="s">
        <v>61</v>
      </c>
      <c r="AB99" s="1" t="s">
        <v>320</v>
      </c>
      <c r="AC99" s="1" t="s">
        <v>321</v>
      </c>
      <c r="AD99" s="1" t="s">
        <v>288</v>
      </c>
      <c r="AE99" s="1">
        <f t="shared" si="3"/>
        <v>1</v>
      </c>
      <c r="AF99" s="1">
        <f>IF(AE99=1,COUNTIF($AE$2:AE99,1),"")</f>
        <v>97</v>
      </c>
      <c r="AG99" s="1" t="str">
        <f>IFERROR(INDEX($AA$2:$AA$248,MATCH(ROWS($AF$2:AF99),$AF$2:$AF$248,0)),"")</f>
        <v>Guadeloupe</v>
      </c>
    </row>
    <row r="100" spans="27:33" ht="15" customHeight="1" x14ac:dyDescent="0.25">
      <c r="AA100" s="1" t="s">
        <v>572</v>
      </c>
      <c r="AB100" s="1" t="s">
        <v>573</v>
      </c>
      <c r="AC100" s="1" t="s">
        <v>574</v>
      </c>
      <c r="AD100" s="1" t="s">
        <v>514</v>
      </c>
      <c r="AE100" s="1">
        <f t="shared" si="3"/>
        <v>1</v>
      </c>
      <c r="AF100" s="1">
        <f>IF(AE100=1,COUNTIF($AE$2:AE100,1),"")</f>
        <v>98</v>
      </c>
      <c r="AG100" s="1" t="str">
        <f>IFERROR(INDEX($AA$2:$AA$248,MATCH(ROWS($AF$2:AF100),$AF$2:$AF$248,0)),"")</f>
        <v>Guam</v>
      </c>
    </row>
    <row r="101" spans="27:33" ht="15" customHeight="1" x14ac:dyDescent="0.25">
      <c r="AA101" s="1" t="s">
        <v>575</v>
      </c>
      <c r="AB101" s="1" t="s">
        <v>576</v>
      </c>
      <c r="AC101" s="1" t="s">
        <v>577</v>
      </c>
      <c r="AD101" s="1" t="s">
        <v>685</v>
      </c>
      <c r="AE101" s="1">
        <f t="shared" si="3"/>
        <v>1</v>
      </c>
      <c r="AF101" s="1">
        <f>IF(AE101=1,COUNTIF($AE$2:AE101,1),"")</f>
        <v>99</v>
      </c>
      <c r="AG101" s="1" t="str">
        <f>IFERROR(INDEX($AA$2:$AA$248,MATCH(ROWS($AF$2:AF101),$AF$2:$AF$248,0)),"")</f>
        <v>Guatemala</v>
      </c>
    </row>
    <row r="102" spans="27:33" ht="15" customHeight="1" x14ac:dyDescent="0.25">
      <c r="AA102" s="1" t="s">
        <v>62</v>
      </c>
      <c r="AB102" s="1" t="s">
        <v>322</v>
      </c>
      <c r="AC102" s="1" t="s">
        <v>323</v>
      </c>
      <c r="AD102" s="1" t="s">
        <v>288</v>
      </c>
      <c r="AE102" s="1">
        <f t="shared" si="3"/>
        <v>1</v>
      </c>
      <c r="AF102" s="1">
        <f>IF(AE102=1,COUNTIF($AE$2:AE102,1),"")</f>
        <v>100</v>
      </c>
      <c r="AG102" s="1" t="str">
        <f>IFERROR(INDEX($AA$2:$AA$248,MATCH(ROWS($AF$2:AF102),$AF$2:$AF$248,0)),"")</f>
        <v>Guernsey</v>
      </c>
    </row>
    <row r="103" spans="27:33" ht="15" customHeight="1" x14ac:dyDescent="0.25">
      <c r="AA103" s="1" t="s">
        <v>793</v>
      </c>
      <c r="AB103" s="1" t="s">
        <v>794</v>
      </c>
      <c r="AC103" s="1" t="s">
        <v>795</v>
      </c>
      <c r="AD103" s="1" t="s">
        <v>514</v>
      </c>
      <c r="AE103" s="1">
        <f t="shared" si="3"/>
        <v>1</v>
      </c>
      <c r="AF103" s="1">
        <f>IF(AE103=1,COUNTIF($AE$2:AE103,1),"")</f>
        <v>101</v>
      </c>
      <c r="AG103" s="1" t="str">
        <f>IFERROR(INDEX($AA$2:$AA$248,MATCH(ROWS($AF$2:AF103),$AF$2:$AF$248,0)),"")</f>
        <v>Guinea</v>
      </c>
    </row>
    <row r="104" spans="27:33" ht="15" customHeight="1" x14ac:dyDescent="0.25">
      <c r="AA104" s="1" t="s">
        <v>21</v>
      </c>
      <c r="AB104" s="1" t="s">
        <v>231</v>
      </c>
      <c r="AC104" s="1" t="s">
        <v>232</v>
      </c>
      <c r="AD104" s="1" t="s">
        <v>192</v>
      </c>
      <c r="AE104" s="1">
        <f t="shared" si="3"/>
        <v>1</v>
      </c>
      <c r="AF104" s="1">
        <f>IF(AE104=1,COUNTIF($AE$2:AE104,1),"")</f>
        <v>102</v>
      </c>
      <c r="AG104" s="1" t="str">
        <f>IFERROR(INDEX($AA$2:$AA$248,MATCH(ROWS($AF$2:AF104),$AF$2:$AF$248,0)),"")</f>
        <v>Guinea-Bissau</v>
      </c>
    </row>
    <row r="105" spans="27:33" ht="15" customHeight="1" x14ac:dyDescent="0.25">
      <c r="AA105" s="1" t="s">
        <v>22</v>
      </c>
      <c r="AB105" s="1" t="s">
        <v>233</v>
      </c>
      <c r="AC105" s="1" t="s">
        <v>234</v>
      </c>
      <c r="AD105" s="1" t="s">
        <v>192</v>
      </c>
      <c r="AE105" s="1">
        <f t="shared" si="3"/>
        <v>1</v>
      </c>
      <c r="AF105" s="1">
        <f>IF(AE105=1,COUNTIF($AE$2:AE105,1),"")</f>
        <v>103</v>
      </c>
      <c r="AG105" s="1" t="str">
        <f>IFERROR(INDEX($AA$2:$AA$248,MATCH(ROWS($AF$2:AF105),$AF$2:$AF$248,0)),"")</f>
        <v>Guyana</v>
      </c>
    </row>
    <row r="106" spans="27:33" ht="15" customHeight="1" x14ac:dyDescent="0.25">
      <c r="AA106" s="1" t="s">
        <v>63</v>
      </c>
      <c r="AB106" s="1" t="s">
        <v>324</v>
      </c>
      <c r="AC106" s="1" t="s">
        <v>325</v>
      </c>
      <c r="AD106" s="1" t="s">
        <v>288</v>
      </c>
      <c r="AE106" s="1">
        <f t="shared" si="3"/>
        <v>1</v>
      </c>
      <c r="AF106" s="1">
        <f>IF(AE106=1,COUNTIF($AE$2:AE106,1),"")</f>
        <v>104</v>
      </c>
      <c r="AG106" s="1" t="str">
        <f>IFERROR(INDEX($AA$2:$AA$248,MATCH(ROWS($AF$2:AF106),$AF$2:$AF$248,0)),"")</f>
        <v>Haiti</v>
      </c>
    </row>
    <row r="107" spans="27:33" ht="15" customHeight="1" x14ac:dyDescent="0.25">
      <c r="AA107" s="1" t="s">
        <v>64</v>
      </c>
      <c r="AB107" s="1" t="s">
        <v>326</v>
      </c>
      <c r="AC107" s="1" t="s">
        <v>327</v>
      </c>
      <c r="AD107" s="1" t="s">
        <v>288</v>
      </c>
      <c r="AE107" s="1">
        <f t="shared" si="3"/>
        <v>1</v>
      </c>
      <c r="AF107" s="1">
        <f>IF(AE107=1,COUNTIF($AE$2:AE107,1),"")</f>
        <v>105</v>
      </c>
      <c r="AG107" s="1" t="str">
        <f>IFERROR(INDEX($AA$2:$AA$248,MATCH(ROWS($AF$2:AF107),$AF$2:$AF$248,0)),"")</f>
        <v>Heard Island and McDonald Islands</v>
      </c>
    </row>
    <row r="108" spans="27:33" ht="15" customHeight="1" x14ac:dyDescent="0.25">
      <c r="AA108" s="1" t="s">
        <v>796</v>
      </c>
      <c r="AB108" s="1" t="s">
        <v>797</v>
      </c>
      <c r="AC108" s="1" t="s">
        <v>798</v>
      </c>
      <c r="AD108" s="1" t="s">
        <v>514</v>
      </c>
      <c r="AE108" s="1">
        <f t="shared" si="3"/>
        <v>1</v>
      </c>
      <c r="AF108" s="1">
        <f>IF(AE108=1,COUNTIF($AE$2:AE108,1),"")</f>
        <v>106</v>
      </c>
      <c r="AG108" s="1" t="str">
        <f>IFERROR(INDEX($AA$2:$AA$248,MATCH(ROWS($AF$2:AF108),$AF$2:$AF$248,0)),"")</f>
        <v>Holy See</v>
      </c>
    </row>
    <row r="109" spans="27:33" ht="15" customHeight="1" x14ac:dyDescent="0.25">
      <c r="AA109" s="1" t="s">
        <v>799</v>
      </c>
      <c r="AB109" s="1" t="s">
        <v>800</v>
      </c>
      <c r="AC109" s="1" t="s">
        <v>801</v>
      </c>
      <c r="AD109" s="1" t="s">
        <v>514</v>
      </c>
      <c r="AE109" s="1">
        <f t="shared" si="3"/>
        <v>1</v>
      </c>
      <c r="AF109" s="1">
        <f>IF(AE109=1,COUNTIF($AE$2:AE109,1),"")</f>
        <v>107</v>
      </c>
      <c r="AG109" s="1" t="str">
        <f>IFERROR(INDEX($AA$2:$AA$248,MATCH(ROWS($AF$2:AF109),$AF$2:$AF$248,0)),"")</f>
        <v>Honduras</v>
      </c>
    </row>
    <row r="110" spans="27:33" ht="15" customHeight="1" x14ac:dyDescent="0.25">
      <c r="AA110" s="1" t="s">
        <v>65</v>
      </c>
      <c r="AB110" s="1" t="s">
        <v>328</v>
      </c>
      <c r="AC110" s="1" t="s">
        <v>329</v>
      </c>
      <c r="AD110" s="1" t="s">
        <v>288</v>
      </c>
      <c r="AE110" s="1">
        <f t="shared" si="3"/>
        <v>1</v>
      </c>
      <c r="AF110" s="1">
        <f>IF(AE110=1,COUNTIF($AE$2:AE110,1),"")</f>
        <v>108</v>
      </c>
      <c r="AG110" s="1" t="str">
        <f>IFERROR(INDEX($AA$2:$AA$248,MATCH(ROWS($AF$2:AF110),$AF$2:$AF$248,0)),"")</f>
        <v>Hungary</v>
      </c>
    </row>
    <row r="111" spans="27:33" ht="15" customHeight="1" x14ac:dyDescent="0.25">
      <c r="AA111" s="1" t="s">
        <v>118</v>
      </c>
      <c r="AB111" s="1" t="s">
        <v>443</v>
      </c>
      <c r="AC111" s="1" t="s">
        <v>444</v>
      </c>
      <c r="AD111" s="1" t="s">
        <v>406</v>
      </c>
      <c r="AE111" s="1">
        <f t="shared" si="3"/>
        <v>1</v>
      </c>
      <c r="AF111" s="1">
        <f>IF(AE111=1,COUNTIF($AE$2:AE111,1),"")</f>
        <v>109</v>
      </c>
      <c r="AG111" s="1" t="str">
        <f>IFERROR(INDEX($AA$2:$AA$248,MATCH(ROWS($AF$2:AF111),$AF$2:$AF$248,0)),"")</f>
        <v>Iceland</v>
      </c>
    </row>
    <row r="112" spans="27:33" ht="15" customHeight="1" x14ac:dyDescent="0.25">
      <c r="AA112" s="1" t="s">
        <v>119</v>
      </c>
      <c r="AB112" s="1" t="s">
        <v>445</v>
      </c>
      <c r="AC112" s="1" t="s">
        <v>446</v>
      </c>
      <c r="AD112" s="1" t="s">
        <v>406</v>
      </c>
      <c r="AE112" s="1">
        <f t="shared" si="3"/>
        <v>1</v>
      </c>
      <c r="AF112" s="1">
        <f>IF(AE112=1,COUNTIF($AE$2:AE112,1),"")</f>
        <v>110</v>
      </c>
      <c r="AG112" s="1" t="str">
        <f>IFERROR(INDEX($AA$2:$AA$248,MATCH(ROWS($AF$2:AF112),$AF$2:$AF$248,0)),"")</f>
        <v>India</v>
      </c>
    </row>
    <row r="113" spans="27:33" ht="15" customHeight="1" x14ac:dyDescent="0.25">
      <c r="AA113" s="1" t="s">
        <v>153</v>
      </c>
      <c r="AB113" s="1" t="s">
        <v>667</v>
      </c>
      <c r="AC113" s="1" t="s">
        <v>668</v>
      </c>
      <c r="AD113" s="1" t="s">
        <v>662</v>
      </c>
      <c r="AE113" s="1">
        <f t="shared" si="3"/>
        <v>1</v>
      </c>
      <c r="AF113" s="1">
        <f>IF(AE113=1,COUNTIF($AE$2:AE113,1),"")</f>
        <v>111</v>
      </c>
      <c r="AG113" s="1" t="str">
        <f>IFERROR(INDEX($AA$2:$AA$248,MATCH(ROWS($AF$2:AF113),$AF$2:$AF$248,0)),"")</f>
        <v>Indonesia</v>
      </c>
    </row>
    <row r="114" spans="27:33" ht="15" customHeight="1" x14ac:dyDescent="0.25">
      <c r="AA114" s="1" t="s">
        <v>154</v>
      </c>
      <c r="AB114" s="1" t="s">
        <v>669</v>
      </c>
      <c r="AC114" s="1" t="s">
        <v>670</v>
      </c>
      <c r="AD114" s="1" t="s">
        <v>662</v>
      </c>
      <c r="AE114" s="1">
        <f t="shared" si="3"/>
        <v>1</v>
      </c>
      <c r="AF114" s="1">
        <f>IF(AE114=1,COUNTIF($AE$2:AE114,1),"")</f>
        <v>112</v>
      </c>
      <c r="AG114" s="1" t="str">
        <f>IFERROR(INDEX($AA$2:$AA$248,MATCH(ROWS($AF$2:AF114),$AF$2:$AF$248,0)),"")</f>
        <v>Iran (Islamic Republic of)</v>
      </c>
    </row>
    <row r="115" spans="27:33" ht="15" customHeight="1" x14ac:dyDescent="0.25">
      <c r="AA115" s="1" t="s">
        <v>84</v>
      </c>
      <c r="AB115" s="1" t="s">
        <v>367</v>
      </c>
      <c r="AC115" s="1" t="s">
        <v>368</v>
      </c>
      <c r="AD115" s="1" t="s">
        <v>360</v>
      </c>
      <c r="AE115" s="1">
        <f t="shared" si="3"/>
        <v>1</v>
      </c>
      <c r="AF115" s="1">
        <f>IF(AE115=1,COUNTIF($AE$2:AE115,1),"")</f>
        <v>113</v>
      </c>
      <c r="AG115" s="1" t="str">
        <f>IFERROR(INDEX($AA$2:$AA$248,MATCH(ROWS($AF$2:AF115),$AF$2:$AF$248,0)),"")</f>
        <v>Iraq</v>
      </c>
    </row>
    <row r="116" spans="27:33" ht="15" customHeight="1" x14ac:dyDescent="0.25">
      <c r="AA116" s="1" t="s">
        <v>85</v>
      </c>
      <c r="AB116" s="1" t="s">
        <v>369</v>
      </c>
      <c r="AC116" s="1" t="s">
        <v>370</v>
      </c>
      <c r="AD116" s="1" t="s">
        <v>360</v>
      </c>
      <c r="AE116" s="1">
        <f t="shared" si="3"/>
        <v>1</v>
      </c>
      <c r="AF116" s="1">
        <f>IF(AE116=1,COUNTIF($AE$2:AE116,1),"")</f>
        <v>114</v>
      </c>
      <c r="AG116" s="1" t="str">
        <f>IFERROR(INDEX($AA$2:$AA$248,MATCH(ROWS($AF$2:AF116),$AF$2:$AF$248,0)),"")</f>
        <v>Ireland</v>
      </c>
    </row>
    <row r="117" spans="27:33" ht="15" customHeight="1" x14ac:dyDescent="0.25">
      <c r="AA117" s="1" t="s">
        <v>120</v>
      </c>
      <c r="AB117" s="1" t="s">
        <v>447</v>
      </c>
      <c r="AC117" s="1" t="s">
        <v>448</v>
      </c>
      <c r="AD117" s="1" t="s">
        <v>406</v>
      </c>
      <c r="AE117" s="1">
        <f t="shared" si="3"/>
        <v>1</v>
      </c>
      <c r="AF117" s="1">
        <f>IF(AE117=1,COUNTIF($AE$2:AE117,1),"")</f>
        <v>115</v>
      </c>
      <c r="AG117" s="1" t="str">
        <f>IFERROR(INDEX($AA$2:$AA$248,MATCH(ROWS($AF$2:AF117),$AF$2:$AF$248,0)),"")</f>
        <v>Isle of Man</v>
      </c>
    </row>
    <row r="118" spans="27:33" ht="15" customHeight="1" x14ac:dyDescent="0.25">
      <c r="AA118" s="1" t="s">
        <v>802</v>
      </c>
      <c r="AB118" s="1" t="s">
        <v>803</v>
      </c>
      <c r="AC118" s="1" t="s">
        <v>804</v>
      </c>
      <c r="AD118" s="1" t="s">
        <v>514</v>
      </c>
      <c r="AE118" s="1">
        <f t="shared" si="3"/>
        <v>1</v>
      </c>
      <c r="AF118" s="1">
        <f>IF(AE118=1,COUNTIF($AE$2:AE118,1),"")</f>
        <v>116</v>
      </c>
      <c r="AG118" s="1" t="str">
        <f>IFERROR(INDEX($AA$2:$AA$248,MATCH(ROWS($AF$2:AF118),$AF$2:$AF$248,0)),"")</f>
        <v>Israel</v>
      </c>
    </row>
    <row r="119" spans="27:33" ht="15" customHeight="1" x14ac:dyDescent="0.25">
      <c r="AA119" s="1" t="s">
        <v>121</v>
      </c>
      <c r="AB119" s="1" t="s">
        <v>449</v>
      </c>
      <c r="AC119" s="1" t="s">
        <v>450</v>
      </c>
      <c r="AD119" s="1" t="s">
        <v>406</v>
      </c>
      <c r="AE119" s="1">
        <f t="shared" si="3"/>
        <v>1</v>
      </c>
      <c r="AF119" s="1">
        <f>IF(AE119=1,COUNTIF($AE$2:AE119,1),"")</f>
        <v>117</v>
      </c>
      <c r="AG119" s="1" t="str">
        <f>IFERROR(INDEX($AA$2:$AA$248,MATCH(ROWS($AF$2:AF119),$AF$2:$AF$248,0)),"")</f>
        <v>Italy</v>
      </c>
    </row>
    <row r="120" spans="27:33" ht="15" customHeight="1" x14ac:dyDescent="0.25">
      <c r="AA120" s="1" t="s">
        <v>122</v>
      </c>
      <c r="AB120" s="1" t="s">
        <v>451</v>
      </c>
      <c r="AC120" s="1" t="s">
        <v>452</v>
      </c>
      <c r="AD120" s="1" t="s">
        <v>406</v>
      </c>
      <c r="AE120" s="1">
        <f t="shared" si="3"/>
        <v>1</v>
      </c>
      <c r="AF120" s="1">
        <f>IF(AE120=1,COUNTIF($AE$2:AE120,1),"")</f>
        <v>118</v>
      </c>
      <c r="AG120" s="1" t="str">
        <f>IFERROR(INDEX($AA$2:$AA$248,MATCH(ROWS($AF$2:AF120),$AF$2:$AF$248,0)),"")</f>
        <v>Jamaica</v>
      </c>
    </row>
    <row r="121" spans="27:33" ht="15" customHeight="1" x14ac:dyDescent="0.25">
      <c r="AA121" s="1" t="s">
        <v>66</v>
      </c>
      <c r="AB121" s="1" t="s">
        <v>330</v>
      </c>
      <c r="AC121" s="1" t="s">
        <v>331</v>
      </c>
      <c r="AD121" s="1" t="s">
        <v>288</v>
      </c>
      <c r="AE121" s="1">
        <f t="shared" si="3"/>
        <v>1</v>
      </c>
      <c r="AF121" s="1">
        <f>IF(AE121=1,COUNTIF($AE$2:AE121,1),"")</f>
        <v>119</v>
      </c>
      <c r="AG121" s="1" t="str">
        <f>IFERROR(INDEX($AA$2:$AA$248,MATCH(ROWS($AF$2:AF121),$AF$2:$AF$248,0)),"")</f>
        <v>Japan</v>
      </c>
    </row>
    <row r="122" spans="27:33" ht="15" customHeight="1" x14ac:dyDescent="0.25">
      <c r="AA122" s="1" t="s">
        <v>166</v>
      </c>
      <c r="AB122" s="1" t="s">
        <v>697</v>
      </c>
      <c r="AC122" s="1" t="s">
        <v>698</v>
      </c>
      <c r="AD122" s="1" t="s">
        <v>685</v>
      </c>
      <c r="AE122" s="1">
        <f t="shared" si="3"/>
        <v>1</v>
      </c>
      <c r="AF122" s="1">
        <f>IF(AE122=1,COUNTIF($AE$2:AE122,1),"")</f>
        <v>120</v>
      </c>
      <c r="AG122" s="1" t="str">
        <f>IFERROR(INDEX($AA$2:$AA$248,MATCH(ROWS($AF$2:AF122),$AF$2:$AF$248,0)),"")</f>
        <v>Jersey</v>
      </c>
    </row>
    <row r="123" spans="27:33" ht="15" customHeight="1" x14ac:dyDescent="0.25">
      <c r="AA123" s="1" t="s">
        <v>805</v>
      </c>
      <c r="AB123" s="1" t="s">
        <v>806</v>
      </c>
      <c r="AC123" s="1" t="s">
        <v>807</v>
      </c>
      <c r="AD123" s="1" t="s">
        <v>514</v>
      </c>
      <c r="AE123" s="1">
        <f t="shared" si="3"/>
        <v>1</v>
      </c>
      <c r="AF123" s="1">
        <f>IF(AE123=1,COUNTIF($AE$2:AE123,1),"")</f>
        <v>121</v>
      </c>
      <c r="AG123" s="1" t="str">
        <f>IFERROR(INDEX($AA$2:$AA$248,MATCH(ROWS($AF$2:AF123),$AF$2:$AF$248,0)),"")</f>
        <v>Jordan</v>
      </c>
    </row>
    <row r="124" spans="27:33" ht="15" customHeight="1" x14ac:dyDescent="0.25">
      <c r="AA124" s="1" t="s">
        <v>86</v>
      </c>
      <c r="AB124" s="1" t="s">
        <v>371</v>
      </c>
      <c r="AC124" s="1" t="s">
        <v>372</v>
      </c>
      <c r="AD124" s="1" t="s">
        <v>360</v>
      </c>
      <c r="AE124" s="1">
        <f t="shared" si="3"/>
        <v>1</v>
      </c>
      <c r="AF124" s="1">
        <f>IF(AE124=1,COUNTIF($AE$2:AE124,1),"")</f>
        <v>122</v>
      </c>
      <c r="AG124" s="1" t="str">
        <f>IFERROR(INDEX($AA$2:$AA$248,MATCH(ROWS($AF$2:AF124),$AF$2:$AF$248,0)),"")</f>
        <v>Kazakhstan</v>
      </c>
    </row>
    <row r="125" spans="27:33" ht="15" customHeight="1" x14ac:dyDescent="0.25">
      <c r="AA125" s="1" t="s">
        <v>123</v>
      </c>
      <c r="AB125" s="1" t="s">
        <v>453</v>
      </c>
      <c r="AC125" s="1" t="s">
        <v>454</v>
      </c>
      <c r="AD125" s="1" t="s">
        <v>406</v>
      </c>
      <c r="AE125" s="1">
        <f t="shared" si="3"/>
        <v>1</v>
      </c>
      <c r="AF125" s="1">
        <f>IF(AE125=1,COUNTIF($AE$2:AE125,1),"")</f>
        <v>123</v>
      </c>
      <c r="AG125" s="1" t="str">
        <f>IFERROR(INDEX($AA$2:$AA$248,MATCH(ROWS($AF$2:AF125),$AF$2:$AF$248,0)),"")</f>
        <v>Kenya</v>
      </c>
    </row>
    <row r="126" spans="27:33" ht="15" customHeight="1" x14ac:dyDescent="0.25">
      <c r="AA126" s="1" t="s">
        <v>23</v>
      </c>
      <c r="AB126" s="1" t="s">
        <v>235</v>
      </c>
      <c r="AC126" s="1" t="s">
        <v>236</v>
      </c>
      <c r="AD126" s="1" t="s">
        <v>192</v>
      </c>
      <c r="AE126" s="1">
        <f t="shared" si="3"/>
        <v>1</v>
      </c>
      <c r="AF126" s="1">
        <f>IF(AE126=1,COUNTIF($AE$2:AE126,1),"")</f>
        <v>124</v>
      </c>
      <c r="AG126" s="1" t="str">
        <f>IFERROR(INDEX($AA$2:$AA$248,MATCH(ROWS($AF$2:AF126),$AF$2:$AF$248,0)),"")</f>
        <v>Kiribati</v>
      </c>
    </row>
    <row r="127" spans="27:33" ht="15" customHeight="1" x14ac:dyDescent="0.25">
      <c r="AA127" s="1" t="s">
        <v>167</v>
      </c>
      <c r="AB127" s="1" t="s">
        <v>699</v>
      </c>
      <c r="AC127" s="1" t="s">
        <v>700</v>
      </c>
      <c r="AD127" s="1" t="s">
        <v>685</v>
      </c>
      <c r="AE127" s="1">
        <f t="shared" si="3"/>
        <v>1</v>
      </c>
      <c r="AF127" s="1">
        <f>IF(AE127=1,COUNTIF($AE$2:AE127,1),"")</f>
        <v>125</v>
      </c>
      <c r="AG127" s="1" t="str">
        <f>IFERROR(INDEX($AA$2:$AA$248,MATCH(ROWS($AF$2:AF127),$AF$2:$AF$248,0)),"")</f>
        <v>Kuwait</v>
      </c>
    </row>
    <row r="128" spans="27:33" ht="15" customHeight="1" x14ac:dyDescent="0.25">
      <c r="AA128" s="1" t="s">
        <v>87</v>
      </c>
      <c r="AB128" s="1" t="s">
        <v>373</v>
      </c>
      <c r="AC128" s="1" t="s">
        <v>374</v>
      </c>
      <c r="AD128" s="1" t="s">
        <v>360</v>
      </c>
      <c r="AE128" s="1">
        <f t="shared" si="3"/>
        <v>1</v>
      </c>
      <c r="AF128" s="1">
        <f>IF(AE128=1,COUNTIF($AE$2:AE128,1),"")</f>
        <v>126</v>
      </c>
      <c r="AG128" s="1" t="str">
        <f>IFERROR(INDEX($AA$2:$AA$248,MATCH(ROWS($AF$2:AF128),$AF$2:$AF$248,0)),"")</f>
        <v>Kyrgyzstan</v>
      </c>
    </row>
    <row r="129" spans="27:33" ht="15" customHeight="1" x14ac:dyDescent="0.25">
      <c r="AA129" s="1" t="s">
        <v>124</v>
      </c>
      <c r="AB129" s="1" t="s">
        <v>455</v>
      </c>
      <c r="AC129" s="1" t="s">
        <v>456</v>
      </c>
      <c r="AD129" s="1" t="s">
        <v>406</v>
      </c>
      <c r="AE129" s="1">
        <f t="shared" si="3"/>
        <v>1</v>
      </c>
      <c r="AF129" s="1">
        <f>IF(AE129=1,COUNTIF($AE$2:AE129,1),"")</f>
        <v>127</v>
      </c>
      <c r="AG129" s="1" t="str">
        <f>IFERROR(INDEX($AA$2:$AA$248,MATCH(ROWS($AF$2:AF129),$AF$2:$AF$248,0)),"")</f>
        <v>Lao People's Democratic Republic</v>
      </c>
    </row>
    <row r="130" spans="27:33" ht="15" customHeight="1" x14ac:dyDescent="0.25">
      <c r="AA130" s="1" t="s">
        <v>168</v>
      </c>
      <c r="AB130" s="1" t="s">
        <v>701</v>
      </c>
      <c r="AC130" s="1" t="s">
        <v>702</v>
      </c>
      <c r="AD130" s="1" t="s">
        <v>685</v>
      </c>
      <c r="AE130" s="1">
        <f t="shared" si="3"/>
        <v>1</v>
      </c>
      <c r="AF130" s="1">
        <f>IF(AE130=1,COUNTIF($AE$2:AE130,1),"")</f>
        <v>128</v>
      </c>
      <c r="AG130" s="1" t="str">
        <f>IFERROR(INDEX($AA$2:$AA$248,MATCH(ROWS($AF$2:AF130),$AF$2:$AF$248,0)),"")</f>
        <v>Latvia</v>
      </c>
    </row>
    <row r="131" spans="27:33" ht="15" customHeight="1" x14ac:dyDescent="0.25">
      <c r="AA131" s="1" t="s">
        <v>125</v>
      </c>
      <c r="AB131" s="1" t="s">
        <v>457</v>
      </c>
      <c r="AC131" s="1" t="s">
        <v>458</v>
      </c>
      <c r="AD131" s="1" t="s">
        <v>406</v>
      </c>
      <c r="AE131" s="1">
        <f t="shared" si="3"/>
        <v>1</v>
      </c>
      <c r="AF131" s="1">
        <f>IF(AE131=1,COUNTIF($AE$2:AE131,1),"")</f>
        <v>129</v>
      </c>
      <c r="AG131" s="1" t="str">
        <f>IFERROR(INDEX($AA$2:$AA$248,MATCH(ROWS($AF$2:AF131),$AF$2:$AF$248,0)),"")</f>
        <v>Lebanon</v>
      </c>
    </row>
    <row r="132" spans="27:33" ht="15" customHeight="1" x14ac:dyDescent="0.25">
      <c r="AA132" s="1" t="s">
        <v>88</v>
      </c>
      <c r="AB132" s="1" t="s">
        <v>375</v>
      </c>
      <c r="AC132" s="1" t="s">
        <v>376</v>
      </c>
      <c r="AD132" s="1" t="s">
        <v>360</v>
      </c>
      <c r="AE132" s="1">
        <f t="shared" ref="AE132:AE195" si="4">--ISNUMBER(IFERROR(SEARCH($X$1,AA132,1),""))</f>
        <v>1</v>
      </c>
      <c r="AF132" s="1">
        <f>IF(AE132=1,COUNTIF($AE$2:AE132,1),"")</f>
        <v>130</v>
      </c>
      <c r="AG132" s="1" t="str">
        <f>IFERROR(INDEX($AA$2:$AA$248,MATCH(ROWS($AF$2:AF132),$AF$2:$AF$248,0)),"")</f>
        <v>Lesotho</v>
      </c>
    </row>
    <row r="133" spans="27:33" ht="15" customHeight="1" x14ac:dyDescent="0.25">
      <c r="AA133" s="1" t="s">
        <v>24</v>
      </c>
      <c r="AB133" s="1" t="s">
        <v>237</v>
      </c>
      <c r="AC133" s="1" t="s">
        <v>238</v>
      </c>
      <c r="AD133" s="1" t="s">
        <v>192</v>
      </c>
      <c r="AE133" s="1">
        <f t="shared" si="4"/>
        <v>1</v>
      </c>
      <c r="AF133" s="1">
        <f>IF(AE133=1,COUNTIF($AE$2:AE133,1),"")</f>
        <v>131</v>
      </c>
      <c r="AG133" s="1" t="str">
        <f>IFERROR(INDEX($AA$2:$AA$248,MATCH(ROWS($AF$2:AF133),$AF$2:$AF$248,0)),"")</f>
        <v>Liberia</v>
      </c>
    </row>
    <row r="134" spans="27:33" ht="15" customHeight="1" x14ac:dyDescent="0.25">
      <c r="AA134" s="1" t="s">
        <v>25</v>
      </c>
      <c r="AB134" s="1" t="s">
        <v>239</v>
      </c>
      <c r="AC134" s="1" t="s">
        <v>240</v>
      </c>
      <c r="AD134" s="1" t="s">
        <v>192</v>
      </c>
      <c r="AE134" s="1">
        <f t="shared" si="4"/>
        <v>1</v>
      </c>
      <c r="AF134" s="1">
        <f>IF(AE134=1,COUNTIF($AE$2:AE134,1),"")</f>
        <v>132</v>
      </c>
      <c r="AG134" s="1" t="str">
        <f>IFERROR(INDEX($AA$2:$AA$248,MATCH(ROWS($AF$2:AF134),$AF$2:$AF$248,0)),"")</f>
        <v>Libya</v>
      </c>
    </row>
    <row r="135" spans="27:33" ht="15" customHeight="1" x14ac:dyDescent="0.25">
      <c r="AA135" s="1" t="s">
        <v>377</v>
      </c>
      <c r="AB135" s="1" t="s">
        <v>378</v>
      </c>
      <c r="AC135" s="1" t="s">
        <v>379</v>
      </c>
      <c r="AD135" s="1" t="s">
        <v>360</v>
      </c>
      <c r="AE135" s="1">
        <f t="shared" si="4"/>
        <v>1</v>
      </c>
      <c r="AF135" s="1">
        <f>IF(AE135=1,COUNTIF($AE$2:AE135,1),"")</f>
        <v>133</v>
      </c>
      <c r="AG135" s="1" t="str">
        <f>IFERROR(INDEX($AA$2:$AA$248,MATCH(ROWS($AF$2:AF135),$AF$2:$AF$248,0)),"")</f>
        <v>Liechtenstein</v>
      </c>
    </row>
    <row r="136" spans="27:33" ht="15" customHeight="1" x14ac:dyDescent="0.25">
      <c r="AA136" s="1" t="s">
        <v>578</v>
      </c>
      <c r="AB136" s="1" t="s">
        <v>579</v>
      </c>
      <c r="AC136" s="1" t="s">
        <v>580</v>
      </c>
      <c r="AD136" s="1" t="s">
        <v>514</v>
      </c>
      <c r="AE136" s="1">
        <f t="shared" si="4"/>
        <v>1</v>
      </c>
      <c r="AF136" s="1">
        <f>IF(AE136=1,COUNTIF($AE$2:AE136,1),"")</f>
        <v>134</v>
      </c>
      <c r="AG136" s="1" t="str">
        <f>IFERROR(INDEX($AA$2:$AA$248,MATCH(ROWS($AF$2:AF136),$AF$2:$AF$248,0)),"")</f>
        <v>Lithuania</v>
      </c>
    </row>
    <row r="137" spans="27:33" ht="15" customHeight="1" x14ac:dyDescent="0.25">
      <c r="AA137" s="1" t="s">
        <v>126</v>
      </c>
      <c r="AB137" s="1" t="s">
        <v>459</v>
      </c>
      <c r="AC137" s="1" t="s">
        <v>460</v>
      </c>
      <c r="AD137" s="1" t="s">
        <v>406</v>
      </c>
      <c r="AE137" s="1">
        <f t="shared" si="4"/>
        <v>1</v>
      </c>
      <c r="AF137" s="1">
        <f>IF(AE137=1,COUNTIF($AE$2:AE137,1),"")</f>
        <v>135</v>
      </c>
      <c r="AG137" s="1" t="str">
        <f>IFERROR(INDEX($AA$2:$AA$248,MATCH(ROWS($AF$2:AF137),$AF$2:$AF$248,0)),"")</f>
        <v>Luxembourg</v>
      </c>
    </row>
    <row r="138" spans="27:33" ht="15" customHeight="1" x14ac:dyDescent="0.25">
      <c r="AA138" s="1" t="s">
        <v>127</v>
      </c>
      <c r="AB138" s="1" t="s">
        <v>461</v>
      </c>
      <c r="AC138" s="1" t="s">
        <v>462</v>
      </c>
      <c r="AD138" s="1" t="s">
        <v>406</v>
      </c>
      <c r="AE138" s="1">
        <f t="shared" si="4"/>
        <v>1</v>
      </c>
      <c r="AF138" s="1">
        <f>IF(AE138=1,COUNTIF($AE$2:AE138,1),"")</f>
        <v>136</v>
      </c>
      <c r="AG138" s="1" t="str">
        <f>IFERROR(INDEX($AA$2:$AA$248,MATCH(ROWS($AF$2:AF138),$AF$2:$AF$248,0)),"")</f>
        <v>Madagascar</v>
      </c>
    </row>
    <row r="139" spans="27:33" ht="15" customHeight="1" x14ac:dyDescent="0.25">
      <c r="AA139" s="1" t="s">
        <v>26</v>
      </c>
      <c r="AB139" s="1" t="s">
        <v>241</v>
      </c>
      <c r="AC139" s="1" t="s">
        <v>242</v>
      </c>
      <c r="AD139" s="1" t="s">
        <v>192</v>
      </c>
      <c r="AE139" s="1">
        <f t="shared" si="4"/>
        <v>1</v>
      </c>
      <c r="AF139" s="1">
        <f>IF(AE139=1,COUNTIF($AE$2:AE139,1),"")</f>
        <v>137</v>
      </c>
      <c r="AG139" s="1" t="str">
        <f>IFERROR(INDEX($AA$2:$AA$248,MATCH(ROWS($AF$2:AF139),$AF$2:$AF$248,0)),"")</f>
        <v>Malawi</v>
      </c>
    </row>
    <row r="140" spans="27:33" ht="15" customHeight="1" x14ac:dyDescent="0.25">
      <c r="AA140" s="1" t="s">
        <v>27</v>
      </c>
      <c r="AB140" s="1" t="s">
        <v>243</v>
      </c>
      <c r="AC140" s="1" t="s">
        <v>244</v>
      </c>
      <c r="AD140" s="1" t="s">
        <v>192</v>
      </c>
      <c r="AE140" s="1">
        <f t="shared" si="4"/>
        <v>1</v>
      </c>
      <c r="AF140" s="1">
        <f>IF(AE140=1,COUNTIF($AE$2:AE140,1),"")</f>
        <v>138</v>
      </c>
      <c r="AG140" s="1" t="str">
        <f>IFERROR(INDEX($AA$2:$AA$248,MATCH(ROWS($AF$2:AF140),$AF$2:$AF$248,0)),"")</f>
        <v>Malaysia</v>
      </c>
    </row>
    <row r="141" spans="27:33" ht="15" customHeight="1" x14ac:dyDescent="0.25">
      <c r="AA141" s="1" t="s">
        <v>169</v>
      </c>
      <c r="AB141" s="1" t="s">
        <v>703</v>
      </c>
      <c r="AC141" s="1" t="s">
        <v>704</v>
      </c>
      <c r="AD141" s="1" t="s">
        <v>685</v>
      </c>
      <c r="AE141" s="1">
        <f t="shared" si="4"/>
        <v>1</v>
      </c>
      <c r="AF141" s="1">
        <f>IF(AE141=1,COUNTIF($AE$2:AE141,1),"")</f>
        <v>139</v>
      </c>
      <c r="AG141" s="1" t="str">
        <f>IFERROR(INDEX($AA$2:$AA$248,MATCH(ROWS($AF$2:AF141),$AF$2:$AF$248,0)),"")</f>
        <v>Maldives</v>
      </c>
    </row>
    <row r="142" spans="27:33" ht="15" customHeight="1" x14ac:dyDescent="0.25">
      <c r="AA142" s="1" t="s">
        <v>155</v>
      </c>
      <c r="AB142" s="1" t="s">
        <v>671</v>
      </c>
      <c r="AC142" s="1" t="s">
        <v>672</v>
      </c>
      <c r="AD142" s="1" t="s">
        <v>662</v>
      </c>
      <c r="AE142" s="1">
        <f t="shared" si="4"/>
        <v>1</v>
      </c>
      <c r="AF142" s="1">
        <f>IF(AE142=1,COUNTIF($AE$2:AE142,1),"")</f>
        <v>140</v>
      </c>
      <c r="AG142" s="1" t="str">
        <f>IFERROR(INDEX($AA$2:$AA$248,MATCH(ROWS($AF$2:AF142),$AF$2:$AF$248,0)),"")</f>
        <v>Mali</v>
      </c>
    </row>
    <row r="143" spans="27:33" ht="15" customHeight="1" x14ac:dyDescent="0.25">
      <c r="AA143" s="1" t="s">
        <v>28</v>
      </c>
      <c r="AB143" s="1" t="s">
        <v>245</v>
      </c>
      <c r="AC143" s="1" t="s">
        <v>246</v>
      </c>
      <c r="AD143" s="1" t="s">
        <v>192</v>
      </c>
      <c r="AE143" s="1">
        <f t="shared" si="4"/>
        <v>1</v>
      </c>
      <c r="AF143" s="1">
        <f>IF(AE143=1,COUNTIF($AE$2:AE143,1),"")</f>
        <v>141</v>
      </c>
      <c r="AG143" s="1" t="str">
        <f>IFERROR(INDEX($AA$2:$AA$248,MATCH(ROWS($AF$2:AF143),$AF$2:$AF$248,0)),"")</f>
        <v>Malta</v>
      </c>
    </row>
    <row r="144" spans="27:33" ht="15" customHeight="1" x14ac:dyDescent="0.25">
      <c r="AA144" s="1" t="s">
        <v>128</v>
      </c>
      <c r="AB144" s="1" t="s">
        <v>463</v>
      </c>
      <c r="AC144" s="1" t="s">
        <v>464</v>
      </c>
      <c r="AD144" s="1" t="s">
        <v>406</v>
      </c>
      <c r="AE144" s="1">
        <f t="shared" si="4"/>
        <v>1</v>
      </c>
      <c r="AF144" s="1">
        <f>IF(AE144=1,COUNTIF($AE$2:AE144,1),"")</f>
        <v>142</v>
      </c>
      <c r="AG144" s="1" t="str">
        <f>IFERROR(INDEX($AA$2:$AA$248,MATCH(ROWS($AF$2:AF144),$AF$2:$AF$248,0)),"")</f>
        <v>Marshall Islands</v>
      </c>
    </row>
    <row r="145" spans="27:33" ht="15" customHeight="1" x14ac:dyDescent="0.25">
      <c r="AA145" s="1" t="s">
        <v>170</v>
      </c>
      <c r="AB145" s="1" t="s">
        <v>705</v>
      </c>
      <c r="AC145" s="1" t="s">
        <v>706</v>
      </c>
      <c r="AD145" s="1" t="s">
        <v>685</v>
      </c>
      <c r="AE145" s="1">
        <f t="shared" si="4"/>
        <v>1</v>
      </c>
      <c r="AF145" s="1">
        <f>IF(AE145=1,COUNTIF($AE$2:AE145,1),"")</f>
        <v>143</v>
      </c>
      <c r="AG145" s="1" t="str">
        <f>IFERROR(INDEX($AA$2:$AA$248,MATCH(ROWS($AF$2:AF145),$AF$2:$AF$248,0)),"")</f>
        <v>Martinique</v>
      </c>
    </row>
    <row r="146" spans="27:33" ht="15" customHeight="1" x14ac:dyDescent="0.25">
      <c r="AA146" s="1" t="s">
        <v>581</v>
      </c>
      <c r="AB146" s="1" t="s">
        <v>582</v>
      </c>
      <c r="AC146" s="1" t="s">
        <v>583</v>
      </c>
      <c r="AD146" s="1" t="s">
        <v>514</v>
      </c>
      <c r="AE146" s="1">
        <f t="shared" si="4"/>
        <v>1</v>
      </c>
      <c r="AF146" s="1">
        <f>IF(AE146=1,COUNTIF($AE$2:AE146,1),"")</f>
        <v>144</v>
      </c>
      <c r="AG146" s="1" t="str">
        <f>IFERROR(INDEX($AA$2:$AA$248,MATCH(ROWS($AF$2:AF146),$AF$2:$AF$248,0)),"")</f>
        <v>Mauritania</v>
      </c>
    </row>
    <row r="147" spans="27:33" ht="15" customHeight="1" x14ac:dyDescent="0.25">
      <c r="AA147" s="1" t="s">
        <v>29</v>
      </c>
      <c r="AB147" s="1" t="s">
        <v>247</v>
      </c>
      <c r="AC147" s="1" t="s">
        <v>248</v>
      </c>
      <c r="AD147" s="1" t="s">
        <v>192</v>
      </c>
      <c r="AE147" s="1">
        <f t="shared" si="4"/>
        <v>1</v>
      </c>
      <c r="AF147" s="1">
        <f>IF(AE147=1,COUNTIF($AE$2:AE147,1),"")</f>
        <v>145</v>
      </c>
      <c r="AG147" s="1" t="str">
        <f>IFERROR(INDEX($AA$2:$AA$248,MATCH(ROWS($AF$2:AF147),$AF$2:$AF$248,0)),"")</f>
        <v>Mauritius</v>
      </c>
    </row>
    <row r="148" spans="27:33" ht="15" customHeight="1" x14ac:dyDescent="0.25">
      <c r="AA148" s="1" t="s">
        <v>30</v>
      </c>
      <c r="AB148" s="1" t="s">
        <v>249</v>
      </c>
      <c r="AC148" s="1" t="s">
        <v>250</v>
      </c>
      <c r="AD148" s="1" t="s">
        <v>192</v>
      </c>
      <c r="AE148" s="1">
        <f t="shared" si="4"/>
        <v>1</v>
      </c>
      <c r="AF148" s="1">
        <f>IF(AE148=1,COUNTIF($AE$2:AE148,1),"")</f>
        <v>146</v>
      </c>
      <c r="AG148" s="1" t="str">
        <f>IFERROR(INDEX($AA$2:$AA$248,MATCH(ROWS($AF$2:AF148),$AF$2:$AF$248,0)),"")</f>
        <v>Mayotte</v>
      </c>
    </row>
    <row r="149" spans="27:33" ht="15" customHeight="1" x14ac:dyDescent="0.25">
      <c r="AA149" s="1" t="s">
        <v>584</v>
      </c>
      <c r="AB149" s="1" t="s">
        <v>585</v>
      </c>
      <c r="AC149" s="1" t="s">
        <v>586</v>
      </c>
      <c r="AD149" s="1" t="s">
        <v>514</v>
      </c>
      <c r="AE149" s="1">
        <f t="shared" si="4"/>
        <v>1</v>
      </c>
      <c r="AF149" s="1">
        <f>IF(AE149=1,COUNTIF($AE$2:AE149,1),"")</f>
        <v>147</v>
      </c>
      <c r="AG149" s="1" t="str">
        <f>IFERROR(INDEX($AA$2:$AA$248,MATCH(ROWS($AF$2:AF149),$AF$2:$AF$248,0)),"")</f>
        <v>Mexico</v>
      </c>
    </row>
    <row r="150" spans="27:33" ht="15" customHeight="1" x14ac:dyDescent="0.25">
      <c r="AA150" s="1" t="s">
        <v>67</v>
      </c>
      <c r="AB150" s="1" t="s">
        <v>332</v>
      </c>
      <c r="AC150" s="1" t="s">
        <v>333</v>
      </c>
      <c r="AD150" s="1" t="s">
        <v>288</v>
      </c>
      <c r="AE150" s="1">
        <f t="shared" si="4"/>
        <v>1</v>
      </c>
      <c r="AF150" s="1">
        <f>IF(AE150=1,COUNTIF($AE$2:AE150,1),"")</f>
        <v>148</v>
      </c>
      <c r="AG150" s="1" t="str">
        <f>IFERROR(INDEX($AA$2:$AA$248,MATCH(ROWS($AF$2:AF150),$AF$2:$AF$248,0)),"")</f>
        <v>Micronesia (Federated States of)</v>
      </c>
    </row>
    <row r="151" spans="27:33" ht="15" customHeight="1" x14ac:dyDescent="0.25">
      <c r="AA151" s="1" t="s">
        <v>171</v>
      </c>
      <c r="AB151" s="1" t="s">
        <v>707</v>
      </c>
      <c r="AC151" s="1" t="s">
        <v>708</v>
      </c>
      <c r="AD151" s="1" t="s">
        <v>685</v>
      </c>
      <c r="AE151" s="1">
        <f t="shared" si="4"/>
        <v>1</v>
      </c>
      <c r="AF151" s="1">
        <f>IF(AE151=1,COUNTIF($AE$2:AE151,1),"")</f>
        <v>149</v>
      </c>
      <c r="AG151" s="1" t="str">
        <f>IFERROR(INDEX($AA$2:$AA$248,MATCH(ROWS($AF$2:AF151),$AF$2:$AF$248,0)),"")</f>
        <v>Monaco</v>
      </c>
    </row>
    <row r="152" spans="27:33" ht="15" customHeight="1" x14ac:dyDescent="0.25">
      <c r="AA152" s="1" t="s">
        <v>129</v>
      </c>
      <c r="AB152" s="1" t="s">
        <v>465</v>
      </c>
      <c r="AC152" s="1" t="s">
        <v>466</v>
      </c>
      <c r="AD152" s="1" t="s">
        <v>406</v>
      </c>
      <c r="AE152" s="1">
        <f t="shared" si="4"/>
        <v>1</v>
      </c>
      <c r="AF152" s="1">
        <f>IF(AE152=1,COUNTIF($AE$2:AE152,1),"")</f>
        <v>150</v>
      </c>
      <c r="AG152" s="1" t="str">
        <f>IFERROR(INDEX($AA$2:$AA$248,MATCH(ROWS($AF$2:AF152),$AF$2:$AF$248,0)),"")</f>
        <v>Mongolia</v>
      </c>
    </row>
    <row r="153" spans="27:33" ht="15" customHeight="1" x14ac:dyDescent="0.25">
      <c r="AA153" s="1" t="s">
        <v>172</v>
      </c>
      <c r="AB153" s="1" t="s">
        <v>709</v>
      </c>
      <c r="AC153" s="1" t="s">
        <v>710</v>
      </c>
      <c r="AD153" s="1" t="s">
        <v>685</v>
      </c>
      <c r="AE153" s="1">
        <f t="shared" si="4"/>
        <v>1</v>
      </c>
      <c r="AF153" s="1">
        <f>IF(AE153=1,COUNTIF($AE$2:AE153,1),"")</f>
        <v>151</v>
      </c>
      <c r="AG153" s="1" t="str">
        <f>IFERROR(INDEX($AA$2:$AA$248,MATCH(ROWS($AF$2:AF153),$AF$2:$AF$248,0)),"")</f>
        <v>Montenegro</v>
      </c>
    </row>
    <row r="154" spans="27:33" ht="15" customHeight="1" x14ac:dyDescent="0.25">
      <c r="AA154" s="1" t="s">
        <v>130</v>
      </c>
      <c r="AB154" s="1" t="s">
        <v>467</v>
      </c>
      <c r="AC154" s="1" t="s">
        <v>468</v>
      </c>
      <c r="AD154" s="1" t="s">
        <v>406</v>
      </c>
      <c r="AE154" s="1">
        <f t="shared" si="4"/>
        <v>1</v>
      </c>
      <c r="AF154" s="1">
        <f>IF(AE154=1,COUNTIF($AE$2:AE154,1),"")</f>
        <v>152</v>
      </c>
      <c r="AG154" s="1" t="str">
        <f>IFERROR(INDEX($AA$2:$AA$248,MATCH(ROWS($AF$2:AF154),$AF$2:$AF$248,0)),"")</f>
        <v>Montserrat</v>
      </c>
    </row>
    <row r="155" spans="27:33" ht="15" customHeight="1" x14ac:dyDescent="0.25">
      <c r="AA155" s="1" t="s">
        <v>587</v>
      </c>
      <c r="AB155" s="1" t="s">
        <v>588</v>
      </c>
      <c r="AC155" s="1" t="s">
        <v>589</v>
      </c>
      <c r="AD155" s="1" t="s">
        <v>288</v>
      </c>
      <c r="AE155" s="1">
        <f t="shared" si="4"/>
        <v>1</v>
      </c>
      <c r="AF155" s="1">
        <f>IF(AE155=1,COUNTIF($AE$2:AE155,1),"")</f>
        <v>153</v>
      </c>
      <c r="AG155" s="1" t="str">
        <f>IFERROR(INDEX($AA$2:$AA$248,MATCH(ROWS($AF$2:AF155),$AF$2:$AF$248,0)),"")</f>
        <v>Morocco</v>
      </c>
    </row>
    <row r="156" spans="27:33" ht="15" customHeight="1" x14ac:dyDescent="0.25">
      <c r="AA156" s="1" t="s">
        <v>89</v>
      </c>
      <c r="AB156" s="1" t="s">
        <v>380</v>
      </c>
      <c r="AC156" s="1" t="s">
        <v>381</v>
      </c>
      <c r="AD156" s="1" t="s">
        <v>360</v>
      </c>
      <c r="AE156" s="1">
        <f t="shared" si="4"/>
        <v>1</v>
      </c>
      <c r="AF156" s="1">
        <f>IF(AE156=1,COUNTIF($AE$2:AE156,1),"")</f>
        <v>154</v>
      </c>
      <c r="AG156" s="1" t="str">
        <f>IFERROR(INDEX($AA$2:$AA$248,MATCH(ROWS($AF$2:AF156),$AF$2:$AF$248,0)),"")</f>
        <v>Mozambique</v>
      </c>
    </row>
    <row r="157" spans="27:33" ht="15" customHeight="1" x14ac:dyDescent="0.25">
      <c r="AA157" s="1" t="s">
        <v>31</v>
      </c>
      <c r="AB157" s="1" t="s">
        <v>251</v>
      </c>
      <c r="AC157" s="1" t="s">
        <v>252</v>
      </c>
      <c r="AD157" s="1" t="s">
        <v>192</v>
      </c>
      <c r="AE157" s="1">
        <f t="shared" si="4"/>
        <v>1</v>
      </c>
      <c r="AF157" s="1">
        <f>IF(AE157=1,COUNTIF($AE$2:AE157,1),"")</f>
        <v>155</v>
      </c>
      <c r="AG157" s="1" t="str">
        <f>IFERROR(INDEX($AA$2:$AA$248,MATCH(ROWS($AF$2:AF157),$AF$2:$AF$248,0)),"")</f>
        <v>Myanmar</v>
      </c>
    </row>
    <row r="158" spans="27:33" ht="15" customHeight="1" x14ac:dyDescent="0.25">
      <c r="AA158" s="1" t="s">
        <v>156</v>
      </c>
      <c r="AB158" s="1" t="s">
        <v>673</v>
      </c>
      <c r="AC158" s="1" t="s">
        <v>674</v>
      </c>
      <c r="AD158" s="1" t="s">
        <v>662</v>
      </c>
      <c r="AE158" s="1">
        <f t="shared" si="4"/>
        <v>1</v>
      </c>
      <c r="AF158" s="1">
        <f>IF(AE158=1,COUNTIF($AE$2:AE158,1),"")</f>
        <v>156</v>
      </c>
      <c r="AG158" s="1" t="str">
        <f>IFERROR(INDEX($AA$2:$AA$248,MATCH(ROWS($AF$2:AF158),$AF$2:$AF$248,0)),"")</f>
        <v>Namibia</v>
      </c>
    </row>
    <row r="159" spans="27:33" ht="15" customHeight="1" x14ac:dyDescent="0.25">
      <c r="AA159" s="1" t="s">
        <v>32</v>
      </c>
      <c r="AB159" s="1" t="s">
        <v>253</v>
      </c>
      <c r="AC159" s="1" t="s">
        <v>254</v>
      </c>
      <c r="AD159" s="1" t="s">
        <v>192</v>
      </c>
      <c r="AE159" s="1">
        <f t="shared" si="4"/>
        <v>1</v>
      </c>
      <c r="AF159" s="1">
        <f>IF(AE159=1,COUNTIF($AE$2:AE159,1),"")</f>
        <v>157</v>
      </c>
      <c r="AG159" s="1" t="str">
        <f>IFERROR(INDEX($AA$2:$AA$248,MATCH(ROWS($AF$2:AF159),$AF$2:$AF$248,0)),"")</f>
        <v>Nauru</v>
      </c>
    </row>
    <row r="160" spans="27:33" ht="15" customHeight="1" x14ac:dyDescent="0.25">
      <c r="AA160" s="1" t="s">
        <v>173</v>
      </c>
      <c r="AB160" s="1" t="s">
        <v>711</v>
      </c>
      <c r="AC160" s="1" t="s">
        <v>712</v>
      </c>
      <c r="AD160" s="1" t="s">
        <v>685</v>
      </c>
      <c r="AE160" s="1">
        <f t="shared" si="4"/>
        <v>1</v>
      </c>
      <c r="AF160" s="1">
        <f>IF(AE160=1,COUNTIF($AE$2:AE160,1),"")</f>
        <v>158</v>
      </c>
      <c r="AG160" s="1" t="str">
        <f>IFERROR(INDEX($AA$2:$AA$248,MATCH(ROWS($AF$2:AF160),$AF$2:$AF$248,0)),"")</f>
        <v>Nepal</v>
      </c>
    </row>
    <row r="161" spans="27:33" ht="15" customHeight="1" x14ac:dyDescent="0.25">
      <c r="AA161" s="1" t="s">
        <v>157</v>
      </c>
      <c r="AB161" s="1" t="s">
        <v>675</v>
      </c>
      <c r="AC161" s="1" t="s">
        <v>676</v>
      </c>
      <c r="AD161" s="1" t="s">
        <v>662</v>
      </c>
      <c r="AE161" s="1">
        <f t="shared" si="4"/>
        <v>1</v>
      </c>
      <c r="AF161" s="1">
        <f>IF(AE161=1,COUNTIF($AE$2:AE161,1),"")</f>
        <v>159</v>
      </c>
      <c r="AG161" s="1" t="str">
        <f>IFERROR(INDEX($AA$2:$AA$248,MATCH(ROWS($AF$2:AF161),$AF$2:$AF$248,0)),"")</f>
        <v>Netherlands</v>
      </c>
    </row>
    <row r="162" spans="27:33" ht="15" customHeight="1" x14ac:dyDescent="0.25">
      <c r="AA162" s="1" t="s">
        <v>131</v>
      </c>
      <c r="AB162" s="1" t="s">
        <v>469</v>
      </c>
      <c r="AC162" s="1" t="s">
        <v>470</v>
      </c>
      <c r="AD162" s="1" t="s">
        <v>406</v>
      </c>
      <c r="AE162" s="1">
        <f t="shared" si="4"/>
        <v>1</v>
      </c>
      <c r="AF162" s="1">
        <f>IF(AE162=1,COUNTIF($AE$2:AE162,1),"")</f>
        <v>160</v>
      </c>
      <c r="AG162" s="1" t="str">
        <f>IFERROR(INDEX($AA$2:$AA$248,MATCH(ROWS($AF$2:AF162),$AF$2:$AF$248,0)),"")</f>
        <v>Netherlands Antilles</v>
      </c>
    </row>
    <row r="163" spans="27:33" ht="15" customHeight="1" x14ac:dyDescent="0.25">
      <c r="AA163" s="1" t="s">
        <v>590</v>
      </c>
      <c r="AB163" s="1" t="s">
        <v>591</v>
      </c>
      <c r="AC163" s="1" t="s">
        <v>592</v>
      </c>
      <c r="AD163" s="1" t="s">
        <v>514</v>
      </c>
      <c r="AE163" s="1">
        <f t="shared" si="4"/>
        <v>1</v>
      </c>
      <c r="AF163" s="1">
        <f>IF(AE163=1,COUNTIF($AE$2:AE163,1),"")</f>
        <v>161</v>
      </c>
      <c r="AG163" s="1" t="str">
        <f>IFERROR(INDEX($AA$2:$AA$248,MATCH(ROWS($AF$2:AF163),$AF$2:$AF$248,0)),"")</f>
        <v>New Caledonia</v>
      </c>
    </row>
    <row r="164" spans="27:33" ht="15" customHeight="1" x14ac:dyDescent="0.25">
      <c r="AA164" s="1" t="s">
        <v>593</v>
      </c>
      <c r="AB164" s="1" t="s">
        <v>594</v>
      </c>
      <c r="AC164" s="1" t="s">
        <v>595</v>
      </c>
      <c r="AD164" s="1" t="s">
        <v>685</v>
      </c>
      <c r="AE164" s="1">
        <f t="shared" si="4"/>
        <v>1</v>
      </c>
      <c r="AF164" s="1">
        <f>IF(AE164=1,COUNTIF($AE$2:AE164,1),"")</f>
        <v>162</v>
      </c>
      <c r="AG164" s="1" t="str">
        <f>IFERROR(INDEX($AA$2:$AA$248,MATCH(ROWS($AF$2:AF164),$AF$2:$AF$248,0)),"")</f>
        <v>New Zealand</v>
      </c>
    </row>
    <row r="165" spans="27:33" ht="15" customHeight="1" x14ac:dyDescent="0.25">
      <c r="AA165" s="1" t="s">
        <v>174</v>
      </c>
      <c r="AB165" s="1" t="s">
        <v>713</v>
      </c>
      <c r="AC165" s="1" t="s">
        <v>714</v>
      </c>
      <c r="AD165" s="1" t="s">
        <v>685</v>
      </c>
      <c r="AE165" s="1">
        <f t="shared" si="4"/>
        <v>1</v>
      </c>
      <c r="AF165" s="1">
        <f>IF(AE165=1,COUNTIF($AE$2:AE165,1),"")</f>
        <v>163</v>
      </c>
      <c r="AG165" s="1" t="str">
        <f>IFERROR(INDEX($AA$2:$AA$248,MATCH(ROWS($AF$2:AF165),$AF$2:$AF$248,0)),"")</f>
        <v>Nicaragua</v>
      </c>
    </row>
    <row r="166" spans="27:33" ht="15" customHeight="1" x14ac:dyDescent="0.25">
      <c r="AA166" s="1" t="s">
        <v>68</v>
      </c>
      <c r="AB166" s="1" t="s">
        <v>334</v>
      </c>
      <c r="AC166" s="1" t="s">
        <v>335</v>
      </c>
      <c r="AD166" s="1" t="s">
        <v>288</v>
      </c>
      <c r="AE166" s="1">
        <f t="shared" si="4"/>
        <v>1</v>
      </c>
      <c r="AF166" s="1">
        <f>IF(AE166=1,COUNTIF($AE$2:AE166,1),"")</f>
        <v>164</v>
      </c>
      <c r="AG166" s="1" t="str">
        <f>IFERROR(INDEX($AA$2:$AA$248,MATCH(ROWS($AF$2:AF166),$AF$2:$AF$248,0)),"")</f>
        <v>Niger</v>
      </c>
    </row>
    <row r="167" spans="27:33" ht="15" customHeight="1" x14ac:dyDescent="0.25">
      <c r="AA167" s="1" t="s">
        <v>33</v>
      </c>
      <c r="AB167" s="1" t="s">
        <v>255</v>
      </c>
      <c r="AC167" s="1" t="s">
        <v>256</v>
      </c>
      <c r="AD167" s="1" t="s">
        <v>192</v>
      </c>
      <c r="AE167" s="1">
        <f t="shared" si="4"/>
        <v>1</v>
      </c>
      <c r="AF167" s="1">
        <f>IF(AE167=1,COUNTIF($AE$2:AE167,1),"")</f>
        <v>165</v>
      </c>
      <c r="AG167" s="1" t="str">
        <f>IFERROR(INDEX($AA$2:$AA$248,MATCH(ROWS($AF$2:AF167),$AF$2:$AF$248,0)),"")</f>
        <v>Nigeria</v>
      </c>
    </row>
    <row r="168" spans="27:33" ht="15" customHeight="1" x14ac:dyDescent="0.25">
      <c r="AA168" s="1" t="s">
        <v>34</v>
      </c>
      <c r="AB168" s="1" t="s">
        <v>257</v>
      </c>
      <c r="AC168" s="1" t="s">
        <v>258</v>
      </c>
      <c r="AD168" s="1" t="s">
        <v>192</v>
      </c>
      <c r="AE168" s="1">
        <f t="shared" si="4"/>
        <v>1</v>
      </c>
      <c r="AF168" s="1">
        <f>IF(AE168=1,COUNTIF($AE$2:AE168,1),"")</f>
        <v>166</v>
      </c>
      <c r="AG168" s="1" t="str">
        <f>IFERROR(INDEX($AA$2:$AA$248,MATCH(ROWS($AF$2:AF168),$AF$2:$AF$248,0)),"")</f>
        <v>Niue</v>
      </c>
    </row>
    <row r="169" spans="27:33" ht="15" customHeight="1" x14ac:dyDescent="0.25">
      <c r="AA169" s="1" t="s">
        <v>175</v>
      </c>
      <c r="AB169" s="1" t="s">
        <v>715</v>
      </c>
      <c r="AC169" s="1" t="s">
        <v>716</v>
      </c>
      <c r="AD169" s="1" t="s">
        <v>685</v>
      </c>
      <c r="AE169" s="1">
        <f t="shared" si="4"/>
        <v>1</v>
      </c>
      <c r="AF169" s="1">
        <f>IF(AE169=1,COUNTIF($AE$2:AE169,1),"")</f>
        <v>167</v>
      </c>
      <c r="AG169" s="1" t="str">
        <f>IFERROR(INDEX($AA$2:$AA$248,MATCH(ROWS($AF$2:AF169),$AF$2:$AF$248,0)),"")</f>
        <v>Norfolk Island</v>
      </c>
    </row>
    <row r="170" spans="27:33" ht="15" customHeight="1" x14ac:dyDescent="0.25">
      <c r="AA170" s="1" t="s">
        <v>596</v>
      </c>
      <c r="AB170" s="1" t="s">
        <v>597</v>
      </c>
      <c r="AC170" s="1" t="s">
        <v>598</v>
      </c>
      <c r="AD170" s="1" t="s">
        <v>514</v>
      </c>
      <c r="AE170" s="1">
        <f t="shared" si="4"/>
        <v>1</v>
      </c>
      <c r="AF170" s="1">
        <f>IF(AE170=1,COUNTIF($AE$2:AE170,1),"")</f>
        <v>168</v>
      </c>
      <c r="AG170" s="1" t="str">
        <f>IFERROR(INDEX($AA$2:$AA$248,MATCH(ROWS($AF$2:AF170),$AF$2:$AF$248,0)),"")</f>
        <v>North Macedonia</v>
      </c>
    </row>
    <row r="171" spans="27:33" ht="15" customHeight="1" x14ac:dyDescent="0.25">
      <c r="AA171" s="1" t="s">
        <v>808</v>
      </c>
      <c r="AB171" s="1" t="s">
        <v>499</v>
      </c>
      <c r="AC171" s="1" t="s">
        <v>500</v>
      </c>
      <c r="AD171" s="1" t="s">
        <v>406</v>
      </c>
      <c r="AE171" s="1">
        <f t="shared" si="4"/>
        <v>1</v>
      </c>
      <c r="AF171" s="1">
        <f>IF(AE171=1,COUNTIF($AE$2:AE171,1),"")</f>
        <v>169</v>
      </c>
      <c r="AG171" s="1" t="str">
        <f>IFERROR(INDEX($AA$2:$AA$248,MATCH(ROWS($AF$2:AF171),$AF$2:$AF$248,0)),"")</f>
        <v>Northern Mariana Islands</v>
      </c>
    </row>
    <row r="172" spans="27:33" ht="15" customHeight="1" x14ac:dyDescent="0.25">
      <c r="AA172" s="1" t="s">
        <v>599</v>
      </c>
      <c r="AB172" s="1" t="s">
        <v>600</v>
      </c>
      <c r="AC172" s="1" t="s">
        <v>601</v>
      </c>
      <c r="AD172" s="1" t="s">
        <v>685</v>
      </c>
      <c r="AE172" s="1">
        <f t="shared" si="4"/>
        <v>1</v>
      </c>
      <c r="AF172" s="1">
        <f>IF(AE172=1,COUNTIF($AE$2:AE172,1),"")</f>
        <v>170</v>
      </c>
      <c r="AG172" s="1" t="str">
        <f>IFERROR(INDEX($AA$2:$AA$248,MATCH(ROWS($AF$2:AF172),$AF$2:$AF$248,0)),"")</f>
        <v>Norway</v>
      </c>
    </row>
    <row r="173" spans="27:33" ht="15" customHeight="1" x14ac:dyDescent="0.25">
      <c r="AA173" s="1" t="s">
        <v>132</v>
      </c>
      <c r="AB173" s="1" t="s">
        <v>471</v>
      </c>
      <c r="AC173" s="1" t="s">
        <v>472</v>
      </c>
      <c r="AD173" s="1" t="s">
        <v>406</v>
      </c>
      <c r="AE173" s="1">
        <f t="shared" si="4"/>
        <v>1</v>
      </c>
      <c r="AF173" s="1">
        <f>IF(AE173=1,COUNTIF($AE$2:AE173,1),"")</f>
        <v>171</v>
      </c>
      <c r="AG173" s="1" t="str">
        <f>IFERROR(INDEX($AA$2:$AA$248,MATCH(ROWS($AF$2:AF173),$AF$2:$AF$248,0)),"")</f>
        <v>Oman</v>
      </c>
    </row>
    <row r="174" spans="27:33" ht="15" customHeight="1" x14ac:dyDescent="0.25">
      <c r="AA174" s="1" t="s">
        <v>90</v>
      </c>
      <c r="AB174" s="1" t="s">
        <v>382</v>
      </c>
      <c r="AC174" s="1" t="s">
        <v>383</v>
      </c>
      <c r="AD174" s="1" t="s">
        <v>360</v>
      </c>
      <c r="AE174" s="1">
        <f t="shared" si="4"/>
        <v>1</v>
      </c>
      <c r="AF174" s="1">
        <f>IF(AE174=1,COUNTIF($AE$2:AE174,1),"")</f>
        <v>172</v>
      </c>
      <c r="AG174" s="1" t="str">
        <f>IFERROR(INDEX($AA$2:$AA$248,MATCH(ROWS($AF$2:AF174),$AF$2:$AF$248,0)),"")</f>
        <v>Pakistan</v>
      </c>
    </row>
    <row r="175" spans="27:33" ht="15" customHeight="1" x14ac:dyDescent="0.25">
      <c r="AA175" s="1" t="s">
        <v>91</v>
      </c>
      <c r="AB175" s="1" t="s">
        <v>384</v>
      </c>
      <c r="AC175" s="1" t="s">
        <v>385</v>
      </c>
      <c r="AD175" s="1" t="s">
        <v>360</v>
      </c>
      <c r="AE175" s="1">
        <f t="shared" si="4"/>
        <v>1</v>
      </c>
      <c r="AF175" s="1">
        <f>IF(AE175=1,COUNTIF($AE$2:AE175,1),"")</f>
        <v>173</v>
      </c>
      <c r="AG175" s="1" t="str">
        <f>IFERROR(INDEX($AA$2:$AA$248,MATCH(ROWS($AF$2:AF175),$AF$2:$AF$248,0)),"")</f>
        <v>Palau</v>
      </c>
    </row>
    <row r="176" spans="27:33" ht="15" customHeight="1" x14ac:dyDescent="0.25">
      <c r="AA176" s="1" t="s">
        <v>717</v>
      </c>
      <c r="AB176" s="1" t="s">
        <v>718</v>
      </c>
      <c r="AC176" s="1" t="s">
        <v>719</v>
      </c>
      <c r="AD176" s="1" t="s">
        <v>685</v>
      </c>
      <c r="AE176" s="1">
        <f t="shared" si="4"/>
        <v>1</v>
      </c>
      <c r="AF176" s="1">
        <f>IF(AE176=1,COUNTIF($AE$2:AE176,1),"")</f>
        <v>174</v>
      </c>
      <c r="AG176" s="1" t="str">
        <f>IFERROR(INDEX($AA$2:$AA$248,MATCH(ROWS($AF$2:AF176),$AF$2:$AF$248,0)),"")</f>
        <v>Panama</v>
      </c>
    </row>
    <row r="177" spans="27:33" ht="15" customHeight="1" x14ac:dyDescent="0.25">
      <c r="AA177" s="1" t="s">
        <v>69</v>
      </c>
      <c r="AB177" s="1" t="s">
        <v>336</v>
      </c>
      <c r="AC177" s="1" t="s">
        <v>337</v>
      </c>
      <c r="AD177" s="1" t="s">
        <v>288</v>
      </c>
      <c r="AE177" s="1">
        <f t="shared" si="4"/>
        <v>1</v>
      </c>
      <c r="AF177" s="1">
        <f>IF(AE177=1,COUNTIF($AE$2:AE177,1),"")</f>
        <v>175</v>
      </c>
      <c r="AG177" s="1" t="str">
        <f>IFERROR(INDEX($AA$2:$AA$248,MATCH(ROWS($AF$2:AF177),$AF$2:$AF$248,0)),"")</f>
        <v>Papua New Guinea</v>
      </c>
    </row>
    <row r="178" spans="27:33" ht="15" customHeight="1" x14ac:dyDescent="0.25">
      <c r="AA178" s="1" t="s">
        <v>176</v>
      </c>
      <c r="AB178" s="1" t="s">
        <v>720</v>
      </c>
      <c r="AC178" s="1" t="s">
        <v>721</v>
      </c>
      <c r="AD178" s="1" t="s">
        <v>685</v>
      </c>
      <c r="AE178" s="1">
        <f t="shared" si="4"/>
        <v>1</v>
      </c>
      <c r="AF178" s="1">
        <f>IF(AE178=1,COUNTIF($AE$2:AE178,1),"")</f>
        <v>176</v>
      </c>
      <c r="AG178" s="1" t="str">
        <f>IFERROR(INDEX($AA$2:$AA$248,MATCH(ROWS($AF$2:AF178),$AF$2:$AF$248,0)),"")</f>
        <v>Paraguay</v>
      </c>
    </row>
    <row r="179" spans="27:33" ht="15" customHeight="1" x14ac:dyDescent="0.25">
      <c r="AA179" s="1" t="s">
        <v>70</v>
      </c>
      <c r="AB179" s="1" t="s">
        <v>338</v>
      </c>
      <c r="AC179" s="1" t="s">
        <v>339</v>
      </c>
      <c r="AD179" s="1" t="s">
        <v>288</v>
      </c>
      <c r="AE179" s="1">
        <f t="shared" si="4"/>
        <v>1</v>
      </c>
      <c r="AF179" s="1">
        <f>IF(AE179=1,COUNTIF($AE$2:AE179,1),"")</f>
        <v>177</v>
      </c>
      <c r="AG179" s="1" t="str">
        <f>IFERROR(INDEX($AA$2:$AA$248,MATCH(ROWS($AF$2:AF179),$AF$2:$AF$248,0)),"")</f>
        <v>Peru</v>
      </c>
    </row>
    <row r="180" spans="27:33" ht="15" customHeight="1" x14ac:dyDescent="0.25">
      <c r="AA180" s="1" t="s">
        <v>71</v>
      </c>
      <c r="AB180" s="1" t="s">
        <v>340</v>
      </c>
      <c r="AC180" s="1" t="s">
        <v>341</v>
      </c>
      <c r="AD180" s="1" t="s">
        <v>288</v>
      </c>
      <c r="AE180" s="1">
        <f t="shared" si="4"/>
        <v>1</v>
      </c>
      <c r="AF180" s="1">
        <f>IF(AE180=1,COUNTIF($AE$2:AE180,1),"")</f>
        <v>178</v>
      </c>
      <c r="AG180" s="1" t="str">
        <f>IFERROR(INDEX($AA$2:$AA$248,MATCH(ROWS($AF$2:AF180),$AF$2:$AF$248,0)),"")</f>
        <v>Philippines</v>
      </c>
    </row>
    <row r="181" spans="27:33" ht="15" customHeight="1" x14ac:dyDescent="0.25">
      <c r="AA181" s="1" t="s">
        <v>177</v>
      </c>
      <c r="AB181" s="1" t="s">
        <v>722</v>
      </c>
      <c r="AC181" s="1" t="s">
        <v>723</v>
      </c>
      <c r="AD181" s="1" t="s">
        <v>685</v>
      </c>
      <c r="AE181" s="1">
        <f t="shared" si="4"/>
        <v>1</v>
      </c>
      <c r="AF181" s="1">
        <f>IF(AE181=1,COUNTIF($AE$2:AE181,1),"")</f>
        <v>179</v>
      </c>
      <c r="AG181" s="1" t="str">
        <f>IFERROR(INDEX($AA$2:$AA$248,MATCH(ROWS($AF$2:AF181),$AF$2:$AF$248,0)),"")</f>
        <v>Pitcairn</v>
      </c>
    </row>
    <row r="182" spans="27:33" ht="15" customHeight="1" x14ac:dyDescent="0.25">
      <c r="AA182" s="1" t="s">
        <v>809</v>
      </c>
      <c r="AB182" s="1" t="s">
        <v>602</v>
      </c>
      <c r="AC182" s="1" t="s">
        <v>603</v>
      </c>
      <c r="AD182" s="1" t="s">
        <v>514</v>
      </c>
      <c r="AE182" s="1">
        <f t="shared" si="4"/>
        <v>1</v>
      </c>
      <c r="AF182" s="1">
        <f>IF(AE182=1,COUNTIF($AE$2:AE182,1),"")</f>
        <v>180</v>
      </c>
      <c r="AG182" s="1" t="str">
        <f>IFERROR(INDEX($AA$2:$AA$248,MATCH(ROWS($AF$2:AF182),$AF$2:$AF$248,0)),"")</f>
        <v>Poland</v>
      </c>
    </row>
    <row r="183" spans="27:33" ht="15" customHeight="1" x14ac:dyDescent="0.25">
      <c r="AA183" s="1" t="s">
        <v>133</v>
      </c>
      <c r="AB183" s="1" t="s">
        <v>473</v>
      </c>
      <c r="AC183" s="1" t="s">
        <v>474</v>
      </c>
      <c r="AD183" s="1" t="s">
        <v>406</v>
      </c>
      <c r="AE183" s="1">
        <f t="shared" si="4"/>
        <v>1</v>
      </c>
      <c r="AF183" s="1">
        <f>IF(AE183=1,COUNTIF($AE$2:AE183,1),"")</f>
        <v>181</v>
      </c>
      <c r="AG183" s="1" t="str">
        <f>IFERROR(INDEX($AA$2:$AA$248,MATCH(ROWS($AF$2:AF183),$AF$2:$AF$248,0)),"")</f>
        <v>Portugal</v>
      </c>
    </row>
    <row r="184" spans="27:33" ht="15" customHeight="1" x14ac:dyDescent="0.25">
      <c r="AA184" s="1" t="s">
        <v>134</v>
      </c>
      <c r="AB184" s="1" t="s">
        <v>475</v>
      </c>
      <c r="AC184" s="1" t="s">
        <v>476</v>
      </c>
      <c r="AD184" s="1" t="s">
        <v>406</v>
      </c>
      <c r="AE184" s="1">
        <f t="shared" si="4"/>
        <v>1</v>
      </c>
      <c r="AF184" s="1">
        <f>IF(AE184=1,COUNTIF($AE$2:AE184,1),"")</f>
        <v>182</v>
      </c>
      <c r="AG184" s="1" t="str">
        <f>IFERROR(INDEX($AA$2:$AA$248,MATCH(ROWS($AF$2:AF184),$AF$2:$AF$248,0)),"")</f>
        <v>Puerto Rico</v>
      </c>
    </row>
    <row r="185" spans="27:33" ht="15" customHeight="1" x14ac:dyDescent="0.25">
      <c r="AA185" s="1" t="s">
        <v>604</v>
      </c>
      <c r="AB185" s="1" t="s">
        <v>605</v>
      </c>
      <c r="AC185" s="1" t="s">
        <v>606</v>
      </c>
      <c r="AD185" s="1" t="s">
        <v>288</v>
      </c>
      <c r="AE185" s="1">
        <f t="shared" si="4"/>
        <v>1</v>
      </c>
      <c r="AF185" s="1">
        <f>IF(AE185=1,COUNTIF($AE$2:AE185,1),"")</f>
        <v>183</v>
      </c>
      <c r="AG185" s="1" t="str">
        <f>IFERROR(INDEX($AA$2:$AA$248,MATCH(ROWS($AF$2:AF185),$AF$2:$AF$248,0)),"")</f>
        <v>Qatar</v>
      </c>
    </row>
    <row r="186" spans="27:33" ht="15" customHeight="1" x14ac:dyDescent="0.25">
      <c r="AA186" s="1" t="s">
        <v>92</v>
      </c>
      <c r="AB186" s="1" t="s">
        <v>388</v>
      </c>
      <c r="AC186" s="1" t="s">
        <v>389</v>
      </c>
      <c r="AD186" s="1" t="s">
        <v>360</v>
      </c>
      <c r="AE186" s="1">
        <f t="shared" si="4"/>
        <v>1</v>
      </c>
      <c r="AF186" s="1">
        <f>IF(AE186=1,COUNTIF($AE$2:AE186,1),"")</f>
        <v>184</v>
      </c>
      <c r="AG186" s="1" t="str">
        <f>IFERROR(INDEX($AA$2:$AA$248,MATCH(ROWS($AF$2:AF186),$AF$2:$AF$248,0)),"")</f>
        <v>Republic of Korea</v>
      </c>
    </row>
    <row r="187" spans="27:33" ht="15" customHeight="1" x14ac:dyDescent="0.25">
      <c r="AA187" s="1" t="s">
        <v>178</v>
      </c>
      <c r="AB187" s="1" t="s">
        <v>724</v>
      </c>
      <c r="AC187" s="1" t="s">
        <v>725</v>
      </c>
      <c r="AD187" s="1" t="s">
        <v>685</v>
      </c>
      <c r="AE187" s="1">
        <f t="shared" si="4"/>
        <v>1</v>
      </c>
      <c r="AF187" s="1">
        <f>IF(AE187=1,COUNTIF($AE$2:AE187,1),"")</f>
        <v>185</v>
      </c>
      <c r="AG187" s="1" t="str">
        <f>IFERROR(INDEX($AA$2:$AA$248,MATCH(ROWS($AF$2:AF187),$AF$2:$AF$248,0)),"")</f>
        <v>Republic of Moldova</v>
      </c>
    </row>
    <row r="188" spans="27:33" ht="15" customHeight="1" x14ac:dyDescent="0.25">
      <c r="AA188" s="1" t="s">
        <v>135</v>
      </c>
      <c r="AB188" s="1" t="s">
        <v>477</v>
      </c>
      <c r="AC188" s="1" t="s">
        <v>478</v>
      </c>
      <c r="AD188" s="1" t="s">
        <v>406</v>
      </c>
      <c r="AE188" s="1">
        <f t="shared" si="4"/>
        <v>1</v>
      </c>
      <c r="AF188" s="1">
        <f>IF(AE188=1,COUNTIF($AE$2:AE188,1),"")</f>
        <v>186</v>
      </c>
      <c r="AG188" s="1" t="str">
        <f>IFERROR(INDEX($AA$2:$AA$248,MATCH(ROWS($AF$2:AF188),$AF$2:$AF$248,0)),"")</f>
        <v>Rodrigues</v>
      </c>
    </row>
    <row r="189" spans="27:33" ht="15" customHeight="1" x14ac:dyDescent="0.25">
      <c r="AA189" s="1" t="s">
        <v>607</v>
      </c>
      <c r="AB189" s="1" t="s">
        <v>608</v>
      </c>
      <c r="AC189" s="1" t="s">
        <v>609</v>
      </c>
      <c r="AD189" s="1" t="s">
        <v>514</v>
      </c>
      <c r="AE189" s="1">
        <f t="shared" si="4"/>
        <v>1</v>
      </c>
      <c r="AF189" s="1">
        <f>IF(AE189=1,COUNTIF($AE$2:AE189,1),"")</f>
        <v>187</v>
      </c>
      <c r="AG189" s="1" t="str">
        <f>IFERROR(INDEX($AA$2:$AA$248,MATCH(ROWS($AF$2:AF189),$AF$2:$AF$248,0)),"")</f>
        <v>Romania</v>
      </c>
    </row>
    <row r="190" spans="27:33" ht="15" customHeight="1" x14ac:dyDescent="0.25">
      <c r="AA190" s="1" t="s">
        <v>136</v>
      </c>
      <c r="AB190" s="1" t="s">
        <v>479</v>
      </c>
      <c r="AC190" s="1" t="s">
        <v>480</v>
      </c>
      <c r="AD190" s="1" t="s">
        <v>406</v>
      </c>
      <c r="AE190" s="1">
        <f t="shared" si="4"/>
        <v>1</v>
      </c>
      <c r="AF190" s="1">
        <f>IF(AE190=1,COUNTIF($AE$2:AE190,1),"")</f>
        <v>188</v>
      </c>
      <c r="AG190" s="1" t="str">
        <f>IFERROR(INDEX($AA$2:$AA$248,MATCH(ROWS($AF$2:AF190),$AF$2:$AF$248,0)),"")</f>
        <v>Russian Federation</v>
      </c>
    </row>
    <row r="191" spans="27:33" ht="15" customHeight="1" x14ac:dyDescent="0.25">
      <c r="AA191" s="1" t="s">
        <v>137</v>
      </c>
      <c r="AB191" s="1" t="s">
        <v>481</v>
      </c>
      <c r="AC191" s="1" t="s">
        <v>482</v>
      </c>
      <c r="AD191" s="1" t="s">
        <v>406</v>
      </c>
      <c r="AE191" s="1">
        <f t="shared" si="4"/>
        <v>1</v>
      </c>
      <c r="AF191" s="1">
        <f>IF(AE191=1,COUNTIF($AE$2:AE191,1),"")</f>
        <v>189</v>
      </c>
      <c r="AG191" s="1" t="str">
        <f>IFERROR(INDEX($AA$2:$AA$248,MATCH(ROWS($AF$2:AF191),$AF$2:$AF$248,0)),"")</f>
        <v>Rwanda</v>
      </c>
    </row>
    <row r="192" spans="27:33" ht="15" customHeight="1" x14ac:dyDescent="0.25">
      <c r="AA192" s="1" t="s">
        <v>35</v>
      </c>
      <c r="AB192" s="1" t="s">
        <v>259</v>
      </c>
      <c r="AC192" s="1" t="s">
        <v>260</v>
      </c>
      <c r="AD192" s="1" t="s">
        <v>192</v>
      </c>
      <c r="AE192" s="1">
        <f t="shared" si="4"/>
        <v>1</v>
      </c>
      <c r="AF192" s="1">
        <f>IF(AE192=1,COUNTIF($AE$2:AE192,1),"")</f>
        <v>190</v>
      </c>
      <c r="AG192" s="1" t="str">
        <f>IFERROR(INDEX($AA$2:$AA$248,MATCH(ROWS($AF$2:AF192),$AF$2:$AF$248,0)),"")</f>
        <v>Ryu Kyu Islands</v>
      </c>
    </row>
    <row r="193" spans="27:33" ht="15" customHeight="1" x14ac:dyDescent="0.25">
      <c r="AA193" s="1" t="s">
        <v>612</v>
      </c>
      <c r="AB193" s="1" t="s">
        <v>613</v>
      </c>
      <c r="AC193" s="1" t="s">
        <v>614</v>
      </c>
      <c r="AD193" s="1" t="s">
        <v>514</v>
      </c>
      <c r="AE193" s="1">
        <f t="shared" si="4"/>
        <v>1</v>
      </c>
      <c r="AF193" s="1">
        <f>IF(AE193=1,COUNTIF($AE$2:AE193,1),"")</f>
        <v>191</v>
      </c>
      <c r="AG193" s="1" t="str">
        <f>IFERROR(INDEX($AA$2:$AA$248,MATCH(ROWS($AF$2:AF193),$AF$2:$AF$248,0)),"")</f>
        <v>Réunion</v>
      </c>
    </row>
    <row r="194" spans="27:33" ht="15" customHeight="1" x14ac:dyDescent="0.25">
      <c r="AA194" s="1" t="s">
        <v>810</v>
      </c>
      <c r="AB194" s="1" t="s">
        <v>610</v>
      </c>
      <c r="AC194" s="1" t="s">
        <v>611</v>
      </c>
      <c r="AD194" s="1" t="s">
        <v>514</v>
      </c>
      <c r="AE194" s="1">
        <f t="shared" si="4"/>
        <v>1</v>
      </c>
      <c r="AF194" s="1">
        <f>IF(AE194=1,COUNTIF($AE$2:AE194,1),"")</f>
        <v>192</v>
      </c>
      <c r="AG194" s="1" t="str">
        <f>IFERROR(INDEX($AA$2:$AA$248,MATCH(ROWS($AF$2:AF194),$AF$2:$AF$248,0)),"")</f>
        <v>Saint Barthélemy</v>
      </c>
    </row>
    <row r="195" spans="27:33" ht="15" customHeight="1" x14ac:dyDescent="0.25">
      <c r="AA195" s="1" t="s">
        <v>811</v>
      </c>
      <c r="AB195" s="1" t="s">
        <v>812</v>
      </c>
      <c r="AC195" s="1" t="s">
        <v>813</v>
      </c>
      <c r="AD195" s="1" t="s">
        <v>514</v>
      </c>
      <c r="AE195" s="1">
        <f t="shared" si="4"/>
        <v>1</v>
      </c>
      <c r="AF195" s="1">
        <f>IF(AE195=1,COUNTIF($AE$2:AE195,1),"")</f>
        <v>193</v>
      </c>
      <c r="AG195" s="1" t="str">
        <f>IFERROR(INDEX($AA$2:$AA$248,MATCH(ROWS($AF$2:AF195),$AF$2:$AF$248,0)),"")</f>
        <v>Saint Helena</v>
      </c>
    </row>
    <row r="196" spans="27:33" ht="15" customHeight="1" x14ac:dyDescent="0.25">
      <c r="AA196" s="1" t="s">
        <v>615</v>
      </c>
      <c r="AB196" s="1" t="s">
        <v>616</v>
      </c>
      <c r="AC196" s="1" t="s">
        <v>617</v>
      </c>
      <c r="AD196" s="1" t="s">
        <v>514</v>
      </c>
      <c r="AE196" s="1">
        <f t="shared" ref="AE196:AE259" si="5">--ISNUMBER(IFERROR(SEARCH($X$1,AA196,1),""))</f>
        <v>1</v>
      </c>
      <c r="AF196" s="1">
        <f>IF(AE196=1,COUNTIF($AE$2:AE196,1),"")</f>
        <v>194</v>
      </c>
      <c r="AG196" s="1" t="str">
        <f>IFERROR(INDEX($AA$2:$AA$248,MATCH(ROWS($AF$2:AF196),$AF$2:$AF$248,0)),"")</f>
        <v>Saint Kitts and Nevis</v>
      </c>
    </row>
    <row r="197" spans="27:33" ht="15" customHeight="1" x14ac:dyDescent="0.25">
      <c r="AA197" s="1" t="s">
        <v>72</v>
      </c>
      <c r="AB197" s="1" t="s">
        <v>342</v>
      </c>
      <c r="AC197" s="1" t="s">
        <v>343</v>
      </c>
      <c r="AD197" s="1" t="s">
        <v>288</v>
      </c>
      <c r="AE197" s="1">
        <f t="shared" si="5"/>
        <v>1</v>
      </c>
      <c r="AF197" s="1">
        <f>IF(AE197=1,COUNTIF($AE$2:AE197,1),"")</f>
        <v>195</v>
      </c>
      <c r="AG197" s="1" t="str">
        <f>IFERROR(INDEX($AA$2:$AA$248,MATCH(ROWS($AF$2:AF197),$AF$2:$AF$248,0)),"")</f>
        <v>Saint Lucia</v>
      </c>
    </row>
    <row r="198" spans="27:33" ht="15" customHeight="1" x14ac:dyDescent="0.25">
      <c r="AA198" s="1" t="s">
        <v>73</v>
      </c>
      <c r="AB198" s="1" t="s">
        <v>344</v>
      </c>
      <c r="AC198" s="1" t="s">
        <v>345</v>
      </c>
      <c r="AD198" s="1" t="s">
        <v>288</v>
      </c>
      <c r="AE198" s="1">
        <f t="shared" si="5"/>
        <v>1</v>
      </c>
      <c r="AF198" s="1">
        <f>IF(AE198=1,COUNTIF($AE$2:AE198,1),"")</f>
        <v>196</v>
      </c>
      <c r="AG198" s="1" t="str">
        <f>IFERROR(INDEX($AA$2:$AA$248,MATCH(ROWS($AF$2:AF198),$AF$2:$AF$248,0)),"")</f>
        <v>Saint Martin (French part)</v>
      </c>
    </row>
    <row r="199" spans="27:33" ht="15" customHeight="1" x14ac:dyDescent="0.25">
      <c r="AA199" s="1" t="s">
        <v>814</v>
      </c>
      <c r="AB199" s="1" t="s">
        <v>815</v>
      </c>
      <c r="AC199" s="1" t="s">
        <v>816</v>
      </c>
      <c r="AD199" s="1" t="s">
        <v>514</v>
      </c>
      <c r="AE199" s="1">
        <f t="shared" si="5"/>
        <v>1</v>
      </c>
      <c r="AF199" s="1">
        <f>IF(AE199=1,COUNTIF($AE$2:AE199,1),"")</f>
        <v>197</v>
      </c>
      <c r="AG199" s="1" t="str">
        <f>IFERROR(INDEX($AA$2:$AA$248,MATCH(ROWS($AF$2:AF199),$AF$2:$AF$248,0)),"")</f>
        <v>Saint Pierre and Miquelon</v>
      </c>
    </row>
    <row r="200" spans="27:33" ht="15" customHeight="1" x14ac:dyDescent="0.25">
      <c r="AA200" s="1" t="s">
        <v>618</v>
      </c>
      <c r="AB200" s="1" t="s">
        <v>619</v>
      </c>
      <c r="AC200" s="1" t="s">
        <v>620</v>
      </c>
      <c r="AD200" s="1" t="s">
        <v>514</v>
      </c>
      <c r="AE200" s="1">
        <f t="shared" si="5"/>
        <v>1</v>
      </c>
      <c r="AF200" s="1">
        <f>IF(AE200=1,COUNTIF($AE$2:AE200,1),"")</f>
        <v>198</v>
      </c>
      <c r="AG200" s="1" t="str">
        <f>IFERROR(INDEX($AA$2:$AA$248,MATCH(ROWS($AF$2:AF200),$AF$2:$AF$248,0)),"")</f>
        <v>Saint Vincent and the Grenadines</v>
      </c>
    </row>
    <row r="201" spans="27:33" ht="15" customHeight="1" x14ac:dyDescent="0.25">
      <c r="AA201" s="1" t="s">
        <v>74</v>
      </c>
      <c r="AB201" s="1" t="s">
        <v>346</v>
      </c>
      <c r="AC201" s="1" t="s">
        <v>347</v>
      </c>
      <c r="AD201" s="1" t="s">
        <v>288</v>
      </c>
      <c r="AE201" s="1">
        <f t="shared" si="5"/>
        <v>1</v>
      </c>
      <c r="AF201" s="1">
        <f>IF(AE201=1,COUNTIF($AE$2:AE201,1),"")</f>
        <v>199</v>
      </c>
      <c r="AG201" s="1" t="str">
        <f>IFERROR(INDEX($AA$2:$AA$248,MATCH(ROWS($AF$2:AF201),$AF$2:$AF$248,0)),"")</f>
        <v>Samoa</v>
      </c>
    </row>
    <row r="202" spans="27:33" ht="15" customHeight="1" x14ac:dyDescent="0.25">
      <c r="AA202" s="1" t="s">
        <v>179</v>
      </c>
      <c r="AB202" s="1" t="s">
        <v>726</v>
      </c>
      <c r="AC202" s="1" t="s">
        <v>727</v>
      </c>
      <c r="AD202" s="1" t="s">
        <v>685</v>
      </c>
      <c r="AE202" s="1">
        <f t="shared" si="5"/>
        <v>1</v>
      </c>
      <c r="AF202" s="1">
        <f>IF(AE202=1,COUNTIF($AE$2:AE202,1),"")</f>
        <v>200</v>
      </c>
      <c r="AG202" s="1" t="str">
        <f>IFERROR(INDEX($AA$2:$AA$248,MATCH(ROWS($AF$2:AF202),$AF$2:$AF$248,0)),"")</f>
        <v>San Marino</v>
      </c>
    </row>
    <row r="203" spans="27:33" ht="15" customHeight="1" x14ac:dyDescent="0.25">
      <c r="AA203" s="1" t="s">
        <v>138</v>
      </c>
      <c r="AB203" s="1" t="s">
        <v>483</v>
      </c>
      <c r="AC203" s="1" t="s">
        <v>484</v>
      </c>
      <c r="AD203" s="1" t="s">
        <v>406</v>
      </c>
      <c r="AE203" s="1">
        <f t="shared" si="5"/>
        <v>1</v>
      </c>
      <c r="AF203" s="1">
        <f>IF(AE203=1,COUNTIF($AE$2:AE203,1),"")</f>
        <v>201</v>
      </c>
      <c r="AG203" s="1" t="str">
        <f>IFERROR(INDEX($AA$2:$AA$248,MATCH(ROWS($AF$2:AF203),$AF$2:$AF$248,0)),"")</f>
        <v>Sao Tome and Principe</v>
      </c>
    </row>
    <row r="204" spans="27:33" ht="15" customHeight="1" x14ac:dyDescent="0.25">
      <c r="AA204" s="1" t="s">
        <v>36</v>
      </c>
      <c r="AB204" s="1" t="s">
        <v>261</v>
      </c>
      <c r="AC204" s="1" t="s">
        <v>262</v>
      </c>
      <c r="AD204" s="1" t="s">
        <v>192</v>
      </c>
      <c r="AE204" s="1">
        <f t="shared" si="5"/>
        <v>1</v>
      </c>
      <c r="AF204" s="1">
        <f>IF(AE204=1,COUNTIF($AE$2:AE204,1),"")</f>
        <v>202</v>
      </c>
      <c r="AG204" s="1" t="str">
        <f>IFERROR(INDEX($AA$2:$AA$248,MATCH(ROWS($AF$2:AF204),$AF$2:$AF$248,0)),"")</f>
        <v>Saudi Arabia</v>
      </c>
    </row>
    <row r="205" spans="27:33" ht="15" customHeight="1" x14ac:dyDescent="0.25">
      <c r="AA205" s="1" t="s">
        <v>93</v>
      </c>
      <c r="AB205" s="1" t="s">
        <v>390</v>
      </c>
      <c r="AC205" s="1" t="s">
        <v>391</v>
      </c>
      <c r="AD205" s="1" t="s">
        <v>360</v>
      </c>
      <c r="AE205" s="1">
        <f t="shared" si="5"/>
        <v>1</v>
      </c>
      <c r="AF205" s="1">
        <f>IF(AE205=1,COUNTIF($AE$2:AE205,1),"")</f>
        <v>203</v>
      </c>
      <c r="AG205" s="1" t="str">
        <f>IFERROR(INDEX($AA$2:$AA$248,MATCH(ROWS($AF$2:AF205),$AF$2:$AF$248,0)),"")</f>
        <v>Senegal</v>
      </c>
    </row>
    <row r="206" spans="27:33" ht="15" customHeight="1" x14ac:dyDescent="0.25">
      <c r="AA206" s="1" t="s">
        <v>37</v>
      </c>
      <c r="AB206" s="1" t="s">
        <v>263</v>
      </c>
      <c r="AC206" s="1" t="s">
        <v>264</v>
      </c>
      <c r="AD206" s="1" t="s">
        <v>192</v>
      </c>
      <c r="AE206" s="1">
        <f t="shared" si="5"/>
        <v>1</v>
      </c>
      <c r="AF206" s="1">
        <f>IF(AE206=1,COUNTIF($AE$2:AE206,1),"")</f>
        <v>204</v>
      </c>
      <c r="AG206" s="1" t="str">
        <f>IFERROR(INDEX($AA$2:$AA$248,MATCH(ROWS($AF$2:AF206),$AF$2:$AF$248,0)),"")</f>
        <v>Serbia</v>
      </c>
    </row>
    <row r="207" spans="27:33" ht="15" customHeight="1" x14ac:dyDescent="0.25">
      <c r="AA207" s="1" t="s">
        <v>139</v>
      </c>
      <c r="AB207" s="1" t="s">
        <v>485</v>
      </c>
      <c r="AC207" s="1" t="s">
        <v>486</v>
      </c>
      <c r="AD207" s="1" t="s">
        <v>406</v>
      </c>
      <c r="AE207" s="1">
        <f t="shared" si="5"/>
        <v>1</v>
      </c>
      <c r="AF207" s="1">
        <f>IF(AE207=1,COUNTIF($AE$2:AE207,1),"")</f>
        <v>205</v>
      </c>
      <c r="AG207" s="1" t="str">
        <f>IFERROR(INDEX($AA$2:$AA$248,MATCH(ROWS($AF$2:AF207),$AF$2:$AF$248,0)),"")</f>
        <v>Serbia and Montenegro, Former</v>
      </c>
    </row>
    <row r="208" spans="27:33" ht="15" customHeight="1" x14ac:dyDescent="0.25">
      <c r="AA208" s="1" t="s">
        <v>621</v>
      </c>
      <c r="AB208" s="1" t="s">
        <v>622</v>
      </c>
      <c r="AC208" s="1" t="s">
        <v>623</v>
      </c>
      <c r="AD208" s="1" t="s">
        <v>514</v>
      </c>
      <c r="AE208" s="1">
        <f t="shared" si="5"/>
        <v>1</v>
      </c>
      <c r="AF208" s="1">
        <f>IF(AE208=1,COUNTIF($AE$2:AE208,1),"")</f>
        <v>206</v>
      </c>
      <c r="AG208" s="1" t="str">
        <f>IFERROR(INDEX($AA$2:$AA$248,MATCH(ROWS($AF$2:AF208),$AF$2:$AF$248,0)),"")</f>
        <v>Seychelles</v>
      </c>
    </row>
    <row r="209" spans="27:33" ht="15" customHeight="1" x14ac:dyDescent="0.25">
      <c r="AA209" s="1" t="s">
        <v>38</v>
      </c>
      <c r="AB209" s="1" t="s">
        <v>265</v>
      </c>
      <c r="AC209" s="1" t="s">
        <v>266</v>
      </c>
      <c r="AD209" s="1" t="s">
        <v>192</v>
      </c>
      <c r="AE209" s="1">
        <f t="shared" si="5"/>
        <v>1</v>
      </c>
      <c r="AF209" s="1">
        <f>IF(AE209=1,COUNTIF($AE$2:AE209,1),"")</f>
        <v>207</v>
      </c>
      <c r="AG209" s="1" t="str">
        <f>IFERROR(INDEX($AA$2:$AA$248,MATCH(ROWS($AF$2:AF209),$AF$2:$AF$248,0)),"")</f>
        <v>Sierra Leone</v>
      </c>
    </row>
    <row r="210" spans="27:33" ht="15" customHeight="1" x14ac:dyDescent="0.25">
      <c r="AA210" s="1" t="s">
        <v>39</v>
      </c>
      <c r="AB210" s="1" t="s">
        <v>267</v>
      </c>
      <c r="AC210" s="1" t="s">
        <v>268</v>
      </c>
      <c r="AD210" s="1" t="s">
        <v>192</v>
      </c>
      <c r="AE210" s="1">
        <f t="shared" si="5"/>
        <v>1</v>
      </c>
      <c r="AF210" s="1">
        <f>IF(AE210=1,COUNTIF($AE$2:AE210,1),"")</f>
        <v>208</v>
      </c>
      <c r="AG210" s="1" t="str">
        <f>IFERROR(INDEX($AA$2:$AA$248,MATCH(ROWS($AF$2:AF210),$AF$2:$AF$248,0)),"")</f>
        <v>Singapore</v>
      </c>
    </row>
    <row r="211" spans="27:33" ht="15" customHeight="1" x14ac:dyDescent="0.25">
      <c r="AA211" s="1" t="s">
        <v>180</v>
      </c>
      <c r="AB211" s="1" t="s">
        <v>728</v>
      </c>
      <c r="AC211" s="1" t="s">
        <v>729</v>
      </c>
      <c r="AD211" s="1" t="s">
        <v>685</v>
      </c>
      <c r="AE211" s="1">
        <f t="shared" si="5"/>
        <v>1</v>
      </c>
      <c r="AF211" s="1">
        <f>IF(AE211=1,COUNTIF($AE$2:AE211,1),"")</f>
        <v>209</v>
      </c>
      <c r="AG211" s="1" t="str">
        <f>IFERROR(INDEX($AA$2:$AA$248,MATCH(ROWS($AF$2:AF211),$AF$2:$AF$248,0)),"")</f>
        <v>Sint Maarten (Dutch part)</v>
      </c>
    </row>
    <row r="212" spans="27:33" ht="15" customHeight="1" x14ac:dyDescent="0.25">
      <c r="AA212" s="1" t="s">
        <v>624</v>
      </c>
      <c r="AB212" s="1" t="s">
        <v>625</v>
      </c>
      <c r="AC212" s="1" t="s">
        <v>626</v>
      </c>
      <c r="AD212" s="1" t="s">
        <v>288</v>
      </c>
      <c r="AE212" s="1">
        <f t="shared" si="5"/>
        <v>1</v>
      </c>
      <c r="AF212" s="1">
        <f>IF(AE212=1,COUNTIF($AE$2:AE212,1),"")</f>
        <v>210</v>
      </c>
      <c r="AG212" s="1" t="str">
        <f>IFERROR(INDEX($AA$2:$AA$248,MATCH(ROWS($AF$2:AF212),$AF$2:$AF$248,0)),"")</f>
        <v>Slovakia</v>
      </c>
    </row>
    <row r="213" spans="27:33" ht="15" customHeight="1" x14ac:dyDescent="0.25">
      <c r="AA213" s="1" t="s">
        <v>140</v>
      </c>
      <c r="AB213" s="1" t="s">
        <v>487</v>
      </c>
      <c r="AC213" s="1" t="s">
        <v>488</v>
      </c>
      <c r="AD213" s="1" t="s">
        <v>406</v>
      </c>
      <c r="AE213" s="1">
        <f t="shared" si="5"/>
        <v>1</v>
      </c>
      <c r="AF213" s="1">
        <f>IF(AE213=1,COUNTIF($AE$2:AE213,1),"")</f>
        <v>211</v>
      </c>
      <c r="AG213" s="1" t="str">
        <f>IFERROR(INDEX($AA$2:$AA$248,MATCH(ROWS($AF$2:AF213),$AF$2:$AF$248,0)),"")</f>
        <v>Slovenia</v>
      </c>
    </row>
    <row r="214" spans="27:33" ht="15" customHeight="1" x14ac:dyDescent="0.25">
      <c r="AA214" s="1" t="s">
        <v>141</v>
      </c>
      <c r="AB214" s="1" t="s">
        <v>489</v>
      </c>
      <c r="AC214" s="1" t="s">
        <v>490</v>
      </c>
      <c r="AD214" s="1" t="s">
        <v>406</v>
      </c>
      <c r="AE214" s="1">
        <f t="shared" si="5"/>
        <v>1</v>
      </c>
      <c r="AF214" s="1">
        <f>IF(AE214=1,COUNTIF($AE$2:AE214,1),"")</f>
        <v>212</v>
      </c>
      <c r="AG214" s="1" t="str">
        <f>IFERROR(INDEX($AA$2:$AA$248,MATCH(ROWS($AF$2:AF214),$AF$2:$AF$248,0)),"")</f>
        <v>Solomon Islands</v>
      </c>
    </row>
    <row r="215" spans="27:33" ht="15" customHeight="1" x14ac:dyDescent="0.25">
      <c r="AA215" s="1" t="s">
        <v>181</v>
      </c>
      <c r="AB215" s="1" t="s">
        <v>730</v>
      </c>
      <c r="AC215" s="1" t="s">
        <v>731</v>
      </c>
      <c r="AD215" s="1" t="s">
        <v>685</v>
      </c>
      <c r="AE215" s="1">
        <f t="shared" si="5"/>
        <v>1</v>
      </c>
      <c r="AF215" s="1">
        <f>IF(AE215=1,COUNTIF($AE$2:AE215,1),"")</f>
        <v>213</v>
      </c>
      <c r="AG215" s="1" t="str">
        <f>IFERROR(INDEX($AA$2:$AA$248,MATCH(ROWS($AF$2:AF215),$AF$2:$AF$248,0)),"")</f>
        <v>Somalia</v>
      </c>
    </row>
    <row r="216" spans="27:33" ht="15" customHeight="1" x14ac:dyDescent="0.25">
      <c r="AA216" s="1" t="s">
        <v>94</v>
      </c>
      <c r="AB216" s="1" t="s">
        <v>392</v>
      </c>
      <c r="AC216" s="1" t="s">
        <v>393</v>
      </c>
      <c r="AD216" s="1" t="s">
        <v>360</v>
      </c>
      <c r="AE216" s="1">
        <f t="shared" si="5"/>
        <v>1</v>
      </c>
      <c r="AF216" s="1">
        <f>IF(AE216=1,COUNTIF($AE$2:AE216,1),"")</f>
        <v>214</v>
      </c>
      <c r="AG216" s="1" t="str">
        <f>IFERROR(INDEX($AA$2:$AA$248,MATCH(ROWS($AF$2:AF216),$AF$2:$AF$248,0)),"")</f>
        <v>South Africa</v>
      </c>
    </row>
    <row r="217" spans="27:33" ht="15" customHeight="1" x14ac:dyDescent="0.25">
      <c r="AA217" s="1" t="s">
        <v>40</v>
      </c>
      <c r="AB217" s="1" t="s">
        <v>269</v>
      </c>
      <c r="AC217" s="1" t="s">
        <v>270</v>
      </c>
      <c r="AD217" s="1" t="s">
        <v>192</v>
      </c>
      <c r="AE217" s="1">
        <f t="shared" si="5"/>
        <v>1</v>
      </c>
      <c r="AF217" s="1">
        <f>IF(AE217=1,COUNTIF($AE$2:AE217,1),"")</f>
        <v>215</v>
      </c>
      <c r="AG217" s="1" t="str">
        <f>IFERROR(INDEX($AA$2:$AA$248,MATCH(ROWS($AF$2:AF217),$AF$2:$AF$248,0)),"")</f>
        <v>South Georgia and the South Sandwich Islands</v>
      </c>
    </row>
    <row r="218" spans="27:33" ht="15" customHeight="1" x14ac:dyDescent="0.25">
      <c r="AA218" s="1" t="s">
        <v>817</v>
      </c>
      <c r="AB218" s="1" t="s">
        <v>818</v>
      </c>
      <c r="AC218" s="1" t="s">
        <v>819</v>
      </c>
      <c r="AD218" s="1" t="s">
        <v>514</v>
      </c>
      <c r="AE218" s="1">
        <f t="shared" si="5"/>
        <v>1</v>
      </c>
      <c r="AF218" s="1">
        <f>IF(AE218=1,COUNTIF($AE$2:AE218,1),"")</f>
        <v>216</v>
      </c>
      <c r="AG218" s="1" t="str">
        <f>IFERROR(INDEX($AA$2:$AA$248,MATCH(ROWS($AF$2:AF218),$AF$2:$AF$248,0)),"")</f>
        <v>South Sudan</v>
      </c>
    </row>
    <row r="219" spans="27:33" ht="15" customHeight="1" x14ac:dyDescent="0.25">
      <c r="AA219" s="1" t="s">
        <v>271</v>
      </c>
      <c r="AB219" s="1" t="s">
        <v>272</v>
      </c>
      <c r="AC219" s="1" t="s">
        <v>273</v>
      </c>
      <c r="AD219" s="1" t="s">
        <v>192</v>
      </c>
      <c r="AE219" s="1">
        <f t="shared" si="5"/>
        <v>1</v>
      </c>
      <c r="AF219" s="1">
        <f>IF(AE219=1,COUNTIF($AE$2:AE219,1),"")</f>
        <v>217</v>
      </c>
      <c r="AG219" s="1" t="str">
        <f>IFERROR(INDEX($AA$2:$AA$248,MATCH(ROWS($AF$2:AF219),$AF$2:$AF$248,0)),"")</f>
        <v>Spain</v>
      </c>
    </row>
    <row r="220" spans="27:33" ht="15" customHeight="1" x14ac:dyDescent="0.25">
      <c r="AA220" s="1" t="s">
        <v>142</v>
      </c>
      <c r="AB220" s="1" t="s">
        <v>491</v>
      </c>
      <c r="AC220" s="1" t="s">
        <v>492</v>
      </c>
      <c r="AD220" s="1" t="s">
        <v>406</v>
      </c>
      <c r="AE220" s="1">
        <f t="shared" si="5"/>
        <v>1</v>
      </c>
      <c r="AF220" s="1">
        <f>IF(AE220=1,COUNTIF($AE$2:AE220,1),"")</f>
        <v>218</v>
      </c>
      <c r="AG220" s="1" t="str">
        <f>IFERROR(INDEX($AA$2:$AA$248,MATCH(ROWS($AF$2:AF220),$AF$2:$AF$248,0)),"")</f>
        <v>Sri Lanka</v>
      </c>
    </row>
    <row r="221" spans="27:33" ht="15" customHeight="1" x14ac:dyDescent="0.25">
      <c r="AA221" s="1" t="s">
        <v>158</v>
      </c>
      <c r="AB221" s="1" t="s">
        <v>677</v>
      </c>
      <c r="AC221" s="1" t="s">
        <v>678</v>
      </c>
      <c r="AD221" s="1" t="s">
        <v>662</v>
      </c>
      <c r="AE221" s="1">
        <f t="shared" si="5"/>
        <v>1</v>
      </c>
      <c r="AF221" s="1">
        <f>IF(AE221=1,COUNTIF($AE$2:AE221,1),"")</f>
        <v>219</v>
      </c>
      <c r="AG221" s="1" t="str">
        <f>IFERROR(INDEX($AA$2:$AA$248,MATCH(ROWS($AF$2:AF221),$AF$2:$AF$248,0)),"")</f>
        <v>Sudan</v>
      </c>
    </row>
    <row r="222" spans="27:33" ht="15" customHeight="1" x14ac:dyDescent="0.25">
      <c r="AA222" s="1" t="s">
        <v>95</v>
      </c>
      <c r="AB222" s="1" t="s">
        <v>394</v>
      </c>
      <c r="AC222" s="1" t="s">
        <v>395</v>
      </c>
      <c r="AD222" s="1" t="s">
        <v>360</v>
      </c>
      <c r="AE222" s="1">
        <f t="shared" si="5"/>
        <v>1</v>
      </c>
      <c r="AF222" s="1">
        <f>IF(AE222=1,COUNTIF($AE$2:AE222,1),"")</f>
        <v>220</v>
      </c>
      <c r="AG222" s="1" t="str">
        <f>IFERROR(INDEX($AA$2:$AA$248,MATCH(ROWS($AF$2:AF222),$AF$2:$AF$248,0)),"")</f>
        <v>Sudan (former)</v>
      </c>
    </row>
    <row r="223" spans="27:33" ht="15" customHeight="1" x14ac:dyDescent="0.25">
      <c r="AA223" s="1" t="s">
        <v>627</v>
      </c>
      <c r="AB223" s="1" t="s">
        <v>628</v>
      </c>
      <c r="AC223" s="1" t="s">
        <v>629</v>
      </c>
      <c r="AD223" s="1" t="s">
        <v>514</v>
      </c>
      <c r="AE223" s="1">
        <f t="shared" si="5"/>
        <v>1</v>
      </c>
      <c r="AF223" s="1">
        <f>IF(AE223=1,COUNTIF($AE$2:AE223,1),"")</f>
        <v>221</v>
      </c>
      <c r="AG223" s="1" t="str">
        <f>IFERROR(INDEX($AA$2:$AA$248,MATCH(ROWS($AF$2:AF223),$AF$2:$AF$248,0)),"")</f>
        <v>Suriname</v>
      </c>
    </row>
    <row r="224" spans="27:33" ht="15" customHeight="1" x14ac:dyDescent="0.25">
      <c r="AA224" s="1" t="s">
        <v>75</v>
      </c>
      <c r="AB224" s="1" t="s">
        <v>348</v>
      </c>
      <c r="AC224" s="1" t="s">
        <v>349</v>
      </c>
      <c r="AD224" s="1" t="s">
        <v>288</v>
      </c>
      <c r="AE224" s="1">
        <f t="shared" si="5"/>
        <v>1</v>
      </c>
      <c r="AF224" s="1">
        <f>IF(AE224=1,COUNTIF($AE$2:AE224,1),"")</f>
        <v>222</v>
      </c>
      <c r="AG224" s="1" t="str">
        <f>IFERROR(INDEX($AA$2:$AA$248,MATCH(ROWS($AF$2:AF224),$AF$2:$AF$248,0)),"")</f>
        <v>Svalbard and Jan Mayen</v>
      </c>
    </row>
    <row r="225" spans="27:33" ht="15" customHeight="1" x14ac:dyDescent="0.25">
      <c r="AA225" s="1" t="s">
        <v>820</v>
      </c>
      <c r="AB225" s="1" t="s">
        <v>821</v>
      </c>
      <c r="AC225" s="1" t="s">
        <v>822</v>
      </c>
      <c r="AD225" s="1" t="s">
        <v>514</v>
      </c>
      <c r="AE225" s="1">
        <f t="shared" si="5"/>
        <v>1</v>
      </c>
      <c r="AF225" s="1">
        <f>IF(AE225=1,COUNTIF($AE$2:AE225,1),"")</f>
        <v>223</v>
      </c>
      <c r="AG225" s="1" t="str">
        <f>IFERROR(INDEX($AA$2:$AA$248,MATCH(ROWS($AF$2:AF225),$AF$2:$AF$248,0)),"")</f>
        <v>Sweden</v>
      </c>
    </row>
    <row r="226" spans="27:33" ht="15" customHeight="1" x14ac:dyDescent="0.25">
      <c r="AA226" s="1" t="s">
        <v>143</v>
      </c>
      <c r="AB226" s="1" t="s">
        <v>493</v>
      </c>
      <c r="AC226" s="1" t="s">
        <v>494</v>
      </c>
      <c r="AD226" s="1" t="s">
        <v>406</v>
      </c>
      <c r="AE226" s="1">
        <f t="shared" si="5"/>
        <v>1</v>
      </c>
      <c r="AF226" s="1">
        <f>IF(AE226=1,COUNTIF($AE$2:AE226,1),"")</f>
        <v>224</v>
      </c>
      <c r="AG226" s="1" t="str">
        <f>IFERROR(INDEX($AA$2:$AA$248,MATCH(ROWS($AF$2:AF226),$AF$2:$AF$248,0)),"")</f>
        <v>Switzerland</v>
      </c>
    </row>
    <row r="227" spans="27:33" ht="15" customHeight="1" x14ac:dyDescent="0.25">
      <c r="AA227" s="1" t="s">
        <v>144</v>
      </c>
      <c r="AB227" s="1" t="s">
        <v>495</v>
      </c>
      <c r="AC227" s="1" t="s">
        <v>496</v>
      </c>
      <c r="AD227" s="1" t="s">
        <v>406</v>
      </c>
      <c r="AE227" s="1">
        <f t="shared" si="5"/>
        <v>1</v>
      </c>
      <c r="AF227" s="1">
        <f>IF(AE227=1,COUNTIF($AE$2:AE227,1),"")</f>
        <v>225</v>
      </c>
      <c r="AG227" s="1" t="str">
        <f>IFERROR(INDEX($AA$2:$AA$248,MATCH(ROWS($AF$2:AF227),$AF$2:$AF$248,0)),"")</f>
        <v>Syrian Arab Republic</v>
      </c>
    </row>
    <row r="228" spans="27:33" ht="15" customHeight="1" x14ac:dyDescent="0.25">
      <c r="AA228" s="1" t="s">
        <v>96</v>
      </c>
      <c r="AB228" s="1" t="s">
        <v>396</v>
      </c>
      <c r="AC228" s="1" t="s">
        <v>397</v>
      </c>
      <c r="AD228" s="1" t="s">
        <v>360</v>
      </c>
      <c r="AE228" s="1">
        <f t="shared" si="5"/>
        <v>1</v>
      </c>
      <c r="AF228" s="1">
        <f>IF(AE228=1,COUNTIF($AE$2:AE228,1),"")</f>
        <v>226</v>
      </c>
      <c r="AG228" s="1" t="str">
        <f>IFERROR(INDEX($AA$2:$AA$248,MATCH(ROWS($AF$2:AF228),$AF$2:$AF$248,0)),"")</f>
        <v>Tajikistan</v>
      </c>
    </row>
    <row r="229" spans="27:33" ht="15" customHeight="1" x14ac:dyDescent="0.25">
      <c r="AA229" s="1" t="s">
        <v>145</v>
      </c>
      <c r="AB229" s="1" t="s">
        <v>497</v>
      </c>
      <c r="AC229" s="1" t="s">
        <v>498</v>
      </c>
      <c r="AD229" s="1" t="s">
        <v>406</v>
      </c>
      <c r="AE229" s="1">
        <f t="shared" si="5"/>
        <v>1</v>
      </c>
      <c r="AF229" s="1">
        <f>IF(AE229=1,COUNTIF($AE$2:AE229,1),"")</f>
        <v>227</v>
      </c>
      <c r="AG229" s="1" t="str">
        <f>IFERROR(INDEX($AA$2:$AA$248,MATCH(ROWS($AF$2:AF229),$AF$2:$AF$248,0)),"")</f>
        <v>Thailand</v>
      </c>
    </row>
    <row r="230" spans="27:33" ht="15" customHeight="1" x14ac:dyDescent="0.25">
      <c r="AA230" s="1" t="s">
        <v>159</v>
      </c>
      <c r="AB230" s="1" t="s">
        <v>679</v>
      </c>
      <c r="AC230" s="1" t="s">
        <v>680</v>
      </c>
      <c r="AD230" s="1" t="s">
        <v>662</v>
      </c>
      <c r="AE230" s="1">
        <f t="shared" si="5"/>
        <v>1</v>
      </c>
      <c r="AF230" s="1">
        <f>IF(AE230=1,COUNTIF($AE$2:AE230,1),"")</f>
        <v>228</v>
      </c>
      <c r="AG230" s="1" t="str">
        <f>IFERROR(INDEX($AA$2:$AA$248,MATCH(ROWS($AF$2:AF230),$AF$2:$AF$248,0)),"")</f>
        <v>The former state union Serbia and Montenegro</v>
      </c>
    </row>
    <row r="231" spans="27:33" ht="15" customHeight="1" x14ac:dyDescent="0.25">
      <c r="AA231" s="1" t="s">
        <v>630</v>
      </c>
      <c r="AB231" s="1" t="s">
        <v>631</v>
      </c>
      <c r="AC231" s="1" t="s">
        <v>632</v>
      </c>
      <c r="AD231" s="1" t="s">
        <v>514</v>
      </c>
      <c r="AE231" s="1">
        <f t="shared" si="5"/>
        <v>1</v>
      </c>
      <c r="AF231" s="1">
        <f>IF(AE231=1,COUNTIF($AE$2:AE231,1),"")</f>
        <v>229</v>
      </c>
      <c r="AG231" s="1" t="str">
        <f>IFERROR(INDEX($AA$2:$AA$248,MATCH(ROWS($AF$2:AF231),$AF$2:$AF$248,0)),"")</f>
        <v>Timor-Leste</v>
      </c>
    </row>
    <row r="232" spans="27:33" ht="15" customHeight="1" x14ac:dyDescent="0.25">
      <c r="AA232" s="1" t="s">
        <v>160</v>
      </c>
      <c r="AB232" s="1" t="s">
        <v>681</v>
      </c>
      <c r="AC232" s="1" t="s">
        <v>682</v>
      </c>
      <c r="AD232" s="1" t="s">
        <v>662</v>
      </c>
      <c r="AE232" s="1">
        <f t="shared" si="5"/>
        <v>1</v>
      </c>
      <c r="AF232" s="1">
        <f>IF(AE232=1,COUNTIF($AE$2:AE232,1),"")</f>
        <v>230</v>
      </c>
      <c r="AG232" s="1" t="str">
        <f>IFERROR(INDEX($AA$2:$AA$248,MATCH(ROWS($AF$2:AF232),$AF$2:$AF$248,0)),"")</f>
        <v>Togo</v>
      </c>
    </row>
    <row r="233" spans="27:33" ht="15" customHeight="1" x14ac:dyDescent="0.25">
      <c r="AA233" s="1" t="s">
        <v>41</v>
      </c>
      <c r="AB233" s="1" t="s">
        <v>276</v>
      </c>
      <c r="AC233" s="1" t="s">
        <v>277</v>
      </c>
      <c r="AD233" s="1" t="s">
        <v>192</v>
      </c>
      <c r="AE233" s="1">
        <f t="shared" si="5"/>
        <v>1</v>
      </c>
      <c r="AF233" s="1">
        <f>IF(AE233=1,COUNTIF($AE$2:AE233,1),"")</f>
        <v>231</v>
      </c>
      <c r="AG233" s="1" t="str">
        <f>IFERROR(INDEX($AA$2:$AA$248,MATCH(ROWS($AF$2:AF233),$AF$2:$AF$248,0)),"")</f>
        <v>Tokelau</v>
      </c>
    </row>
    <row r="234" spans="27:33" ht="15" customHeight="1" x14ac:dyDescent="0.25">
      <c r="AA234" s="1" t="s">
        <v>633</v>
      </c>
      <c r="AB234" s="1" t="s">
        <v>634</v>
      </c>
      <c r="AC234" s="1" t="s">
        <v>635</v>
      </c>
      <c r="AD234" s="1" t="s">
        <v>685</v>
      </c>
      <c r="AE234" s="1">
        <f t="shared" si="5"/>
        <v>1</v>
      </c>
      <c r="AF234" s="1">
        <f>IF(AE234=1,COUNTIF($AE$2:AE234,1),"")</f>
        <v>232</v>
      </c>
      <c r="AG234" s="1" t="str">
        <f>IFERROR(INDEX($AA$2:$AA$248,MATCH(ROWS($AF$2:AF234),$AF$2:$AF$248,0)),"")</f>
        <v>Tonga</v>
      </c>
    </row>
    <row r="235" spans="27:33" ht="15" customHeight="1" x14ac:dyDescent="0.25">
      <c r="AA235" s="1" t="s">
        <v>182</v>
      </c>
      <c r="AB235" s="1" t="s">
        <v>732</v>
      </c>
      <c r="AC235" s="1" t="s">
        <v>733</v>
      </c>
      <c r="AD235" s="1" t="s">
        <v>685</v>
      </c>
      <c r="AE235" s="1">
        <f t="shared" si="5"/>
        <v>1</v>
      </c>
      <c r="AF235" s="1">
        <f>IF(AE235=1,COUNTIF($AE$2:AE235,1),"")</f>
        <v>233</v>
      </c>
      <c r="AG235" s="1" t="str">
        <f>IFERROR(INDEX($AA$2:$AA$248,MATCH(ROWS($AF$2:AF235),$AF$2:$AF$248,0)),"")</f>
        <v>Trinidad and Tobago</v>
      </c>
    </row>
    <row r="236" spans="27:33" ht="15" customHeight="1" x14ac:dyDescent="0.25">
      <c r="AA236" s="1" t="s">
        <v>76</v>
      </c>
      <c r="AB236" s="1" t="s">
        <v>350</v>
      </c>
      <c r="AC236" s="1" t="s">
        <v>351</v>
      </c>
      <c r="AD236" s="1" t="s">
        <v>288</v>
      </c>
      <c r="AE236" s="1">
        <f t="shared" si="5"/>
        <v>1</v>
      </c>
      <c r="AF236" s="1">
        <f>IF(AE236=1,COUNTIF($AE$2:AE236,1),"")</f>
        <v>234</v>
      </c>
      <c r="AG236" s="1" t="str">
        <f>IFERROR(INDEX($AA$2:$AA$248,MATCH(ROWS($AF$2:AF236),$AF$2:$AF$248,0)),"")</f>
        <v>Tunisia</v>
      </c>
    </row>
    <row r="237" spans="27:33" ht="15" customHeight="1" x14ac:dyDescent="0.25">
      <c r="AA237" s="1" t="s">
        <v>97</v>
      </c>
      <c r="AB237" s="1" t="s">
        <v>398</v>
      </c>
      <c r="AC237" s="1" t="s">
        <v>399</v>
      </c>
      <c r="AD237" s="1" t="s">
        <v>360</v>
      </c>
      <c r="AE237" s="1">
        <f t="shared" si="5"/>
        <v>1</v>
      </c>
      <c r="AF237" s="1">
        <f>IF(AE237=1,COUNTIF($AE$2:AE237,1),"")</f>
        <v>235</v>
      </c>
      <c r="AG237" s="1" t="str">
        <f>IFERROR(INDEX($AA$2:$AA$248,MATCH(ROWS($AF$2:AF237),$AF$2:$AF$248,0)),"")</f>
        <v>Turkey</v>
      </c>
    </row>
    <row r="238" spans="27:33" ht="15" customHeight="1" x14ac:dyDescent="0.25">
      <c r="AA238" s="1" t="s">
        <v>146</v>
      </c>
      <c r="AB238" s="1" t="s">
        <v>501</v>
      </c>
      <c r="AC238" s="1" t="s">
        <v>502</v>
      </c>
      <c r="AD238" s="1" t="s">
        <v>406</v>
      </c>
      <c r="AE238" s="1">
        <f t="shared" si="5"/>
        <v>1</v>
      </c>
      <c r="AF238" s="1">
        <f>IF(AE238=1,COUNTIF($AE$2:AE238,1),"")</f>
        <v>236</v>
      </c>
      <c r="AG238" s="1" t="str">
        <f>IFERROR(INDEX($AA$2:$AA$248,MATCH(ROWS($AF$2:AF238),$AF$2:$AF$248,0)),"")</f>
        <v>Turkmenistan</v>
      </c>
    </row>
    <row r="239" spans="27:33" ht="15" customHeight="1" x14ac:dyDescent="0.25">
      <c r="AA239" s="1" t="s">
        <v>147</v>
      </c>
      <c r="AB239" s="1" t="s">
        <v>503</v>
      </c>
      <c r="AC239" s="1" t="s">
        <v>504</v>
      </c>
      <c r="AD239" s="1" t="s">
        <v>406</v>
      </c>
      <c r="AE239" s="1">
        <f t="shared" si="5"/>
        <v>1</v>
      </c>
      <c r="AF239" s="1">
        <f>IF(AE239=1,COUNTIF($AE$2:AE239,1),"")</f>
        <v>237</v>
      </c>
      <c r="AG239" s="1" t="str">
        <f>IFERROR(INDEX($AA$2:$AA$248,MATCH(ROWS($AF$2:AF239),$AF$2:$AF$248,0)),"")</f>
        <v>Turks and Caicos Islands</v>
      </c>
    </row>
    <row r="240" spans="27:33" ht="15" customHeight="1" x14ac:dyDescent="0.25">
      <c r="AA240" s="1" t="s">
        <v>636</v>
      </c>
      <c r="AB240" s="1" t="s">
        <v>637</v>
      </c>
      <c r="AC240" s="1" t="s">
        <v>638</v>
      </c>
      <c r="AD240" s="1" t="s">
        <v>288</v>
      </c>
      <c r="AE240" s="1">
        <f t="shared" si="5"/>
        <v>1</v>
      </c>
      <c r="AF240" s="1">
        <f>IF(AE240=1,COUNTIF($AE$2:AE240,1),"")</f>
        <v>238</v>
      </c>
      <c r="AG240" s="1" t="str">
        <f>IFERROR(INDEX($AA$2:$AA$248,MATCH(ROWS($AF$2:AF240),$AF$2:$AF$248,0)),"")</f>
        <v>Tuvalu</v>
      </c>
    </row>
    <row r="241" spans="27:33" ht="15" customHeight="1" x14ac:dyDescent="0.25">
      <c r="AA241" s="1" t="s">
        <v>183</v>
      </c>
      <c r="AB241" s="1" t="s">
        <v>734</v>
      </c>
      <c r="AC241" s="1" t="s">
        <v>735</v>
      </c>
      <c r="AD241" s="1" t="s">
        <v>685</v>
      </c>
      <c r="AE241" s="1">
        <f t="shared" si="5"/>
        <v>1</v>
      </c>
      <c r="AF241" s="1">
        <f>IF(AE241=1,COUNTIF($AE$2:AE241,1),"")</f>
        <v>239</v>
      </c>
      <c r="AG241" s="1" t="str">
        <f>IFERROR(INDEX($AA$2:$AA$248,MATCH(ROWS($AF$2:AF241),$AF$2:$AF$248,0)),"")</f>
        <v>US Virgin Islands</v>
      </c>
    </row>
    <row r="242" spans="27:33" ht="15" customHeight="1" x14ac:dyDescent="0.25">
      <c r="AA242" s="1" t="s">
        <v>823</v>
      </c>
      <c r="AB242" s="1" t="s">
        <v>651</v>
      </c>
      <c r="AC242" s="1" t="s">
        <v>652</v>
      </c>
      <c r="AD242" s="1" t="s">
        <v>288</v>
      </c>
      <c r="AE242" s="1">
        <f t="shared" si="5"/>
        <v>1</v>
      </c>
      <c r="AF242" s="1">
        <f>IF(AE242=1,COUNTIF($AE$2:AE242,1),"")</f>
        <v>240</v>
      </c>
      <c r="AG242" s="1" t="str">
        <f>IFERROR(INDEX($AA$2:$AA$248,MATCH(ROWS($AF$2:AF242),$AF$2:$AF$248,0)),"")</f>
        <v>USSR, Former</v>
      </c>
    </row>
    <row r="243" spans="27:33" ht="15" customHeight="1" x14ac:dyDescent="0.25">
      <c r="AA243" s="1" t="s">
        <v>648</v>
      </c>
      <c r="AB243" s="1" t="s">
        <v>649</v>
      </c>
      <c r="AC243" s="1" t="s">
        <v>650</v>
      </c>
      <c r="AD243" s="1" t="s">
        <v>514</v>
      </c>
      <c r="AE243" s="1">
        <f t="shared" si="5"/>
        <v>1</v>
      </c>
      <c r="AF243" s="1">
        <f>IF(AE243=1,COUNTIF($AE$2:AE243,1),"")</f>
        <v>241</v>
      </c>
      <c r="AG243" s="1" t="str">
        <f>IFERROR(INDEX($AA$2:$AA$248,MATCH(ROWS($AF$2:AF243),$AF$2:$AF$248,0)),"")</f>
        <v>Uganda</v>
      </c>
    </row>
    <row r="244" spans="27:33" ht="15" customHeight="1" x14ac:dyDescent="0.25">
      <c r="AA244" s="1" t="s">
        <v>42</v>
      </c>
      <c r="AB244" s="1" t="s">
        <v>278</v>
      </c>
      <c r="AC244" s="1" t="s">
        <v>279</v>
      </c>
      <c r="AD244" s="1" t="s">
        <v>192</v>
      </c>
      <c r="AE244" s="1">
        <f t="shared" si="5"/>
        <v>1</v>
      </c>
      <c r="AF244" s="1">
        <f>IF(AE244=1,COUNTIF($AE$2:AE244,1),"")</f>
        <v>242</v>
      </c>
      <c r="AG244" s="1" t="str">
        <f>IFERROR(INDEX($AA$2:$AA$248,MATCH(ROWS($AF$2:AF244),$AF$2:$AF$248,0)),"")</f>
        <v>Ukraine</v>
      </c>
    </row>
    <row r="245" spans="27:33" ht="15" customHeight="1" x14ac:dyDescent="0.25">
      <c r="AA245" s="1" t="s">
        <v>148</v>
      </c>
      <c r="AB245" s="1" t="s">
        <v>505</v>
      </c>
      <c r="AC245" s="1" t="s">
        <v>506</v>
      </c>
      <c r="AD245" s="1" t="s">
        <v>406</v>
      </c>
      <c r="AE245" s="1">
        <f t="shared" si="5"/>
        <v>1</v>
      </c>
      <c r="AF245" s="1">
        <f>IF(AE245=1,COUNTIF($AE$2:AE245,1),"")</f>
        <v>243</v>
      </c>
      <c r="AG245" s="1" t="str">
        <f>IFERROR(INDEX($AA$2:$AA$248,MATCH(ROWS($AF$2:AF245),$AF$2:$AF$248,0)),"")</f>
        <v>United Arab Emirates</v>
      </c>
    </row>
    <row r="246" spans="27:33" ht="15" customHeight="1" x14ac:dyDescent="0.25">
      <c r="AA246" s="1" t="s">
        <v>98</v>
      </c>
      <c r="AB246" s="1" t="s">
        <v>400</v>
      </c>
      <c r="AC246" s="1" t="s">
        <v>401</v>
      </c>
      <c r="AD246" s="1" t="s">
        <v>360</v>
      </c>
      <c r="AE246" s="1">
        <f t="shared" si="5"/>
        <v>1</v>
      </c>
      <c r="AF246" s="1">
        <f>IF(AE246=1,COUNTIF($AE$2:AE246,1),"")</f>
        <v>244</v>
      </c>
      <c r="AG246" s="1" t="str">
        <f>IFERROR(INDEX($AA$2:$AA$248,MATCH(ROWS($AF$2:AF246),$AF$2:$AF$248,0)),"")</f>
        <v>United Kingdom of Great Britain and Northern Irela</v>
      </c>
    </row>
    <row r="247" spans="27:33" ht="15" customHeight="1" x14ac:dyDescent="0.25">
      <c r="AA247" s="1" t="s">
        <v>824</v>
      </c>
      <c r="AB247" s="1" t="s">
        <v>507</v>
      </c>
      <c r="AC247" s="1" t="s">
        <v>508</v>
      </c>
      <c r="AD247" s="1" t="s">
        <v>406</v>
      </c>
      <c r="AE247" s="1">
        <f t="shared" si="5"/>
        <v>1</v>
      </c>
      <c r="AF247" s="1">
        <f>IF(AE247=1,COUNTIF($AE$2:AE247,1),"")</f>
        <v>245</v>
      </c>
      <c r="AG247" s="1" t="str">
        <f>IFERROR(INDEX($AA$2:$AA$248,MATCH(ROWS($AF$2:AF247),$AF$2:$AF$248,0)),"")</f>
        <v>United Kingdom, England and Wales</v>
      </c>
    </row>
    <row r="248" spans="27:33" ht="15" customHeight="1" x14ac:dyDescent="0.25">
      <c r="AA248" s="1" t="s">
        <v>639</v>
      </c>
      <c r="AB248" s="1" t="s">
        <v>640</v>
      </c>
      <c r="AC248" s="1" t="s">
        <v>641</v>
      </c>
      <c r="AD248" s="1" t="s">
        <v>514</v>
      </c>
      <c r="AE248" s="1">
        <f t="shared" si="5"/>
        <v>1</v>
      </c>
      <c r="AF248" s="1">
        <f>IF(AE248=1,COUNTIF($AE$2:AE248,1),"")</f>
        <v>246</v>
      </c>
      <c r="AG248" s="1" t="str">
        <f>IFERROR(INDEX($AA$2:$AA$248,MATCH(ROWS($AF$2:AF248),$AF$2:$AF$248,0)),"")</f>
        <v/>
      </c>
    </row>
    <row r="249" spans="27:33" ht="15" customHeight="1" x14ac:dyDescent="0.25">
      <c r="AA249" s="1" t="s">
        <v>642</v>
      </c>
      <c r="AB249" s="1" t="s">
        <v>643</v>
      </c>
      <c r="AC249" s="1" t="s">
        <v>644</v>
      </c>
      <c r="AD249" s="1" t="s">
        <v>514</v>
      </c>
      <c r="AE249" s="1">
        <f t="shared" si="5"/>
        <v>1</v>
      </c>
      <c r="AF249" s="1">
        <f>IF(AE249=1,COUNTIF($AE$2:AE249,1),"")</f>
        <v>247</v>
      </c>
      <c r="AG249" s="1" t="str">
        <f>IFERROR(INDEX($AA$2:$AA$248,MATCH(ROWS($AF$2:AF249),$AF$2:$AF$248,0)),"")</f>
        <v/>
      </c>
    </row>
    <row r="250" spans="27:33" ht="15" customHeight="1" x14ac:dyDescent="0.25">
      <c r="AA250" s="1" t="s">
        <v>645</v>
      </c>
      <c r="AB250" s="1" t="s">
        <v>646</v>
      </c>
      <c r="AC250" s="1" t="s">
        <v>647</v>
      </c>
      <c r="AD250" s="1" t="s">
        <v>514</v>
      </c>
      <c r="AE250" s="1">
        <f t="shared" si="5"/>
        <v>1</v>
      </c>
      <c r="AF250" s="1">
        <f>IF(AE250=1,COUNTIF($AE$2:AE250,1),"")</f>
        <v>248</v>
      </c>
      <c r="AG250" s="1" t="str">
        <f>IFERROR(INDEX($AA$2:$AA$248,MATCH(ROWS($AF$2:AF250),$AF$2:$AF$248,0)),"")</f>
        <v/>
      </c>
    </row>
    <row r="251" spans="27:33" ht="15" customHeight="1" x14ac:dyDescent="0.25">
      <c r="AA251" s="1" t="s">
        <v>43</v>
      </c>
      <c r="AB251" s="1" t="s">
        <v>280</v>
      </c>
      <c r="AC251" s="1" t="s">
        <v>281</v>
      </c>
      <c r="AD251" s="1" t="s">
        <v>192</v>
      </c>
      <c r="AE251" s="1">
        <f t="shared" si="5"/>
        <v>1</v>
      </c>
      <c r="AF251" s="1">
        <f>IF(AE251=1,COUNTIF($AE$2:AE251,1),"")</f>
        <v>249</v>
      </c>
      <c r="AG251" s="1" t="str">
        <f>IFERROR(INDEX($AA$2:$AA$248,MATCH(ROWS($AF$2:AF251),$AF$2:$AF$248,0)),"")</f>
        <v/>
      </c>
    </row>
    <row r="252" spans="27:33" ht="15" customHeight="1" x14ac:dyDescent="0.25">
      <c r="AA252" s="1" t="s">
        <v>825</v>
      </c>
      <c r="AB252" s="1" t="s">
        <v>826</v>
      </c>
      <c r="AC252" s="1" t="s">
        <v>827</v>
      </c>
      <c r="AD252" s="1" t="s">
        <v>514</v>
      </c>
      <c r="AE252" s="1">
        <f t="shared" si="5"/>
        <v>1</v>
      </c>
      <c r="AF252" s="1">
        <f>IF(AE252=1,COUNTIF($AE$2:AE252,1),"")</f>
        <v>250</v>
      </c>
      <c r="AG252" s="1" t="str">
        <f>IFERROR(INDEX($AA$2:$AA$248,MATCH(ROWS($AF$2:AF252),$AF$2:$AF$248,0)),"")</f>
        <v/>
      </c>
    </row>
    <row r="253" spans="27:33" ht="15" customHeight="1" x14ac:dyDescent="0.25">
      <c r="AA253" s="1" t="s">
        <v>77</v>
      </c>
      <c r="AB253" s="1" t="s">
        <v>352</v>
      </c>
      <c r="AC253" s="1" t="s">
        <v>353</v>
      </c>
      <c r="AD253" s="1" t="s">
        <v>288</v>
      </c>
      <c r="AE253" s="1">
        <f t="shared" si="5"/>
        <v>1</v>
      </c>
      <c r="AF253" s="1">
        <f>IF(AE253=1,COUNTIF($AE$2:AE253,1),"")</f>
        <v>251</v>
      </c>
      <c r="AG253" s="1" t="str">
        <f>IFERROR(INDEX($AA$2:$AA$248,MATCH(ROWS($AF$2:AF253),$AF$2:$AF$248,0)),"")</f>
        <v/>
      </c>
    </row>
    <row r="254" spans="27:33" ht="15" customHeight="1" x14ac:dyDescent="0.25">
      <c r="AA254" s="1" t="s">
        <v>78</v>
      </c>
      <c r="AB254" s="1" t="s">
        <v>354</v>
      </c>
      <c r="AC254" s="1" t="s">
        <v>355</v>
      </c>
      <c r="AD254" s="1" t="s">
        <v>288</v>
      </c>
      <c r="AE254" s="1">
        <f t="shared" si="5"/>
        <v>1</v>
      </c>
      <c r="AF254" s="1">
        <f>IF(AE254=1,COUNTIF($AE$2:AE254,1),"")</f>
        <v>252</v>
      </c>
      <c r="AG254" s="1" t="str">
        <f>IFERROR(INDEX($AA$2:$AA$248,MATCH(ROWS($AF$2:AF254),$AF$2:$AF$248,0)),"")</f>
        <v/>
      </c>
    </row>
    <row r="255" spans="27:33" ht="15" customHeight="1" x14ac:dyDescent="0.25">
      <c r="AA255" s="1" t="s">
        <v>149</v>
      </c>
      <c r="AB255" s="1" t="s">
        <v>509</v>
      </c>
      <c r="AC255" s="1" t="s">
        <v>510</v>
      </c>
      <c r="AD255" s="1" t="s">
        <v>406</v>
      </c>
      <c r="AE255" s="1">
        <f t="shared" si="5"/>
        <v>1</v>
      </c>
      <c r="AF255" s="1">
        <f>IF(AE255=1,COUNTIF($AE$2:AE255,1),"")</f>
        <v>253</v>
      </c>
      <c r="AG255" s="1" t="str">
        <f>IFERROR(INDEX($AA$2:$AA$248,MATCH(ROWS($AF$2:AF255),$AF$2:$AF$248,0)),"")</f>
        <v/>
      </c>
    </row>
    <row r="256" spans="27:33" ht="15" customHeight="1" x14ac:dyDescent="0.25">
      <c r="AA256" s="1" t="s">
        <v>184</v>
      </c>
      <c r="AB256" s="1" t="s">
        <v>736</v>
      </c>
      <c r="AC256" s="1" t="s">
        <v>737</v>
      </c>
      <c r="AD256" s="1" t="s">
        <v>685</v>
      </c>
      <c r="AE256" s="1">
        <f t="shared" si="5"/>
        <v>1</v>
      </c>
      <c r="AF256" s="1">
        <f>IF(AE256=1,COUNTIF($AE$2:AE256,1),"")</f>
        <v>254</v>
      </c>
      <c r="AG256" s="1" t="str">
        <f>IFERROR(INDEX($AA$2:$AA$248,MATCH(ROWS($AF$2:AF256),$AF$2:$AF$248,0)),"")</f>
        <v/>
      </c>
    </row>
    <row r="257" spans="27:33" ht="15" customHeight="1" x14ac:dyDescent="0.25">
      <c r="AA257" s="1" t="s">
        <v>79</v>
      </c>
      <c r="AB257" s="1" t="s">
        <v>356</v>
      </c>
      <c r="AC257" s="1" t="s">
        <v>357</v>
      </c>
      <c r="AD257" s="1" t="s">
        <v>288</v>
      </c>
      <c r="AE257" s="1">
        <f t="shared" si="5"/>
        <v>1</v>
      </c>
      <c r="AF257" s="1">
        <f>IF(AE257=1,COUNTIF($AE$2:AE257,1),"")</f>
        <v>255</v>
      </c>
      <c r="AG257" s="1" t="str">
        <f>IFERROR(INDEX($AA$2:$AA$248,MATCH(ROWS($AF$2:AF257),$AF$2:$AF$248,0)),"")</f>
        <v/>
      </c>
    </row>
    <row r="258" spans="27:33" ht="15" customHeight="1" x14ac:dyDescent="0.25">
      <c r="AA258" s="1" t="s">
        <v>185</v>
      </c>
      <c r="AB258" s="1" t="s">
        <v>738</v>
      </c>
      <c r="AC258" s="1" t="s">
        <v>739</v>
      </c>
      <c r="AD258" s="1" t="s">
        <v>685</v>
      </c>
      <c r="AE258" s="1">
        <f t="shared" si="5"/>
        <v>1</v>
      </c>
      <c r="AF258" s="1">
        <f>IF(AE258=1,COUNTIF($AE$2:AE258,1),"")</f>
        <v>256</v>
      </c>
      <c r="AG258" s="1" t="str">
        <f>IFERROR(INDEX($AA$2:$AA$248,MATCH(ROWS($AF$2:AF258),$AF$2:$AF$248,0)),"")</f>
        <v/>
      </c>
    </row>
    <row r="259" spans="27:33" ht="15" customHeight="1" x14ac:dyDescent="0.25">
      <c r="AA259" s="1" t="s">
        <v>828</v>
      </c>
      <c r="AB259" s="1" t="s">
        <v>653</v>
      </c>
      <c r="AC259" s="1" t="s">
        <v>654</v>
      </c>
      <c r="AD259" s="1" t="s">
        <v>685</v>
      </c>
      <c r="AE259" s="1">
        <f t="shared" si="5"/>
        <v>1</v>
      </c>
      <c r="AF259" s="1">
        <f>IF(AE259=1,COUNTIF($AE$2:AE259,1),"")</f>
        <v>257</v>
      </c>
      <c r="AG259" s="1" t="str">
        <f>IFERROR(INDEX($AA$2:$AA$248,MATCH(ROWS($AF$2:AF259),$AF$2:$AF$248,0)),"")</f>
        <v/>
      </c>
    </row>
    <row r="260" spans="27:33" ht="15" customHeight="1" x14ac:dyDescent="0.25">
      <c r="AA260" s="1" t="s">
        <v>655</v>
      </c>
      <c r="AB260" s="1" t="s">
        <v>656</v>
      </c>
      <c r="AC260" s="1" t="s">
        <v>657</v>
      </c>
      <c r="AD260" s="1" t="s">
        <v>514</v>
      </c>
      <c r="AE260" s="1">
        <f t="shared" ref="AE260:AE267" si="6">--ISNUMBER(IFERROR(SEARCH($X$1,AA260,1),""))</f>
        <v>1</v>
      </c>
      <c r="AF260" s="1">
        <f>IF(AE260=1,COUNTIF($AE$2:AE260,1),"")</f>
        <v>258</v>
      </c>
      <c r="AG260" s="1" t="str">
        <f>IFERROR(INDEX($AA$2:$AA$248,MATCH(ROWS($AF$2:AF260),$AF$2:$AF$248,0)),"")</f>
        <v/>
      </c>
    </row>
    <row r="261" spans="27:33" ht="15" customHeight="1" x14ac:dyDescent="0.25">
      <c r="AA261" s="1" t="s">
        <v>829</v>
      </c>
      <c r="AB261" s="1" t="s">
        <v>386</v>
      </c>
      <c r="AC261" s="1" t="s">
        <v>387</v>
      </c>
      <c r="AD261" s="1" t="s">
        <v>360</v>
      </c>
      <c r="AE261" s="1">
        <f t="shared" si="6"/>
        <v>1</v>
      </c>
      <c r="AF261" s="1">
        <f>IF(AE261=1,COUNTIF($AE$2:AE261,1),"")</f>
        <v>259</v>
      </c>
      <c r="AG261" s="1" t="str">
        <f>IFERROR(INDEX($AA$2:$AA$248,MATCH(ROWS($AF$2:AF261),$AF$2:$AF$248,0)),"")</f>
        <v/>
      </c>
    </row>
    <row r="262" spans="27:33" ht="15" customHeight="1" x14ac:dyDescent="0.25">
      <c r="AA262" s="1" t="s">
        <v>830</v>
      </c>
      <c r="AB262" s="1" t="s">
        <v>831</v>
      </c>
      <c r="AC262" s="1" t="s">
        <v>832</v>
      </c>
      <c r="AD262" s="1" t="s">
        <v>514</v>
      </c>
      <c r="AE262" s="1">
        <f t="shared" si="6"/>
        <v>1</v>
      </c>
      <c r="AF262" s="1">
        <f>IF(AE262=1,COUNTIF($AE$2:AE262,1),"")</f>
        <v>260</v>
      </c>
      <c r="AG262" s="1" t="str">
        <f>IFERROR(INDEX($AA$2:$AA$248,MATCH(ROWS($AF$2:AF262),$AF$2:$AF$248,0)),"")</f>
        <v/>
      </c>
    </row>
    <row r="263" spans="27:33" ht="15" customHeight="1" x14ac:dyDescent="0.25">
      <c r="AA263" s="1" t="s">
        <v>99</v>
      </c>
      <c r="AB263" s="1" t="s">
        <v>402</v>
      </c>
      <c r="AC263" s="1" t="s">
        <v>403</v>
      </c>
      <c r="AD263" s="1" t="s">
        <v>360</v>
      </c>
      <c r="AE263" s="1">
        <f t="shared" si="6"/>
        <v>1</v>
      </c>
      <c r="AF263" s="1">
        <f>IF(AE263=1,COUNTIF($AE$2:AE263,1),"")</f>
        <v>261</v>
      </c>
      <c r="AG263" s="1" t="str">
        <f>IFERROR(INDEX($AA$2:$AA$248,MATCH(ROWS($AF$2:AF263),$AF$2:$AF$248,0)),"")</f>
        <v/>
      </c>
    </row>
    <row r="264" spans="27:33" ht="15" customHeight="1" x14ac:dyDescent="0.25">
      <c r="AA264" s="1" t="s">
        <v>658</v>
      </c>
      <c r="AB264" s="1" t="s">
        <v>659</v>
      </c>
      <c r="AC264" s="1" t="s">
        <v>660</v>
      </c>
      <c r="AD264" s="1" t="s">
        <v>514</v>
      </c>
      <c r="AE264" s="1">
        <f t="shared" si="6"/>
        <v>1</v>
      </c>
      <c r="AF264" s="1">
        <f>IF(AE264=1,COUNTIF($AE$2:AE264,1),"")</f>
        <v>262</v>
      </c>
      <c r="AG264" s="1" t="str">
        <f>IFERROR(INDEX($AA$2:$AA$248,MATCH(ROWS($AF$2:AF264),$AF$2:$AF$248,0)),"")</f>
        <v/>
      </c>
    </row>
    <row r="265" spans="27:33" ht="15" customHeight="1" x14ac:dyDescent="0.25">
      <c r="AA265" s="1" t="s">
        <v>44</v>
      </c>
      <c r="AB265" s="1" t="s">
        <v>282</v>
      </c>
      <c r="AC265" s="1" t="s">
        <v>283</v>
      </c>
      <c r="AD265" s="1" t="s">
        <v>192</v>
      </c>
      <c r="AE265" s="1">
        <f t="shared" si="6"/>
        <v>1</v>
      </c>
      <c r="AF265" s="1">
        <f>IF(AE265=1,COUNTIF($AE$2:AE265,1),"")</f>
        <v>263</v>
      </c>
      <c r="AG265" s="1" t="str">
        <f>IFERROR(INDEX($AA$2:$AA$248,MATCH(ROWS($AF$2:AF265),$AF$2:$AF$248,0)),"")</f>
        <v/>
      </c>
    </row>
    <row r="266" spans="27:33" ht="15" customHeight="1" x14ac:dyDescent="0.25">
      <c r="AA266" s="1" t="s">
        <v>45</v>
      </c>
      <c r="AB266" s="1" t="s">
        <v>284</v>
      </c>
      <c r="AC266" s="1" t="s">
        <v>285</v>
      </c>
      <c r="AD266" s="1" t="s">
        <v>192</v>
      </c>
      <c r="AE266" s="1">
        <f t="shared" si="6"/>
        <v>1</v>
      </c>
      <c r="AF266" s="1">
        <f>IF(AE266=1,COUNTIF($AE$2:AE266,1),"")</f>
        <v>264</v>
      </c>
      <c r="AG266" s="1" t="str">
        <f>IFERROR(INDEX($AA$2:$AA$248,MATCH(ROWS($AF$2:AF266),$AF$2:$AF$248,0)),"")</f>
        <v/>
      </c>
    </row>
    <row r="267" spans="27:33" ht="15" customHeight="1" x14ac:dyDescent="0.25">
      <c r="AA267" s="1" t="s">
        <v>833</v>
      </c>
      <c r="AB267" s="1" t="s">
        <v>834</v>
      </c>
      <c r="AC267" s="1" t="s">
        <v>835</v>
      </c>
      <c r="AD267" s="1" t="s">
        <v>514</v>
      </c>
      <c r="AE267" s="1">
        <f t="shared" si="6"/>
        <v>1</v>
      </c>
      <c r="AF267" s="1">
        <f>IF(AE267=1,COUNTIF($AE$2:AE267,1),"")</f>
        <v>265</v>
      </c>
      <c r="AG267" s="1" t="str">
        <f>IFERROR(INDEX($AA$2:$AA$248,MATCH(ROWS($AF$2:AF267),$AF$2:$AF$248,0)),"")</f>
        <v/>
      </c>
    </row>
  </sheetData>
  <sheetProtection algorithmName="SHA-512" hashValue="dCM24WmMuJ8JF7lGOOo+yWY2vLPPCiT+V5uxRFk+WV5YV5J70reUwxxtj6UgTxEHwfreknpDfPbQaXi27t1s5Q==" saltValue="nRmLBxY/rkv08todz4Knww==" spinCount="100000" sheet="1" objects="1" scenarios="1" selectLockedCells="1"/>
  <mergeCells count="13">
    <mergeCell ref="G13:I13"/>
    <mergeCell ref="G14:I14"/>
    <mergeCell ref="G8:I8"/>
    <mergeCell ref="G9:I9"/>
    <mergeCell ref="G10:I10"/>
    <mergeCell ref="G11:I11"/>
    <mergeCell ref="G12:I12"/>
    <mergeCell ref="A2:J2"/>
    <mergeCell ref="B1:L1"/>
    <mergeCell ref="G6:I7"/>
    <mergeCell ref="D6:F6"/>
    <mergeCell ref="B6:B7"/>
    <mergeCell ref="C6:C7"/>
  </mergeCells>
  <conditionalFormatting sqref="D8:F14">
    <cfRule type="expression" dxfId="7" priority="1">
      <formula>COUNTIF($D8:$F8,"☒")&gt;1</formula>
    </cfRule>
  </conditionalFormatting>
  <dataValidations count="1">
    <dataValidation type="list" allowBlank="1" showInputMessage="1" showErrorMessage="1" sqref="I4" xr:uid="{A7A196F9-DABF-4B9B-9E1E-CE3685CD54CA}">
      <formula1>$W$18:$W$37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32EF6C4-139C-4F57-B621-3F1601FD66DF}">
          <x14:formula1>
            <xm:f>Validation!$A$3:$A$1024</xm:f>
          </x14:formula1>
          <xm:sqref>C4</xm:sqref>
        </x14:dataValidation>
        <x14:dataValidation type="list" allowBlank="1" showInputMessage="1" showErrorMessage="1" xr:uid="{AC3027EB-598A-47F1-B6AA-9CE4BA99E94A}">
          <x14:formula1>
            <xm:f>Validation!$D$3:$D$4</xm:f>
          </x14:formula1>
          <xm:sqref>D8:F14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16"/>
  <sheetViews>
    <sheetView zoomScaleNormal="100" workbookViewId="0">
      <selection activeCell="D8" sqref="D8"/>
    </sheetView>
  </sheetViews>
  <sheetFormatPr defaultColWidth="9.140625" defaultRowHeight="15" customHeight="1" x14ac:dyDescent="0.25"/>
  <cols>
    <col min="1" max="1" width="8.5703125" style="1" customWidth="1"/>
    <col min="2" max="2" width="15" style="1" customWidth="1"/>
    <col min="3" max="3" width="41.5703125" style="1" customWidth="1"/>
    <col min="4" max="6" width="11.7109375" style="1" customWidth="1"/>
    <col min="7" max="7" width="30.7109375" style="1" customWidth="1"/>
    <col min="8" max="10" width="11.7109375" style="1" customWidth="1"/>
    <col min="11" max="11" width="30.7109375" style="1" customWidth="1"/>
    <col min="12" max="14" width="11.7109375" style="1" customWidth="1"/>
    <col min="15" max="15" width="30.7109375" style="1" customWidth="1"/>
    <col min="16" max="18" width="11.7109375" style="1" customWidth="1"/>
    <col min="19" max="19" width="30.7109375" style="1" customWidth="1"/>
    <col min="20" max="22" width="11.7109375" style="1" customWidth="1"/>
    <col min="23" max="23" width="30.7109375" style="1" customWidth="1"/>
    <col min="24" max="26" width="11.7109375" style="1" customWidth="1"/>
    <col min="27" max="27" width="30.7109375" style="1" customWidth="1"/>
    <col min="28" max="31" width="9.140625" style="1" customWidth="1"/>
    <col min="32" max="33" width="9.140625" style="1"/>
    <col min="34" max="34" width="9.140625" style="1" customWidth="1"/>
    <col min="35" max="16384" width="9.140625" style="1"/>
  </cols>
  <sheetData>
    <row r="1" spans="1:34" ht="30" customHeight="1" x14ac:dyDescent="0.25">
      <c r="A1" s="37" t="s">
        <v>756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34" ht="30" customHeight="1" x14ac:dyDescent="0.25">
      <c r="A2" s="37" t="s">
        <v>742</v>
      </c>
      <c r="B2" s="37"/>
      <c r="C2" s="37"/>
      <c r="D2" s="37"/>
      <c r="E2" s="37"/>
      <c r="F2" s="37"/>
      <c r="G2" s="37"/>
      <c r="H2" s="37"/>
      <c r="I2" s="37"/>
      <c r="J2" s="37"/>
      <c r="K2" s="37"/>
      <c r="AH2" s="29"/>
    </row>
    <row r="3" spans="1:34" ht="15" customHeight="1" x14ac:dyDescent="0.25">
      <c r="B3" s="16"/>
      <c r="C3" s="16"/>
      <c r="D3" s="16"/>
      <c r="E3" s="16"/>
      <c r="F3" s="16"/>
      <c r="G3" s="17"/>
      <c r="H3" s="17"/>
      <c r="I3" s="17"/>
      <c r="J3" s="17"/>
      <c r="K3" s="17"/>
    </row>
    <row r="4" spans="1:34" ht="15" customHeight="1" x14ac:dyDescent="0.25">
      <c r="B4" s="33" t="s">
        <v>1</v>
      </c>
      <c r="C4" s="19">
        <f>Regulation!C4</f>
        <v>0</v>
      </c>
      <c r="G4" s="34" t="s">
        <v>0</v>
      </c>
      <c r="H4" s="35" t="str">
        <f>Regulation!F4</f>
        <v/>
      </c>
      <c r="K4" s="33" t="s">
        <v>2</v>
      </c>
      <c r="L4" s="35">
        <f>Regulation!I4</f>
        <v>0</v>
      </c>
    </row>
    <row r="5" spans="1:34" ht="15" customHeight="1" x14ac:dyDescent="0.25">
      <c r="B5" s="17"/>
      <c r="C5" s="17"/>
      <c r="D5" s="18"/>
      <c r="E5" s="18"/>
      <c r="F5" s="18"/>
      <c r="G5" s="18"/>
      <c r="H5" s="18"/>
      <c r="I5" s="18"/>
      <c r="J5" s="18"/>
      <c r="K5" s="18"/>
    </row>
    <row r="6" spans="1:34" ht="77.25" customHeight="1" x14ac:dyDescent="0.25">
      <c r="B6" s="39" t="s">
        <v>4</v>
      </c>
      <c r="C6" s="39" t="s">
        <v>751</v>
      </c>
      <c r="D6" s="38" t="s">
        <v>758</v>
      </c>
      <c r="E6" s="38"/>
      <c r="F6" s="38"/>
      <c r="G6" s="38"/>
      <c r="H6" s="38" t="s">
        <v>757</v>
      </c>
      <c r="I6" s="38"/>
      <c r="J6" s="38"/>
      <c r="K6" s="38"/>
      <c r="L6" s="38" t="s">
        <v>759</v>
      </c>
      <c r="M6" s="38"/>
      <c r="N6" s="38"/>
      <c r="O6" s="38"/>
      <c r="P6" s="38" t="s">
        <v>760</v>
      </c>
      <c r="Q6" s="38"/>
      <c r="R6" s="38"/>
      <c r="S6" s="38"/>
      <c r="T6" s="38" t="s">
        <v>761</v>
      </c>
      <c r="U6" s="38"/>
      <c r="V6" s="38"/>
      <c r="W6" s="38"/>
      <c r="X6" s="38" t="s">
        <v>762</v>
      </c>
      <c r="Y6" s="38"/>
      <c r="Z6" s="38"/>
      <c r="AA6" s="38"/>
    </row>
    <row r="7" spans="1:34" s="36" customFormat="1" ht="35.1" customHeight="1" x14ac:dyDescent="0.25">
      <c r="B7" s="39"/>
      <c r="C7" s="39"/>
      <c r="D7" s="14" t="s">
        <v>845</v>
      </c>
      <c r="E7" s="14" t="s">
        <v>862</v>
      </c>
      <c r="F7" s="14" t="s">
        <v>842</v>
      </c>
      <c r="G7" s="14" t="s">
        <v>750</v>
      </c>
      <c r="H7" s="14" t="s">
        <v>845</v>
      </c>
      <c r="I7" s="6" t="s">
        <v>862</v>
      </c>
      <c r="J7" s="6" t="s">
        <v>842</v>
      </c>
      <c r="K7" s="6" t="s">
        <v>750</v>
      </c>
      <c r="L7" s="14" t="s">
        <v>845</v>
      </c>
      <c r="M7" s="14" t="s">
        <v>862</v>
      </c>
      <c r="N7" s="14" t="s">
        <v>842</v>
      </c>
      <c r="O7" s="14" t="s">
        <v>750</v>
      </c>
      <c r="P7" s="14" t="s">
        <v>845</v>
      </c>
      <c r="Q7" s="14" t="s">
        <v>862</v>
      </c>
      <c r="R7" s="14" t="s">
        <v>842</v>
      </c>
      <c r="S7" s="14" t="s">
        <v>750</v>
      </c>
      <c r="T7" s="14" t="s">
        <v>845</v>
      </c>
      <c r="U7" s="14" t="s">
        <v>862</v>
      </c>
      <c r="V7" s="14" t="s">
        <v>842</v>
      </c>
      <c r="W7" s="14" t="s">
        <v>750</v>
      </c>
      <c r="X7" s="14" t="s">
        <v>845</v>
      </c>
      <c r="Y7" s="14" t="s">
        <v>862</v>
      </c>
      <c r="Z7" s="14" t="s">
        <v>842</v>
      </c>
      <c r="AA7" s="14" t="s">
        <v>750</v>
      </c>
    </row>
    <row r="8" spans="1:34" ht="30" customHeight="1" x14ac:dyDescent="0.25">
      <c r="B8" s="7">
        <v>1</v>
      </c>
      <c r="C8" s="8" t="s">
        <v>3</v>
      </c>
      <c r="D8" s="28" t="s">
        <v>1190</v>
      </c>
      <c r="E8" s="28" t="s">
        <v>1190</v>
      </c>
      <c r="F8" s="28" t="s">
        <v>1190</v>
      </c>
      <c r="G8" s="22"/>
      <c r="H8" s="28" t="s">
        <v>1190</v>
      </c>
      <c r="I8" s="28" t="s">
        <v>1190</v>
      </c>
      <c r="J8" s="28" t="s">
        <v>1190</v>
      </c>
      <c r="K8" s="22"/>
      <c r="L8" s="28" t="s">
        <v>1190</v>
      </c>
      <c r="M8" s="28" t="s">
        <v>1190</v>
      </c>
      <c r="N8" s="28" t="s">
        <v>1190</v>
      </c>
      <c r="O8" s="22"/>
      <c r="P8" s="28" t="s">
        <v>1190</v>
      </c>
      <c r="Q8" s="28" t="s">
        <v>1190</v>
      </c>
      <c r="R8" s="28" t="s">
        <v>1190</v>
      </c>
      <c r="S8" s="22"/>
      <c r="T8" s="28" t="s">
        <v>1190</v>
      </c>
      <c r="U8" s="28" t="s">
        <v>1190</v>
      </c>
      <c r="V8" s="28" t="s">
        <v>1190</v>
      </c>
      <c r="W8" s="22"/>
      <c r="X8" s="28" t="s">
        <v>1190</v>
      </c>
      <c r="Y8" s="28" t="s">
        <v>1190</v>
      </c>
      <c r="Z8" s="28" t="s">
        <v>1190</v>
      </c>
      <c r="AA8" s="22"/>
    </row>
    <row r="9" spans="1:34" ht="30" customHeight="1" x14ac:dyDescent="0.25">
      <c r="B9" s="7">
        <v>1.1000000000000001</v>
      </c>
      <c r="C9" s="8" t="s">
        <v>749</v>
      </c>
      <c r="D9" s="28" t="s">
        <v>1190</v>
      </c>
      <c r="E9" s="28" t="s">
        <v>1190</v>
      </c>
      <c r="F9" s="28" t="s">
        <v>1190</v>
      </c>
      <c r="G9" s="22"/>
      <c r="H9" s="28" t="s">
        <v>1190</v>
      </c>
      <c r="I9" s="28" t="s">
        <v>1190</v>
      </c>
      <c r="J9" s="28" t="s">
        <v>1190</v>
      </c>
      <c r="K9" s="22"/>
      <c r="L9" s="28" t="s">
        <v>1190</v>
      </c>
      <c r="M9" s="28" t="s">
        <v>1190</v>
      </c>
      <c r="N9" s="28" t="s">
        <v>1190</v>
      </c>
      <c r="O9" s="22"/>
      <c r="P9" s="28" t="s">
        <v>1190</v>
      </c>
      <c r="Q9" s="28" t="s">
        <v>1190</v>
      </c>
      <c r="R9" s="28" t="s">
        <v>1190</v>
      </c>
      <c r="S9" s="22"/>
      <c r="T9" s="28" t="s">
        <v>1190</v>
      </c>
      <c r="U9" s="28" t="s">
        <v>1190</v>
      </c>
      <c r="V9" s="28" t="s">
        <v>1190</v>
      </c>
      <c r="W9" s="22"/>
      <c r="X9" s="28" t="s">
        <v>1190</v>
      </c>
      <c r="Y9" s="28" t="s">
        <v>1190</v>
      </c>
      <c r="Z9" s="28" t="s">
        <v>1190</v>
      </c>
      <c r="AA9" s="22"/>
    </row>
    <row r="10" spans="1:34" ht="30" customHeight="1" x14ac:dyDescent="0.25">
      <c r="B10" s="7">
        <v>1.2</v>
      </c>
      <c r="C10" s="8" t="s">
        <v>743</v>
      </c>
      <c r="D10" s="28" t="s">
        <v>1190</v>
      </c>
      <c r="E10" s="28" t="s">
        <v>1190</v>
      </c>
      <c r="F10" s="28" t="s">
        <v>1190</v>
      </c>
      <c r="G10" s="22"/>
      <c r="H10" s="28" t="s">
        <v>1190</v>
      </c>
      <c r="I10" s="28" t="s">
        <v>1190</v>
      </c>
      <c r="J10" s="28" t="s">
        <v>1190</v>
      </c>
      <c r="K10" s="22"/>
      <c r="L10" s="28" t="s">
        <v>1190</v>
      </c>
      <c r="M10" s="28" t="s">
        <v>1190</v>
      </c>
      <c r="N10" s="28" t="s">
        <v>1190</v>
      </c>
      <c r="O10" s="22"/>
      <c r="P10" s="28" t="s">
        <v>1190</v>
      </c>
      <c r="Q10" s="28" t="s">
        <v>1190</v>
      </c>
      <c r="R10" s="28" t="s">
        <v>1190</v>
      </c>
      <c r="S10" s="22"/>
      <c r="T10" s="28" t="s">
        <v>1190</v>
      </c>
      <c r="U10" s="28" t="s">
        <v>1190</v>
      </c>
      <c r="V10" s="28" t="s">
        <v>1190</v>
      </c>
      <c r="W10" s="22"/>
      <c r="X10" s="28" t="s">
        <v>1190</v>
      </c>
      <c r="Y10" s="28" t="s">
        <v>1190</v>
      </c>
      <c r="Z10" s="28" t="s">
        <v>1190</v>
      </c>
      <c r="AA10" s="22"/>
    </row>
    <row r="11" spans="1:34" ht="30" customHeight="1" x14ac:dyDescent="0.25">
      <c r="B11" s="7">
        <v>2</v>
      </c>
      <c r="C11" s="8" t="s">
        <v>744</v>
      </c>
      <c r="D11" s="28" t="s">
        <v>1190</v>
      </c>
      <c r="E11" s="28" t="s">
        <v>1190</v>
      </c>
      <c r="F11" s="28" t="s">
        <v>1190</v>
      </c>
      <c r="G11" s="22"/>
      <c r="H11" s="28" t="s">
        <v>1190</v>
      </c>
      <c r="I11" s="28" t="s">
        <v>1190</v>
      </c>
      <c r="J11" s="28" t="s">
        <v>1190</v>
      </c>
      <c r="K11" s="22"/>
      <c r="L11" s="28" t="s">
        <v>1190</v>
      </c>
      <c r="M11" s="28" t="s">
        <v>1190</v>
      </c>
      <c r="N11" s="28" t="s">
        <v>1190</v>
      </c>
      <c r="O11" s="22"/>
      <c r="P11" s="28" t="s">
        <v>1190</v>
      </c>
      <c r="Q11" s="28" t="s">
        <v>1190</v>
      </c>
      <c r="R11" s="28" t="s">
        <v>1190</v>
      </c>
      <c r="S11" s="22"/>
      <c r="T11" s="28" t="s">
        <v>1190</v>
      </c>
      <c r="U11" s="28" t="s">
        <v>1190</v>
      </c>
      <c r="V11" s="28" t="s">
        <v>1190</v>
      </c>
      <c r="W11" s="22"/>
      <c r="X11" s="28" t="s">
        <v>1190</v>
      </c>
      <c r="Y11" s="28" t="s">
        <v>1190</v>
      </c>
      <c r="Z11" s="28" t="s">
        <v>1190</v>
      </c>
      <c r="AA11" s="22"/>
    </row>
    <row r="12" spans="1:34" ht="30" customHeight="1" x14ac:dyDescent="0.25">
      <c r="B12" s="7">
        <v>3</v>
      </c>
      <c r="C12" s="8" t="s">
        <v>745</v>
      </c>
      <c r="D12" s="28" t="s">
        <v>1190</v>
      </c>
      <c r="E12" s="28" t="s">
        <v>1190</v>
      </c>
      <c r="F12" s="28" t="s">
        <v>1190</v>
      </c>
      <c r="G12" s="22"/>
      <c r="H12" s="28" t="s">
        <v>1190</v>
      </c>
      <c r="I12" s="28" t="s">
        <v>1190</v>
      </c>
      <c r="J12" s="28" t="s">
        <v>1190</v>
      </c>
      <c r="K12" s="22"/>
      <c r="L12" s="28" t="s">
        <v>1190</v>
      </c>
      <c r="M12" s="28" t="s">
        <v>1190</v>
      </c>
      <c r="N12" s="28" t="s">
        <v>1190</v>
      </c>
      <c r="O12" s="22"/>
      <c r="P12" s="28" t="s">
        <v>1190</v>
      </c>
      <c r="Q12" s="28" t="s">
        <v>1190</v>
      </c>
      <c r="R12" s="28" t="s">
        <v>1190</v>
      </c>
      <c r="S12" s="22"/>
      <c r="T12" s="28" t="s">
        <v>1190</v>
      </c>
      <c r="U12" s="28" t="s">
        <v>1190</v>
      </c>
      <c r="V12" s="28" t="s">
        <v>1190</v>
      </c>
      <c r="W12" s="22"/>
      <c r="X12" s="28" t="s">
        <v>1190</v>
      </c>
      <c r="Y12" s="28" t="s">
        <v>1190</v>
      </c>
      <c r="Z12" s="28" t="s">
        <v>1190</v>
      </c>
      <c r="AA12" s="22"/>
    </row>
    <row r="13" spans="1:34" ht="30" customHeight="1" x14ac:dyDescent="0.25">
      <c r="B13" s="7">
        <v>4</v>
      </c>
      <c r="C13" s="8" t="s">
        <v>746</v>
      </c>
      <c r="D13" s="28" t="s">
        <v>1190</v>
      </c>
      <c r="E13" s="28" t="s">
        <v>1190</v>
      </c>
      <c r="F13" s="28" t="s">
        <v>1190</v>
      </c>
      <c r="G13" s="22"/>
      <c r="H13" s="28" t="s">
        <v>1190</v>
      </c>
      <c r="I13" s="28" t="s">
        <v>1190</v>
      </c>
      <c r="J13" s="28" t="s">
        <v>1190</v>
      </c>
      <c r="K13" s="22"/>
      <c r="L13" s="28" t="s">
        <v>1190</v>
      </c>
      <c r="M13" s="28" t="s">
        <v>1190</v>
      </c>
      <c r="N13" s="28" t="s">
        <v>1190</v>
      </c>
      <c r="O13" s="22"/>
      <c r="P13" s="28" t="s">
        <v>1190</v>
      </c>
      <c r="Q13" s="28" t="s">
        <v>1190</v>
      </c>
      <c r="R13" s="28" t="s">
        <v>1190</v>
      </c>
      <c r="S13" s="22"/>
      <c r="T13" s="28" t="s">
        <v>1190</v>
      </c>
      <c r="U13" s="28" t="s">
        <v>1190</v>
      </c>
      <c r="V13" s="28" t="s">
        <v>1190</v>
      </c>
      <c r="W13" s="22"/>
      <c r="X13" s="28" t="s">
        <v>1190</v>
      </c>
      <c r="Y13" s="28" t="s">
        <v>1190</v>
      </c>
      <c r="Z13" s="28" t="s">
        <v>1190</v>
      </c>
      <c r="AA13" s="22"/>
    </row>
    <row r="14" spans="1:34" ht="30" customHeight="1" x14ac:dyDescent="0.25">
      <c r="B14" s="7">
        <v>5</v>
      </c>
      <c r="C14" s="8" t="s">
        <v>747</v>
      </c>
      <c r="D14" s="28" t="s">
        <v>1190</v>
      </c>
      <c r="E14" s="28" t="s">
        <v>1190</v>
      </c>
      <c r="F14" s="28" t="s">
        <v>1190</v>
      </c>
      <c r="G14" s="22"/>
      <c r="H14" s="28" t="s">
        <v>1190</v>
      </c>
      <c r="I14" s="28" t="s">
        <v>1190</v>
      </c>
      <c r="J14" s="28" t="s">
        <v>1190</v>
      </c>
      <c r="K14" s="22"/>
      <c r="L14" s="28" t="s">
        <v>1190</v>
      </c>
      <c r="M14" s="28" t="s">
        <v>1190</v>
      </c>
      <c r="N14" s="28" t="s">
        <v>1190</v>
      </c>
      <c r="O14" s="22"/>
      <c r="P14" s="28" t="s">
        <v>1190</v>
      </c>
      <c r="Q14" s="28" t="s">
        <v>1190</v>
      </c>
      <c r="R14" s="28" t="s">
        <v>1190</v>
      </c>
      <c r="S14" s="22"/>
      <c r="T14" s="28" t="s">
        <v>1190</v>
      </c>
      <c r="U14" s="28" t="s">
        <v>1190</v>
      </c>
      <c r="V14" s="28" t="s">
        <v>1190</v>
      </c>
      <c r="W14" s="22"/>
      <c r="X14" s="28" t="s">
        <v>1190</v>
      </c>
      <c r="Y14" s="28" t="s">
        <v>1190</v>
      </c>
      <c r="Z14" s="28" t="s">
        <v>1190</v>
      </c>
      <c r="AA14" s="22"/>
    </row>
    <row r="15" spans="1:34" ht="15" customHeight="1" x14ac:dyDescent="0.25">
      <c r="F15" s="5"/>
      <c r="G15" s="5"/>
      <c r="H15" s="5"/>
      <c r="I15" s="5"/>
      <c r="J15" s="5"/>
      <c r="K15" s="5"/>
    </row>
    <row r="16" spans="1:34" ht="15" customHeight="1" x14ac:dyDescent="0.25">
      <c r="F16" s="5"/>
      <c r="G16" s="5"/>
      <c r="H16" s="5"/>
      <c r="I16" s="5"/>
      <c r="J16" s="5"/>
      <c r="K16" s="5"/>
    </row>
  </sheetData>
  <sheetProtection algorithmName="SHA-512" hashValue="ueS0afdBAghWFa18VJ8IpAbbfGvjMPVxR6TD0ie0/zQoCiDls7KGy9syCZn3dvOg/TVFBnXW32mqyYk0X6siTA==" saltValue="PBeD7RfOLhyk5XXkW++xIA==" spinCount="100000" sheet="1" objects="1" scenarios="1" selectLockedCells="1"/>
  <mergeCells count="10">
    <mergeCell ref="X6:AA6"/>
    <mergeCell ref="D6:G6"/>
    <mergeCell ref="H6:K6"/>
    <mergeCell ref="L6:O6"/>
    <mergeCell ref="P6:S6"/>
    <mergeCell ref="A1:K1"/>
    <mergeCell ref="A2:K2"/>
    <mergeCell ref="B6:B7"/>
    <mergeCell ref="C6:C7"/>
    <mergeCell ref="T6:W6"/>
  </mergeCells>
  <conditionalFormatting sqref="D8:F14">
    <cfRule type="expression" dxfId="6" priority="6">
      <formula>COUNTIF($D8:$F8,"☒")&gt;1</formula>
    </cfRule>
  </conditionalFormatting>
  <conditionalFormatting sqref="H8:J14">
    <cfRule type="expression" dxfId="5" priority="5">
      <formula>COUNTIF($H8:$J8,"☒")&gt;1</formula>
    </cfRule>
  </conditionalFormatting>
  <conditionalFormatting sqref="L8:N14">
    <cfRule type="expression" dxfId="4" priority="4">
      <formula>COUNTIF($L8:$N8,"☒")&gt;1</formula>
    </cfRule>
  </conditionalFormatting>
  <conditionalFormatting sqref="P8:R14">
    <cfRule type="expression" priority="3">
      <formula>COUNTIF($P8:$R8,"☒")&gt;1</formula>
    </cfRule>
  </conditionalFormatting>
  <conditionalFormatting sqref="T8:V14">
    <cfRule type="expression" dxfId="3" priority="2">
      <formula>COUNTIF($T8:$V8,"☒")&gt;1</formula>
    </cfRule>
  </conditionalFormatting>
  <conditionalFormatting sqref="X8:Z14">
    <cfRule type="expression" dxfId="2" priority="1">
      <formula>COUNTIF($X8:$Z8,"☒")&gt;1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09C022-4D9E-479E-98E2-A64185FED080}">
          <x14:formula1>
            <xm:f>Validation!$D$3:$D$4</xm:f>
          </x14:formula1>
          <xm:sqref>X8:Z14 T8:V14 P8:R14 L8:N14 H8:J14 D8:F14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6"/>
  <sheetViews>
    <sheetView zoomScaleNormal="100" workbookViewId="0">
      <selection activeCell="D8" sqref="D8"/>
    </sheetView>
  </sheetViews>
  <sheetFormatPr defaultColWidth="9.140625" defaultRowHeight="15" customHeight="1" x14ac:dyDescent="0.25"/>
  <cols>
    <col min="1" max="1" width="8.5703125" style="1" customWidth="1"/>
    <col min="2" max="2" width="15" style="1" customWidth="1"/>
    <col min="3" max="3" width="41.5703125" style="1" customWidth="1"/>
    <col min="4" max="6" width="11.7109375" style="1" customWidth="1"/>
    <col min="7" max="7" width="30.7109375" style="1" customWidth="1"/>
    <col min="8" max="10" width="11.7109375" style="1" customWidth="1"/>
    <col min="11" max="11" width="30.7109375" style="1" customWidth="1"/>
    <col min="12" max="12" width="12.7109375" style="1" customWidth="1"/>
    <col min="13" max="16" width="9.140625" style="1" customWidth="1"/>
    <col min="17" max="18" width="9.140625" style="1"/>
    <col min="19" max="19" width="0" style="1" hidden="1" customWidth="1"/>
    <col min="20" max="16384" width="9.140625" style="1"/>
  </cols>
  <sheetData>
    <row r="1" spans="1:19" ht="30" customHeight="1" x14ac:dyDescent="0.25">
      <c r="A1" s="37" t="s">
        <v>756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9" ht="30" customHeight="1" x14ac:dyDescent="0.25">
      <c r="A2" s="37" t="s">
        <v>742</v>
      </c>
      <c r="B2" s="37"/>
      <c r="C2" s="37"/>
      <c r="D2" s="37"/>
      <c r="E2" s="37"/>
      <c r="F2" s="37"/>
      <c r="G2" s="37"/>
      <c r="H2" s="37"/>
      <c r="I2" s="37"/>
      <c r="J2" s="37"/>
      <c r="K2" s="37"/>
      <c r="S2" s="29">
        <f>Regulation!X2</f>
        <v>0</v>
      </c>
    </row>
    <row r="3" spans="1:19" ht="1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9" ht="15" customHeight="1" x14ac:dyDescent="0.25">
      <c r="B4" s="30" t="s">
        <v>1</v>
      </c>
      <c r="C4" s="19">
        <f>Regulation!C4</f>
        <v>0</v>
      </c>
      <c r="G4" s="31" t="s">
        <v>0</v>
      </c>
      <c r="L4" s="30" t="s">
        <v>2</v>
      </c>
      <c r="M4" s="32">
        <f>Regulation!I4</f>
        <v>0</v>
      </c>
    </row>
    <row r="5" spans="1:19" ht="15" customHeight="1" x14ac:dyDescent="0.25">
      <c r="B5" s="17"/>
      <c r="C5" s="17"/>
      <c r="D5" s="18"/>
      <c r="E5" s="18"/>
      <c r="F5" s="18"/>
      <c r="G5" s="18"/>
      <c r="H5" s="18"/>
      <c r="I5" s="18"/>
      <c r="J5" s="18"/>
      <c r="K5" s="18"/>
    </row>
    <row r="6" spans="1:19" ht="59.25" customHeight="1" x14ac:dyDescent="0.25">
      <c r="B6" s="39" t="s">
        <v>4</v>
      </c>
      <c r="C6" s="39" t="s">
        <v>753</v>
      </c>
      <c r="D6" s="38" t="s">
        <v>763</v>
      </c>
      <c r="E6" s="38"/>
      <c r="F6" s="38"/>
      <c r="G6" s="38"/>
      <c r="H6" s="38" t="s">
        <v>764</v>
      </c>
      <c r="I6" s="38"/>
      <c r="J6" s="38"/>
      <c r="K6" s="38"/>
    </row>
    <row r="7" spans="1:19" ht="35.1" customHeight="1" x14ac:dyDescent="0.25">
      <c r="B7" s="39"/>
      <c r="C7" s="39"/>
      <c r="D7" s="6" t="s">
        <v>845</v>
      </c>
      <c r="E7" s="6" t="s">
        <v>862</v>
      </c>
      <c r="F7" s="6" t="s">
        <v>842</v>
      </c>
      <c r="G7" s="6" t="s">
        <v>750</v>
      </c>
      <c r="H7" s="6" t="s">
        <v>845</v>
      </c>
      <c r="I7" s="6" t="s">
        <v>862</v>
      </c>
      <c r="J7" s="6" t="s">
        <v>842</v>
      </c>
      <c r="K7" s="6" t="s">
        <v>750</v>
      </c>
    </row>
    <row r="8" spans="1:19" ht="30" customHeight="1" x14ac:dyDescent="0.25">
      <c r="B8" s="7">
        <v>1</v>
      </c>
      <c r="C8" s="8" t="s">
        <v>3</v>
      </c>
      <c r="D8" s="28" t="s">
        <v>1190</v>
      </c>
      <c r="E8" s="28" t="s">
        <v>1190</v>
      </c>
      <c r="F8" s="28" t="s">
        <v>1190</v>
      </c>
      <c r="G8" s="22"/>
      <c r="H8" s="28" t="s">
        <v>1190</v>
      </c>
      <c r="I8" s="28" t="s">
        <v>1190</v>
      </c>
      <c r="J8" s="28" t="s">
        <v>1190</v>
      </c>
      <c r="K8" s="22"/>
    </row>
    <row r="9" spans="1:19" ht="30" customHeight="1" x14ac:dyDescent="0.25">
      <c r="B9" s="7">
        <v>1.1000000000000001</v>
      </c>
      <c r="C9" s="8" t="s">
        <v>749</v>
      </c>
      <c r="D9" s="28" t="s">
        <v>1190</v>
      </c>
      <c r="E9" s="28" t="s">
        <v>1190</v>
      </c>
      <c r="F9" s="28" t="s">
        <v>1190</v>
      </c>
      <c r="G9" s="22"/>
      <c r="H9" s="28" t="s">
        <v>1190</v>
      </c>
      <c r="I9" s="28" t="s">
        <v>1190</v>
      </c>
      <c r="J9" s="28" t="s">
        <v>1190</v>
      </c>
      <c r="K9" s="22"/>
    </row>
    <row r="10" spans="1:19" ht="30" customHeight="1" x14ac:dyDescent="0.25">
      <c r="B10" s="7">
        <v>1.2</v>
      </c>
      <c r="C10" s="8" t="s">
        <v>743</v>
      </c>
      <c r="D10" s="28" t="s">
        <v>1190</v>
      </c>
      <c r="E10" s="28" t="s">
        <v>1190</v>
      </c>
      <c r="F10" s="28" t="s">
        <v>1190</v>
      </c>
      <c r="G10" s="22"/>
      <c r="H10" s="28" t="s">
        <v>1190</v>
      </c>
      <c r="I10" s="28" t="s">
        <v>1190</v>
      </c>
      <c r="J10" s="28" t="s">
        <v>1190</v>
      </c>
      <c r="K10" s="22"/>
    </row>
    <row r="11" spans="1:19" ht="30" customHeight="1" x14ac:dyDescent="0.25">
      <c r="B11" s="7">
        <v>2</v>
      </c>
      <c r="C11" s="8" t="s">
        <v>744</v>
      </c>
      <c r="D11" s="28" t="s">
        <v>1190</v>
      </c>
      <c r="E11" s="28" t="s">
        <v>1190</v>
      </c>
      <c r="F11" s="28" t="s">
        <v>1190</v>
      </c>
      <c r="G11" s="22"/>
      <c r="H11" s="28" t="s">
        <v>1190</v>
      </c>
      <c r="I11" s="28" t="s">
        <v>1190</v>
      </c>
      <c r="J11" s="28" t="s">
        <v>1190</v>
      </c>
      <c r="K11" s="22"/>
    </row>
    <row r="12" spans="1:19" ht="30" customHeight="1" x14ac:dyDescent="0.25">
      <c r="B12" s="7">
        <v>3</v>
      </c>
      <c r="C12" s="8" t="s">
        <v>745</v>
      </c>
      <c r="D12" s="28" t="s">
        <v>1190</v>
      </c>
      <c r="E12" s="28" t="s">
        <v>1190</v>
      </c>
      <c r="F12" s="28" t="s">
        <v>1190</v>
      </c>
      <c r="G12" s="22"/>
      <c r="H12" s="28" t="s">
        <v>1190</v>
      </c>
      <c r="I12" s="28" t="s">
        <v>1190</v>
      </c>
      <c r="J12" s="28" t="s">
        <v>1190</v>
      </c>
      <c r="K12" s="22"/>
    </row>
    <row r="13" spans="1:19" ht="30" customHeight="1" x14ac:dyDescent="0.25">
      <c r="B13" s="7">
        <v>4</v>
      </c>
      <c r="C13" s="8" t="s">
        <v>746</v>
      </c>
      <c r="D13" s="28" t="s">
        <v>1190</v>
      </c>
      <c r="E13" s="28" t="s">
        <v>1190</v>
      </c>
      <c r="F13" s="28" t="s">
        <v>1190</v>
      </c>
      <c r="G13" s="22"/>
      <c r="H13" s="28" t="s">
        <v>1190</v>
      </c>
      <c r="I13" s="28" t="s">
        <v>1190</v>
      </c>
      <c r="J13" s="28" t="s">
        <v>1190</v>
      </c>
      <c r="K13" s="22"/>
    </row>
    <row r="14" spans="1:19" ht="30" customHeight="1" x14ac:dyDescent="0.25">
      <c r="B14" s="7">
        <v>5</v>
      </c>
      <c r="C14" s="8" t="s">
        <v>747</v>
      </c>
      <c r="D14" s="28" t="s">
        <v>1190</v>
      </c>
      <c r="E14" s="28" t="s">
        <v>1190</v>
      </c>
      <c r="F14" s="28" t="s">
        <v>1190</v>
      </c>
      <c r="G14" s="22"/>
      <c r="H14" s="28" t="s">
        <v>1190</v>
      </c>
      <c r="I14" s="28" t="s">
        <v>1190</v>
      </c>
      <c r="J14" s="28" t="s">
        <v>1190</v>
      </c>
      <c r="K14" s="22"/>
    </row>
    <row r="15" spans="1:19" ht="15" customHeight="1" x14ac:dyDescent="0.25">
      <c r="E15" s="5"/>
      <c r="F15" s="5"/>
      <c r="G15" s="5"/>
      <c r="H15" s="5"/>
      <c r="I15" s="5"/>
      <c r="J15" s="5"/>
      <c r="K15" s="5"/>
    </row>
    <row r="16" spans="1:19" ht="15" customHeight="1" x14ac:dyDescent="0.25">
      <c r="E16" s="5"/>
      <c r="F16" s="5"/>
      <c r="G16" s="5"/>
      <c r="H16" s="5"/>
      <c r="I16" s="5"/>
      <c r="J16" s="5"/>
      <c r="K16" s="5"/>
    </row>
  </sheetData>
  <sheetProtection algorithmName="SHA-512" hashValue="CeS+bBNVB5yxXE5zfUQ/BS0sCvu9Im51PVBiQ2ebefZ3VvRAMuPQJUPcwpitA5Bv5Ep9kfa5sqNWZrcqRbuDJQ==" saltValue="xvHaUXd2eQmpHQVIRTA5rQ==" spinCount="100000" sheet="1" objects="1" scenarios="1" selectLockedCells="1"/>
  <mergeCells count="6">
    <mergeCell ref="A1:K1"/>
    <mergeCell ref="A2:K2"/>
    <mergeCell ref="D6:G6"/>
    <mergeCell ref="H6:K6"/>
    <mergeCell ref="B6:B7"/>
    <mergeCell ref="C6:C7"/>
  </mergeCells>
  <conditionalFormatting sqref="D8:F14">
    <cfRule type="expression" dxfId="1" priority="2">
      <formula>COUNTIF($D8:$F8,"☒")&gt;1</formula>
    </cfRule>
  </conditionalFormatting>
  <conditionalFormatting sqref="H8:J14">
    <cfRule type="expression" dxfId="0" priority="1">
      <formula>COUNTIF($H8:$J8,"☒")&gt;1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E06FC8-56E2-4C64-A3B0-0B6F76C7D8EB}">
          <x14:formula1>
            <xm:f>Validation!$D$3:$D$4</xm:f>
          </x14:formula1>
          <xm:sqref>H8:J14 D8:F14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9341-5D0D-45D6-A66A-9BFC112FDEF2}">
  <dimension ref="A1:E267"/>
  <sheetViews>
    <sheetView zoomScaleNormal="100" workbookViewId="0">
      <pane ySplit="2" topLeftCell="A3" activePane="bottomLeft" state="frozen"/>
      <selection pane="bottomLeft" activeCell="D3" sqref="D3:D4"/>
    </sheetView>
  </sheetViews>
  <sheetFormatPr defaultColWidth="12.5703125" defaultRowHeight="15.75" x14ac:dyDescent="0.25"/>
  <cols>
    <col min="1" max="16384" width="12.5703125" style="24"/>
  </cols>
  <sheetData>
    <row r="1" spans="1:5" x14ac:dyDescent="0.25">
      <c r="A1" s="43" t="str">
        <f>_pZ3XRBi9gYE</f>
        <v>NHWA Module 3</v>
      </c>
      <c r="B1" s="43"/>
      <c r="C1" s="43"/>
      <c r="D1" s="43"/>
      <c r="E1" s="43"/>
    </row>
    <row r="2" spans="1:5" x14ac:dyDescent="0.25">
      <c r="A2" s="24" t="s">
        <v>841</v>
      </c>
      <c r="B2" s="24" t="s">
        <v>840</v>
      </c>
      <c r="C2" s="24" t="s">
        <v>839</v>
      </c>
      <c r="D2" s="24" t="s">
        <v>838</v>
      </c>
      <c r="E2" s="24" t="s">
        <v>837</v>
      </c>
    </row>
    <row r="3" spans="1:5" x14ac:dyDescent="0.25">
      <c r="A3" s="24" t="str">
        <f>_oofyLUJJ6Vy</f>
        <v>Afghanistan</v>
      </c>
      <c r="B3" s="24">
        <v>2019</v>
      </c>
      <c r="C3" s="24" t="str">
        <f>_Xr12mI7VPn3</f>
        <v>default</v>
      </c>
      <c r="D3" s="24" t="str">
        <f>_true</f>
        <v>☒</v>
      </c>
      <c r="E3" s="24" t="str">
        <f>_true</f>
        <v>☒</v>
      </c>
    </row>
    <row r="4" spans="1:5" x14ac:dyDescent="0.25">
      <c r="A4" s="24" t="str">
        <f>_VGOzFKfSazN</f>
        <v>Albania</v>
      </c>
      <c r="D4" s="24" t="str">
        <f>_false</f>
        <v>☐</v>
      </c>
    </row>
    <row r="5" spans="1:5" x14ac:dyDescent="0.25">
      <c r="A5" s="24" t="str">
        <f>_mNa42CHbkO7</f>
        <v>Algeria</v>
      </c>
    </row>
    <row r="6" spans="1:5" x14ac:dyDescent="0.25">
      <c r="A6" s="24" t="str">
        <f>_VYVKdqiXo4b</f>
        <v>American Samoa</v>
      </c>
    </row>
    <row r="7" spans="1:5" x14ac:dyDescent="0.25">
      <c r="A7" s="24" t="str">
        <f>_Rmy6DbwekE1</f>
        <v>Andorra</v>
      </c>
    </row>
    <row r="8" spans="1:5" x14ac:dyDescent="0.25">
      <c r="A8" s="24" t="str">
        <f>_jFOZHDZpjPL</f>
        <v>Angola</v>
      </c>
    </row>
    <row r="9" spans="1:5" x14ac:dyDescent="0.25">
      <c r="A9" s="24" t="str">
        <f>_f4ZFD2aswys</f>
        <v>Anguilla</v>
      </c>
    </row>
    <row r="10" spans="1:5" x14ac:dyDescent="0.25">
      <c r="A10" s="24" t="str">
        <f>_pfhvgmllA9M</f>
        <v>Antigua and Barbuda</v>
      </c>
    </row>
    <row r="11" spans="1:5" x14ac:dyDescent="0.25">
      <c r="A11" s="24" t="str">
        <f>_AZdPnw0b1lm</f>
        <v>Argentina</v>
      </c>
    </row>
    <row r="12" spans="1:5" x14ac:dyDescent="0.25">
      <c r="A12" s="24" t="str">
        <f>_cWrL45je7mw</f>
        <v>Armenia</v>
      </c>
    </row>
    <row r="13" spans="1:5" x14ac:dyDescent="0.25">
      <c r="A13" s="24" t="str">
        <f>_lKZR6UK0afN</f>
        <v>Aruba</v>
      </c>
    </row>
    <row r="14" spans="1:5" x14ac:dyDescent="0.25">
      <c r="A14" s="24" t="str">
        <f>_LbWpsX1FJcC</f>
        <v>Australia</v>
      </c>
    </row>
    <row r="15" spans="1:5" x14ac:dyDescent="0.25">
      <c r="A15" s="24" t="str">
        <f>_e9IoKRAkYLO</f>
        <v>Austria</v>
      </c>
    </row>
    <row r="16" spans="1:5" x14ac:dyDescent="0.25">
      <c r="A16" s="24" t="str">
        <f>_ST86paYjRHP</f>
        <v>Azerbaijan</v>
      </c>
    </row>
    <row r="17" spans="1:1" x14ac:dyDescent="0.25">
      <c r="A17" s="24" t="str">
        <f>_VbbSe7wgS9s</f>
        <v>Bahamas</v>
      </c>
    </row>
    <row r="18" spans="1:1" x14ac:dyDescent="0.25">
      <c r="A18" s="24" t="str">
        <f>_T7tKHiW1Db1</f>
        <v>Bahrain</v>
      </c>
    </row>
    <row r="19" spans="1:1" x14ac:dyDescent="0.25">
      <c r="A19" s="24" t="str">
        <f>_dNLjKwsVjod</f>
        <v>Bangladesh</v>
      </c>
    </row>
    <row r="20" spans="1:1" x14ac:dyDescent="0.25">
      <c r="A20" s="24" t="str">
        <f>_iNT35p3jsEM</f>
        <v>Barbados</v>
      </c>
    </row>
    <row r="21" spans="1:1" x14ac:dyDescent="0.25">
      <c r="A21" s="24" t="str">
        <f>_Tr4i6jeDDqj</f>
        <v>Belarus</v>
      </c>
    </row>
    <row r="22" spans="1:1" x14ac:dyDescent="0.25">
      <c r="A22" s="24" t="str">
        <f>_KwgjnBBpe5b</f>
        <v>Belgium</v>
      </c>
    </row>
    <row r="23" spans="1:1" x14ac:dyDescent="0.25">
      <c r="A23" s="24" t="str">
        <f>_Nrnay4JA8Ga</f>
        <v>Belize</v>
      </c>
    </row>
    <row r="24" spans="1:1" x14ac:dyDescent="0.25">
      <c r="A24" s="24" t="str">
        <f>_DzAOqCf0ots</f>
        <v>Benin</v>
      </c>
    </row>
    <row r="25" spans="1:1" x14ac:dyDescent="0.25">
      <c r="A25" s="24" t="str">
        <f>_ZzoDfdWIt6z</f>
        <v>Bermuda</v>
      </c>
    </row>
    <row r="26" spans="1:1" x14ac:dyDescent="0.25">
      <c r="A26" s="24" t="str">
        <f>_JQ5qF3mRCMe</f>
        <v>Bhutan</v>
      </c>
    </row>
    <row r="27" spans="1:1" x14ac:dyDescent="0.25">
      <c r="A27" s="24" t="str">
        <f>_cpmmPDsQ3uG</f>
        <v>Bolivia (Plurinational State of)</v>
      </c>
    </row>
    <row r="28" spans="1:1" x14ac:dyDescent="0.25">
      <c r="A28" s="24" t="str">
        <f>_wyKC2eWRH3y</f>
        <v>Bonaire, Saint Eustatius and Saba</v>
      </c>
    </row>
    <row r="29" spans="1:1" x14ac:dyDescent="0.25">
      <c r="A29" s="24" t="str">
        <f>_n8iofJiiX4T</f>
        <v>Bosnia and Herzegovina</v>
      </c>
    </row>
    <row r="30" spans="1:1" x14ac:dyDescent="0.25">
      <c r="A30" s="24" t="str">
        <f>_c82mDnhUQly</f>
        <v>Botswana</v>
      </c>
    </row>
    <row r="31" spans="1:1" x14ac:dyDescent="0.25">
      <c r="A31" s="24" t="str">
        <f>_sg5v6c9tCZ3</f>
        <v>Bouvet Island</v>
      </c>
    </row>
    <row r="32" spans="1:1" x14ac:dyDescent="0.25">
      <c r="A32" s="24" t="str">
        <f>_dpcvWc01CeN</f>
        <v>Brazil</v>
      </c>
    </row>
    <row r="33" spans="1:1" x14ac:dyDescent="0.25">
      <c r="A33" s="24" t="str">
        <f>_PFAtPR87fHs</f>
        <v>British Indian Ocean Territory</v>
      </c>
    </row>
    <row r="34" spans="1:1" x14ac:dyDescent="0.25">
      <c r="A34" s="24" t="str">
        <f>_u7H4MyT2Y0A</f>
        <v>British Virgin Islands</v>
      </c>
    </row>
    <row r="35" spans="1:1" x14ac:dyDescent="0.25">
      <c r="A35" s="24" t="str">
        <f>_MJEntShoQVK</f>
        <v>Brunei Darussalam</v>
      </c>
    </row>
    <row r="36" spans="1:1" x14ac:dyDescent="0.25">
      <c r="A36" s="24" t="str">
        <f>_AjeCGGb8H76</f>
        <v>Bulgaria</v>
      </c>
    </row>
    <row r="37" spans="1:1" x14ac:dyDescent="0.25">
      <c r="A37" s="24" t="str">
        <f>_hmZE3mVAZFf</f>
        <v>Burkina Faso</v>
      </c>
    </row>
    <row r="38" spans="1:1" x14ac:dyDescent="0.25">
      <c r="A38" s="24" t="str">
        <f>_Xz7rnovuiOx</f>
        <v>Burundi</v>
      </c>
    </row>
    <row r="39" spans="1:1" x14ac:dyDescent="0.25">
      <c r="A39" s="24" t="str">
        <f>_bGWaeVBrOcc</f>
        <v>Cabo Verde</v>
      </c>
    </row>
    <row r="40" spans="1:1" x14ac:dyDescent="0.25">
      <c r="A40" s="24" t="str">
        <f>_dscgTvwyCw8</f>
        <v>Cambodia</v>
      </c>
    </row>
    <row r="41" spans="1:1" x14ac:dyDescent="0.25">
      <c r="A41" s="24" t="str">
        <f>_VPesUmegQpP</f>
        <v>Cameroon</v>
      </c>
    </row>
    <row r="42" spans="1:1" x14ac:dyDescent="0.25">
      <c r="A42" s="24" t="str">
        <f>_AJBfDthkySs</f>
        <v>Canada</v>
      </c>
    </row>
    <row r="43" spans="1:1" x14ac:dyDescent="0.25">
      <c r="A43" s="24" t="str">
        <f>_u3GOCB1Hu01</f>
        <v>Cayman Islands</v>
      </c>
    </row>
    <row r="44" spans="1:1" x14ac:dyDescent="0.25">
      <c r="A44" s="24" t="str">
        <f>_ZcrjvJaYQb7</f>
        <v>Central African Republic</v>
      </c>
    </row>
    <row r="45" spans="1:1" x14ac:dyDescent="0.25">
      <c r="A45" s="24" t="str">
        <f>_tV0rWhHr9cj</f>
        <v>Chad</v>
      </c>
    </row>
    <row r="46" spans="1:1" x14ac:dyDescent="0.25">
      <c r="A46" s="24" t="str">
        <f>_zFInPJBZVbN</f>
        <v>Chile</v>
      </c>
    </row>
    <row r="47" spans="1:1" x14ac:dyDescent="0.25">
      <c r="A47" s="24" t="str">
        <f>_q23bFLr2E5D</f>
        <v>China</v>
      </c>
    </row>
    <row r="48" spans="1:1" x14ac:dyDescent="0.25">
      <c r="A48" s="24" t="str">
        <f>_myv7amOYTHn</f>
        <v>China, Hong Kong SAR</v>
      </c>
    </row>
    <row r="49" spans="1:1" x14ac:dyDescent="0.25">
      <c r="A49" s="24" t="str">
        <f>_y582ESg0Vjo</f>
        <v>China, Macao SAR</v>
      </c>
    </row>
    <row r="50" spans="1:1" x14ac:dyDescent="0.25">
      <c r="A50" s="24" t="str">
        <f>_lGN2n7pZ6Ua</f>
        <v>China, Province of Taiwan</v>
      </c>
    </row>
    <row r="51" spans="1:1" x14ac:dyDescent="0.25">
      <c r="A51" s="24" t="str">
        <f>_a0Tb0vzKk1m</f>
        <v>China: Province of Taiwan only</v>
      </c>
    </row>
    <row r="52" spans="1:1" x14ac:dyDescent="0.25">
      <c r="A52" s="24" t="str">
        <f>_XjHXb0aFH5w</f>
        <v>Christmas Island</v>
      </c>
    </row>
    <row r="53" spans="1:1" x14ac:dyDescent="0.25">
      <c r="A53" s="24" t="str">
        <f>_AFIorEPU00q</f>
        <v>Cocos (Keeling) Islands</v>
      </c>
    </row>
    <row r="54" spans="1:1" x14ac:dyDescent="0.25">
      <c r="A54" s="24" t="str">
        <f>_jXQq22U4Y2e</f>
        <v>Colombia</v>
      </c>
    </row>
    <row r="55" spans="1:1" x14ac:dyDescent="0.25">
      <c r="A55" s="24" t="str">
        <f>_RTdjvXHJdnH</f>
        <v>Comoros</v>
      </c>
    </row>
    <row r="56" spans="1:1" x14ac:dyDescent="0.25">
      <c r="A56" s="24" t="str">
        <f>_shRXArPWh8H</f>
        <v>Congo</v>
      </c>
    </row>
    <row r="57" spans="1:1" x14ac:dyDescent="0.25">
      <c r="A57" s="24" t="str">
        <f>_TldYkeCwb5r</f>
        <v>Cook Islands</v>
      </c>
    </row>
    <row r="58" spans="1:1" x14ac:dyDescent="0.25">
      <c r="A58" s="24" t="str">
        <f>_pbH6bmcioGw</f>
        <v>Costa Rica</v>
      </c>
    </row>
    <row r="59" spans="1:1" x14ac:dyDescent="0.25">
      <c r="A59" s="24" t="str">
        <f>_lbMrRSBsXh3</f>
        <v>Croatia</v>
      </c>
    </row>
    <row r="60" spans="1:1" x14ac:dyDescent="0.25">
      <c r="A60" s="24" t="str">
        <f>_Zdl3ad7PayF</f>
        <v>Cuba</v>
      </c>
    </row>
    <row r="61" spans="1:1" x14ac:dyDescent="0.25">
      <c r="A61" s="24" t="str">
        <f>_QSpLidCdqMU</f>
        <v>Curaçao</v>
      </c>
    </row>
    <row r="62" spans="1:1" x14ac:dyDescent="0.25">
      <c r="A62" s="24" t="str">
        <f>_Mb9IYOFZYCv</f>
        <v>Cyprus</v>
      </c>
    </row>
    <row r="63" spans="1:1" x14ac:dyDescent="0.25">
      <c r="A63" s="24" t="str">
        <f>_XKKI1hhyFxk</f>
        <v>Czechia</v>
      </c>
    </row>
    <row r="64" spans="1:1" x14ac:dyDescent="0.25">
      <c r="A64" s="24" t="str">
        <f>_NhuW760cOQG</f>
        <v>Czechoslovakia, Former</v>
      </c>
    </row>
    <row r="65" spans="1:1" x14ac:dyDescent="0.25">
      <c r="A65" s="24" t="str">
        <f>_WXGcnQWJ0Qd</f>
        <v>Côte d'Ivoire</v>
      </c>
    </row>
    <row r="66" spans="1:1" x14ac:dyDescent="0.25">
      <c r="A66" s="24" t="str">
        <f>_OFXJXWnOG0R</f>
        <v>Democratic People's Republic of Korea</v>
      </c>
    </row>
    <row r="67" spans="1:1" x14ac:dyDescent="0.25">
      <c r="A67" s="24" t="str">
        <f>_EDHO4qOyY88</f>
        <v>Democratic Republic of the Congo</v>
      </c>
    </row>
    <row r="68" spans="1:1" x14ac:dyDescent="0.25">
      <c r="A68" s="24" t="str">
        <f>_CCl7hAqlrmE</f>
        <v>Denmark</v>
      </c>
    </row>
    <row r="69" spans="1:1" x14ac:dyDescent="0.25">
      <c r="A69" s="24" t="str">
        <f>_Yg9QkNQk9p7</f>
        <v>Djibouti</v>
      </c>
    </row>
    <row r="70" spans="1:1" x14ac:dyDescent="0.25">
      <c r="A70" s="24" t="str">
        <f>_s1mzBU7YOaZ</f>
        <v>Dominica</v>
      </c>
    </row>
    <row r="71" spans="1:1" x14ac:dyDescent="0.25">
      <c r="A71" s="24" t="str">
        <f>_PpjdOoVUc7k</f>
        <v>Dominican Republic</v>
      </c>
    </row>
    <row r="72" spans="1:1" x14ac:dyDescent="0.25">
      <c r="A72" s="24" t="str">
        <f>_LAPR4Iu2NVS</f>
        <v>Ecuador</v>
      </c>
    </row>
    <row r="73" spans="1:1" x14ac:dyDescent="0.25">
      <c r="A73" s="24" t="str">
        <f>_JIr15Xt3EQn</f>
        <v>Egypt</v>
      </c>
    </row>
    <row r="74" spans="1:1" x14ac:dyDescent="0.25">
      <c r="A74" s="24" t="str">
        <f>_Mk7P920hkBa</f>
        <v>El Salvador</v>
      </c>
    </row>
    <row r="75" spans="1:1" x14ac:dyDescent="0.25">
      <c r="A75" s="24" t="str">
        <f>_Fi5lLVwe1Th</f>
        <v>Equatorial Guinea</v>
      </c>
    </row>
    <row r="76" spans="1:1" x14ac:dyDescent="0.25">
      <c r="A76" s="24" t="str">
        <f>_vnbnnSZXGTv</f>
        <v>Eritrea</v>
      </c>
    </row>
    <row r="77" spans="1:1" x14ac:dyDescent="0.25">
      <c r="A77" s="24" t="str">
        <f>_XeWqwCw9G5s</f>
        <v>Estonia</v>
      </c>
    </row>
    <row r="78" spans="1:1" x14ac:dyDescent="0.25">
      <c r="A78" s="24" t="str">
        <f>_G3thRWUQAX9</f>
        <v>Eswatini</v>
      </c>
    </row>
    <row r="79" spans="1:1" x14ac:dyDescent="0.25">
      <c r="A79" s="24" t="str">
        <f>_zEYrsiNUGIo</f>
        <v>Ethiopia</v>
      </c>
    </row>
    <row r="80" spans="1:1" x14ac:dyDescent="0.25">
      <c r="A80" s="24" t="str">
        <f>_PRrdILmQQb3</f>
        <v>Falkland Islands (Malvinas)</v>
      </c>
    </row>
    <row r="81" spans="1:1" x14ac:dyDescent="0.25">
      <c r="A81" s="24" t="str">
        <f>_ngUSWwX0Oby</f>
        <v>Faroe Islands</v>
      </c>
    </row>
    <row r="82" spans="1:1" x14ac:dyDescent="0.25">
      <c r="A82" s="24" t="str">
        <f>_sSIYRwB1r74</f>
        <v>Fiji</v>
      </c>
    </row>
    <row r="83" spans="1:1" x14ac:dyDescent="0.25">
      <c r="A83" s="24" t="str">
        <f>_bnQX2QIuIY9</f>
        <v>Finland</v>
      </c>
    </row>
    <row r="84" spans="1:1" x14ac:dyDescent="0.25">
      <c r="A84" s="24" t="str">
        <f>_VnTycSnraEY</f>
        <v>France</v>
      </c>
    </row>
    <row r="85" spans="1:1" x14ac:dyDescent="0.25">
      <c r="A85" s="24" t="str">
        <f>_UJVEh0g7qOo</f>
        <v>French Guiana</v>
      </c>
    </row>
    <row r="86" spans="1:1" x14ac:dyDescent="0.25">
      <c r="A86" s="24" t="str">
        <f>_QLERXr2o7IE</f>
        <v>French Polynesia</v>
      </c>
    </row>
    <row r="87" spans="1:1" x14ac:dyDescent="0.25">
      <c r="A87" s="24" t="str">
        <f>_BLpPqpMtgQY</f>
        <v>French Southern Territories</v>
      </c>
    </row>
    <row r="88" spans="1:1" x14ac:dyDescent="0.25">
      <c r="A88" s="24" t="str">
        <f>_EGLpIMSAWhx</f>
        <v>Gabon</v>
      </c>
    </row>
    <row r="89" spans="1:1" x14ac:dyDescent="0.25">
      <c r="A89" s="24" t="str">
        <f>_z51rgcc5R8V</f>
        <v>Gambia</v>
      </c>
    </row>
    <row r="90" spans="1:1" x14ac:dyDescent="0.25">
      <c r="A90" s="24" t="str">
        <f>_fg8TSIHSGHX</f>
        <v>Georgia</v>
      </c>
    </row>
    <row r="91" spans="1:1" x14ac:dyDescent="0.25">
      <c r="A91" s="24" t="str">
        <f>_Ri2tb7LBVtP</f>
        <v>Germany</v>
      </c>
    </row>
    <row r="92" spans="1:1" x14ac:dyDescent="0.25">
      <c r="A92" s="24" t="str">
        <f>_hgGOTFYZxMO</f>
        <v>Germany, Former Democratic Republic</v>
      </c>
    </row>
    <row r="93" spans="1:1" x14ac:dyDescent="0.25">
      <c r="A93" s="24" t="str">
        <f>_E9G2aQpCs1A</f>
        <v>Germany, Former Federal Republic</v>
      </c>
    </row>
    <row r="94" spans="1:1" x14ac:dyDescent="0.25">
      <c r="A94" s="24" t="str">
        <f>_Fq9qs6Kn6wN</f>
        <v>Germany, West Berlin</v>
      </c>
    </row>
    <row r="95" spans="1:1" x14ac:dyDescent="0.25">
      <c r="A95" s="24" t="str">
        <f>_WC5rU5fLMzY</f>
        <v>Ghana</v>
      </c>
    </row>
    <row r="96" spans="1:1" x14ac:dyDescent="0.25">
      <c r="A96" s="24" t="str">
        <f>_BVzmce6DVeS</f>
        <v>Gibraltar</v>
      </c>
    </row>
    <row r="97" spans="1:1" x14ac:dyDescent="0.25">
      <c r="A97" s="24" t="str">
        <f>_eyvitcZL4ex</f>
        <v>Greece</v>
      </c>
    </row>
    <row r="98" spans="1:1" x14ac:dyDescent="0.25">
      <c r="A98" s="24" t="str">
        <f>_IZy3ESdFnp5</f>
        <v>Greenland</v>
      </c>
    </row>
    <row r="99" spans="1:1" x14ac:dyDescent="0.25">
      <c r="A99" s="24" t="str">
        <f>_gg9DH7dvdeD</f>
        <v>Grenada</v>
      </c>
    </row>
    <row r="100" spans="1:1" x14ac:dyDescent="0.25">
      <c r="A100" s="24" t="str">
        <f>_cRWrIpjzvVl</f>
        <v>Guadeloupe</v>
      </c>
    </row>
    <row r="101" spans="1:1" x14ac:dyDescent="0.25">
      <c r="A101" s="24" t="str">
        <f>_q9u7nkNkuGy</f>
        <v>Guam</v>
      </c>
    </row>
    <row r="102" spans="1:1" x14ac:dyDescent="0.25">
      <c r="A102" s="24" t="str">
        <f>_bhkJDAiqVKX</f>
        <v>Guatemala</v>
      </c>
    </row>
    <row r="103" spans="1:1" x14ac:dyDescent="0.25">
      <c r="A103" s="24" t="str">
        <f>_NUkOvK4bnj2</f>
        <v>Guernsey</v>
      </c>
    </row>
    <row r="104" spans="1:1" x14ac:dyDescent="0.25">
      <c r="A104" s="24" t="str">
        <f>_quQpOfBIDFC</f>
        <v>Guinea</v>
      </c>
    </row>
    <row r="105" spans="1:1" x14ac:dyDescent="0.25">
      <c r="A105" s="24" t="str">
        <f>_G9o5ad4oJJX</f>
        <v>Guinea-Bissau</v>
      </c>
    </row>
    <row r="106" spans="1:1" x14ac:dyDescent="0.25">
      <c r="A106" s="24" t="str">
        <f>_AUStREIxT4s</f>
        <v>Guyana</v>
      </c>
    </row>
    <row r="107" spans="1:1" x14ac:dyDescent="0.25">
      <c r="A107" s="24" t="str">
        <f>_ipe4pT2TW7G</f>
        <v>Haiti</v>
      </c>
    </row>
    <row r="108" spans="1:1" x14ac:dyDescent="0.25">
      <c r="A108" s="24" t="str">
        <f>_apVWLKfARpb</f>
        <v>Heard Island and McDonald Islands</v>
      </c>
    </row>
    <row r="109" spans="1:1" x14ac:dyDescent="0.25">
      <c r="A109" s="24" t="str">
        <f>_jZOt27rWre8</f>
        <v>Holy See</v>
      </c>
    </row>
    <row r="110" spans="1:1" x14ac:dyDescent="0.25">
      <c r="A110" s="24" t="str">
        <f>_mDSuyD9lOM5</f>
        <v>Honduras</v>
      </c>
    </row>
    <row r="111" spans="1:1" x14ac:dyDescent="0.25">
      <c r="A111" s="24" t="str">
        <f>_g49fuSiB623</f>
        <v>Hungary</v>
      </c>
    </row>
    <row r="112" spans="1:1" x14ac:dyDescent="0.25">
      <c r="A112" s="24" t="str">
        <f>_Bc3mYAhlY1a</f>
        <v>Iceland</v>
      </c>
    </row>
    <row r="113" spans="1:1" x14ac:dyDescent="0.25">
      <c r="A113" s="24" t="str">
        <f>_WApLDd37Yj2</f>
        <v>India</v>
      </c>
    </row>
    <row r="114" spans="1:1" x14ac:dyDescent="0.25">
      <c r="A114" s="24" t="str">
        <f>_jVqoXv7rFns</f>
        <v>Indonesia</v>
      </c>
    </row>
    <row r="115" spans="1:1" x14ac:dyDescent="0.25">
      <c r="A115" s="24" t="str">
        <f>_SsAjVE1S87E</f>
        <v>Iran (Islamic Republic of)</v>
      </c>
    </row>
    <row r="116" spans="1:1" x14ac:dyDescent="0.25">
      <c r="A116" s="24" t="str">
        <f>_fHXW26zg2U6</f>
        <v>Iraq</v>
      </c>
    </row>
    <row r="117" spans="1:1" x14ac:dyDescent="0.25">
      <c r="A117" s="24" t="str">
        <f>_uvTw0Kus5KZ</f>
        <v>Ireland</v>
      </c>
    </row>
    <row r="118" spans="1:1" x14ac:dyDescent="0.25">
      <c r="A118" s="24" t="str">
        <f>_ehNfKt5LpG9</f>
        <v>Isle of Man</v>
      </c>
    </row>
    <row r="119" spans="1:1" x14ac:dyDescent="0.25">
      <c r="A119" s="24" t="str">
        <f>_XebDUbuPqVx</f>
        <v>Israel</v>
      </c>
    </row>
    <row r="120" spans="1:1" x14ac:dyDescent="0.25">
      <c r="A120" s="24" t="str">
        <f>_ElwEWppmGgv</f>
        <v>Italy</v>
      </c>
    </row>
    <row r="121" spans="1:1" x14ac:dyDescent="0.25">
      <c r="A121" s="24" t="str">
        <f>_x6DVvicRjYC</f>
        <v>Jamaica</v>
      </c>
    </row>
    <row r="122" spans="1:1" x14ac:dyDescent="0.25">
      <c r="A122" s="24" t="str">
        <f>_JI5lagoUJR4</f>
        <v>Japan</v>
      </c>
    </row>
    <row r="123" spans="1:1" x14ac:dyDescent="0.25">
      <c r="A123" s="24" t="str">
        <f>_XJscL6IuHpd</f>
        <v>Jersey</v>
      </c>
    </row>
    <row r="124" spans="1:1" x14ac:dyDescent="0.25">
      <c r="A124" s="24" t="str">
        <f>_GWQBgBHdbbp</f>
        <v>Jordan</v>
      </c>
    </row>
    <row r="125" spans="1:1" x14ac:dyDescent="0.25">
      <c r="A125" s="24" t="str">
        <f>_ibGsqmiVkoU</f>
        <v>Kazakhstan</v>
      </c>
    </row>
    <row r="126" spans="1:1" x14ac:dyDescent="0.25">
      <c r="A126" s="24" t="str">
        <f>_HfVjCurKxh2</f>
        <v>Kenya</v>
      </c>
    </row>
    <row r="127" spans="1:1" x14ac:dyDescent="0.25">
      <c r="A127" s="24" t="str">
        <f>_Nlv8oKkoAwp</f>
        <v>Kiribati</v>
      </c>
    </row>
    <row r="128" spans="1:1" x14ac:dyDescent="0.25">
      <c r="A128" s="24" t="str">
        <f>_tnTRnfd2aVs</f>
        <v>Kuwait</v>
      </c>
    </row>
    <row r="129" spans="1:1" x14ac:dyDescent="0.25">
      <c r="A129" s="24" t="str">
        <f>_tDFavWinSwr</f>
        <v>Kyrgyzstan</v>
      </c>
    </row>
    <row r="130" spans="1:1" x14ac:dyDescent="0.25">
      <c r="A130" s="24" t="str">
        <f>_bvyjEfI0d2V</f>
        <v>Lao People's Democratic Republic</v>
      </c>
    </row>
    <row r="131" spans="1:1" x14ac:dyDescent="0.25">
      <c r="A131" s="24" t="str">
        <f>_gxi9jcBYyrL</f>
        <v>Latvia</v>
      </c>
    </row>
    <row r="132" spans="1:1" x14ac:dyDescent="0.25">
      <c r="A132" s="24" t="str">
        <f>_ACalScnrl2I</f>
        <v>Lebanon</v>
      </c>
    </row>
    <row r="133" spans="1:1" x14ac:dyDescent="0.25">
      <c r="A133" s="24" t="str">
        <f>_D4JnxOsqwE4</f>
        <v>Lesotho</v>
      </c>
    </row>
    <row r="134" spans="1:1" x14ac:dyDescent="0.25">
      <c r="A134" s="24" t="str">
        <f>_JEHwU064LAj</f>
        <v>Liberia</v>
      </c>
    </row>
    <row r="135" spans="1:1" x14ac:dyDescent="0.25">
      <c r="A135" s="24" t="str">
        <f>_zaluKz5Llai</f>
        <v>Libya</v>
      </c>
    </row>
    <row r="136" spans="1:1" x14ac:dyDescent="0.25">
      <c r="A136" s="24" t="str">
        <f>_gMz0MxjZcEt</f>
        <v>Liechtenstein</v>
      </c>
    </row>
    <row r="137" spans="1:1" x14ac:dyDescent="0.25">
      <c r="A137" s="24" t="str">
        <f>_T1irZBQ9gNW</f>
        <v>Lithuania</v>
      </c>
    </row>
    <row r="138" spans="1:1" x14ac:dyDescent="0.25">
      <c r="A138" s="24" t="str">
        <f>_mmJUi0PpvGi</f>
        <v>Luxembourg</v>
      </c>
    </row>
    <row r="139" spans="1:1" x14ac:dyDescent="0.25">
      <c r="A139" s="24" t="str">
        <f>_bcy4159FETR</f>
        <v>Madagascar</v>
      </c>
    </row>
    <row r="140" spans="1:1" x14ac:dyDescent="0.25">
      <c r="A140" s="24" t="str">
        <f>_G037PAPU5dO</f>
        <v>Malawi</v>
      </c>
    </row>
    <row r="141" spans="1:1" x14ac:dyDescent="0.25">
      <c r="A141" s="24" t="str">
        <f>_BmTVMvJHVBO</f>
        <v>Malaysia</v>
      </c>
    </row>
    <row r="142" spans="1:1" x14ac:dyDescent="0.25">
      <c r="A142" s="24" t="str">
        <f>_FOJUXD6f6lB</f>
        <v>Maldives</v>
      </c>
    </row>
    <row r="143" spans="1:1" x14ac:dyDescent="0.25">
      <c r="A143" s="24" t="str">
        <f>_EubjsxqlA4d</f>
        <v>Mali</v>
      </c>
    </row>
    <row r="144" spans="1:1" x14ac:dyDescent="0.25">
      <c r="A144" s="24" t="str">
        <f>_TIhakAVsQwM</f>
        <v>Malta</v>
      </c>
    </row>
    <row r="145" spans="1:1" x14ac:dyDescent="0.25">
      <c r="A145" s="24" t="str">
        <f>_Ajnw1b8m6eL</f>
        <v>Marshall Islands</v>
      </c>
    </row>
    <row r="146" spans="1:1" x14ac:dyDescent="0.25">
      <c r="A146" s="24" t="str">
        <f>_v2B5AtYQV8H</f>
        <v>Martinique</v>
      </c>
    </row>
    <row r="147" spans="1:1" x14ac:dyDescent="0.25">
      <c r="A147" s="24" t="str">
        <f>_XYpsN5j30R9</f>
        <v>Mauritania</v>
      </c>
    </row>
    <row r="148" spans="1:1" x14ac:dyDescent="0.25">
      <c r="A148" s="24" t="str">
        <f>_EB4aSZN0eQr</f>
        <v>Mauritius</v>
      </c>
    </row>
    <row r="149" spans="1:1" x14ac:dyDescent="0.25">
      <c r="A149" s="24" t="str">
        <f>_Bon3xyAAWKf</f>
        <v>Mayotte</v>
      </c>
    </row>
    <row r="150" spans="1:1" x14ac:dyDescent="0.25">
      <c r="A150" s="24" t="str">
        <f>_KAUSOoBq5Ft</f>
        <v>Mexico</v>
      </c>
    </row>
    <row r="151" spans="1:1" x14ac:dyDescent="0.25">
      <c r="A151" s="24" t="str">
        <f>_lnvESj20mWZ</f>
        <v>Micronesia (Federated States of)</v>
      </c>
    </row>
    <row r="152" spans="1:1" x14ac:dyDescent="0.25">
      <c r="A152" s="24" t="str">
        <f>_cZ8823L0fLJ</f>
        <v>Monaco</v>
      </c>
    </row>
    <row r="153" spans="1:1" x14ac:dyDescent="0.25">
      <c r="A153" s="24" t="str">
        <f>_IZSm5iPKkDg</f>
        <v>Mongolia</v>
      </c>
    </row>
    <row r="154" spans="1:1" x14ac:dyDescent="0.25">
      <c r="A154" s="24" t="str">
        <f>_JX7HJfPfbog</f>
        <v>Montenegro</v>
      </c>
    </row>
    <row r="155" spans="1:1" x14ac:dyDescent="0.25">
      <c r="A155" s="24" t="str">
        <f>_B4iWc3gcDcn</f>
        <v>Montserrat</v>
      </c>
    </row>
    <row r="156" spans="1:1" x14ac:dyDescent="0.25">
      <c r="A156" s="24" t="str">
        <f>_WuQvgvXKamv</f>
        <v>Morocco</v>
      </c>
    </row>
    <row r="157" spans="1:1" x14ac:dyDescent="0.25">
      <c r="A157" s="24" t="str">
        <f>_Gan3VYicAWe</f>
        <v>Mozambique</v>
      </c>
    </row>
    <row r="158" spans="1:1" x14ac:dyDescent="0.25">
      <c r="A158" s="24" t="str">
        <f>_YOL13ptz4ef</f>
        <v>Myanmar</v>
      </c>
    </row>
    <row r="159" spans="1:1" x14ac:dyDescent="0.25">
      <c r="A159" s="24" t="str">
        <f>_rtLnlu4GUI2</f>
        <v>Namibia</v>
      </c>
    </row>
    <row r="160" spans="1:1" x14ac:dyDescent="0.25">
      <c r="A160" s="24" t="str">
        <f>_Pz0LCggcqES</f>
        <v>Nauru</v>
      </c>
    </row>
    <row r="161" spans="1:1" x14ac:dyDescent="0.25">
      <c r="A161" s="24" t="str">
        <f>_pZZriU4sY0l</f>
        <v>Nepal</v>
      </c>
    </row>
    <row r="162" spans="1:1" x14ac:dyDescent="0.25">
      <c r="A162" s="24" t="str">
        <f>_rEQqufy2KNi</f>
        <v>Netherlands</v>
      </c>
    </row>
    <row r="163" spans="1:1" x14ac:dyDescent="0.25">
      <c r="A163" s="24" t="str">
        <f>_COs48yLdDvg</f>
        <v>Netherlands Antilles</v>
      </c>
    </row>
    <row r="164" spans="1:1" x14ac:dyDescent="0.25">
      <c r="A164" s="24" t="str">
        <f>_jMGr96nGwHN</f>
        <v>New Caledonia</v>
      </c>
    </row>
    <row r="165" spans="1:1" x14ac:dyDescent="0.25">
      <c r="A165" s="24" t="str">
        <f>_hG1CNbw8wSF</f>
        <v>New Zealand</v>
      </c>
    </row>
    <row r="166" spans="1:1" x14ac:dyDescent="0.25">
      <c r="A166" s="24" t="str">
        <f>_wnuoeS9sVZR</f>
        <v>Nicaragua</v>
      </c>
    </row>
    <row r="167" spans="1:1" x14ac:dyDescent="0.25">
      <c r="A167" s="24" t="str">
        <f>_O0hWoXlHhIS</f>
        <v>Niger</v>
      </c>
    </row>
    <row r="168" spans="1:1" x14ac:dyDescent="0.25">
      <c r="A168" s="24" t="str">
        <f>_I3NxIqG7bD4</f>
        <v>Nigeria</v>
      </c>
    </row>
    <row r="169" spans="1:1" x14ac:dyDescent="0.25">
      <c r="A169" s="24" t="str">
        <f>_KqaTbKanCG3</f>
        <v>Niue</v>
      </c>
    </row>
    <row r="170" spans="1:1" x14ac:dyDescent="0.25">
      <c r="A170" s="24" t="str">
        <f>_O7BGyJhV2Tc</f>
        <v>Norfolk Island</v>
      </c>
    </row>
    <row r="171" spans="1:1" x14ac:dyDescent="0.25">
      <c r="A171" s="24" t="str">
        <f>_cfBaKMnsXd1</f>
        <v>North Macedonia</v>
      </c>
    </row>
    <row r="172" spans="1:1" x14ac:dyDescent="0.25">
      <c r="A172" s="24" t="str">
        <f>_vPoFz9J1v6Y</f>
        <v>Northern Mariana Islands</v>
      </c>
    </row>
    <row r="173" spans="1:1" x14ac:dyDescent="0.25">
      <c r="A173" s="24" t="str">
        <f>_oy494aJtjTB</f>
        <v>Norway</v>
      </c>
    </row>
    <row r="174" spans="1:1" x14ac:dyDescent="0.25">
      <c r="A174" s="24" t="str">
        <f>_G8FCnT37gyb</f>
        <v>Oman</v>
      </c>
    </row>
    <row r="175" spans="1:1" x14ac:dyDescent="0.25">
      <c r="A175" s="24" t="str">
        <f>_yzAMOdV0Pmr</f>
        <v>Pakistan</v>
      </c>
    </row>
    <row r="176" spans="1:1" x14ac:dyDescent="0.25">
      <c r="A176" s="24" t="str">
        <f>_iFaKKDtb7nf</f>
        <v>Palau</v>
      </c>
    </row>
    <row r="177" spans="1:1" x14ac:dyDescent="0.25">
      <c r="A177" s="24" t="str">
        <f>_wUBWZEHJm6Q</f>
        <v>Panama</v>
      </c>
    </row>
    <row r="178" spans="1:1" x14ac:dyDescent="0.25">
      <c r="A178" s="24" t="str">
        <f>_Zav7juzGmEo</f>
        <v>Papua New Guinea</v>
      </c>
    </row>
    <row r="179" spans="1:1" x14ac:dyDescent="0.25">
      <c r="A179" s="24" t="str">
        <f>_Wpzccx0vjIP</f>
        <v>Paraguay</v>
      </c>
    </row>
    <row r="180" spans="1:1" x14ac:dyDescent="0.25">
      <c r="A180" s="24" t="str">
        <f>_vkXlj7ZPkGi</f>
        <v>Peru</v>
      </c>
    </row>
    <row r="181" spans="1:1" x14ac:dyDescent="0.25">
      <c r="A181" s="24" t="str">
        <f>_QkOClVdLto1</f>
        <v>Philippines</v>
      </c>
    </row>
    <row r="182" spans="1:1" x14ac:dyDescent="0.25">
      <c r="A182" s="24" t="str">
        <f>_fHaKXfcKthe</f>
        <v>Pitcairn</v>
      </c>
    </row>
    <row r="183" spans="1:1" x14ac:dyDescent="0.25">
      <c r="A183" s="24" t="str">
        <f>_wMTP4GblKr8</f>
        <v>Poland</v>
      </c>
    </row>
    <row r="184" spans="1:1" x14ac:dyDescent="0.25">
      <c r="A184" s="24" t="str">
        <f>_PevCwH17M73</f>
        <v>Portugal</v>
      </c>
    </row>
    <row r="185" spans="1:1" x14ac:dyDescent="0.25">
      <c r="A185" s="24" t="str">
        <f>_w3IJVQhc8Rm</f>
        <v>Puerto Rico</v>
      </c>
    </row>
    <row r="186" spans="1:1" x14ac:dyDescent="0.25">
      <c r="A186" s="24" t="str">
        <f>_jCtFxm8aADJ</f>
        <v>Qatar</v>
      </c>
    </row>
    <row r="187" spans="1:1" x14ac:dyDescent="0.25">
      <c r="A187" s="24" t="str">
        <f>_IbGbsybdeou</f>
        <v>Republic of Korea</v>
      </c>
    </row>
    <row r="188" spans="1:1" x14ac:dyDescent="0.25">
      <c r="A188" s="24" t="str">
        <f>_yBqy4nxuOCA</f>
        <v>Republic of Moldova</v>
      </c>
    </row>
    <row r="189" spans="1:1" x14ac:dyDescent="0.25">
      <c r="A189" s="24" t="str">
        <f>_ZRxKEGQmkWI</f>
        <v>Rodrigues</v>
      </c>
    </row>
    <row r="190" spans="1:1" x14ac:dyDescent="0.25">
      <c r="A190" s="24" t="str">
        <f>_N9i1v07Ro0E</f>
        <v>Romania</v>
      </c>
    </row>
    <row r="191" spans="1:1" x14ac:dyDescent="0.25">
      <c r="A191" s="24" t="str">
        <f>_i3v8r9XNls2</f>
        <v>Russian Federation</v>
      </c>
    </row>
    <row r="192" spans="1:1" x14ac:dyDescent="0.25">
      <c r="A192" s="24" t="str">
        <f>_UlQiEogy3wG</f>
        <v>Rwanda</v>
      </c>
    </row>
    <row r="193" spans="1:1" x14ac:dyDescent="0.25">
      <c r="A193" s="24" t="str">
        <f>_LTLHCOHyyWS</f>
        <v>Ryu Kyu Islands</v>
      </c>
    </row>
    <row r="194" spans="1:1" x14ac:dyDescent="0.25">
      <c r="A194" s="24" t="str">
        <f>_VwqhqUCaMgk</f>
        <v>Réunion</v>
      </c>
    </row>
    <row r="195" spans="1:1" x14ac:dyDescent="0.25">
      <c r="A195" s="24" t="str">
        <f>_GPyOOoIby8R</f>
        <v>Saint Barthélemy</v>
      </c>
    </row>
    <row r="196" spans="1:1" x14ac:dyDescent="0.25">
      <c r="A196" s="24" t="str">
        <f>_aZ7Bm5L90rn</f>
        <v>Saint Helena</v>
      </c>
    </row>
    <row r="197" spans="1:1" x14ac:dyDescent="0.25">
      <c r="A197" s="24" t="str">
        <f>_BlC8wOVHBlb</f>
        <v>Saint Kitts and Nevis</v>
      </c>
    </row>
    <row r="198" spans="1:1" x14ac:dyDescent="0.25">
      <c r="A198" s="24" t="str">
        <f>_RyAd6laKg3U</f>
        <v>Saint Lucia</v>
      </c>
    </row>
    <row r="199" spans="1:1" x14ac:dyDescent="0.25">
      <c r="A199" s="24" t="str">
        <f>_tSBEjAHKj9V</f>
        <v>Saint Martin (French part)</v>
      </c>
    </row>
    <row r="200" spans="1:1" x14ac:dyDescent="0.25">
      <c r="A200" s="24" t="str">
        <f>_HYEuE8zV74t</f>
        <v>Saint Pierre and Miquelon</v>
      </c>
    </row>
    <row r="201" spans="1:1" x14ac:dyDescent="0.25">
      <c r="A201" s="24" t="str">
        <f>_ZgsdoEiTlLq</f>
        <v>Saint Vincent and the Grenadines</v>
      </c>
    </row>
    <row r="202" spans="1:1" x14ac:dyDescent="0.25">
      <c r="A202" s="24" t="str">
        <f>_hpXoMVtJpT3</f>
        <v>Samoa</v>
      </c>
    </row>
    <row r="203" spans="1:1" x14ac:dyDescent="0.25">
      <c r="A203" s="24" t="str">
        <f>_SAsS1Kwc4iW</f>
        <v>San Marino</v>
      </c>
    </row>
    <row r="204" spans="1:1" x14ac:dyDescent="0.25">
      <c r="A204" s="24" t="str">
        <f>_FNduj2N3e8s</f>
        <v>Sao Tome and Principe</v>
      </c>
    </row>
    <row r="205" spans="1:1" x14ac:dyDescent="0.25">
      <c r="A205" s="24" t="str">
        <f>_xB6nQN5Wtpg</f>
        <v>Saudi Arabia</v>
      </c>
    </row>
    <row r="206" spans="1:1" x14ac:dyDescent="0.25">
      <c r="A206" s="24" t="str">
        <f>_wj7iV08dvFq</f>
        <v>Senegal</v>
      </c>
    </row>
    <row r="207" spans="1:1" x14ac:dyDescent="0.25">
      <c r="A207" s="24" t="str">
        <f>_oroMC4mMzMq</f>
        <v>Serbia</v>
      </c>
    </row>
    <row r="208" spans="1:1" x14ac:dyDescent="0.25">
      <c r="A208" s="24" t="str">
        <f>_HizhPCC5Ps5</f>
        <v>Serbia and Montenegro, Former</v>
      </c>
    </row>
    <row r="209" spans="1:1" x14ac:dyDescent="0.25">
      <c r="A209" s="24" t="str">
        <f>_wimH12ukPK5</f>
        <v>Seychelles</v>
      </c>
    </row>
    <row r="210" spans="1:1" x14ac:dyDescent="0.25">
      <c r="A210" s="24" t="str">
        <f>_qbqrFLCJewu</f>
        <v>Sierra Leone</v>
      </c>
    </row>
    <row r="211" spans="1:1" x14ac:dyDescent="0.25">
      <c r="A211" s="24" t="str">
        <f>_rb6V38jgfFc</f>
        <v>Singapore</v>
      </c>
    </row>
    <row r="212" spans="1:1" x14ac:dyDescent="0.25">
      <c r="A212" s="24" t="str">
        <f>_cCgL3J7Lsgn</f>
        <v>Sint Maarten (Dutch part)</v>
      </c>
    </row>
    <row r="213" spans="1:1" x14ac:dyDescent="0.25">
      <c r="A213" s="24" t="str">
        <f>_RDiXMdNXg16</f>
        <v>Slovakia</v>
      </c>
    </row>
    <row r="214" spans="1:1" x14ac:dyDescent="0.25">
      <c r="A214" s="24" t="str">
        <f>_PY4aKgi30fr</f>
        <v>Slovenia</v>
      </c>
    </row>
    <row r="215" spans="1:1" x14ac:dyDescent="0.25">
      <c r="A215" s="24" t="str">
        <f>_FUieyovDec8</f>
        <v>Solomon Islands</v>
      </c>
    </row>
    <row r="216" spans="1:1" x14ac:dyDescent="0.25">
      <c r="A216" s="24" t="str">
        <f>_oWNF4d3PK8C</f>
        <v>Somalia</v>
      </c>
    </row>
    <row r="217" spans="1:1" x14ac:dyDescent="0.25">
      <c r="A217" s="24" t="str">
        <f>_lVPoUAKCdmU</f>
        <v>South Africa</v>
      </c>
    </row>
    <row r="218" spans="1:1" x14ac:dyDescent="0.25">
      <c r="A218" s="24" t="str">
        <f>_z5ouOuycTPO</f>
        <v>South Georgia and the South Sandwich Islands</v>
      </c>
    </row>
    <row r="219" spans="1:1" x14ac:dyDescent="0.25">
      <c r="A219" s="24" t="str">
        <f>_mhWSEv79IJW</f>
        <v>South Sudan</v>
      </c>
    </row>
    <row r="220" spans="1:1" x14ac:dyDescent="0.25">
      <c r="A220" s="24" t="str">
        <f>_DVnpk4xiXGJ</f>
        <v>Spain</v>
      </c>
    </row>
    <row r="221" spans="1:1" x14ac:dyDescent="0.25">
      <c r="A221" s="24" t="str">
        <f>_er7MPiN3tdH</f>
        <v>Sri Lanka</v>
      </c>
    </row>
    <row r="222" spans="1:1" x14ac:dyDescent="0.25">
      <c r="A222" s="24" t="str">
        <f>_QqAzWHtJ8VC</f>
        <v>Sudan</v>
      </c>
    </row>
    <row r="223" spans="1:1" x14ac:dyDescent="0.25">
      <c r="A223" s="24" t="str">
        <f>_IjLnDADGraQ</f>
        <v>Sudan (former)</v>
      </c>
    </row>
    <row r="224" spans="1:1" x14ac:dyDescent="0.25">
      <c r="A224" s="24" t="str">
        <f>_jkyBvNzcTLl</f>
        <v>Suriname</v>
      </c>
    </row>
    <row r="225" spans="1:1" x14ac:dyDescent="0.25">
      <c r="A225" s="24" t="str">
        <f>_TWyMjVaaxmT</f>
        <v>Svalbard and Jan Mayen</v>
      </c>
    </row>
    <row r="226" spans="1:1" x14ac:dyDescent="0.25">
      <c r="A226" s="24" t="str">
        <f>_IFAb1JUZ0Fz</f>
        <v>Sweden</v>
      </c>
    </row>
    <row r="227" spans="1:1" x14ac:dyDescent="0.25">
      <c r="A227" s="24" t="str">
        <f>_q2HqXV5OO3z</f>
        <v>Switzerland</v>
      </c>
    </row>
    <row r="228" spans="1:1" x14ac:dyDescent="0.25">
      <c r="A228" s="24" t="str">
        <f>_HDN85xUGB65</f>
        <v>Syrian Arab Republic</v>
      </c>
    </row>
    <row r="229" spans="1:1" x14ac:dyDescent="0.25">
      <c r="A229" s="24" t="str">
        <f>_xb2ezJcUoSR</f>
        <v>Tajikistan</v>
      </c>
    </row>
    <row r="230" spans="1:1" x14ac:dyDescent="0.25">
      <c r="A230" s="24" t="str">
        <f>_vboedbUs1As</f>
        <v>Thailand</v>
      </c>
    </row>
    <row r="231" spans="1:1" x14ac:dyDescent="0.25">
      <c r="A231" s="24" t="str">
        <f>_pGLy2Zj2lVg</f>
        <v>The former state union Serbia and Montenegro</v>
      </c>
    </row>
    <row r="232" spans="1:1" x14ac:dyDescent="0.25">
      <c r="A232" s="24" t="str">
        <f>_cJU4qStc9QT</f>
        <v>Timor-Leste</v>
      </c>
    </row>
    <row r="233" spans="1:1" x14ac:dyDescent="0.25">
      <c r="A233" s="24" t="str">
        <f>_WtcZBCTspgM</f>
        <v>Togo</v>
      </c>
    </row>
    <row r="234" spans="1:1" x14ac:dyDescent="0.25">
      <c r="A234" s="24" t="str">
        <f>_VMqDEughMuP</f>
        <v>Tokelau</v>
      </c>
    </row>
    <row r="235" spans="1:1" x14ac:dyDescent="0.25">
      <c r="A235" s="24" t="str">
        <f>_zYQqFxQw5jj</f>
        <v>Tonga</v>
      </c>
    </row>
    <row r="236" spans="1:1" x14ac:dyDescent="0.25">
      <c r="A236" s="24" t="str">
        <f>_fYeClLy8K2x</f>
        <v>Trinidad and Tobago</v>
      </c>
    </row>
    <row r="237" spans="1:1" x14ac:dyDescent="0.25">
      <c r="A237" s="24" t="str">
        <f>_pMukkUmnnkh</f>
        <v>Tunisia</v>
      </c>
    </row>
    <row r="238" spans="1:1" x14ac:dyDescent="0.25">
      <c r="A238" s="24" t="str">
        <f>_eVEK7djdWqV</f>
        <v>Turkey</v>
      </c>
    </row>
    <row r="239" spans="1:1" x14ac:dyDescent="0.25">
      <c r="A239" s="24" t="str">
        <f>_HwqfuL9pQz5</f>
        <v>Turkmenistan</v>
      </c>
    </row>
    <row r="240" spans="1:1" x14ac:dyDescent="0.25">
      <c r="A240" s="24" t="str">
        <f>_vg4b11FL2Gl</f>
        <v>Turks and Caicos Islands</v>
      </c>
    </row>
    <row r="241" spans="1:1" x14ac:dyDescent="0.25">
      <c r="A241" s="24" t="str">
        <f>_GrU8zQv510v</f>
        <v>Tuvalu</v>
      </c>
    </row>
    <row r="242" spans="1:1" x14ac:dyDescent="0.25">
      <c r="A242" s="24" t="str">
        <f>_M9HrCkIwaKy</f>
        <v>US Virgin Islands</v>
      </c>
    </row>
    <row r="243" spans="1:1" x14ac:dyDescent="0.25">
      <c r="A243" s="24" t="str">
        <f>_wFkq5oB0dFS</f>
        <v>USSR, Former</v>
      </c>
    </row>
    <row r="244" spans="1:1" x14ac:dyDescent="0.25">
      <c r="A244" s="24" t="str">
        <f>_SnYHrnchKjL</f>
        <v>Uganda</v>
      </c>
    </row>
    <row r="245" spans="1:1" x14ac:dyDescent="0.25">
      <c r="A245" s="24" t="str">
        <f>_VJrTuNXAg9G</f>
        <v>Ukraine</v>
      </c>
    </row>
    <row r="246" spans="1:1" x14ac:dyDescent="0.25">
      <c r="A246" s="24" t="str">
        <f>_aNIrqpwcKXv</f>
        <v>United Arab Emirates</v>
      </c>
    </row>
    <row r="247" spans="1:1" x14ac:dyDescent="0.25">
      <c r="A247" s="24" t="str">
        <f>_Gnz4lqrVEMf</f>
        <v>United Kingdom of Great Britain and Northern Irela</v>
      </c>
    </row>
    <row r="248" spans="1:1" x14ac:dyDescent="0.25">
      <c r="A248" s="24" t="str">
        <f>_TpDwlm2Spev</f>
        <v>United Kingdom, England and Wales</v>
      </c>
    </row>
    <row r="249" spans="1:1" x14ac:dyDescent="0.25">
      <c r="A249" s="24" t="str">
        <f>_Q8De2VxoKXS</f>
        <v>United Kingdom, Northern Ireland</v>
      </c>
    </row>
    <row r="250" spans="1:1" x14ac:dyDescent="0.25">
      <c r="A250" s="24" t="str">
        <f>_Gvox4WmLiYC</f>
        <v>United Kingdom, Scotland</v>
      </c>
    </row>
    <row r="251" spans="1:1" x14ac:dyDescent="0.25">
      <c r="A251" s="24" t="str">
        <f>_S52uSY3lb8V</f>
        <v>United Republic of Tanzania</v>
      </c>
    </row>
    <row r="252" spans="1:1" x14ac:dyDescent="0.25">
      <c r="A252" s="24" t="str">
        <f>_KOUhvjWIy6V</f>
        <v>United States Minor Outlying Islands</v>
      </c>
    </row>
    <row r="253" spans="1:1" x14ac:dyDescent="0.25">
      <c r="A253" s="24" t="str">
        <f>_AYWCbVecRKQ</f>
        <v>United States of America</v>
      </c>
    </row>
    <row r="254" spans="1:1" x14ac:dyDescent="0.25">
      <c r="A254" s="24" t="str">
        <f>_PJS910L8KtX</f>
        <v>Uruguay</v>
      </c>
    </row>
    <row r="255" spans="1:1" x14ac:dyDescent="0.25">
      <c r="A255" s="24" t="str">
        <f>_kpFgAwwSjCZ</f>
        <v>Uzbekistan</v>
      </c>
    </row>
    <row r="256" spans="1:1" x14ac:dyDescent="0.25">
      <c r="A256" s="24" t="str">
        <f>_xqjIL1cGrl1</f>
        <v>Vanuatu</v>
      </c>
    </row>
    <row r="257" spans="1:1" x14ac:dyDescent="0.25">
      <c r="A257" s="24" t="str">
        <f>_fkrzFaeuYDn</f>
        <v>Venezuela (Bolivarian Republic of)</v>
      </c>
    </row>
    <row r="258" spans="1:1" x14ac:dyDescent="0.25">
      <c r="A258" s="24" t="str">
        <f>_av3fkpFxEXj</f>
        <v>Viet Nam</v>
      </c>
    </row>
    <row r="259" spans="1:1" x14ac:dyDescent="0.25">
      <c r="A259" s="24" t="str">
        <f>_eVp1pvRfPKS</f>
        <v>Wallis and Futuna</v>
      </c>
    </row>
    <row r="260" spans="1:1" x14ac:dyDescent="0.25">
      <c r="A260" s="24" t="str">
        <f>_KrU8C1YTdao</f>
        <v>West Bank</v>
      </c>
    </row>
    <row r="261" spans="1:1" x14ac:dyDescent="0.25">
      <c r="A261" s="24" t="str">
        <f>_juBxu3AprlM</f>
        <v>West Bank and Gaza Strip</v>
      </c>
    </row>
    <row r="262" spans="1:1" x14ac:dyDescent="0.25">
      <c r="A262" s="24" t="str">
        <f>_PvrMV4NjbtR</f>
        <v>Western Sahara</v>
      </c>
    </row>
    <row r="263" spans="1:1" x14ac:dyDescent="0.25">
      <c r="A263" s="24" t="str">
        <f>_HX7fBSMCCbL</f>
        <v>Yemen</v>
      </c>
    </row>
    <row r="264" spans="1:1" x14ac:dyDescent="0.25">
      <c r="A264" s="24" t="str">
        <f>_fIlPGTXBCUm</f>
        <v>Yugoslavia, Former</v>
      </c>
    </row>
    <row r="265" spans="1:1" x14ac:dyDescent="0.25">
      <c r="A265" s="24" t="str">
        <f>_gb7vWtO7Wjp</f>
        <v>Zambia</v>
      </c>
    </row>
    <row r="266" spans="1:1" x14ac:dyDescent="0.25">
      <c r="A266" s="24" t="str">
        <f>_buSEeeViTo3</f>
        <v>Zimbabwe</v>
      </c>
    </row>
    <row r="267" spans="1:1" x14ac:dyDescent="0.25">
      <c r="A267" s="24" t="str">
        <f>_Adzexk8xbzD</f>
        <v>Åland Islands</v>
      </c>
    </row>
  </sheetData>
  <sheetProtection algorithmName="SHA-512" hashValue="9zPPol4ja8Q7OUS1Iyxa2OpGQu9DwA86Mp/FJilf+6rbhbYvpWk7om/6BqrjS85RqR2Prl0XkMeM0h1EODAKhg==" saltValue="Pl/MN86zTqNsn4GHNMMPyg==" spinCount="100000" sheet="1" objects="1" scenarios="1" formatCells="0" formatColumns="0" formatRows="0"/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69EC-7CD0-46A3-981D-E7EDD7C02488}">
  <dimension ref="A1:F439"/>
  <sheetViews>
    <sheetView zoomScaleNormal="100" workbookViewId="0">
      <pane ySplit="2" topLeftCell="A429" activePane="bottomLeft" state="frozen"/>
      <selection pane="bottomLeft" activeCell="C439" sqref="C439"/>
    </sheetView>
  </sheetViews>
  <sheetFormatPr defaultColWidth="12.5703125" defaultRowHeight="15.75" x14ac:dyDescent="0.25"/>
  <cols>
    <col min="1" max="2" width="34.28515625" style="24" customWidth="1"/>
    <col min="3" max="3" width="80" style="24" customWidth="1"/>
    <col min="4" max="16384" width="12.5703125" style="24"/>
  </cols>
  <sheetData>
    <row r="1" spans="1:6" x14ac:dyDescent="0.25">
      <c r="A1" s="43" t="s">
        <v>1189</v>
      </c>
      <c r="B1" s="43" t="s">
        <v>1188</v>
      </c>
      <c r="C1" s="43" t="s">
        <v>186</v>
      </c>
      <c r="D1" s="43" t="s">
        <v>1187</v>
      </c>
      <c r="E1" s="43" t="s">
        <v>1186</v>
      </c>
      <c r="F1" s="43" t="s">
        <v>1185</v>
      </c>
    </row>
    <row r="2" spans="1:6" x14ac:dyDescent="0.25">
      <c r="A2" s="43"/>
      <c r="B2" s="43"/>
      <c r="C2" s="43"/>
      <c r="D2" s="43"/>
      <c r="E2" s="43"/>
      <c r="F2" s="43"/>
    </row>
    <row r="3" spans="1:6" x14ac:dyDescent="0.25">
      <c r="A3" s="24" t="s">
        <v>1184</v>
      </c>
      <c r="B3" s="24" t="s">
        <v>915</v>
      </c>
      <c r="C3" s="24" t="s">
        <v>1183</v>
      </c>
      <c r="D3" s="24" t="s">
        <v>913</v>
      </c>
    </row>
    <row r="4" spans="1:6" x14ac:dyDescent="0.25">
      <c r="A4" s="24" t="s">
        <v>1182</v>
      </c>
      <c r="B4" s="24" t="s">
        <v>915</v>
      </c>
      <c r="C4" s="24" t="s">
        <v>1181</v>
      </c>
      <c r="D4" s="24" t="s">
        <v>913</v>
      </c>
    </row>
    <row r="5" spans="1:6" x14ac:dyDescent="0.25">
      <c r="A5" s="24" t="s">
        <v>1180</v>
      </c>
      <c r="B5" s="24" t="s">
        <v>915</v>
      </c>
      <c r="C5" s="24" t="s">
        <v>1179</v>
      </c>
      <c r="D5" s="24" t="s">
        <v>917</v>
      </c>
    </row>
    <row r="6" spans="1:6" x14ac:dyDescent="0.25">
      <c r="A6" s="24" t="s">
        <v>1178</v>
      </c>
      <c r="B6" s="24" t="s">
        <v>915</v>
      </c>
      <c r="C6" s="24" t="s">
        <v>1177</v>
      </c>
      <c r="D6" s="24" t="s">
        <v>917</v>
      </c>
    </row>
    <row r="7" spans="1:6" x14ac:dyDescent="0.25">
      <c r="A7" s="24" t="s">
        <v>1176</v>
      </c>
      <c r="B7" s="24" t="s">
        <v>915</v>
      </c>
      <c r="C7" s="24" t="s">
        <v>1175</v>
      </c>
      <c r="D7" s="24" t="s">
        <v>913</v>
      </c>
    </row>
    <row r="8" spans="1:6" x14ac:dyDescent="0.25">
      <c r="A8" s="24" t="s">
        <v>1174</v>
      </c>
      <c r="B8" s="24" t="s">
        <v>915</v>
      </c>
      <c r="C8" s="24" t="s">
        <v>1173</v>
      </c>
      <c r="D8" s="24" t="s">
        <v>913</v>
      </c>
    </row>
    <row r="9" spans="1:6" x14ac:dyDescent="0.25">
      <c r="A9" s="24" t="s">
        <v>1172</v>
      </c>
      <c r="B9" s="24" t="s">
        <v>915</v>
      </c>
      <c r="C9" s="24" t="s">
        <v>1171</v>
      </c>
      <c r="D9" s="24" t="s">
        <v>913</v>
      </c>
    </row>
    <row r="10" spans="1:6" x14ac:dyDescent="0.25">
      <c r="A10" s="24" t="s">
        <v>1170</v>
      </c>
      <c r="B10" s="24" t="s">
        <v>915</v>
      </c>
      <c r="C10" s="24" t="s">
        <v>1169</v>
      </c>
      <c r="D10" s="24" t="s">
        <v>917</v>
      </c>
    </row>
    <row r="11" spans="1:6" x14ac:dyDescent="0.25">
      <c r="A11" s="24" t="s">
        <v>1168</v>
      </c>
      <c r="B11" s="24" t="s">
        <v>915</v>
      </c>
      <c r="C11" s="24" t="s">
        <v>1167</v>
      </c>
      <c r="D11" s="24" t="s">
        <v>913</v>
      </c>
    </row>
    <row r="12" spans="1:6" x14ac:dyDescent="0.25">
      <c r="A12" s="24" t="s">
        <v>1166</v>
      </c>
      <c r="B12" s="24" t="s">
        <v>915</v>
      </c>
      <c r="C12" s="24" t="s">
        <v>1165</v>
      </c>
      <c r="D12" s="24" t="s">
        <v>913</v>
      </c>
    </row>
    <row r="13" spans="1:6" x14ac:dyDescent="0.25">
      <c r="A13" s="24" t="s">
        <v>1164</v>
      </c>
      <c r="B13" s="24" t="s">
        <v>915</v>
      </c>
      <c r="C13" s="24" t="s">
        <v>1163</v>
      </c>
      <c r="D13" s="24" t="s">
        <v>913</v>
      </c>
    </row>
    <row r="14" spans="1:6" x14ac:dyDescent="0.25">
      <c r="A14" s="24" t="s">
        <v>1162</v>
      </c>
      <c r="B14" s="24" t="s">
        <v>915</v>
      </c>
      <c r="C14" s="24" t="s">
        <v>1161</v>
      </c>
      <c r="D14" s="24" t="s">
        <v>913</v>
      </c>
    </row>
    <row r="15" spans="1:6" x14ac:dyDescent="0.25">
      <c r="A15" s="24" t="s">
        <v>1160</v>
      </c>
      <c r="B15" s="24" t="s">
        <v>915</v>
      </c>
      <c r="C15" s="24" t="s">
        <v>1159</v>
      </c>
      <c r="D15" s="24" t="s">
        <v>917</v>
      </c>
    </row>
    <row r="16" spans="1:6" x14ac:dyDescent="0.25">
      <c r="A16" s="24" t="s">
        <v>1158</v>
      </c>
      <c r="B16" s="24" t="s">
        <v>915</v>
      </c>
      <c r="C16" s="24" t="s">
        <v>1157</v>
      </c>
      <c r="D16" s="24" t="s">
        <v>913</v>
      </c>
    </row>
    <row r="17" spans="1:4" x14ac:dyDescent="0.25">
      <c r="A17" s="24" t="s">
        <v>1156</v>
      </c>
      <c r="B17" s="24" t="s">
        <v>915</v>
      </c>
      <c r="C17" s="24" t="s">
        <v>1155</v>
      </c>
      <c r="D17" s="24" t="s">
        <v>913</v>
      </c>
    </row>
    <row r="18" spans="1:4" x14ac:dyDescent="0.25">
      <c r="A18" s="24" t="s">
        <v>1154</v>
      </c>
      <c r="B18" s="24" t="s">
        <v>915</v>
      </c>
      <c r="C18" s="24" t="s">
        <v>1153</v>
      </c>
      <c r="D18" s="24" t="s">
        <v>913</v>
      </c>
    </row>
    <row r="19" spans="1:4" x14ac:dyDescent="0.25">
      <c r="A19" s="24" t="s">
        <v>1152</v>
      </c>
      <c r="B19" s="24" t="s">
        <v>915</v>
      </c>
      <c r="C19" s="24" t="s">
        <v>1151</v>
      </c>
      <c r="D19" s="24" t="s">
        <v>917</v>
      </c>
    </row>
    <row r="20" spans="1:4" x14ac:dyDescent="0.25">
      <c r="A20" s="24" t="s">
        <v>1150</v>
      </c>
      <c r="B20" s="24" t="s">
        <v>915</v>
      </c>
      <c r="C20" s="24" t="s">
        <v>1149</v>
      </c>
      <c r="D20" s="24" t="s">
        <v>917</v>
      </c>
    </row>
    <row r="21" spans="1:4" x14ac:dyDescent="0.25">
      <c r="A21" s="24" t="s">
        <v>1148</v>
      </c>
      <c r="B21" s="24" t="s">
        <v>915</v>
      </c>
      <c r="C21" s="24" t="s">
        <v>1147</v>
      </c>
      <c r="D21" s="24" t="s">
        <v>917</v>
      </c>
    </row>
    <row r="22" spans="1:4" x14ac:dyDescent="0.25">
      <c r="A22" s="24" t="s">
        <v>1146</v>
      </c>
      <c r="B22" s="24" t="s">
        <v>915</v>
      </c>
      <c r="C22" s="24" t="s">
        <v>1145</v>
      </c>
      <c r="D22" s="24" t="s">
        <v>913</v>
      </c>
    </row>
    <row r="23" spans="1:4" x14ac:dyDescent="0.25">
      <c r="A23" s="24" t="s">
        <v>1144</v>
      </c>
      <c r="B23" s="24" t="s">
        <v>915</v>
      </c>
      <c r="C23" s="24" t="s">
        <v>1143</v>
      </c>
      <c r="D23" s="24" t="s">
        <v>917</v>
      </c>
    </row>
    <row r="24" spans="1:4" x14ac:dyDescent="0.25">
      <c r="A24" s="24" t="s">
        <v>1142</v>
      </c>
      <c r="B24" s="24" t="s">
        <v>915</v>
      </c>
      <c r="C24" s="24" t="s">
        <v>1141</v>
      </c>
      <c r="D24" s="24" t="s">
        <v>917</v>
      </c>
    </row>
    <row r="25" spans="1:4" x14ac:dyDescent="0.25">
      <c r="A25" s="24" t="s">
        <v>1140</v>
      </c>
      <c r="B25" s="24" t="s">
        <v>915</v>
      </c>
      <c r="C25" s="24" t="s">
        <v>1139</v>
      </c>
      <c r="D25" s="24" t="s">
        <v>913</v>
      </c>
    </row>
    <row r="26" spans="1:4" x14ac:dyDescent="0.25">
      <c r="A26" s="24" t="s">
        <v>1138</v>
      </c>
      <c r="B26" s="24" t="s">
        <v>915</v>
      </c>
      <c r="C26" s="24" t="s">
        <v>1137</v>
      </c>
      <c r="D26" s="24" t="s">
        <v>913</v>
      </c>
    </row>
    <row r="27" spans="1:4" x14ac:dyDescent="0.25">
      <c r="A27" s="24" t="s">
        <v>1136</v>
      </c>
      <c r="B27" s="24" t="s">
        <v>915</v>
      </c>
      <c r="C27" s="24" t="s">
        <v>1135</v>
      </c>
      <c r="D27" s="24" t="s">
        <v>917</v>
      </c>
    </row>
    <row r="28" spans="1:4" x14ac:dyDescent="0.25">
      <c r="A28" s="24" t="s">
        <v>1134</v>
      </c>
      <c r="B28" s="24" t="s">
        <v>915</v>
      </c>
      <c r="C28" s="24" t="s">
        <v>1133</v>
      </c>
      <c r="D28" s="24" t="s">
        <v>913</v>
      </c>
    </row>
    <row r="29" spans="1:4" x14ac:dyDescent="0.25">
      <c r="A29" s="24" t="s">
        <v>1132</v>
      </c>
      <c r="B29" s="24" t="s">
        <v>915</v>
      </c>
      <c r="C29" s="24" t="s">
        <v>1131</v>
      </c>
      <c r="D29" s="24" t="s">
        <v>917</v>
      </c>
    </row>
    <row r="30" spans="1:4" x14ac:dyDescent="0.25">
      <c r="A30" s="24" t="s">
        <v>1130</v>
      </c>
      <c r="B30" s="24" t="s">
        <v>915</v>
      </c>
      <c r="C30" s="24" t="s">
        <v>1129</v>
      </c>
      <c r="D30" s="24" t="s">
        <v>917</v>
      </c>
    </row>
    <row r="31" spans="1:4" x14ac:dyDescent="0.25">
      <c r="A31" s="24" t="s">
        <v>1128</v>
      </c>
      <c r="B31" s="24" t="s">
        <v>915</v>
      </c>
      <c r="C31" s="24" t="s">
        <v>1127</v>
      </c>
      <c r="D31" s="24" t="s">
        <v>913</v>
      </c>
    </row>
    <row r="32" spans="1:4" x14ac:dyDescent="0.25">
      <c r="A32" s="24" t="s">
        <v>1126</v>
      </c>
      <c r="B32" s="24" t="s">
        <v>915</v>
      </c>
      <c r="C32" s="24" t="s">
        <v>1125</v>
      </c>
      <c r="D32" s="24" t="s">
        <v>913</v>
      </c>
    </row>
    <row r="33" spans="1:4" x14ac:dyDescent="0.25">
      <c r="A33" s="24" t="s">
        <v>1124</v>
      </c>
      <c r="B33" s="24" t="s">
        <v>915</v>
      </c>
      <c r="C33" s="24" t="s">
        <v>1123</v>
      </c>
      <c r="D33" s="24" t="s">
        <v>917</v>
      </c>
    </row>
    <row r="34" spans="1:4" x14ac:dyDescent="0.25">
      <c r="A34" s="24" t="s">
        <v>1122</v>
      </c>
      <c r="B34" s="24" t="s">
        <v>915</v>
      </c>
      <c r="C34" s="24" t="s">
        <v>1121</v>
      </c>
      <c r="D34" s="24" t="s">
        <v>917</v>
      </c>
    </row>
    <row r="35" spans="1:4" x14ac:dyDescent="0.25">
      <c r="A35" s="24" t="s">
        <v>1120</v>
      </c>
      <c r="B35" s="24" t="s">
        <v>915</v>
      </c>
      <c r="C35" s="24" t="s">
        <v>1119</v>
      </c>
      <c r="D35" s="24" t="s">
        <v>913</v>
      </c>
    </row>
    <row r="36" spans="1:4" x14ac:dyDescent="0.25">
      <c r="A36" s="24" t="s">
        <v>1118</v>
      </c>
      <c r="B36" s="24" t="s">
        <v>915</v>
      </c>
      <c r="C36" s="24" t="s">
        <v>1117</v>
      </c>
      <c r="D36" s="24" t="s">
        <v>917</v>
      </c>
    </row>
    <row r="37" spans="1:4" x14ac:dyDescent="0.25">
      <c r="A37" s="24" t="s">
        <v>1116</v>
      </c>
      <c r="B37" s="24" t="s">
        <v>915</v>
      </c>
      <c r="C37" s="24" t="s">
        <v>1115</v>
      </c>
      <c r="D37" s="24" t="s">
        <v>913</v>
      </c>
    </row>
    <row r="38" spans="1:4" x14ac:dyDescent="0.25">
      <c r="A38" s="24" t="s">
        <v>1114</v>
      </c>
      <c r="B38" s="24" t="s">
        <v>915</v>
      </c>
      <c r="C38" s="24" t="s">
        <v>1113</v>
      </c>
      <c r="D38" s="24" t="s">
        <v>917</v>
      </c>
    </row>
    <row r="39" spans="1:4" x14ac:dyDescent="0.25">
      <c r="A39" s="24" t="s">
        <v>1112</v>
      </c>
      <c r="B39" s="24" t="s">
        <v>915</v>
      </c>
      <c r="C39" s="24" t="s">
        <v>1111</v>
      </c>
      <c r="D39" s="24" t="s">
        <v>913</v>
      </c>
    </row>
    <row r="40" spans="1:4" x14ac:dyDescent="0.25">
      <c r="A40" s="24" t="s">
        <v>1110</v>
      </c>
      <c r="B40" s="24" t="s">
        <v>915</v>
      </c>
      <c r="C40" s="24" t="s">
        <v>1109</v>
      </c>
      <c r="D40" s="24" t="s">
        <v>913</v>
      </c>
    </row>
    <row r="41" spans="1:4" x14ac:dyDescent="0.25">
      <c r="A41" s="24" t="s">
        <v>1108</v>
      </c>
      <c r="B41" s="24" t="s">
        <v>915</v>
      </c>
      <c r="C41" s="24" t="s">
        <v>1107</v>
      </c>
      <c r="D41" s="24" t="s">
        <v>917</v>
      </c>
    </row>
    <row r="42" spans="1:4" x14ac:dyDescent="0.25">
      <c r="A42" s="24" t="s">
        <v>1106</v>
      </c>
      <c r="B42" s="24" t="s">
        <v>915</v>
      </c>
      <c r="C42" s="24" t="s">
        <v>1105</v>
      </c>
      <c r="D42" s="24" t="s">
        <v>913</v>
      </c>
    </row>
    <row r="43" spans="1:4" x14ac:dyDescent="0.25">
      <c r="A43" s="24" t="s">
        <v>1104</v>
      </c>
      <c r="B43" s="24" t="s">
        <v>915</v>
      </c>
      <c r="C43" s="24" t="s">
        <v>1103</v>
      </c>
      <c r="D43" s="24" t="s">
        <v>913</v>
      </c>
    </row>
    <row r="44" spans="1:4" x14ac:dyDescent="0.25">
      <c r="A44" s="24" t="s">
        <v>1102</v>
      </c>
      <c r="B44" s="24" t="s">
        <v>915</v>
      </c>
      <c r="C44" s="24" t="s">
        <v>1101</v>
      </c>
      <c r="D44" s="24" t="s">
        <v>917</v>
      </c>
    </row>
    <row r="45" spans="1:4" x14ac:dyDescent="0.25">
      <c r="A45" s="24" t="s">
        <v>1100</v>
      </c>
      <c r="B45" s="24" t="s">
        <v>915</v>
      </c>
      <c r="C45" s="24" t="s">
        <v>1099</v>
      </c>
      <c r="D45" s="24" t="s">
        <v>917</v>
      </c>
    </row>
    <row r="46" spans="1:4" x14ac:dyDescent="0.25">
      <c r="A46" s="24" t="s">
        <v>1098</v>
      </c>
      <c r="B46" s="24" t="s">
        <v>915</v>
      </c>
      <c r="C46" s="24" t="s">
        <v>1097</v>
      </c>
      <c r="D46" s="24" t="s">
        <v>917</v>
      </c>
    </row>
    <row r="47" spans="1:4" x14ac:dyDescent="0.25">
      <c r="A47" s="24" t="s">
        <v>1096</v>
      </c>
      <c r="B47" s="24" t="s">
        <v>915</v>
      </c>
      <c r="C47" s="24" t="s">
        <v>1095</v>
      </c>
      <c r="D47" s="24" t="s">
        <v>917</v>
      </c>
    </row>
    <row r="48" spans="1:4" x14ac:dyDescent="0.25">
      <c r="A48" s="24" t="s">
        <v>1094</v>
      </c>
      <c r="B48" s="24" t="s">
        <v>915</v>
      </c>
      <c r="C48" s="24" t="s">
        <v>1093</v>
      </c>
      <c r="D48" s="24" t="s">
        <v>913</v>
      </c>
    </row>
    <row r="49" spans="1:4" x14ac:dyDescent="0.25">
      <c r="A49" s="24" t="s">
        <v>1092</v>
      </c>
      <c r="B49" s="24" t="s">
        <v>915</v>
      </c>
      <c r="C49" s="24" t="s">
        <v>1091</v>
      </c>
      <c r="D49" s="24" t="s">
        <v>917</v>
      </c>
    </row>
    <row r="50" spans="1:4" x14ac:dyDescent="0.25">
      <c r="A50" s="24" t="s">
        <v>1090</v>
      </c>
      <c r="B50" s="24" t="s">
        <v>915</v>
      </c>
      <c r="C50" s="24" t="s">
        <v>1089</v>
      </c>
      <c r="D50" s="24" t="s">
        <v>913</v>
      </c>
    </row>
    <row r="51" spans="1:4" x14ac:dyDescent="0.25">
      <c r="A51" s="24" t="s">
        <v>1088</v>
      </c>
      <c r="B51" s="24" t="s">
        <v>915</v>
      </c>
      <c r="C51" s="24" t="s">
        <v>1087</v>
      </c>
      <c r="D51" s="24" t="s">
        <v>917</v>
      </c>
    </row>
    <row r="52" spans="1:4" x14ac:dyDescent="0.25">
      <c r="A52" s="24" t="s">
        <v>1086</v>
      </c>
      <c r="B52" s="24" t="s">
        <v>915</v>
      </c>
      <c r="C52" s="24" t="s">
        <v>1085</v>
      </c>
      <c r="D52" s="24" t="s">
        <v>917</v>
      </c>
    </row>
    <row r="53" spans="1:4" x14ac:dyDescent="0.25">
      <c r="A53" s="24" t="s">
        <v>1084</v>
      </c>
      <c r="B53" s="24" t="s">
        <v>915</v>
      </c>
      <c r="C53" s="24" t="s">
        <v>1083</v>
      </c>
      <c r="D53" s="24" t="s">
        <v>913</v>
      </c>
    </row>
    <row r="54" spans="1:4" x14ac:dyDescent="0.25">
      <c r="A54" s="24" t="s">
        <v>1082</v>
      </c>
      <c r="B54" s="24" t="s">
        <v>915</v>
      </c>
      <c r="C54" s="24" t="s">
        <v>1081</v>
      </c>
      <c r="D54" s="24" t="s">
        <v>917</v>
      </c>
    </row>
    <row r="55" spans="1:4" x14ac:dyDescent="0.25">
      <c r="A55" s="24" t="s">
        <v>1080</v>
      </c>
      <c r="B55" s="24" t="s">
        <v>915</v>
      </c>
      <c r="C55" s="24" t="s">
        <v>1079</v>
      </c>
      <c r="D55" s="24" t="s">
        <v>1078</v>
      </c>
    </row>
    <row r="56" spans="1:4" x14ac:dyDescent="0.25">
      <c r="A56" s="24" t="s">
        <v>1077</v>
      </c>
      <c r="B56" s="24" t="s">
        <v>915</v>
      </c>
      <c r="C56" s="24" t="s">
        <v>1076</v>
      </c>
      <c r="D56" s="24" t="s">
        <v>913</v>
      </c>
    </row>
    <row r="57" spans="1:4" x14ac:dyDescent="0.25">
      <c r="A57" s="24" t="s">
        <v>1075</v>
      </c>
      <c r="B57" s="24" t="s">
        <v>915</v>
      </c>
      <c r="C57" s="24" t="s">
        <v>1074</v>
      </c>
      <c r="D57" s="24" t="s">
        <v>913</v>
      </c>
    </row>
    <row r="58" spans="1:4" x14ac:dyDescent="0.25">
      <c r="A58" s="24" t="s">
        <v>1073</v>
      </c>
      <c r="B58" s="24" t="s">
        <v>915</v>
      </c>
      <c r="C58" s="24" t="s">
        <v>1072</v>
      </c>
      <c r="D58" s="24" t="s">
        <v>913</v>
      </c>
    </row>
    <row r="59" spans="1:4" x14ac:dyDescent="0.25">
      <c r="A59" s="24" t="s">
        <v>1071</v>
      </c>
      <c r="B59" s="24" t="s">
        <v>915</v>
      </c>
      <c r="C59" s="24" t="s">
        <v>1070</v>
      </c>
      <c r="D59" s="24" t="s">
        <v>913</v>
      </c>
    </row>
    <row r="60" spans="1:4" x14ac:dyDescent="0.25">
      <c r="A60" s="24" t="s">
        <v>1069</v>
      </c>
      <c r="B60" s="24" t="s">
        <v>915</v>
      </c>
      <c r="C60" s="24" t="s">
        <v>1068</v>
      </c>
      <c r="D60" s="24" t="s">
        <v>913</v>
      </c>
    </row>
    <row r="61" spans="1:4" x14ac:dyDescent="0.25">
      <c r="A61" s="24" t="s">
        <v>1067</v>
      </c>
      <c r="B61" s="24" t="s">
        <v>915</v>
      </c>
      <c r="C61" s="24" t="s">
        <v>1066</v>
      </c>
      <c r="D61" s="24" t="s">
        <v>913</v>
      </c>
    </row>
    <row r="62" spans="1:4" x14ac:dyDescent="0.25">
      <c r="A62" s="24" t="s">
        <v>1065</v>
      </c>
      <c r="B62" s="24" t="s">
        <v>915</v>
      </c>
      <c r="C62" s="24" t="s">
        <v>1064</v>
      </c>
      <c r="D62" s="24" t="s">
        <v>917</v>
      </c>
    </row>
    <row r="63" spans="1:4" x14ac:dyDescent="0.25">
      <c r="A63" s="24" t="s">
        <v>1063</v>
      </c>
      <c r="B63" s="24" t="s">
        <v>915</v>
      </c>
      <c r="C63" s="24" t="s">
        <v>1062</v>
      </c>
      <c r="D63" s="24" t="s">
        <v>913</v>
      </c>
    </row>
    <row r="64" spans="1:4" x14ac:dyDescent="0.25">
      <c r="A64" s="24" t="s">
        <v>1061</v>
      </c>
      <c r="B64" s="24" t="s">
        <v>915</v>
      </c>
      <c r="C64" s="24" t="s">
        <v>1060</v>
      </c>
      <c r="D64" s="24" t="s">
        <v>913</v>
      </c>
    </row>
    <row r="65" spans="1:4" x14ac:dyDescent="0.25">
      <c r="A65" s="24" t="s">
        <v>1059</v>
      </c>
      <c r="B65" s="24" t="s">
        <v>915</v>
      </c>
      <c r="C65" s="24" t="s">
        <v>1058</v>
      </c>
      <c r="D65" s="24" t="s">
        <v>913</v>
      </c>
    </row>
    <row r="66" spans="1:4" x14ac:dyDescent="0.25">
      <c r="A66" s="24" t="s">
        <v>1057</v>
      </c>
      <c r="B66" s="24" t="s">
        <v>915</v>
      </c>
      <c r="C66" s="24" t="s">
        <v>1056</v>
      </c>
      <c r="D66" s="24" t="s">
        <v>917</v>
      </c>
    </row>
    <row r="67" spans="1:4" x14ac:dyDescent="0.25">
      <c r="A67" s="24" t="s">
        <v>1055</v>
      </c>
      <c r="B67" s="24" t="s">
        <v>915</v>
      </c>
      <c r="C67" s="24" t="s">
        <v>1054</v>
      </c>
      <c r="D67" s="24" t="s">
        <v>913</v>
      </c>
    </row>
    <row r="68" spans="1:4" x14ac:dyDescent="0.25">
      <c r="A68" s="24" t="s">
        <v>1053</v>
      </c>
      <c r="B68" s="24" t="s">
        <v>915</v>
      </c>
      <c r="C68" s="24" t="s">
        <v>1052</v>
      </c>
      <c r="D68" s="24" t="s">
        <v>917</v>
      </c>
    </row>
    <row r="69" spans="1:4" x14ac:dyDescent="0.25">
      <c r="A69" s="24" t="s">
        <v>1051</v>
      </c>
      <c r="B69" s="24" t="s">
        <v>915</v>
      </c>
      <c r="C69" s="24" t="s">
        <v>1050</v>
      </c>
      <c r="D69" s="24" t="s">
        <v>913</v>
      </c>
    </row>
    <row r="70" spans="1:4" x14ac:dyDescent="0.25">
      <c r="A70" s="24" t="s">
        <v>1049</v>
      </c>
      <c r="B70" s="24" t="s">
        <v>915</v>
      </c>
      <c r="C70" s="24" t="s">
        <v>1048</v>
      </c>
      <c r="D70" s="24" t="s">
        <v>913</v>
      </c>
    </row>
    <row r="71" spans="1:4" x14ac:dyDescent="0.25">
      <c r="A71" s="24" t="s">
        <v>1047</v>
      </c>
      <c r="B71" s="24" t="s">
        <v>915</v>
      </c>
      <c r="C71" s="24" t="s">
        <v>1046</v>
      </c>
      <c r="D71" s="24" t="s">
        <v>917</v>
      </c>
    </row>
    <row r="72" spans="1:4" x14ac:dyDescent="0.25">
      <c r="A72" s="24" t="s">
        <v>1045</v>
      </c>
      <c r="B72" s="24" t="s">
        <v>915</v>
      </c>
      <c r="C72" s="24" t="s">
        <v>1044</v>
      </c>
      <c r="D72" s="24" t="s">
        <v>913</v>
      </c>
    </row>
    <row r="73" spans="1:4" x14ac:dyDescent="0.25">
      <c r="A73" s="24" t="s">
        <v>1043</v>
      </c>
      <c r="B73" s="24" t="s">
        <v>915</v>
      </c>
      <c r="C73" s="24" t="s">
        <v>1042</v>
      </c>
      <c r="D73" s="24" t="s">
        <v>917</v>
      </c>
    </row>
    <row r="74" spans="1:4" x14ac:dyDescent="0.25">
      <c r="A74" s="24" t="s">
        <v>1041</v>
      </c>
      <c r="B74" s="24" t="s">
        <v>915</v>
      </c>
      <c r="C74" s="24" t="s">
        <v>1040</v>
      </c>
      <c r="D74" s="24" t="s">
        <v>917</v>
      </c>
    </row>
    <row r="75" spans="1:4" x14ac:dyDescent="0.25">
      <c r="A75" s="24" t="s">
        <v>1039</v>
      </c>
      <c r="B75" s="24" t="s">
        <v>915</v>
      </c>
      <c r="C75" s="24" t="s">
        <v>1038</v>
      </c>
      <c r="D75" s="24" t="s">
        <v>917</v>
      </c>
    </row>
    <row r="76" spans="1:4" x14ac:dyDescent="0.25">
      <c r="A76" s="24" t="s">
        <v>1037</v>
      </c>
      <c r="B76" s="24" t="s">
        <v>915</v>
      </c>
      <c r="C76" s="24" t="s">
        <v>1036</v>
      </c>
      <c r="D76" s="24" t="s">
        <v>917</v>
      </c>
    </row>
    <row r="77" spans="1:4" x14ac:dyDescent="0.25">
      <c r="A77" s="24" t="s">
        <v>1035</v>
      </c>
      <c r="B77" s="24" t="s">
        <v>915</v>
      </c>
      <c r="C77" s="24" t="s">
        <v>1034</v>
      </c>
      <c r="D77" s="24" t="s">
        <v>913</v>
      </c>
    </row>
    <row r="78" spans="1:4" x14ac:dyDescent="0.25">
      <c r="A78" s="24" t="s">
        <v>1033</v>
      </c>
      <c r="B78" s="24" t="s">
        <v>915</v>
      </c>
      <c r="C78" s="24" t="s">
        <v>1032</v>
      </c>
      <c r="D78" s="24" t="s">
        <v>913</v>
      </c>
    </row>
    <row r="79" spans="1:4" x14ac:dyDescent="0.25">
      <c r="A79" s="24" t="s">
        <v>1031</v>
      </c>
      <c r="B79" s="24" t="s">
        <v>915</v>
      </c>
      <c r="C79" s="24" t="s">
        <v>1030</v>
      </c>
      <c r="D79" s="24" t="s">
        <v>917</v>
      </c>
    </row>
    <row r="80" spans="1:4" x14ac:dyDescent="0.25">
      <c r="A80" s="24" t="s">
        <v>1029</v>
      </c>
      <c r="B80" s="24" t="s">
        <v>915</v>
      </c>
      <c r="C80" s="24" t="s">
        <v>1028</v>
      </c>
      <c r="D80" s="24" t="s">
        <v>917</v>
      </c>
    </row>
    <row r="81" spans="1:4" x14ac:dyDescent="0.25">
      <c r="A81" s="24" t="s">
        <v>1027</v>
      </c>
      <c r="B81" s="24" t="s">
        <v>915</v>
      </c>
      <c r="C81" s="24" t="s">
        <v>1026</v>
      </c>
      <c r="D81" s="24" t="s">
        <v>913</v>
      </c>
    </row>
    <row r="82" spans="1:4" x14ac:dyDescent="0.25">
      <c r="A82" s="24" t="s">
        <v>1025</v>
      </c>
      <c r="B82" s="24" t="s">
        <v>915</v>
      </c>
      <c r="C82" s="24" t="s">
        <v>1024</v>
      </c>
      <c r="D82" s="24" t="s">
        <v>913</v>
      </c>
    </row>
    <row r="83" spans="1:4" x14ac:dyDescent="0.25">
      <c r="A83" s="24" t="s">
        <v>1023</v>
      </c>
      <c r="B83" s="24" t="s">
        <v>915</v>
      </c>
      <c r="C83" s="24" t="s">
        <v>1022</v>
      </c>
      <c r="D83" s="24" t="s">
        <v>917</v>
      </c>
    </row>
    <row r="84" spans="1:4" x14ac:dyDescent="0.25">
      <c r="A84" s="24" t="s">
        <v>1021</v>
      </c>
      <c r="B84" s="24" t="s">
        <v>915</v>
      </c>
      <c r="C84" s="24" t="s">
        <v>1020</v>
      </c>
      <c r="D84" s="24" t="s">
        <v>913</v>
      </c>
    </row>
    <row r="85" spans="1:4" x14ac:dyDescent="0.25">
      <c r="A85" s="24" t="s">
        <v>1019</v>
      </c>
      <c r="B85" s="24" t="s">
        <v>915</v>
      </c>
      <c r="C85" s="24" t="s">
        <v>1018</v>
      </c>
      <c r="D85" s="24" t="s">
        <v>913</v>
      </c>
    </row>
    <row r="86" spans="1:4" x14ac:dyDescent="0.25">
      <c r="A86" s="24" t="s">
        <v>1017</v>
      </c>
      <c r="B86" s="24" t="s">
        <v>915</v>
      </c>
      <c r="C86" s="24" t="s">
        <v>1016</v>
      </c>
      <c r="D86" s="24" t="s">
        <v>913</v>
      </c>
    </row>
    <row r="87" spans="1:4" x14ac:dyDescent="0.25">
      <c r="A87" s="24" t="s">
        <v>1015</v>
      </c>
      <c r="B87" s="24" t="s">
        <v>915</v>
      </c>
      <c r="C87" s="24" t="s">
        <v>1014</v>
      </c>
      <c r="D87" s="24" t="s">
        <v>913</v>
      </c>
    </row>
    <row r="88" spans="1:4" x14ac:dyDescent="0.25">
      <c r="A88" s="24" t="s">
        <v>1013</v>
      </c>
      <c r="B88" s="24" t="s">
        <v>915</v>
      </c>
      <c r="C88" s="24" t="s">
        <v>1012</v>
      </c>
      <c r="D88" s="24" t="s">
        <v>913</v>
      </c>
    </row>
    <row r="89" spans="1:4" x14ac:dyDescent="0.25">
      <c r="A89" s="24" t="s">
        <v>1011</v>
      </c>
      <c r="B89" s="24" t="s">
        <v>915</v>
      </c>
      <c r="C89" s="24" t="s">
        <v>1010</v>
      </c>
      <c r="D89" s="24" t="s">
        <v>917</v>
      </c>
    </row>
    <row r="90" spans="1:4" x14ac:dyDescent="0.25">
      <c r="A90" s="24" t="s">
        <v>1009</v>
      </c>
      <c r="B90" s="24" t="s">
        <v>915</v>
      </c>
      <c r="C90" s="24" t="s">
        <v>1008</v>
      </c>
      <c r="D90" s="24" t="s">
        <v>917</v>
      </c>
    </row>
    <row r="91" spans="1:4" x14ac:dyDescent="0.25">
      <c r="A91" s="24" t="s">
        <v>1007</v>
      </c>
      <c r="B91" s="24" t="s">
        <v>915</v>
      </c>
      <c r="C91" s="24" t="s">
        <v>1006</v>
      </c>
      <c r="D91" s="24" t="s">
        <v>913</v>
      </c>
    </row>
    <row r="92" spans="1:4" x14ac:dyDescent="0.25">
      <c r="A92" s="24" t="s">
        <v>1005</v>
      </c>
      <c r="B92" s="24" t="s">
        <v>915</v>
      </c>
      <c r="C92" s="24" t="s">
        <v>1004</v>
      </c>
      <c r="D92" s="24" t="s">
        <v>917</v>
      </c>
    </row>
    <row r="93" spans="1:4" x14ac:dyDescent="0.25">
      <c r="A93" s="24" t="s">
        <v>1003</v>
      </c>
      <c r="B93" s="24" t="s">
        <v>915</v>
      </c>
      <c r="C93" s="24" t="s">
        <v>1002</v>
      </c>
      <c r="D93" s="24" t="s">
        <v>917</v>
      </c>
    </row>
    <row r="94" spans="1:4" x14ac:dyDescent="0.25">
      <c r="A94" s="24" t="s">
        <v>1001</v>
      </c>
      <c r="B94" s="24" t="s">
        <v>915</v>
      </c>
      <c r="C94" s="24" t="s">
        <v>1000</v>
      </c>
      <c r="D94" s="24" t="s">
        <v>913</v>
      </c>
    </row>
    <row r="95" spans="1:4" x14ac:dyDescent="0.25">
      <c r="A95" s="24" t="s">
        <v>999</v>
      </c>
      <c r="B95" s="24" t="s">
        <v>915</v>
      </c>
      <c r="C95" s="24" t="s">
        <v>998</v>
      </c>
      <c r="D95" s="24" t="s">
        <v>917</v>
      </c>
    </row>
    <row r="96" spans="1:4" x14ac:dyDescent="0.25">
      <c r="A96" s="24" t="s">
        <v>997</v>
      </c>
      <c r="B96" s="24" t="s">
        <v>915</v>
      </c>
      <c r="C96" s="24" t="s">
        <v>996</v>
      </c>
      <c r="D96" s="24" t="s">
        <v>917</v>
      </c>
    </row>
    <row r="97" spans="1:4" x14ac:dyDescent="0.25">
      <c r="A97" s="24" t="s">
        <v>995</v>
      </c>
      <c r="B97" s="24" t="s">
        <v>915</v>
      </c>
      <c r="C97" s="24" t="s">
        <v>994</v>
      </c>
      <c r="D97" s="24" t="s">
        <v>917</v>
      </c>
    </row>
    <row r="98" spans="1:4" x14ac:dyDescent="0.25">
      <c r="A98" s="24" t="s">
        <v>993</v>
      </c>
      <c r="B98" s="24" t="s">
        <v>915</v>
      </c>
      <c r="C98" s="24" t="s">
        <v>992</v>
      </c>
      <c r="D98" s="24" t="s">
        <v>913</v>
      </c>
    </row>
    <row r="99" spans="1:4" x14ac:dyDescent="0.25">
      <c r="A99" s="24" t="s">
        <v>991</v>
      </c>
      <c r="B99" s="24" t="s">
        <v>915</v>
      </c>
      <c r="C99" s="24" t="s">
        <v>990</v>
      </c>
      <c r="D99" s="24" t="s">
        <v>917</v>
      </c>
    </row>
    <row r="100" spans="1:4" x14ac:dyDescent="0.25">
      <c r="A100" s="24" t="s">
        <v>989</v>
      </c>
      <c r="B100" s="24" t="s">
        <v>915</v>
      </c>
      <c r="C100" s="24" t="s">
        <v>988</v>
      </c>
      <c r="D100" s="24" t="s">
        <v>913</v>
      </c>
    </row>
    <row r="101" spans="1:4" x14ac:dyDescent="0.25">
      <c r="A101" s="24" t="s">
        <v>987</v>
      </c>
      <c r="B101" s="24" t="s">
        <v>915</v>
      </c>
      <c r="C101" s="24" t="s">
        <v>986</v>
      </c>
      <c r="D101" s="24" t="s">
        <v>917</v>
      </c>
    </row>
    <row r="102" spans="1:4" x14ac:dyDescent="0.25">
      <c r="A102" s="24" t="s">
        <v>985</v>
      </c>
      <c r="B102" s="24" t="s">
        <v>915</v>
      </c>
      <c r="C102" s="24" t="s">
        <v>984</v>
      </c>
      <c r="D102" s="24" t="s">
        <v>917</v>
      </c>
    </row>
    <row r="103" spans="1:4" x14ac:dyDescent="0.25">
      <c r="A103" s="24" t="s">
        <v>983</v>
      </c>
      <c r="B103" s="24" t="s">
        <v>915</v>
      </c>
      <c r="C103" s="24" t="s">
        <v>982</v>
      </c>
      <c r="D103" s="24" t="s">
        <v>913</v>
      </c>
    </row>
    <row r="104" spans="1:4" x14ac:dyDescent="0.25">
      <c r="A104" s="24" t="s">
        <v>981</v>
      </c>
      <c r="B104" s="24" t="s">
        <v>915</v>
      </c>
      <c r="C104" s="24" t="s">
        <v>980</v>
      </c>
      <c r="D104" s="24" t="s">
        <v>913</v>
      </c>
    </row>
    <row r="105" spans="1:4" x14ac:dyDescent="0.25">
      <c r="A105" s="24" t="s">
        <v>979</v>
      </c>
      <c r="B105" s="24" t="s">
        <v>915</v>
      </c>
      <c r="C105" s="24" t="s">
        <v>978</v>
      </c>
      <c r="D105" s="24" t="s">
        <v>917</v>
      </c>
    </row>
    <row r="106" spans="1:4" x14ac:dyDescent="0.25">
      <c r="A106" s="24" t="s">
        <v>977</v>
      </c>
      <c r="B106" s="24" t="s">
        <v>915</v>
      </c>
      <c r="C106" s="24" t="s">
        <v>976</v>
      </c>
      <c r="D106" s="24" t="s">
        <v>913</v>
      </c>
    </row>
    <row r="107" spans="1:4" x14ac:dyDescent="0.25">
      <c r="A107" s="24" t="s">
        <v>975</v>
      </c>
      <c r="B107" s="24" t="s">
        <v>915</v>
      </c>
      <c r="C107" s="24" t="s">
        <v>974</v>
      </c>
      <c r="D107" s="24" t="s">
        <v>917</v>
      </c>
    </row>
    <row r="108" spans="1:4" x14ac:dyDescent="0.25">
      <c r="A108" s="24" t="s">
        <v>973</v>
      </c>
      <c r="B108" s="24" t="s">
        <v>915</v>
      </c>
      <c r="C108" s="24" t="s">
        <v>972</v>
      </c>
      <c r="D108" s="24" t="s">
        <v>917</v>
      </c>
    </row>
    <row r="109" spans="1:4" x14ac:dyDescent="0.25">
      <c r="A109" s="24" t="s">
        <v>971</v>
      </c>
      <c r="B109" s="24" t="s">
        <v>915</v>
      </c>
      <c r="C109" s="24" t="s">
        <v>970</v>
      </c>
      <c r="D109" s="24" t="s">
        <v>917</v>
      </c>
    </row>
    <row r="110" spans="1:4" x14ac:dyDescent="0.25">
      <c r="A110" s="24" t="s">
        <v>969</v>
      </c>
      <c r="B110" s="24" t="s">
        <v>915</v>
      </c>
      <c r="C110" s="24" t="s">
        <v>968</v>
      </c>
      <c r="D110" s="24" t="s">
        <v>917</v>
      </c>
    </row>
    <row r="111" spans="1:4" x14ac:dyDescent="0.25">
      <c r="A111" s="24" t="s">
        <v>967</v>
      </c>
      <c r="B111" s="24" t="s">
        <v>915</v>
      </c>
      <c r="C111" s="24" t="s">
        <v>966</v>
      </c>
      <c r="D111" s="24" t="s">
        <v>917</v>
      </c>
    </row>
    <row r="112" spans="1:4" x14ac:dyDescent="0.25">
      <c r="A112" s="24" t="s">
        <v>965</v>
      </c>
      <c r="B112" s="24" t="s">
        <v>915</v>
      </c>
      <c r="C112" s="24" t="s">
        <v>964</v>
      </c>
      <c r="D112" s="24" t="s">
        <v>917</v>
      </c>
    </row>
    <row r="113" spans="1:4" x14ac:dyDescent="0.25">
      <c r="A113" s="24" t="s">
        <v>963</v>
      </c>
      <c r="B113" s="24" t="s">
        <v>915</v>
      </c>
      <c r="C113" s="24" t="s">
        <v>962</v>
      </c>
      <c r="D113" s="24" t="s">
        <v>917</v>
      </c>
    </row>
    <row r="114" spans="1:4" x14ac:dyDescent="0.25">
      <c r="A114" s="24" t="s">
        <v>961</v>
      </c>
      <c r="B114" s="24" t="s">
        <v>915</v>
      </c>
      <c r="C114" s="24" t="s">
        <v>960</v>
      </c>
      <c r="D114" s="24" t="s">
        <v>913</v>
      </c>
    </row>
    <row r="115" spans="1:4" x14ac:dyDescent="0.25">
      <c r="A115" s="24" t="s">
        <v>959</v>
      </c>
      <c r="B115" s="24" t="s">
        <v>915</v>
      </c>
      <c r="C115" s="24" t="s">
        <v>958</v>
      </c>
      <c r="D115" s="24" t="s">
        <v>913</v>
      </c>
    </row>
    <row r="116" spans="1:4" x14ac:dyDescent="0.25">
      <c r="A116" s="24" t="s">
        <v>957</v>
      </c>
      <c r="B116" s="24" t="s">
        <v>915</v>
      </c>
      <c r="C116" s="24" t="s">
        <v>956</v>
      </c>
      <c r="D116" s="24" t="s">
        <v>917</v>
      </c>
    </row>
    <row r="117" spans="1:4" x14ac:dyDescent="0.25">
      <c r="A117" s="24" t="s">
        <v>955</v>
      </c>
      <c r="B117" s="24" t="s">
        <v>915</v>
      </c>
      <c r="C117" s="24" t="s">
        <v>954</v>
      </c>
      <c r="D117" s="24" t="s">
        <v>917</v>
      </c>
    </row>
    <row r="118" spans="1:4" x14ac:dyDescent="0.25">
      <c r="A118" s="24" t="s">
        <v>953</v>
      </c>
      <c r="B118" s="24" t="s">
        <v>915</v>
      </c>
      <c r="C118" s="24" t="s">
        <v>952</v>
      </c>
      <c r="D118" s="24" t="s">
        <v>917</v>
      </c>
    </row>
    <row r="119" spans="1:4" x14ac:dyDescent="0.25">
      <c r="A119" s="24" t="s">
        <v>951</v>
      </c>
      <c r="B119" s="24" t="s">
        <v>915</v>
      </c>
      <c r="C119" s="24" t="s">
        <v>950</v>
      </c>
      <c r="D119" s="24" t="s">
        <v>913</v>
      </c>
    </row>
    <row r="120" spans="1:4" x14ac:dyDescent="0.25">
      <c r="A120" s="24" t="s">
        <v>949</v>
      </c>
      <c r="B120" s="24" t="s">
        <v>915</v>
      </c>
      <c r="C120" s="24" t="s">
        <v>948</v>
      </c>
      <c r="D120" s="24" t="s">
        <v>917</v>
      </c>
    </row>
    <row r="121" spans="1:4" x14ac:dyDescent="0.25">
      <c r="A121" s="24" t="s">
        <v>947</v>
      </c>
      <c r="B121" s="24" t="s">
        <v>915</v>
      </c>
      <c r="C121" s="24" t="s">
        <v>946</v>
      </c>
      <c r="D121" s="24" t="s">
        <v>917</v>
      </c>
    </row>
    <row r="122" spans="1:4" x14ac:dyDescent="0.25">
      <c r="A122" s="24" t="s">
        <v>945</v>
      </c>
      <c r="B122" s="24" t="s">
        <v>915</v>
      </c>
      <c r="C122" s="24" t="s">
        <v>944</v>
      </c>
      <c r="D122" s="24" t="s">
        <v>913</v>
      </c>
    </row>
    <row r="123" spans="1:4" x14ac:dyDescent="0.25">
      <c r="A123" s="24" t="s">
        <v>943</v>
      </c>
      <c r="B123" s="24" t="s">
        <v>915</v>
      </c>
      <c r="C123" s="24" t="s">
        <v>942</v>
      </c>
      <c r="D123" s="24" t="s">
        <v>913</v>
      </c>
    </row>
    <row r="124" spans="1:4" x14ac:dyDescent="0.25">
      <c r="A124" s="24" t="s">
        <v>941</v>
      </c>
      <c r="B124" s="24" t="s">
        <v>915</v>
      </c>
      <c r="C124" s="24" t="s">
        <v>940</v>
      </c>
      <c r="D124" s="24" t="s">
        <v>913</v>
      </c>
    </row>
    <row r="125" spans="1:4" x14ac:dyDescent="0.25">
      <c r="A125" s="24" t="s">
        <v>939</v>
      </c>
      <c r="B125" s="24" t="s">
        <v>915</v>
      </c>
      <c r="C125" s="24" t="s">
        <v>938</v>
      </c>
      <c r="D125" s="24" t="s">
        <v>913</v>
      </c>
    </row>
    <row r="126" spans="1:4" x14ac:dyDescent="0.25">
      <c r="A126" s="24" t="s">
        <v>937</v>
      </c>
      <c r="B126" s="24" t="s">
        <v>915</v>
      </c>
      <c r="C126" s="24" t="s">
        <v>936</v>
      </c>
      <c r="D126" s="24" t="s">
        <v>917</v>
      </c>
    </row>
    <row r="127" spans="1:4" x14ac:dyDescent="0.25">
      <c r="A127" s="24" t="s">
        <v>935</v>
      </c>
      <c r="B127" s="24" t="s">
        <v>915</v>
      </c>
      <c r="C127" s="24" t="s">
        <v>934</v>
      </c>
      <c r="D127" s="24" t="s">
        <v>913</v>
      </c>
    </row>
    <row r="128" spans="1:4" x14ac:dyDescent="0.25">
      <c r="A128" s="24" t="s">
        <v>933</v>
      </c>
      <c r="B128" s="24" t="s">
        <v>915</v>
      </c>
      <c r="C128" s="24" t="s">
        <v>932</v>
      </c>
      <c r="D128" s="24" t="s">
        <v>913</v>
      </c>
    </row>
    <row r="129" spans="1:4" x14ac:dyDescent="0.25">
      <c r="A129" s="24" t="s">
        <v>931</v>
      </c>
      <c r="B129" s="24" t="s">
        <v>915</v>
      </c>
      <c r="C129" s="24" t="s">
        <v>930</v>
      </c>
      <c r="D129" s="24" t="s">
        <v>913</v>
      </c>
    </row>
    <row r="130" spans="1:4" x14ac:dyDescent="0.25">
      <c r="A130" s="24" t="s">
        <v>929</v>
      </c>
      <c r="B130" s="24" t="s">
        <v>915</v>
      </c>
      <c r="C130" s="24" t="s">
        <v>928</v>
      </c>
      <c r="D130" s="24" t="s">
        <v>917</v>
      </c>
    </row>
    <row r="131" spans="1:4" x14ac:dyDescent="0.25">
      <c r="A131" s="24" t="s">
        <v>927</v>
      </c>
      <c r="B131" s="24" t="s">
        <v>915</v>
      </c>
      <c r="C131" s="24" t="s">
        <v>926</v>
      </c>
      <c r="D131" s="24" t="s">
        <v>913</v>
      </c>
    </row>
    <row r="132" spans="1:4" x14ac:dyDescent="0.25">
      <c r="A132" s="24" t="s">
        <v>925</v>
      </c>
      <c r="B132" s="24" t="s">
        <v>915</v>
      </c>
      <c r="C132" s="24" t="s">
        <v>924</v>
      </c>
      <c r="D132" s="24" t="s">
        <v>917</v>
      </c>
    </row>
    <row r="133" spans="1:4" x14ac:dyDescent="0.25">
      <c r="A133" s="24" t="s">
        <v>923</v>
      </c>
      <c r="B133" s="24" t="s">
        <v>915</v>
      </c>
      <c r="C133" s="24" t="s">
        <v>922</v>
      </c>
      <c r="D133" s="24" t="s">
        <v>913</v>
      </c>
    </row>
    <row r="134" spans="1:4" x14ac:dyDescent="0.25">
      <c r="A134" s="24" t="s">
        <v>921</v>
      </c>
      <c r="B134" s="24" t="s">
        <v>915</v>
      </c>
      <c r="C134" s="24" t="s">
        <v>920</v>
      </c>
      <c r="D134" s="24" t="s">
        <v>913</v>
      </c>
    </row>
    <row r="135" spans="1:4" x14ac:dyDescent="0.25">
      <c r="A135" s="24" t="s">
        <v>919</v>
      </c>
      <c r="B135" s="24" t="s">
        <v>915</v>
      </c>
      <c r="C135" s="24" t="s">
        <v>918</v>
      </c>
      <c r="D135" s="24" t="s">
        <v>917</v>
      </c>
    </row>
    <row r="136" spans="1:4" x14ac:dyDescent="0.25">
      <c r="A136" s="24" t="s">
        <v>916</v>
      </c>
      <c r="B136" s="24" t="s">
        <v>915</v>
      </c>
      <c r="C136" s="24" t="s">
        <v>914</v>
      </c>
      <c r="D136" s="24" t="s">
        <v>913</v>
      </c>
    </row>
    <row r="137" spans="1:4" x14ac:dyDescent="0.25">
      <c r="A137" s="24" t="s">
        <v>912</v>
      </c>
      <c r="B137" s="24" t="s">
        <v>908</v>
      </c>
      <c r="C137" s="24" t="s">
        <v>906</v>
      </c>
    </row>
    <row r="138" spans="1:4" x14ac:dyDescent="0.25">
      <c r="A138" s="24" t="s">
        <v>911</v>
      </c>
      <c r="B138" s="24" t="s">
        <v>908</v>
      </c>
      <c r="C138" s="24" t="s">
        <v>900</v>
      </c>
    </row>
    <row r="139" spans="1:4" x14ac:dyDescent="0.25">
      <c r="A139" s="24" t="s">
        <v>910</v>
      </c>
      <c r="B139" s="24" t="s">
        <v>908</v>
      </c>
      <c r="C139" s="24" t="s">
        <v>866</v>
      </c>
    </row>
    <row r="140" spans="1:4" x14ac:dyDescent="0.25">
      <c r="A140" s="24" t="s">
        <v>909</v>
      </c>
      <c r="B140" s="24" t="s">
        <v>908</v>
      </c>
      <c r="C140" s="24" t="s">
        <v>904</v>
      </c>
    </row>
    <row r="141" spans="1:4" x14ac:dyDescent="0.25">
      <c r="A141" s="24" t="s">
        <v>907</v>
      </c>
      <c r="B141" s="24" t="s">
        <v>901</v>
      </c>
      <c r="C141" s="24" t="s">
        <v>906</v>
      </c>
    </row>
    <row r="142" spans="1:4" x14ac:dyDescent="0.25">
      <c r="A142" s="24" t="s">
        <v>905</v>
      </c>
      <c r="B142" s="24" t="s">
        <v>901</v>
      </c>
      <c r="C142" s="24" t="s">
        <v>904</v>
      </c>
    </row>
    <row r="143" spans="1:4" x14ac:dyDescent="0.25">
      <c r="A143" s="24" t="s">
        <v>903</v>
      </c>
      <c r="B143" s="24" t="s">
        <v>901</v>
      </c>
      <c r="C143" s="24" t="s">
        <v>866</v>
      </c>
    </row>
    <row r="144" spans="1:4" x14ac:dyDescent="0.25">
      <c r="A144" s="24" t="s">
        <v>902</v>
      </c>
      <c r="B144" s="24" t="s">
        <v>901</v>
      </c>
      <c r="C144" s="24" t="s">
        <v>900</v>
      </c>
    </row>
    <row r="145" spans="1:3" x14ac:dyDescent="0.25">
      <c r="A145" s="24" t="s">
        <v>899</v>
      </c>
      <c r="B145" s="24" t="s">
        <v>898</v>
      </c>
      <c r="C145" s="24" t="s">
        <v>897</v>
      </c>
    </row>
    <row r="146" spans="1:3" x14ac:dyDescent="0.25">
      <c r="A146" s="24" t="s">
        <v>896</v>
      </c>
      <c r="B146" s="24" t="s">
        <v>895</v>
      </c>
      <c r="C146" s="24" t="s">
        <v>894</v>
      </c>
    </row>
    <row r="147" spans="1:3" x14ac:dyDescent="0.25">
      <c r="A147" s="24" t="s">
        <v>893</v>
      </c>
      <c r="B147" s="24" t="s">
        <v>869</v>
      </c>
      <c r="C147" s="24" t="s">
        <v>892</v>
      </c>
    </row>
    <row r="148" spans="1:3" x14ac:dyDescent="0.25">
      <c r="A148" s="24" t="s">
        <v>891</v>
      </c>
      <c r="B148" s="24" t="s">
        <v>869</v>
      </c>
      <c r="C148" s="24" t="s">
        <v>890</v>
      </c>
    </row>
    <row r="149" spans="1:3" x14ac:dyDescent="0.25">
      <c r="A149" s="24" t="s">
        <v>889</v>
      </c>
      <c r="B149" s="24" t="s">
        <v>869</v>
      </c>
      <c r="C149" s="24" t="s">
        <v>888</v>
      </c>
    </row>
    <row r="150" spans="1:3" x14ac:dyDescent="0.25">
      <c r="A150" s="24" t="s">
        <v>887</v>
      </c>
      <c r="B150" s="24" t="s">
        <v>869</v>
      </c>
      <c r="C150" s="24" t="s">
        <v>886</v>
      </c>
    </row>
    <row r="151" spans="1:3" x14ac:dyDescent="0.25">
      <c r="A151" s="24" t="s">
        <v>885</v>
      </c>
      <c r="B151" s="24" t="s">
        <v>869</v>
      </c>
      <c r="C151" s="24" t="s">
        <v>884</v>
      </c>
    </row>
    <row r="152" spans="1:3" x14ac:dyDescent="0.25">
      <c r="A152" s="24" t="s">
        <v>883</v>
      </c>
      <c r="B152" s="24" t="s">
        <v>869</v>
      </c>
      <c r="C152" s="24" t="s">
        <v>882</v>
      </c>
    </row>
    <row r="153" spans="1:3" x14ac:dyDescent="0.25">
      <c r="A153" s="24" t="s">
        <v>881</v>
      </c>
      <c r="B153" s="24" t="s">
        <v>869</v>
      </c>
      <c r="C153" s="24" t="s">
        <v>880</v>
      </c>
    </row>
    <row r="154" spans="1:3" x14ac:dyDescent="0.25">
      <c r="A154" s="24" t="s">
        <v>879</v>
      </c>
      <c r="B154" s="24" t="s">
        <v>869</v>
      </c>
      <c r="C154" s="24" t="s">
        <v>878</v>
      </c>
    </row>
    <row r="155" spans="1:3" x14ac:dyDescent="0.25">
      <c r="A155" s="24" t="s">
        <v>877</v>
      </c>
      <c r="B155" s="24" t="s">
        <v>869</v>
      </c>
      <c r="C155" s="24" t="s">
        <v>876</v>
      </c>
    </row>
    <row r="156" spans="1:3" x14ac:dyDescent="0.25">
      <c r="A156" s="24" t="s">
        <v>875</v>
      </c>
      <c r="B156" s="24" t="s">
        <v>869</v>
      </c>
      <c r="C156" s="24" t="s">
        <v>874</v>
      </c>
    </row>
    <row r="157" spans="1:3" x14ac:dyDescent="0.25">
      <c r="A157" s="24" t="s">
        <v>873</v>
      </c>
      <c r="B157" s="24" t="s">
        <v>869</v>
      </c>
      <c r="C157" s="24" t="s">
        <v>866</v>
      </c>
    </row>
    <row r="158" spans="1:3" x14ac:dyDescent="0.25">
      <c r="A158" s="24" t="s">
        <v>872</v>
      </c>
      <c r="B158" s="24" t="s">
        <v>869</v>
      </c>
      <c r="C158" s="24" t="s">
        <v>871</v>
      </c>
    </row>
    <row r="159" spans="1:3" x14ac:dyDescent="0.25">
      <c r="A159" s="24" t="s">
        <v>870</v>
      </c>
      <c r="B159" s="24" t="s">
        <v>869</v>
      </c>
      <c r="C159" s="24" t="s">
        <v>868</v>
      </c>
    </row>
    <row r="160" spans="1:3" x14ac:dyDescent="0.25">
      <c r="A160" s="24" t="s">
        <v>867</v>
      </c>
      <c r="B160" s="24" t="s">
        <v>848</v>
      </c>
      <c r="C160" s="24" t="s">
        <v>866</v>
      </c>
    </row>
    <row r="161" spans="1:3" x14ac:dyDescent="0.25">
      <c r="A161" s="24" t="s">
        <v>865</v>
      </c>
      <c r="B161" s="24" t="s">
        <v>848</v>
      </c>
      <c r="C161" s="24" t="s">
        <v>842</v>
      </c>
    </row>
    <row r="162" spans="1:3" x14ac:dyDescent="0.25">
      <c r="A162" s="24" t="s">
        <v>864</v>
      </c>
      <c r="B162" s="24" t="s">
        <v>848</v>
      </c>
      <c r="C162" s="24" t="s">
        <v>845</v>
      </c>
    </row>
    <row r="163" spans="1:3" x14ac:dyDescent="0.25">
      <c r="A163" s="24" t="s">
        <v>863</v>
      </c>
      <c r="B163" s="24" t="s">
        <v>848</v>
      </c>
      <c r="C163" s="24" t="s">
        <v>862</v>
      </c>
    </row>
    <row r="164" spans="1:3" x14ac:dyDescent="0.25">
      <c r="A164" s="24" t="s">
        <v>861</v>
      </c>
      <c r="B164" s="24" t="s">
        <v>848</v>
      </c>
      <c r="C164" s="24" t="s">
        <v>744</v>
      </c>
    </row>
    <row r="165" spans="1:3" x14ac:dyDescent="0.25">
      <c r="A165" s="24" t="s">
        <v>860</v>
      </c>
      <c r="B165" s="24" t="s">
        <v>848</v>
      </c>
      <c r="C165" s="24" t="s">
        <v>747</v>
      </c>
    </row>
    <row r="166" spans="1:3" x14ac:dyDescent="0.25">
      <c r="A166" s="24" t="s">
        <v>859</v>
      </c>
      <c r="B166" s="24" t="s">
        <v>848</v>
      </c>
      <c r="C166" s="24" t="s">
        <v>755</v>
      </c>
    </row>
    <row r="167" spans="1:3" x14ac:dyDescent="0.25">
      <c r="A167" s="24" t="s">
        <v>858</v>
      </c>
      <c r="B167" s="24" t="s">
        <v>848</v>
      </c>
      <c r="C167" s="24" t="s">
        <v>746</v>
      </c>
    </row>
    <row r="168" spans="1:3" x14ac:dyDescent="0.25">
      <c r="A168" s="24" t="s">
        <v>857</v>
      </c>
      <c r="B168" s="24" t="s">
        <v>848</v>
      </c>
      <c r="C168" s="24" t="s">
        <v>856</v>
      </c>
    </row>
    <row r="169" spans="1:3" x14ac:dyDescent="0.25">
      <c r="A169" s="24" t="s">
        <v>855</v>
      </c>
      <c r="B169" s="24" t="s">
        <v>848</v>
      </c>
      <c r="C169" s="24" t="s">
        <v>854</v>
      </c>
    </row>
    <row r="170" spans="1:3" x14ac:dyDescent="0.25">
      <c r="A170" s="24" t="s">
        <v>853</v>
      </c>
      <c r="B170" s="24" t="s">
        <v>848</v>
      </c>
      <c r="C170" s="24" t="s">
        <v>852</v>
      </c>
    </row>
    <row r="171" spans="1:3" x14ac:dyDescent="0.25">
      <c r="A171" s="24" t="s">
        <v>851</v>
      </c>
      <c r="B171" s="24" t="s">
        <v>848</v>
      </c>
      <c r="C171" s="24" t="s">
        <v>850</v>
      </c>
    </row>
    <row r="172" spans="1:3" x14ac:dyDescent="0.25">
      <c r="A172" s="24" t="s">
        <v>849</v>
      </c>
      <c r="B172" s="24" t="s">
        <v>848</v>
      </c>
      <c r="C172" s="24" t="s">
        <v>3</v>
      </c>
    </row>
    <row r="173" spans="1:3" x14ac:dyDescent="0.25">
      <c r="A173" s="24" t="s">
        <v>358</v>
      </c>
      <c r="B173" s="24" t="s">
        <v>847</v>
      </c>
      <c r="C173" s="24" t="s">
        <v>80</v>
      </c>
    </row>
    <row r="174" spans="1:3" x14ac:dyDescent="0.25">
      <c r="A174" s="24" t="s">
        <v>404</v>
      </c>
      <c r="B174" s="24" t="s">
        <v>847</v>
      </c>
      <c r="C174" s="24" t="s">
        <v>100</v>
      </c>
    </row>
    <row r="175" spans="1:3" x14ac:dyDescent="0.25">
      <c r="A175" s="24" t="s">
        <v>190</v>
      </c>
      <c r="B175" s="24" t="s">
        <v>847</v>
      </c>
      <c r="C175" s="24" t="s">
        <v>5</v>
      </c>
    </row>
    <row r="176" spans="1:3" x14ac:dyDescent="0.25">
      <c r="A176" s="24" t="s">
        <v>512</v>
      </c>
      <c r="B176" s="24" t="s">
        <v>847</v>
      </c>
      <c r="C176" s="24" t="s">
        <v>511</v>
      </c>
    </row>
    <row r="177" spans="1:3" x14ac:dyDescent="0.25">
      <c r="A177" s="24" t="s">
        <v>407</v>
      </c>
      <c r="B177" s="24" t="s">
        <v>847</v>
      </c>
      <c r="C177" s="24" t="s">
        <v>101</v>
      </c>
    </row>
    <row r="178" spans="1:3" x14ac:dyDescent="0.25">
      <c r="A178" s="24" t="s">
        <v>193</v>
      </c>
      <c r="B178" s="24" t="s">
        <v>847</v>
      </c>
      <c r="C178" s="24" t="s">
        <v>6</v>
      </c>
    </row>
    <row r="179" spans="1:3" x14ac:dyDescent="0.25">
      <c r="A179" s="24" t="s">
        <v>516</v>
      </c>
      <c r="B179" s="24" t="s">
        <v>847</v>
      </c>
      <c r="C179" s="24" t="s">
        <v>515</v>
      </c>
    </row>
    <row r="180" spans="1:3" x14ac:dyDescent="0.25">
      <c r="A180" s="24" t="s">
        <v>286</v>
      </c>
      <c r="B180" s="24" t="s">
        <v>847</v>
      </c>
      <c r="C180" s="24" t="s">
        <v>46</v>
      </c>
    </row>
    <row r="181" spans="1:3" x14ac:dyDescent="0.25">
      <c r="A181" s="24" t="s">
        <v>289</v>
      </c>
      <c r="B181" s="24" t="s">
        <v>847</v>
      </c>
      <c r="C181" s="24" t="s">
        <v>47</v>
      </c>
    </row>
    <row r="182" spans="1:3" x14ac:dyDescent="0.25">
      <c r="A182" s="24" t="s">
        <v>409</v>
      </c>
      <c r="B182" s="24" t="s">
        <v>847</v>
      </c>
      <c r="C182" s="24" t="s">
        <v>102</v>
      </c>
    </row>
    <row r="183" spans="1:3" x14ac:dyDescent="0.25">
      <c r="A183" s="24" t="s">
        <v>519</v>
      </c>
      <c r="B183" s="24" t="s">
        <v>847</v>
      </c>
      <c r="C183" s="24" t="s">
        <v>518</v>
      </c>
    </row>
    <row r="184" spans="1:3" x14ac:dyDescent="0.25">
      <c r="A184" s="24" t="s">
        <v>683</v>
      </c>
      <c r="B184" s="24" t="s">
        <v>847</v>
      </c>
      <c r="C184" s="24" t="s">
        <v>161</v>
      </c>
    </row>
    <row r="185" spans="1:3" x14ac:dyDescent="0.25">
      <c r="A185" s="24" t="s">
        <v>411</v>
      </c>
      <c r="B185" s="24" t="s">
        <v>847</v>
      </c>
      <c r="C185" s="24" t="s">
        <v>103</v>
      </c>
    </row>
    <row r="186" spans="1:3" x14ac:dyDescent="0.25">
      <c r="A186" s="24" t="s">
        <v>413</v>
      </c>
      <c r="B186" s="24" t="s">
        <v>847</v>
      </c>
      <c r="C186" s="24" t="s">
        <v>104</v>
      </c>
    </row>
    <row r="187" spans="1:3" x14ac:dyDescent="0.25">
      <c r="A187" s="24" t="s">
        <v>292</v>
      </c>
      <c r="B187" s="24" t="s">
        <v>847</v>
      </c>
      <c r="C187" s="24" t="s">
        <v>291</v>
      </c>
    </row>
    <row r="188" spans="1:3" x14ac:dyDescent="0.25">
      <c r="A188" s="24" t="s">
        <v>361</v>
      </c>
      <c r="B188" s="24" t="s">
        <v>847</v>
      </c>
      <c r="C188" s="24" t="s">
        <v>81</v>
      </c>
    </row>
    <row r="189" spans="1:3" x14ac:dyDescent="0.25">
      <c r="A189" s="24" t="s">
        <v>765</v>
      </c>
      <c r="B189" s="24" t="s">
        <v>847</v>
      </c>
      <c r="C189" s="24" t="s">
        <v>150</v>
      </c>
    </row>
    <row r="190" spans="1:3" x14ac:dyDescent="0.25">
      <c r="A190" s="24" t="s">
        <v>294</v>
      </c>
      <c r="B190" s="24" t="s">
        <v>847</v>
      </c>
      <c r="C190" s="24" t="s">
        <v>48</v>
      </c>
    </row>
    <row r="191" spans="1:3" x14ac:dyDescent="0.25">
      <c r="A191" s="24" t="s">
        <v>415</v>
      </c>
      <c r="B191" s="24" t="s">
        <v>847</v>
      </c>
      <c r="C191" s="24" t="s">
        <v>105</v>
      </c>
    </row>
    <row r="192" spans="1:3" x14ac:dyDescent="0.25">
      <c r="A192" s="24" t="s">
        <v>417</v>
      </c>
      <c r="B192" s="24" t="s">
        <v>847</v>
      </c>
      <c r="C192" s="24" t="s">
        <v>106</v>
      </c>
    </row>
    <row r="193" spans="1:3" x14ac:dyDescent="0.25">
      <c r="A193" s="24" t="s">
        <v>296</v>
      </c>
      <c r="B193" s="24" t="s">
        <v>847</v>
      </c>
      <c r="C193" s="24" t="s">
        <v>49</v>
      </c>
    </row>
    <row r="194" spans="1:3" x14ac:dyDescent="0.25">
      <c r="A194" s="24" t="s">
        <v>8</v>
      </c>
      <c r="B194" s="24" t="s">
        <v>847</v>
      </c>
      <c r="C194" s="24" t="s">
        <v>7</v>
      </c>
    </row>
    <row r="195" spans="1:3" x14ac:dyDescent="0.25">
      <c r="A195" s="24" t="s">
        <v>522</v>
      </c>
      <c r="B195" s="24" t="s">
        <v>847</v>
      </c>
      <c r="C195" s="24" t="s">
        <v>521</v>
      </c>
    </row>
    <row r="196" spans="1:3" x14ac:dyDescent="0.25">
      <c r="A196" s="24" t="s">
        <v>663</v>
      </c>
      <c r="B196" s="24" t="s">
        <v>847</v>
      </c>
      <c r="C196" s="24" t="s">
        <v>151</v>
      </c>
    </row>
    <row r="197" spans="1:3" x14ac:dyDescent="0.25">
      <c r="A197" s="24" t="s">
        <v>298</v>
      </c>
      <c r="B197" s="24" t="s">
        <v>847</v>
      </c>
      <c r="C197" s="24" t="s">
        <v>50</v>
      </c>
    </row>
    <row r="198" spans="1:3" x14ac:dyDescent="0.25">
      <c r="A198" s="24" t="s">
        <v>525</v>
      </c>
      <c r="B198" s="24" t="s">
        <v>847</v>
      </c>
      <c r="C198" s="24" t="s">
        <v>524</v>
      </c>
    </row>
    <row r="199" spans="1:3" x14ac:dyDescent="0.25">
      <c r="A199" s="24" t="s">
        <v>419</v>
      </c>
      <c r="B199" s="24" t="s">
        <v>847</v>
      </c>
      <c r="C199" s="24" t="s">
        <v>107</v>
      </c>
    </row>
    <row r="200" spans="1:3" x14ac:dyDescent="0.25">
      <c r="A200" s="24" t="s">
        <v>196</v>
      </c>
      <c r="B200" s="24" t="s">
        <v>847</v>
      </c>
      <c r="C200" s="24" t="s">
        <v>9</v>
      </c>
    </row>
    <row r="201" spans="1:3" x14ac:dyDescent="0.25">
      <c r="A201" s="24" t="s">
        <v>767</v>
      </c>
      <c r="B201" s="24" t="s">
        <v>847</v>
      </c>
      <c r="C201" s="24" t="s">
        <v>766</v>
      </c>
    </row>
    <row r="202" spans="1:3" x14ac:dyDescent="0.25">
      <c r="A202" s="24" t="s">
        <v>300</v>
      </c>
      <c r="B202" s="24" t="s">
        <v>847</v>
      </c>
      <c r="C202" s="24" t="s">
        <v>51</v>
      </c>
    </row>
    <row r="203" spans="1:3" x14ac:dyDescent="0.25">
      <c r="A203" s="24" t="s">
        <v>770</v>
      </c>
      <c r="B203" s="24" t="s">
        <v>847</v>
      </c>
      <c r="C203" s="24" t="s">
        <v>769</v>
      </c>
    </row>
    <row r="204" spans="1:3" x14ac:dyDescent="0.25">
      <c r="A204" s="24" t="s">
        <v>528</v>
      </c>
      <c r="B204" s="24" t="s">
        <v>847</v>
      </c>
      <c r="C204" s="24" t="s">
        <v>527</v>
      </c>
    </row>
    <row r="205" spans="1:3" x14ac:dyDescent="0.25">
      <c r="A205" s="24" t="s">
        <v>686</v>
      </c>
      <c r="B205" s="24" t="s">
        <v>847</v>
      </c>
      <c r="C205" s="24" t="s">
        <v>162</v>
      </c>
    </row>
    <row r="206" spans="1:3" x14ac:dyDescent="0.25">
      <c r="A206" s="24" t="s">
        <v>421</v>
      </c>
      <c r="B206" s="24" t="s">
        <v>847</v>
      </c>
      <c r="C206" s="24" t="s">
        <v>108</v>
      </c>
    </row>
    <row r="207" spans="1:3" x14ac:dyDescent="0.25">
      <c r="A207" s="24" t="s">
        <v>773</v>
      </c>
      <c r="B207" s="24" t="s">
        <v>847</v>
      </c>
      <c r="C207" s="24" t="s">
        <v>772</v>
      </c>
    </row>
    <row r="208" spans="1:3" x14ac:dyDescent="0.25">
      <c r="A208" s="24" t="s">
        <v>198</v>
      </c>
      <c r="B208" s="24" t="s">
        <v>847</v>
      </c>
      <c r="C208" s="24" t="s">
        <v>10</v>
      </c>
    </row>
    <row r="209" spans="1:3" x14ac:dyDescent="0.25">
      <c r="A209" s="24" t="s">
        <v>201</v>
      </c>
      <c r="B209" s="24" t="s">
        <v>847</v>
      </c>
      <c r="C209" s="24" t="s">
        <v>200</v>
      </c>
    </row>
    <row r="210" spans="1:3" x14ac:dyDescent="0.25">
      <c r="A210" s="24" t="s">
        <v>688</v>
      </c>
      <c r="B210" s="24" t="s">
        <v>847</v>
      </c>
      <c r="C210" s="24" t="s">
        <v>163</v>
      </c>
    </row>
    <row r="211" spans="1:3" x14ac:dyDescent="0.25">
      <c r="A211" s="24" t="s">
        <v>203</v>
      </c>
      <c r="B211" s="24" t="s">
        <v>847</v>
      </c>
      <c r="C211" s="24" t="s">
        <v>11</v>
      </c>
    </row>
    <row r="212" spans="1:3" x14ac:dyDescent="0.25">
      <c r="A212" s="24" t="s">
        <v>302</v>
      </c>
      <c r="B212" s="24" t="s">
        <v>847</v>
      </c>
      <c r="C212" s="24" t="s">
        <v>52</v>
      </c>
    </row>
    <row r="213" spans="1:3" x14ac:dyDescent="0.25">
      <c r="A213" s="24" t="s">
        <v>531</v>
      </c>
      <c r="B213" s="24" t="s">
        <v>847</v>
      </c>
      <c r="C213" s="24" t="s">
        <v>530</v>
      </c>
    </row>
    <row r="214" spans="1:3" x14ac:dyDescent="0.25">
      <c r="A214" s="24" t="s">
        <v>205</v>
      </c>
      <c r="B214" s="24" t="s">
        <v>847</v>
      </c>
      <c r="C214" s="24" t="s">
        <v>12</v>
      </c>
    </row>
    <row r="215" spans="1:3" x14ac:dyDescent="0.25">
      <c r="A215" s="24" t="s">
        <v>207</v>
      </c>
      <c r="B215" s="24" t="s">
        <v>847</v>
      </c>
      <c r="C215" s="24" t="s">
        <v>13</v>
      </c>
    </row>
    <row r="216" spans="1:3" x14ac:dyDescent="0.25">
      <c r="A216" s="24" t="s">
        <v>304</v>
      </c>
      <c r="B216" s="24" t="s">
        <v>847</v>
      </c>
      <c r="C216" s="24" t="s">
        <v>53</v>
      </c>
    </row>
    <row r="217" spans="1:3" x14ac:dyDescent="0.25">
      <c r="A217" s="24" t="s">
        <v>691</v>
      </c>
      <c r="B217" s="24" t="s">
        <v>847</v>
      </c>
      <c r="C217" s="24" t="s">
        <v>690</v>
      </c>
    </row>
    <row r="218" spans="1:3" x14ac:dyDescent="0.25">
      <c r="A218" s="24" t="s">
        <v>533</v>
      </c>
      <c r="B218" s="24" t="s">
        <v>847</v>
      </c>
      <c r="C218" s="24" t="s">
        <v>775</v>
      </c>
    </row>
    <row r="219" spans="1:3" x14ac:dyDescent="0.25">
      <c r="A219" s="24" t="s">
        <v>535</v>
      </c>
      <c r="B219" s="24" t="s">
        <v>847</v>
      </c>
      <c r="C219" s="24" t="s">
        <v>776</v>
      </c>
    </row>
    <row r="220" spans="1:3" x14ac:dyDescent="0.25">
      <c r="A220" s="24" t="s">
        <v>778</v>
      </c>
      <c r="B220" s="24" t="s">
        <v>847</v>
      </c>
      <c r="C220" s="24" t="s">
        <v>777</v>
      </c>
    </row>
    <row r="221" spans="1:3" x14ac:dyDescent="0.25">
      <c r="A221" s="24" t="s">
        <v>538</v>
      </c>
      <c r="B221" s="24" t="s">
        <v>847</v>
      </c>
      <c r="C221" s="24" t="s">
        <v>537</v>
      </c>
    </row>
    <row r="222" spans="1:3" x14ac:dyDescent="0.25">
      <c r="A222" s="24" t="s">
        <v>781</v>
      </c>
      <c r="B222" s="24" t="s">
        <v>847</v>
      </c>
      <c r="C222" s="24" t="s">
        <v>780</v>
      </c>
    </row>
    <row r="223" spans="1:3" x14ac:dyDescent="0.25">
      <c r="A223" s="24" t="s">
        <v>784</v>
      </c>
      <c r="B223" s="24" t="s">
        <v>847</v>
      </c>
      <c r="C223" s="24" t="s">
        <v>783</v>
      </c>
    </row>
    <row r="224" spans="1:3" x14ac:dyDescent="0.25">
      <c r="A224" s="24" t="s">
        <v>306</v>
      </c>
      <c r="B224" s="24" t="s">
        <v>847</v>
      </c>
      <c r="C224" s="24" t="s">
        <v>54</v>
      </c>
    </row>
    <row r="225" spans="1:3" x14ac:dyDescent="0.25">
      <c r="A225" s="24" t="s">
        <v>210</v>
      </c>
      <c r="B225" s="24" t="s">
        <v>847</v>
      </c>
      <c r="C225" s="24" t="s">
        <v>209</v>
      </c>
    </row>
    <row r="226" spans="1:3" x14ac:dyDescent="0.25">
      <c r="A226" s="24" t="s">
        <v>213</v>
      </c>
      <c r="B226" s="24" t="s">
        <v>847</v>
      </c>
      <c r="C226" s="24" t="s">
        <v>212</v>
      </c>
    </row>
    <row r="227" spans="1:3" x14ac:dyDescent="0.25">
      <c r="A227" s="24" t="s">
        <v>693</v>
      </c>
      <c r="B227" s="24" t="s">
        <v>847</v>
      </c>
      <c r="C227" s="24" t="s">
        <v>164</v>
      </c>
    </row>
    <row r="228" spans="1:3" x14ac:dyDescent="0.25">
      <c r="A228" s="24" t="s">
        <v>308</v>
      </c>
      <c r="B228" s="24" t="s">
        <v>847</v>
      </c>
      <c r="C228" s="24" t="s">
        <v>55</v>
      </c>
    </row>
    <row r="229" spans="1:3" x14ac:dyDescent="0.25">
      <c r="A229" s="24" t="s">
        <v>423</v>
      </c>
      <c r="B229" s="24" t="s">
        <v>847</v>
      </c>
      <c r="C229" s="24" t="s">
        <v>109</v>
      </c>
    </row>
    <row r="230" spans="1:3" x14ac:dyDescent="0.25">
      <c r="A230" s="24" t="s">
        <v>310</v>
      </c>
      <c r="B230" s="24" t="s">
        <v>847</v>
      </c>
      <c r="C230" s="24" t="s">
        <v>56</v>
      </c>
    </row>
    <row r="231" spans="1:3" x14ac:dyDescent="0.25">
      <c r="A231" s="24" t="s">
        <v>540</v>
      </c>
      <c r="B231" s="24" t="s">
        <v>847</v>
      </c>
      <c r="C231" s="24" t="s">
        <v>786</v>
      </c>
    </row>
    <row r="232" spans="1:3" x14ac:dyDescent="0.25">
      <c r="A232" s="24" t="s">
        <v>425</v>
      </c>
      <c r="B232" s="24" t="s">
        <v>847</v>
      </c>
      <c r="C232" s="24" t="s">
        <v>110</v>
      </c>
    </row>
    <row r="233" spans="1:3" x14ac:dyDescent="0.25">
      <c r="A233" s="24" t="s">
        <v>427</v>
      </c>
      <c r="B233" s="24" t="s">
        <v>847</v>
      </c>
      <c r="C233" s="24" t="s">
        <v>787</v>
      </c>
    </row>
    <row r="234" spans="1:3" x14ac:dyDescent="0.25">
      <c r="A234" s="24" t="s">
        <v>543</v>
      </c>
      <c r="B234" s="24" t="s">
        <v>847</v>
      </c>
      <c r="C234" s="24" t="s">
        <v>542</v>
      </c>
    </row>
    <row r="235" spans="1:3" x14ac:dyDescent="0.25">
      <c r="A235" s="24" t="s">
        <v>215</v>
      </c>
      <c r="B235" s="24" t="s">
        <v>847</v>
      </c>
      <c r="C235" s="24" t="s">
        <v>788</v>
      </c>
    </row>
    <row r="236" spans="1:3" x14ac:dyDescent="0.25">
      <c r="A236" s="24" t="s">
        <v>665</v>
      </c>
      <c r="B236" s="24" t="s">
        <v>847</v>
      </c>
      <c r="C236" s="24" t="s">
        <v>152</v>
      </c>
    </row>
    <row r="237" spans="1:3" x14ac:dyDescent="0.25">
      <c r="A237" s="24" t="s">
        <v>217</v>
      </c>
      <c r="B237" s="24" t="s">
        <v>847</v>
      </c>
      <c r="C237" s="24" t="s">
        <v>14</v>
      </c>
    </row>
    <row r="238" spans="1:3" x14ac:dyDescent="0.25">
      <c r="A238" s="24" t="s">
        <v>429</v>
      </c>
      <c r="B238" s="24" t="s">
        <v>847</v>
      </c>
      <c r="C238" s="24" t="s">
        <v>111</v>
      </c>
    </row>
    <row r="239" spans="1:3" x14ac:dyDescent="0.25">
      <c r="A239" s="24" t="s">
        <v>363</v>
      </c>
      <c r="B239" s="24" t="s">
        <v>847</v>
      </c>
      <c r="C239" s="24" t="s">
        <v>82</v>
      </c>
    </row>
    <row r="240" spans="1:3" x14ac:dyDescent="0.25">
      <c r="A240" s="24" t="s">
        <v>312</v>
      </c>
      <c r="B240" s="24" t="s">
        <v>847</v>
      </c>
      <c r="C240" s="24" t="s">
        <v>57</v>
      </c>
    </row>
    <row r="241" spans="1:3" x14ac:dyDescent="0.25">
      <c r="A241" s="24" t="s">
        <v>314</v>
      </c>
      <c r="B241" s="24" t="s">
        <v>847</v>
      </c>
      <c r="C241" s="24" t="s">
        <v>58</v>
      </c>
    </row>
    <row r="242" spans="1:3" x14ac:dyDescent="0.25">
      <c r="A242" s="24" t="s">
        <v>316</v>
      </c>
      <c r="B242" s="24" t="s">
        <v>847</v>
      </c>
      <c r="C242" s="24" t="s">
        <v>59</v>
      </c>
    </row>
    <row r="243" spans="1:3" x14ac:dyDescent="0.25">
      <c r="A243" s="24" t="s">
        <v>365</v>
      </c>
      <c r="B243" s="24" t="s">
        <v>847</v>
      </c>
      <c r="C243" s="24" t="s">
        <v>83</v>
      </c>
    </row>
    <row r="244" spans="1:3" x14ac:dyDescent="0.25">
      <c r="A244" s="24" t="s">
        <v>318</v>
      </c>
      <c r="B244" s="24" t="s">
        <v>847</v>
      </c>
      <c r="C244" s="24" t="s">
        <v>60</v>
      </c>
    </row>
    <row r="245" spans="1:3" x14ac:dyDescent="0.25">
      <c r="A245" s="24" t="s">
        <v>219</v>
      </c>
      <c r="B245" s="24" t="s">
        <v>847</v>
      </c>
      <c r="C245" s="24" t="s">
        <v>15</v>
      </c>
    </row>
    <row r="246" spans="1:3" x14ac:dyDescent="0.25">
      <c r="A246" s="24" t="s">
        <v>221</v>
      </c>
      <c r="B246" s="24" t="s">
        <v>847</v>
      </c>
      <c r="C246" s="24" t="s">
        <v>16</v>
      </c>
    </row>
    <row r="247" spans="1:3" x14ac:dyDescent="0.25">
      <c r="A247" s="24" t="s">
        <v>431</v>
      </c>
      <c r="B247" s="24" t="s">
        <v>847</v>
      </c>
      <c r="C247" s="24" t="s">
        <v>112</v>
      </c>
    </row>
    <row r="248" spans="1:3" x14ac:dyDescent="0.25">
      <c r="A248" s="24" t="s">
        <v>274</v>
      </c>
      <c r="B248" s="24" t="s">
        <v>847</v>
      </c>
      <c r="C248" s="24" t="s">
        <v>789</v>
      </c>
    </row>
    <row r="249" spans="1:3" x14ac:dyDescent="0.25">
      <c r="A249" s="24" t="s">
        <v>223</v>
      </c>
      <c r="B249" s="24" t="s">
        <v>847</v>
      </c>
      <c r="C249" s="24" t="s">
        <v>17</v>
      </c>
    </row>
    <row r="250" spans="1:3" x14ac:dyDescent="0.25">
      <c r="A250" s="24" t="s">
        <v>546</v>
      </c>
      <c r="B250" s="24" t="s">
        <v>847</v>
      </c>
      <c r="C250" s="24" t="s">
        <v>545</v>
      </c>
    </row>
    <row r="251" spans="1:3" x14ac:dyDescent="0.25">
      <c r="A251" s="24" t="s">
        <v>549</v>
      </c>
      <c r="B251" s="24" t="s">
        <v>847</v>
      </c>
      <c r="C251" s="24" t="s">
        <v>548</v>
      </c>
    </row>
    <row r="252" spans="1:3" x14ac:dyDescent="0.25">
      <c r="A252" s="24" t="s">
        <v>695</v>
      </c>
      <c r="B252" s="24" t="s">
        <v>847</v>
      </c>
      <c r="C252" s="24" t="s">
        <v>165</v>
      </c>
    </row>
    <row r="253" spans="1:3" x14ac:dyDescent="0.25">
      <c r="A253" s="24" t="s">
        <v>433</v>
      </c>
      <c r="B253" s="24" t="s">
        <v>847</v>
      </c>
      <c r="C253" s="24" t="s">
        <v>113</v>
      </c>
    </row>
    <row r="254" spans="1:3" x14ac:dyDescent="0.25">
      <c r="A254" s="24" t="s">
        <v>435</v>
      </c>
      <c r="B254" s="24" t="s">
        <v>847</v>
      </c>
      <c r="C254" s="24" t="s">
        <v>114</v>
      </c>
    </row>
    <row r="255" spans="1:3" x14ac:dyDescent="0.25">
      <c r="A255" s="24" t="s">
        <v>552</v>
      </c>
      <c r="B255" s="24" t="s">
        <v>847</v>
      </c>
      <c r="C255" s="24" t="s">
        <v>551</v>
      </c>
    </row>
    <row r="256" spans="1:3" x14ac:dyDescent="0.25">
      <c r="A256" s="24" t="s">
        <v>555</v>
      </c>
      <c r="B256" s="24" t="s">
        <v>847</v>
      </c>
      <c r="C256" s="24" t="s">
        <v>554</v>
      </c>
    </row>
    <row r="257" spans="1:3" x14ac:dyDescent="0.25">
      <c r="A257" s="24" t="s">
        <v>791</v>
      </c>
      <c r="B257" s="24" t="s">
        <v>847</v>
      </c>
      <c r="C257" s="24" t="s">
        <v>790</v>
      </c>
    </row>
    <row r="258" spans="1:3" x14ac:dyDescent="0.25">
      <c r="A258" s="24" t="s">
        <v>225</v>
      </c>
      <c r="B258" s="24" t="s">
        <v>847</v>
      </c>
      <c r="C258" s="24" t="s">
        <v>18</v>
      </c>
    </row>
    <row r="259" spans="1:3" x14ac:dyDescent="0.25">
      <c r="A259" s="24" t="s">
        <v>227</v>
      </c>
      <c r="B259" s="24" t="s">
        <v>847</v>
      </c>
      <c r="C259" s="24" t="s">
        <v>19</v>
      </c>
    </row>
    <row r="260" spans="1:3" x14ac:dyDescent="0.25">
      <c r="A260" s="24" t="s">
        <v>437</v>
      </c>
      <c r="B260" s="24" t="s">
        <v>847</v>
      </c>
      <c r="C260" s="24" t="s">
        <v>115</v>
      </c>
    </row>
    <row r="261" spans="1:3" x14ac:dyDescent="0.25">
      <c r="A261" s="24" t="s">
        <v>439</v>
      </c>
      <c r="B261" s="24" t="s">
        <v>847</v>
      </c>
      <c r="C261" s="24" t="s">
        <v>116</v>
      </c>
    </row>
    <row r="262" spans="1:3" x14ac:dyDescent="0.25">
      <c r="A262" s="24" t="s">
        <v>558</v>
      </c>
      <c r="B262" s="24" t="s">
        <v>847</v>
      </c>
      <c r="C262" s="24" t="s">
        <v>557</v>
      </c>
    </row>
    <row r="263" spans="1:3" x14ac:dyDescent="0.25">
      <c r="A263" s="24" t="s">
        <v>561</v>
      </c>
      <c r="B263" s="24" t="s">
        <v>847</v>
      </c>
      <c r="C263" s="24" t="s">
        <v>560</v>
      </c>
    </row>
    <row r="264" spans="1:3" x14ac:dyDescent="0.25">
      <c r="A264" s="24" t="s">
        <v>564</v>
      </c>
      <c r="B264" s="24" t="s">
        <v>847</v>
      </c>
      <c r="C264" s="24" t="s">
        <v>563</v>
      </c>
    </row>
    <row r="265" spans="1:3" x14ac:dyDescent="0.25">
      <c r="A265" s="24" t="s">
        <v>229</v>
      </c>
      <c r="B265" s="24" t="s">
        <v>847</v>
      </c>
      <c r="C265" s="24" t="s">
        <v>20</v>
      </c>
    </row>
    <row r="266" spans="1:3" x14ac:dyDescent="0.25">
      <c r="A266" s="24" t="s">
        <v>567</v>
      </c>
      <c r="B266" s="24" t="s">
        <v>847</v>
      </c>
      <c r="C266" s="24" t="s">
        <v>566</v>
      </c>
    </row>
    <row r="267" spans="1:3" x14ac:dyDescent="0.25">
      <c r="A267" s="24" t="s">
        <v>441</v>
      </c>
      <c r="B267" s="24" t="s">
        <v>847</v>
      </c>
      <c r="C267" s="24" t="s">
        <v>117</v>
      </c>
    </row>
    <row r="268" spans="1:3" x14ac:dyDescent="0.25">
      <c r="A268" s="24" t="s">
        <v>570</v>
      </c>
      <c r="B268" s="24" t="s">
        <v>847</v>
      </c>
      <c r="C268" s="24" t="s">
        <v>569</v>
      </c>
    </row>
    <row r="269" spans="1:3" x14ac:dyDescent="0.25">
      <c r="A269" s="24" t="s">
        <v>320</v>
      </c>
      <c r="B269" s="24" t="s">
        <v>847</v>
      </c>
      <c r="C269" s="24" t="s">
        <v>61</v>
      </c>
    </row>
    <row r="270" spans="1:3" x14ac:dyDescent="0.25">
      <c r="A270" s="24" t="s">
        <v>573</v>
      </c>
      <c r="B270" s="24" t="s">
        <v>847</v>
      </c>
      <c r="C270" s="24" t="s">
        <v>572</v>
      </c>
    </row>
    <row r="271" spans="1:3" x14ac:dyDescent="0.25">
      <c r="A271" s="24" t="s">
        <v>576</v>
      </c>
      <c r="B271" s="24" t="s">
        <v>847</v>
      </c>
      <c r="C271" s="24" t="s">
        <v>575</v>
      </c>
    </row>
    <row r="272" spans="1:3" x14ac:dyDescent="0.25">
      <c r="A272" s="24" t="s">
        <v>322</v>
      </c>
      <c r="B272" s="24" t="s">
        <v>847</v>
      </c>
      <c r="C272" s="24" t="s">
        <v>62</v>
      </c>
    </row>
    <row r="273" spans="1:3" x14ac:dyDescent="0.25">
      <c r="A273" s="24" t="s">
        <v>794</v>
      </c>
      <c r="B273" s="24" t="s">
        <v>847</v>
      </c>
      <c r="C273" s="24" t="s">
        <v>793</v>
      </c>
    </row>
    <row r="274" spans="1:3" x14ac:dyDescent="0.25">
      <c r="A274" s="24" t="s">
        <v>231</v>
      </c>
      <c r="B274" s="24" t="s">
        <v>847</v>
      </c>
      <c r="C274" s="24" t="s">
        <v>21</v>
      </c>
    </row>
    <row r="275" spans="1:3" x14ac:dyDescent="0.25">
      <c r="A275" s="24" t="s">
        <v>233</v>
      </c>
      <c r="B275" s="24" t="s">
        <v>847</v>
      </c>
      <c r="C275" s="24" t="s">
        <v>22</v>
      </c>
    </row>
    <row r="276" spans="1:3" x14ac:dyDescent="0.25">
      <c r="A276" s="24" t="s">
        <v>324</v>
      </c>
      <c r="B276" s="24" t="s">
        <v>847</v>
      </c>
      <c r="C276" s="24" t="s">
        <v>63</v>
      </c>
    </row>
    <row r="277" spans="1:3" x14ac:dyDescent="0.25">
      <c r="A277" s="24" t="s">
        <v>326</v>
      </c>
      <c r="B277" s="24" t="s">
        <v>847</v>
      </c>
      <c r="C277" s="24" t="s">
        <v>64</v>
      </c>
    </row>
    <row r="278" spans="1:3" x14ac:dyDescent="0.25">
      <c r="A278" s="24" t="s">
        <v>797</v>
      </c>
      <c r="B278" s="24" t="s">
        <v>847</v>
      </c>
      <c r="C278" s="24" t="s">
        <v>796</v>
      </c>
    </row>
    <row r="279" spans="1:3" x14ac:dyDescent="0.25">
      <c r="A279" s="24" t="s">
        <v>800</v>
      </c>
      <c r="B279" s="24" t="s">
        <v>847</v>
      </c>
      <c r="C279" s="24" t="s">
        <v>799</v>
      </c>
    </row>
    <row r="280" spans="1:3" x14ac:dyDescent="0.25">
      <c r="A280" s="24" t="s">
        <v>328</v>
      </c>
      <c r="B280" s="24" t="s">
        <v>847</v>
      </c>
      <c r="C280" s="24" t="s">
        <v>65</v>
      </c>
    </row>
    <row r="281" spans="1:3" x14ac:dyDescent="0.25">
      <c r="A281" s="24" t="s">
        <v>443</v>
      </c>
      <c r="B281" s="24" t="s">
        <v>847</v>
      </c>
      <c r="C281" s="24" t="s">
        <v>118</v>
      </c>
    </row>
    <row r="282" spans="1:3" x14ac:dyDescent="0.25">
      <c r="A282" s="24" t="s">
        <v>445</v>
      </c>
      <c r="B282" s="24" t="s">
        <v>847</v>
      </c>
      <c r="C282" s="24" t="s">
        <v>119</v>
      </c>
    </row>
    <row r="283" spans="1:3" x14ac:dyDescent="0.25">
      <c r="A283" s="24" t="s">
        <v>667</v>
      </c>
      <c r="B283" s="24" t="s">
        <v>847</v>
      </c>
      <c r="C283" s="24" t="s">
        <v>153</v>
      </c>
    </row>
    <row r="284" spans="1:3" x14ac:dyDescent="0.25">
      <c r="A284" s="24" t="s">
        <v>669</v>
      </c>
      <c r="B284" s="24" t="s">
        <v>847</v>
      </c>
      <c r="C284" s="24" t="s">
        <v>154</v>
      </c>
    </row>
    <row r="285" spans="1:3" x14ac:dyDescent="0.25">
      <c r="A285" s="24" t="s">
        <v>367</v>
      </c>
      <c r="B285" s="24" t="s">
        <v>847</v>
      </c>
      <c r="C285" s="24" t="s">
        <v>84</v>
      </c>
    </row>
    <row r="286" spans="1:3" x14ac:dyDescent="0.25">
      <c r="A286" s="24" t="s">
        <v>369</v>
      </c>
      <c r="B286" s="24" t="s">
        <v>847</v>
      </c>
      <c r="C286" s="24" t="s">
        <v>85</v>
      </c>
    </row>
    <row r="287" spans="1:3" x14ac:dyDescent="0.25">
      <c r="A287" s="24" t="s">
        <v>447</v>
      </c>
      <c r="B287" s="24" t="s">
        <v>847</v>
      </c>
      <c r="C287" s="24" t="s">
        <v>120</v>
      </c>
    </row>
    <row r="288" spans="1:3" x14ac:dyDescent="0.25">
      <c r="A288" s="24" t="s">
        <v>803</v>
      </c>
      <c r="B288" s="24" t="s">
        <v>847</v>
      </c>
      <c r="C288" s="24" t="s">
        <v>802</v>
      </c>
    </row>
    <row r="289" spans="1:3" x14ac:dyDescent="0.25">
      <c r="A289" s="24" t="s">
        <v>449</v>
      </c>
      <c r="B289" s="24" t="s">
        <v>847</v>
      </c>
      <c r="C289" s="24" t="s">
        <v>121</v>
      </c>
    </row>
    <row r="290" spans="1:3" x14ac:dyDescent="0.25">
      <c r="A290" s="24" t="s">
        <v>451</v>
      </c>
      <c r="B290" s="24" t="s">
        <v>847</v>
      </c>
      <c r="C290" s="24" t="s">
        <v>122</v>
      </c>
    </row>
    <row r="291" spans="1:3" x14ac:dyDescent="0.25">
      <c r="A291" s="24" t="s">
        <v>330</v>
      </c>
      <c r="B291" s="24" t="s">
        <v>847</v>
      </c>
      <c r="C291" s="24" t="s">
        <v>66</v>
      </c>
    </row>
    <row r="292" spans="1:3" x14ac:dyDescent="0.25">
      <c r="A292" s="24" t="s">
        <v>697</v>
      </c>
      <c r="B292" s="24" t="s">
        <v>847</v>
      </c>
      <c r="C292" s="24" t="s">
        <v>166</v>
      </c>
    </row>
    <row r="293" spans="1:3" x14ac:dyDescent="0.25">
      <c r="A293" s="24" t="s">
        <v>806</v>
      </c>
      <c r="B293" s="24" t="s">
        <v>847</v>
      </c>
      <c r="C293" s="24" t="s">
        <v>805</v>
      </c>
    </row>
    <row r="294" spans="1:3" x14ac:dyDescent="0.25">
      <c r="A294" s="24" t="s">
        <v>371</v>
      </c>
      <c r="B294" s="24" t="s">
        <v>847</v>
      </c>
      <c r="C294" s="24" t="s">
        <v>86</v>
      </c>
    </row>
    <row r="295" spans="1:3" x14ac:dyDescent="0.25">
      <c r="A295" s="24" t="s">
        <v>453</v>
      </c>
      <c r="B295" s="24" t="s">
        <v>847</v>
      </c>
      <c r="C295" s="24" t="s">
        <v>123</v>
      </c>
    </row>
    <row r="296" spans="1:3" x14ac:dyDescent="0.25">
      <c r="A296" s="24" t="s">
        <v>235</v>
      </c>
      <c r="B296" s="24" t="s">
        <v>847</v>
      </c>
      <c r="C296" s="24" t="s">
        <v>23</v>
      </c>
    </row>
    <row r="297" spans="1:3" x14ac:dyDescent="0.25">
      <c r="A297" s="24" t="s">
        <v>699</v>
      </c>
      <c r="B297" s="24" t="s">
        <v>847</v>
      </c>
      <c r="C297" s="24" t="s">
        <v>167</v>
      </c>
    </row>
    <row r="298" spans="1:3" x14ac:dyDescent="0.25">
      <c r="A298" s="24" t="s">
        <v>373</v>
      </c>
      <c r="B298" s="24" t="s">
        <v>847</v>
      </c>
      <c r="C298" s="24" t="s">
        <v>87</v>
      </c>
    </row>
    <row r="299" spans="1:3" x14ac:dyDescent="0.25">
      <c r="A299" s="24" t="s">
        <v>455</v>
      </c>
      <c r="B299" s="24" t="s">
        <v>847</v>
      </c>
      <c r="C299" s="24" t="s">
        <v>124</v>
      </c>
    </row>
    <row r="300" spans="1:3" x14ac:dyDescent="0.25">
      <c r="A300" s="24" t="s">
        <v>701</v>
      </c>
      <c r="B300" s="24" t="s">
        <v>847</v>
      </c>
      <c r="C300" s="24" t="s">
        <v>168</v>
      </c>
    </row>
    <row r="301" spans="1:3" x14ac:dyDescent="0.25">
      <c r="A301" s="24" t="s">
        <v>457</v>
      </c>
      <c r="B301" s="24" t="s">
        <v>847</v>
      </c>
      <c r="C301" s="24" t="s">
        <v>125</v>
      </c>
    </row>
    <row r="302" spans="1:3" x14ac:dyDescent="0.25">
      <c r="A302" s="24" t="s">
        <v>375</v>
      </c>
      <c r="B302" s="24" t="s">
        <v>847</v>
      </c>
      <c r="C302" s="24" t="s">
        <v>88</v>
      </c>
    </row>
    <row r="303" spans="1:3" x14ac:dyDescent="0.25">
      <c r="A303" s="24" t="s">
        <v>237</v>
      </c>
      <c r="B303" s="24" t="s">
        <v>847</v>
      </c>
      <c r="C303" s="24" t="s">
        <v>24</v>
      </c>
    </row>
    <row r="304" spans="1:3" x14ac:dyDescent="0.25">
      <c r="A304" s="24" t="s">
        <v>239</v>
      </c>
      <c r="B304" s="24" t="s">
        <v>847</v>
      </c>
      <c r="C304" s="24" t="s">
        <v>25</v>
      </c>
    </row>
    <row r="305" spans="1:3" x14ac:dyDescent="0.25">
      <c r="A305" s="24" t="s">
        <v>378</v>
      </c>
      <c r="B305" s="24" t="s">
        <v>847</v>
      </c>
      <c r="C305" s="24" t="s">
        <v>377</v>
      </c>
    </row>
    <row r="306" spans="1:3" x14ac:dyDescent="0.25">
      <c r="A306" s="24" t="s">
        <v>579</v>
      </c>
      <c r="B306" s="24" t="s">
        <v>847</v>
      </c>
      <c r="C306" s="24" t="s">
        <v>578</v>
      </c>
    </row>
    <row r="307" spans="1:3" x14ac:dyDescent="0.25">
      <c r="A307" s="24" t="s">
        <v>459</v>
      </c>
      <c r="B307" s="24" t="s">
        <v>847</v>
      </c>
      <c r="C307" s="24" t="s">
        <v>126</v>
      </c>
    </row>
    <row r="308" spans="1:3" x14ac:dyDescent="0.25">
      <c r="A308" s="24" t="s">
        <v>461</v>
      </c>
      <c r="B308" s="24" t="s">
        <v>847</v>
      </c>
      <c r="C308" s="24" t="s">
        <v>127</v>
      </c>
    </row>
    <row r="309" spans="1:3" x14ac:dyDescent="0.25">
      <c r="A309" s="24" t="s">
        <v>241</v>
      </c>
      <c r="B309" s="24" t="s">
        <v>847</v>
      </c>
      <c r="C309" s="24" t="s">
        <v>26</v>
      </c>
    </row>
    <row r="310" spans="1:3" x14ac:dyDescent="0.25">
      <c r="A310" s="24" t="s">
        <v>243</v>
      </c>
      <c r="B310" s="24" t="s">
        <v>847</v>
      </c>
      <c r="C310" s="24" t="s">
        <v>27</v>
      </c>
    </row>
    <row r="311" spans="1:3" x14ac:dyDescent="0.25">
      <c r="A311" s="24" t="s">
        <v>703</v>
      </c>
      <c r="B311" s="24" t="s">
        <v>847</v>
      </c>
      <c r="C311" s="24" t="s">
        <v>169</v>
      </c>
    </row>
    <row r="312" spans="1:3" x14ac:dyDescent="0.25">
      <c r="A312" s="24" t="s">
        <v>671</v>
      </c>
      <c r="B312" s="24" t="s">
        <v>847</v>
      </c>
      <c r="C312" s="24" t="s">
        <v>155</v>
      </c>
    </row>
    <row r="313" spans="1:3" x14ac:dyDescent="0.25">
      <c r="A313" s="24" t="s">
        <v>245</v>
      </c>
      <c r="B313" s="24" t="s">
        <v>847</v>
      </c>
      <c r="C313" s="24" t="s">
        <v>28</v>
      </c>
    </row>
    <row r="314" spans="1:3" x14ac:dyDescent="0.25">
      <c r="A314" s="24" t="s">
        <v>463</v>
      </c>
      <c r="B314" s="24" t="s">
        <v>847</v>
      </c>
      <c r="C314" s="24" t="s">
        <v>128</v>
      </c>
    </row>
    <row r="315" spans="1:3" x14ac:dyDescent="0.25">
      <c r="A315" s="24" t="s">
        <v>705</v>
      </c>
      <c r="B315" s="24" t="s">
        <v>847</v>
      </c>
      <c r="C315" s="24" t="s">
        <v>170</v>
      </c>
    </row>
    <row r="316" spans="1:3" x14ac:dyDescent="0.25">
      <c r="A316" s="24" t="s">
        <v>582</v>
      </c>
      <c r="B316" s="24" t="s">
        <v>847</v>
      </c>
      <c r="C316" s="24" t="s">
        <v>581</v>
      </c>
    </row>
    <row r="317" spans="1:3" x14ac:dyDescent="0.25">
      <c r="A317" s="24" t="s">
        <v>247</v>
      </c>
      <c r="B317" s="24" t="s">
        <v>847</v>
      </c>
      <c r="C317" s="24" t="s">
        <v>29</v>
      </c>
    </row>
    <row r="318" spans="1:3" x14ac:dyDescent="0.25">
      <c r="A318" s="24" t="s">
        <v>249</v>
      </c>
      <c r="B318" s="24" t="s">
        <v>847</v>
      </c>
      <c r="C318" s="24" t="s">
        <v>30</v>
      </c>
    </row>
    <row r="319" spans="1:3" x14ac:dyDescent="0.25">
      <c r="A319" s="24" t="s">
        <v>585</v>
      </c>
      <c r="B319" s="24" t="s">
        <v>847</v>
      </c>
      <c r="C319" s="24" t="s">
        <v>584</v>
      </c>
    </row>
    <row r="320" spans="1:3" x14ac:dyDescent="0.25">
      <c r="A320" s="24" t="s">
        <v>332</v>
      </c>
      <c r="B320" s="24" t="s">
        <v>847</v>
      </c>
      <c r="C320" s="24" t="s">
        <v>67</v>
      </c>
    </row>
    <row r="321" spans="1:3" x14ac:dyDescent="0.25">
      <c r="A321" s="24" t="s">
        <v>707</v>
      </c>
      <c r="B321" s="24" t="s">
        <v>847</v>
      </c>
      <c r="C321" s="24" t="s">
        <v>171</v>
      </c>
    </row>
    <row r="322" spans="1:3" x14ac:dyDescent="0.25">
      <c r="A322" s="24" t="s">
        <v>465</v>
      </c>
      <c r="B322" s="24" t="s">
        <v>847</v>
      </c>
      <c r="C322" s="24" t="s">
        <v>129</v>
      </c>
    </row>
    <row r="323" spans="1:3" x14ac:dyDescent="0.25">
      <c r="A323" s="24" t="s">
        <v>709</v>
      </c>
      <c r="B323" s="24" t="s">
        <v>847</v>
      </c>
      <c r="C323" s="24" t="s">
        <v>172</v>
      </c>
    </row>
    <row r="324" spans="1:3" x14ac:dyDescent="0.25">
      <c r="A324" s="24" t="s">
        <v>467</v>
      </c>
      <c r="B324" s="24" t="s">
        <v>847</v>
      </c>
      <c r="C324" s="24" t="s">
        <v>130</v>
      </c>
    </row>
    <row r="325" spans="1:3" x14ac:dyDescent="0.25">
      <c r="A325" s="24" t="s">
        <v>588</v>
      </c>
      <c r="B325" s="24" t="s">
        <v>847</v>
      </c>
      <c r="C325" s="24" t="s">
        <v>587</v>
      </c>
    </row>
    <row r="326" spans="1:3" x14ac:dyDescent="0.25">
      <c r="A326" s="24" t="s">
        <v>380</v>
      </c>
      <c r="B326" s="24" t="s">
        <v>847</v>
      </c>
      <c r="C326" s="24" t="s">
        <v>89</v>
      </c>
    </row>
    <row r="327" spans="1:3" x14ac:dyDescent="0.25">
      <c r="A327" s="24" t="s">
        <v>251</v>
      </c>
      <c r="B327" s="24" t="s">
        <v>847</v>
      </c>
      <c r="C327" s="24" t="s">
        <v>31</v>
      </c>
    </row>
    <row r="328" spans="1:3" x14ac:dyDescent="0.25">
      <c r="A328" s="24" t="s">
        <v>673</v>
      </c>
      <c r="B328" s="24" t="s">
        <v>847</v>
      </c>
      <c r="C328" s="24" t="s">
        <v>156</v>
      </c>
    </row>
    <row r="329" spans="1:3" x14ac:dyDescent="0.25">
      <c r="A329" s="24" t="s">
        <v>253</v>
      </c>
      <c r="B329" s="24" t="s">
        <v>847</v>
      </c>
      <c r="C329" s="24" t="s">
        <v>32</v>
      </c>
    </row>
    <row r="330" spans="1:3" x14ac:dyDescent="0.25">
      <c r="A330" s="24" t="s">
        <v>711</v>
      </c>
      <c r="B330" s="24" t="s">
        <v>847</v>
      </c>
      <c r="C330" s="24" t="s">
        <v>173</v>
      </c>
    </row>
    <row r="331" spans="1:3" x14ac:dyDescent="0.25">
      <c r="A331" s="24" t="s">
        <v>675</v>
      </c>
      <c r="B331" s="24" t="s">
        <v>847</v>
      </c>
      <c r="C331" s="24" t="s">
        <v>157</v>
      </c>
    </row>
    <row r="332" spans="1:3" x14ac:dyDescent="0.25">
      <c r="A332" s="24" t="s">
        <v>469</v>
      </c>
      <c r="B332" s="24" t="s">
        <v>847</v>
      </c>
      <c r="C332" s="24" t="s">
        <v>131</v>
      </c>
    </row>
    <row r="333" spans="1:3" x14ac:dyDescent="0.25">
      <c r="A333" s="24" t="s">
        <v>591</v>
      </c>
      <c r="B333" s="24" t="s">
        <v>847</v>
      </c>
      <c r="C333" s="24" t="s">
        <v>590</v>
      </c>
    </row>
    <row r="334" spans="1:3" x14ac:dyDescent="0.25">
      <c r="A334" s="24" t="s">
        <v>594</v>
      </c>
      <c r="B334" s="24" t="s">
        <v>847</v>
      </c>
      <c r="C334" s="24" t="s">
        <v>593</v>
      </c>
    </row>
    <row r="335" spans="1:3" x14ac:dyDescent="0.25">
      <c r="A335" s="24" t="s">
        <v>713</v>
      </c>
      <c r="B335" s="24" t="s">
        <v>847</v>
      </c>
      <c r="C335" s="24" t="s">
        <v>174</v>
      </c>
    </row>
    <row r="336" spans="1:3" x14ac:dyDescent="0.25">
      <c r="A336" s="24" t="s">
        <v>334</v>
      </c>
      <c r="B336" s="24" t="s">
        <v>847</v>
      </c>
      <c r="C336" s="24" t="s">
        <v>68</v>
      </c>
    </row>
    <row r="337" spans="1:3" x14ac:dyDescent="0.25">
      <c r="A337" s="24" t="s">
        <v>255</v>
      </c>
      <c r="B337" s="24" t="s">
        <v>847</v>
      </c>
      <c r="C337" s="24" t="s">
        <v>33</v>
      </c>
    </row>
    <row r="338" spans="1:3" x14ac:dyDescent="0.25">
      <c r="A338" s="24" t="s">
        <v>257</v>
      </c>
      <c r="B338" s="24" t="s">
        <v>847</v>
      </c>
      <c r="C338" s="24" t="s">
        <v>34</v>
      </c>
    </row>
    <row r="339" spans="1:3" x14ac:dyDescent="0.25">
      <c r="A339" s="24" t="s">
        <v>715</v>
      </c>
      <c r="B339" s="24" t="s">
        <v>847</v>
      </c>
      <c r="C339" s="24" t="s">
        <v>175</v>
      </c>
    </row>
    <row r="340" spans="1:3" x14ac:dyDescent="0.25">
      <c r="A340" s="24" t="s">
        <v>597</v>
      </c>
      <c r="B340" s="24" t="s">
        <v>847</v>
      </c>
      <c r="C340" s="24" t="s">
        <v>596</v>
      </c>
    </row>
    <row r="341" spans="1:3" x14ac:dyDescent="0.25">
      <c r="A341" s="24" t="s">
        <v>499</v>
      </c>
      <c r="B341" s="24" t="s">
        <v>847</v>
      </c>
      <c r="C341" s="24" t="s">
        <v>808</v>
      </c>
    </row>
    <row r="342" spans="1:3" x14ac:dyDescent="0.25">
      <c r="A342" s="24" t="s">
        <v>600</v>
      </c>
      <c r="B342" s="24" t="s">
        <v>847</v>
      </c>
      <c r="C342" s="24" t="s">
        <v>599</v>
      </c>
    </row>
    <row r="343" spans="1:3" x14ac:dyDescent="0.25">
      <c r="A343" s="24" t="s">
        <v>471</v>
      </c>
      <c r="B343" s="24" t="s">
        <v>847</v>
      </c>
      <c r="C343" s="24" t="s">
        <v>132</v>
      </c>
    </row>
    <row r="344" spans="1:3" x14ac:dyDescent="0.25">
      <c r="A344" s="24" t="s">
        <v>382</v>
      </c>
      <c r="B344" s="24" t="s">
        <v>847</v>
      </c>
      <c r="C344" s="24" t="s">
        <v>90</v>
      </c>
    </row>
    <row r="345" spans="1:3" x14ac:dyDescent="0.25">
      <c r="A345" s="24" t="s">
        <v>384</v>
      </c>
      <c r="B345" s="24" t="s">
        <v>847</v>
      </c>
      <c r="C345" s="24" t="s">
        <v>91</v>
      </c>
    </row>
    <row r="346" spans="1:3" x14ac:dyDescent="0.25">
      <c r="A346" s="24" t="s">
        <v>718</v>
      </c>
      <c r="B346" s="24" t="s">
        <v>847</v>
      </c>
      <c r="C346" s="24" t="s">
        <v>717</v>
      </c>
    </row>
    <row r="347" spans="1:3" x14ac:dyDescent="0.25">
      <c r="A347" s="24" t="s">
        <v>336</v>
      </c>
      <c r="B347" s="24" t="s">
        <v>847</v>
      </c>
      <c r="C347" s="24" t="s">
        <v>69</v>
      </c>
    </row>
    <row r="348" spans="1:3" x14ac:dyDescent="0.25">
      <c r="A348" s="24" t="s">
        <v>720</v>
      </c>
      <c r="B348" s="24" t="s">
        <v>847</v>
      </c>
      <c r="C348" s="24" t="s">
        <v>176</v>
      </c>
    </row>
    <row r="349" spans="1:3" x14ac:dyDescent="0.25">
      <c r="A349" s="24" t="s">
        <v>338</v>
      </c>
      <c r="B349" s="24" t="s">
        <v>847</v>
      </c>
      <c r="C349" s="24" t="s">
        <v>70</v>
      </c>
    </row>
    <row r="350" spans="1:3" x14ac:dyDescent="0.25">
      <c r="A350" s="24" t="s">
        <v>340</v>
      </c>
      <c r="B350" s="24" t="s">
        <v>847</v>
      </c>
      <c r="C350" s="24" t="s">
        <v>71</v>
      </c>
    </row>
    <row r="351" spans="1:3" x14ac:dyDescent="0.25">
      <c r="A351" s="24" t="s">
        <v>722</v>
      </c>
      <c r="B351" s="24" t="s">
        <v>847</v>
      </c>
      <c r="C351" s="24" t="s">
        <v>177</v>
      </c>
    </row>
    <row r="352" spans="1:3" x14ac:dyDescent="0.25">
      <c r="A352" s="24" t="s">
        <v>602</v>
      </c>
      <c r="B352" s="24" t="s">
        <v>847</v>
      </c>
      <c r="C352" s="24" t="s">
        <v>809</v>
      </c>
    </row>
    <row r="353" spans="1:3" x14ac:dyDescent="0.25">
      <c r="A353" s="24" t="s">
        <v>473</v>
      </c>
      <c r="B353" s="24" t="s">
        <v>847</v>
      </c>
      <c r="C353" s="24" t="s">
        <v>133</v>
      </c>
    </row>
    <row r="354" spans="1:3" x14ac:dyDescent="0.25">
      <c r="A354" s="24" t="s">
        <v>475</v>
      </c>
      <c r="B354" s="24" t="s">
        <v>847</v>
      </c>
      <c r="C354" s="24" t="s">
        <v>134</v>
      </c>
    </row>
    <row r="355" spans="1:3" x14ac:dyDescent="0.25">
      <c r="A355" s="24" t="s">
        <v>605</v>
      </c>
      <c r="B355" s="24" t="s">
        <v>847</v>
      </c>
      <c r="C355" s="24" t="s">
        <v>604</v>
      </c>
    </row>
    <row r="356" spans="1:3" x14ac:dyDescent="0.25">
      <c r="A356" s="24" t="s">
        <v>388</v>
      </c>
      <c r="B356" s="24" t="s">
        <v>847</v>
      </c>
      <c r="C356" s="24" t="s">
        <v>92</v>
      </c>
    </row>
    <row r="357" spans="1:3" x14ac:dyDescent="0.25">
      <c r="A357" s="24" t="s">
        <v>724</v>
      </c>
      <c r="B357" s="24" t="s">
        <v>847</v>
      </c>
      <c r="C357" s="24" t="s">
        <v>178</v>
      </c>
    </row>
    <row r="358" spans="1:3" x14ac:dyDescent="0.25">
      <c r="A358" s="24" t="s">
        <v>477</v>
      </c>
      <c r="B358" s="24" t="s">
        <v>847</v>
      </c>
      <c r="C358" s="24" t="s">
        <v>135</v>
      </c>
    </row>
    <row r="359" spans="1:3" x14ac:dyDescent="0.25">
      <c r="A359" s="24" t="s">
        <v>608</v>
      </c>
      <c r="B359" s="24" t="s">
        <v>847</v>
      </c>
      <c r="C359" s="24" t="s">
        <v>607</v>
      </c>
    </row>
    <row r="360" spans="1:3" x14ac:dyDescent="0.25">
      <c r="A360" s="24" t="s">
        <v>479</v>
      </c>
      <c r="B360" s="24" t="s">
        <v>847</v>
      </c>
      <c r="C360" s="24" t="s">
        <v>136</v>
      </c>
    </row>
    <row r="361" spans="1:3" x14ac:dyDescent="0.25">
      <c r="A361" s="24" t="s">
        <v>481</v>
      </c>
      <c r="B361" s="24" t="s">
        <v>847</v>
      </c>
      <c r="C361" s="24" t="s">
        <v>137</v>
      </c>
    </row>
    <row r="362" spans="1:3" x14ac:dyDescent="0.25">
      <c r="A362" s="24" t="s">
        <v>259</v>
      </c>
      <c r="B362" s="24" t="s">
        <v>847</v>
      </c>
      <c r="C362" s="24" t="s">
        <v>35</v>
      </c>
    </row>
    <row r="363" spans="1:3" x14ac:dyDescent="0.25">
      <c r="A363" s="24" t="s">
        <v>613</v>
      </c>
      <c r="B363" s="24" t="s">
        <v>847</v>
      </c>
      <c r="C363" s="24" t="s">
        <v>612</v>
      </c>
    </row>
    <row r="364" spans="1:3" x14ac:dyDescent="0.25">
      <c r="A364" s="24" t="s">
        <v>610</v>
      </c>
      <c r="B364" s="24" t="s">
        <v>847</v>
      </c>
      <c r="C364" s="24" t="s">
        <v>810</v>
      </c>
    </row>
    <row r="365" spans="1:3" x14ac:dyDescent="0.25">
      <c r="A365" s="24" t="s">
        <v>812</v>
      </c>
      <c r="B365" s="24" t="s">
        <v>847</v>
      </c>
      <c r="C365" s="24" t="s">
        <v>811</v>
      </c>
    </row>
    <row r="366" spans="1:3" x14ac:dyDescent="0.25">
      <c r="A366" s="24" t="s">
        <v>616</v>
      </c>
      <c r="B366" s="24" t="s">
        <v>847</v>
      </c>
      <c r="C366" s="24" t="s">
        <v>615</v>
      </c>
    </row>
    <row r="367" spans="1:3" x14ac:dyDescent="0.25">
      <c r="A367" s="24" t="s">
        <v>342</v>
      </c>
      <c r="B367" s="24" t="s">
        <v>847</v>
      </c>
      <c r="C367" s="24" t="s">
        <v>72</v>
      </c>
    </row>
    <row r="368" spans="1:3" x14ac:dyDescent="0.25">
      <c r="A368" s="24" t="s">
        <v>344</v>
      </c>
      <c r="B368" s="24" t="s">
        <v>847</v>
      </c>
      <c r="C368" s="24" t="s">
        <v>73</v>
      </c>
    </row>
    <row r="369" spans="1:3" x14ac:dyDescent="0.25">
      <c r="A369" s="24" t="s">
        <v>815</v>
      </c>
      <c r="B369" s="24" t="s">
        <v>847</v>
      </c>
      <c r="C369" s="24" t="s">
        <v>814</v>
      </c>
    </row>
    <row r="370" spans="1:3" x14ac:dyDescent="0.25">
      <c r="A370" s="24" t="s">
        <v>619</v>
      </c>
      <c r="B370" s="24" t="s">
        <v>847</v>
      </c>
      <c r="C370" s="24" t="s">
        <v>618</v>
      </c>
    </row>
    <row r="371" spans="1:3" x14ac:dyDescent="0.25">
      <c r="A371" s="24" t="s">
        <v>346</v>
      </c>
      <c r="B371" s="24" t="s">
        <v>847</v>
      </c>
      <c r="C371" s="24" t="s">
        <v>74</v>
      </c>
    </row>
    <row r="372" spans="1:3" x14ac:dyDescent="0.25">
      <c r="A372" s="24" t="s">
        <v>726</v>
      </c>
      <c r="B372" s="24" t="s">
        <v>847</v>
      </c>
      <c r="C372" s="24" t="s">
        <v>179</v>
      </c>
    </row>
    <row r="373" spans="1:3" x14ac:dyDescent="0.25">
      <c r="A373" s="24" t="s">
        <v>483</v>
      </c>
      <c r="B373" s="24" t="s">
        <v>847</v>
      </c>
      <c r="C373" s="24" t="s">
        <v>138</v>
      </c>
    </row>
    <row r="374" spans="1:3" x14ac:dyDescent="0.25">
      <c r="A374" s="24" t="s">
        <v>261</v>
      </c>
      <c r="B374" s="24" t="s">
        <v>847</v>
      </c>
      <c r="C374" s="24" t="s">
        <v>36</v>
      </c>
    </row>
    <row r="375" spans="1:3" x14ac:dyDescent="0.25">
      <c r="A375" s="24" t="s">
        <v>390</v>
      </c>
      <c r="B375" s="24" t="s">
        <v>847</v>
      </c>
      <c r="C375" s="24" t="s">
        <v>93</v>
      </c>
    </row>
    <row r="376" spans="1:3" x14ac:dyDescent="0.25">
      <c r="A376" s="24" t="s">
        <v>263</v>
      </c>
      <c r="B376" s="24" t="s">
        <v>847</v>
      </c>
      <c r="C376" s="24" t="s">
        <v>37</v>
      </c>
    </row>
    <row r="377" spans="1:3" x14ac:dyDescent="0.25">
      <c r="A377" s="24" t="s">
        <v>485</v>
      </c>
      <c r="B377" s="24" t="s">
        <v>847</v>
      </c>
      <c r="C377" s="24" t="s">
        <v>139</v>
      </c>
    </row>
    <row r="378" spans="1:3" x14ac:dyDescent="0.25">
      <c r="A378" s="24" t="s">
        <v>622</v>
      </c>
      <c r="B378" s="24" t="s">
        <v>847</v>
      </c>
      <c r="C378" s="24" t="s">
        <v>621</v>
      </c>
    </row>
    <row r="379" spans="1:3" x14ac:dyDescent="0.25">
      <c r="A379" s="24" t="s">
        <v>265</v>
      </c>
      <c r="B379" s="24" t="s">
        <v>847</v>
      </c>
      <c r="C379" s="24" t="s">
        <v>38</v>
      </c>
    </row>
    <row r="380" spans="1:3" x14ac:dyDescent="0.25">
      <c r="A380" s="24" t="s">
        <v>267</v>
      </c>
      <c r="B380" s="24" t="s">
        <v>847</v>
      </c>
      <c r="C380" s="24" t="s">
        <v>39</v>
      </c>
    </row>
    <row r="381" spans="1:3" x14ac:dyDescent="0.25">
      <c r="A381" s="24" t="s">
        <v>728</v>
      </c>
      <c r="B381" s="24" t="s">
        <v>847</v>
      </c>
      <c r="C381" s="24" t="s">
        <v>180</v>
      </c>
    </row>
    <row r="382" spans="1:3" x14ac:dyDescent="0.25">
      <c r="A382" s="24" t="s">
        <v>625</v>
      </c>
      <c r="B382" s="24" t="s">
        <v>847</v>
      </c>
      <c r="C382" s="24" t="s">
        <v>624</v>
      </c>
    </row>
    <row r="383" spans="1:3" x14ac:dyDescent="0.25">
      <c r="A383" s="24" t="s">
        <v>487</v>
      </c>
      <c r="B383" s="24" t="s">
        <v>847</v>
      </c>
      <c r="C383" s="24" t="s">
        <v>140</v>
      </c>
    </row>
    <row r="384" spans="1:3" x14ac:dyDescent="0.25">
      <c r="A384" s="24" t="s">
        <v>489</v>
      </c>
      <c r="B384" s="24" t="s">
        <v>847</v>
      </c>
      <c r="C384" s="24" t="s">
        <v>141</v>
      </c>
    </row>
    <row r="385" spans="1:3" x14ac:dyDescent="0.25">
      <c r="A385" s="24" t="s">
        <v>730</v>
      </c>
      <c r="B385" s="24" t="s">
        <v>847</v>
      </c>
      <c r="C385" s="24" t="s">
        <v>181</v>
      </c>
    </row>
    <row r="386" spans="1:3" x14ac:dyDescent="0.25">
      <c r="A386" s="24" t="s">
        <v>392</v>
      </c>
      <c r="B386" s="24" t="s">
        <v>847</v>
      </c>
      <c r="C386" s="24" t="s">
        <v>94</v>
      </c>
    </row>
    <row r="387" spans="1:3" x14ac:dyDescent="0.25">
      <c r="A387" s="24" t="s">
        <v>269</v>
      </c>
      <c r="B387" s="24" t="s">
        <v>847</v>
      </c>
      <c r="C387" s="24" t="s">
        <v>40</v>
      </c>
    </row>
    <row r="388" spans="1:3" x14ac:dyDescent="0.25">
      <c r="A388" s="24" t="s">
        <v>818</v>
      </c>
      <c r="B388" s="24" t="s">
        <v>847</v>
      </c>
      <c r="C388" s="24" t="s">
        <v>817</v>
      </c>
    </row>
    <row r="389" spans="1:3" x14ac:dyDescent="0.25">
      <c r="A389" s="24" t="s">
        <v>272</v>
      </c>
      <c r="B389" s="24" t="s">
        <v>847</v>
      </c>
      <c r="C389" s="24" t="s">
        <v>271</v>
      </c>
    </row>
    <row r="390" spans="1:3" x14ac:dyDescent="0.25">
      <c r="A390" s="24" t="s">
        <v>491</v>
      </c>
      <c r="B390" s="24" t="s">
        <v>847</v>
      </c>
      <c r="C390" s="24" t="s">
        <v>142</v>
      </c>
    </row>
    <row r="391" spans="1:3" x14ac:dyDescent="0.25">
      <c r="A391" s="24" t="s">
        <v>677</v>
      </c>
      <c r="B391" s="24" t="s">
        <v>847</v>
      </c>
      <c r="C391" s="24" t="s">
        <v>158</v>
      </c>
    </row>
    <row r="392" spans="1:3" x14ac:dyDescent="0.25">
      <c r="A392" s="24" t="s">
        <v>394</v>
      </c>
      <c r="B392" s="24" t="s">
        <v>847</v>
      </c>
      <c r="C392" s="24" t="s">
        <v>95</v>
      </c>
    </row>
    <row r="393" spans="1:3" x14ac:dyDescent="0.25">
      <c r="A393" s="24" t="s">
        <v>628</v>
      </c>
      <c r="B393" s="24" t="s">
        <v>847</v>
      </c>
      <c r="C393" s="24" t="s">
        <v>627</v>
      </c>
    </row>
    <row r="394" spans="1:3" x14ac:dyDescent="0.25">
      <c r="A394" s="24" t="s">
        <v>348</v>
      </c>
      <c r="B394" s="24" t="s">
        <v>847</v>
      </c>
      <c r="C394" s="24" t="s">
        <v>75</v>
      </c>
    </row>
    <row r="395" spans="1:3" x14ac:dyDescent="0.25">
      <c r="A395" s="24" t="s">
        <v>821</v>
      </c>
      <c r="B395" s="24" t="s">
        <v>847</v>
      </c>
      <c r="C395" s="24" t="s">
        <v>820</v>
      </c>
    </row>
    <row r="396" spans="1:3" x14ac:dyDescent="0.25">
      <c r="A396" s="24" t="s">
        <v>493</v>
      </c>
      <c r="B396" s="24" t="s">
        <v>847</v>
      </c>
      <c r="C396" s="24" t="s">
        <v>143</v>
      </c>
    </row>
    <row r="397" spans="1:3" x14ac:dyDescent="0.25">
      <c r="A397" s="24" t="s">
        <v>495</v>
      </c>
      <c r="B397" s="24" t="s">
        <v>847</v>
      </c>
      <c r="C397" s="24" t="s">
        <v>144</v>
      </c>
    </row>
    <row r="398" spans="1:3" x14ac:dyDescent="0.25">
      <c r="A398" s="24" t="s">
        <v>396</v>
      </c>
      <c r="B398" s="24" t="s">
        <v>847</v>
      </c>
      <c r="C398" s="24" t="s">
        <v>96</v>
      </c>
    </row>
    <row r="399" spans="1:3" x14ac:dyDescent="0.25">
      <c r="A399" s="24" t="s">
        <v>497</v>
      </c>
      <c r="B399" s="24" t="s">
        <v>847</v>
      </c>
      <c r="C399" s="24" t="s">
        <v>145</v>
      </c>
    </row>
    <row r="400" spans="1:3" x14ac:dyDescent="0.25">
      <c r="A400" s="24" t="s">
        <v>679</v>
      </c>
      <c r="B400" s="24" t="s">
        <v>847</v>
      </c>
      <c r="C400" s="24" t="s">
        <v>159</v>
      </c>
    </row>
    <row r="401" spans="1:3" x14ac:dyDescent="0.25">
      <c r="A401" s="24" t="s">
        <v>631</v>
      </c>
      <c r="B401" s="24" t="s">
        <v>847</v>
      </c>
      <c r="C401" s="24" t="s">
        <v>630</v>
      </c>
    </row>
    <row r="402" spans="1:3" x14ac:dyDescent="0.25">
      <c r="A402" s="24" t="s">
        <v>681</v>
      </c>
      <c r="B402" s="24" t="s">
        <v>847</v>
      </c>
      <c r="C402" s="24" t="s">
        <v>160</v>
      </c>
    </row>
    <row r="403" spans="1:3" x14ac:dyDescent="0.25">
      <c r="A403" s="24" t="s">
        <v>276</v>
      </c>
      <c r="B403" s="24" t="s">
        <v>847</v>
      </c>
      <c r="C403" s="24" t="s">
        <v>41</v>
      </c>
    </row>
    <row r="404" spans="1:3" x14ac:dyDescent="0.25">
      <c r="A404" s="24" t="s">
        <v>634</v>
      </c>
      <c r="B404" s="24" t="s">
        <v>847</v>
      </c>
      <c r="C404" s="24" t="s">
        <v>633</v>
      </c>
    </row>
    <row r="405" spans="1:3" x14ac:dyDescent="0.25">
      <c r="A405" s="24" t="s">
        <v>732</v>
      </c>
      <c r="B405" s="24" t="s">
        <v>847</v>
      </c>
      <c r="C405" s="24" t="s">
        <v>182</v>
      </c>
    </row>
    <row r="406" spans="1:3" x14ac:dyDescent="0.25">
      <c r="A406" s="24" t="s">
        <v>350</v>
      </c>
      <c r="B406" s="24" t="s">
        <v>847</v>
      </c>
      <c r="C406" s="24" t="s">
        <v>76</v>
      </c>
    </row>
    <row r="407" spans="1:3" x14ac:dyDescent="0.25">
      <c r="A407" s="24" t="s">
        <v>398</v>
      </c>
      <c r="B407" s="24" t="s">
        <v>847</v>
      </c>
      <c r="C407" s="24" t="s">
        <v>97</v>
      </c>
    </row>
    <row r="408" spans="1:3" x14ac:dyDescent="0.25">
      <c r="A408" s="24" t="s">
        <v>501</v>
      </c>
      <c r="B408" s="24" t="s">
        <v>847</v>
      </c>
      <c r="C408" s="24" t="s">
        <v>146</v>
      </c>
    </row>
    <row r="409" spans="1:3" x14ac:dyDescent="0.25">
      <c r="A409" s="24" t="s">
        <v>503</v>
      </c>
      <c r="B409" s="24" t="s">
        <v>847</v>
      </c>
      <c r="C409" s="24" t="s">
        <v>147</v>
      </c>
    </row>
    <row r="410" spans="1:3" x14ac:dyDescent="0.25">
      <c r="A410" s="24" t="s">
        <v>637</v>
      </c>
      <c r="B410" s="24" t="s">
        <v>847</v>
      </c>
      <c r="C410" s="24" t="s">
        <v>636</v>
      </c>
    </row>
    <row r="411" spans="1:3" x14ac:dyDescent="0.25">
      <c r="A411" s="24" t="s">
        <v>734</v>
      </c>
      <c r="B411" s="24" t="s">
        <v>847</v>
      </c>
      <c r="C411" s="24" t="s">
        <v>183</v>
      </c>
    </row>
    <row r="412" spans="1:3" x14ac:dyDescent="0.25">
      <c r="A412" s="24" t="s">
        <v>651</v>
      </c>
      <c r="B412" s="24" t="s">
        <v>847</v>
      </c>
      <c r="C412" s="24" t="s">
        <v>823</v>
      </c>
    </row>
    <row r="413" spans="1:3" x14ac:dyDescent="0.25">
      <c r="A413" s="24" t="s">
        <v>649</v>
      </c>
      <c r="B413" s="24" t="s">
        <v>847</v>
      </c>
      <c r="C413" s="24" t="s">
        <v>648</v>
      </c>
    </row>
    <row r="414" spans="1:3" x14ac:dyDescent="0.25">
      <c r="A414" s="24" t="s">
        <v>278</v>
      </c>
      <c r="B414" s="24" t="s">
        <v>847</v>
      </c>
      <c r="C414" s="24" t="s">
        <v>42</v>
      </c>
    </row>
    <row r="415" spans="1:3" x14ac:dyDescent="0.25">
      <c r="A415" s="24" t="s">
        <v>505</v>
      </c>
      <c r="B415" s="24" t="s">
        <v>847</v>
      </c>
      <c r="C415" s="24" t="s">
        <v>148</v>
      </c>
    </row>
    <row r="416" spans="1:3" x14ac:dyDescent="0.25">
      <c r="A416" s="24" t="s">
        <v>400</v>
      </c>
      <c r="B416" s="24" t="s">
        <v>847</v>
      </c>
      <c r="C416" s="24" t="s">
        <v>98</v>
      </c>
    </row>
    <row r="417" spans="1:3" x14ac:dyDescent="0.25">
      <c r="A417" s="24" t="s">
        <v>507</v>
      </c>
      <c r="B417" s="24" t="s">
        <v>847</v>
      </c>
      <c r="C417" s="24" t="s">
        <v>824</v>
      </c>
    </row>
    <row r="418" spans="1:3" x14ac:dyDescent="0.25">
      <c r="A418" s="24" t="s">
        <v>640</v>
      </c>
      <c r="B418" s="24" t="s">
        <v>847</v>
      </c>
      <c r="C418" s="24" t="s">
        <v>639</v>
      </c>
    </row>
    <row r="419" spans="1:3" x14ac:dyDescent="0.25">
      <c r="A419" s="24" t="s">
        <v>643</v>
      </c>
      <c r="B419" s="24" t="s">
        <v>847</v>
      </c>
      <c r="C419" s="24" t="s">
        <v>642</v>
      </c>
    </row>
    <row r="420" spans="1:3" x14ac:dyDescent="0.25">
      <c r="A420" s="24" t="s">
        <v>646</v>
      </c>
      <c r="B420" s="24" t="s">
        <v>847</v>
      </c>
      <c r="C420" s="24" t="s">
        <v>645</v>
      </c>
    </row>
    <row r="421" spans="1:3" x14ac:dyDescent="0.25">
      <c r="A421" s="24" t="s">
        <v>280</v>
      </c>
      <c r="B421" s="24" t="s">
        <v>847</v>
      </c>
      <c r="C421" s="24" t="s">
        <v>43</v>
      </c>
    </row>
    <row r="422" spans="1:3" x14ac:dyDescent="0.25">
      <c r="A422" s="24" t="s">
        <v>826</v>
      </c>
      <c r="B422" s="24" t="s">
        <v>847</v>
      </c>
      <c r="C422" s="24" t="s">
        <v>825</v>
      </c>
    </row>
    <row r="423" spans="1:3" x14ac:dyDescent="0.25">
      <c r="A423" s="24" t="s">
        <v>352</v>
      </c>
      <c r="B423" s="24" t="s">
        <v>847</v>
      </c>
      <c r="C423" s="24" t="s">
        <v>77</v>
      </c>
    </row>
    <row r="424" spans="1:3" x14ac:dyDescent="0.25">
      <c r="A424" s="24" t="s">
        <v>354</v>
      </c>
      <c r="B424" s="24" t="s">
        <v>847</v>
      </c>
      <c r="C424" s="24" t="s">
        <v>78</v>
      </c>
    </row>
    <row r="425" spans="1:3" x14ac:dyDescent="0.25">
      <c r="A425" s="24" t="s">
        <v>509</v>
      </c>
      <c r="B425" s="24" t="s">
        <v>847</v>
      </c>
      <c r="C425" s="24" t="s">
        <v>149</v>
      </c>
    </row>
    <row r="426" spans="1:3" x14ac:dyDescent="0.25">
      <c r="A426" s="24" t="s">
        <v>736</v>
      </c>
      <c r="B426" s="24" t="s">
        <v>847</v>
      </c>
      <c r="C426" s="24" t="s">
        <v>184</v>
      </c>
    </row>
    <row r="427" spans="1:3" x14ac:dyDescent="0.25">
      <c r="A427" s="24" t="s">
        <v>356</v>
      </c>
      <c r="B427" s="24" t="s">
        <v>847</v>
      </c>
      <c r="C427" s="24" t="s">
        <v>79</v>
      </c>
    </row>
    <row r="428" spans="1:3" x14ac:dyDescent="0.25">
      <c r="A428" s="24" t="s">
        <v>738</v>
      </c>
      <c r="B428" s="24" t="s">
        <v>847</v>
      </c>
      <c r="C428" s="24" t="s">
        <v>185</v>
      </c>
    </row>
    <row r="429" spans="1:3" x14ac:dyDescent="0.25">
      <c r="A429" s="24" t="s">
        <v>653</v>
      </c>
      <c r="B429" s="24" t="s">
        <v>847</v>
      </c>
      <c r="C429" s="24" t="s">
        <v>828</v>
      </c>
    </row>
    <row r="430" spans="1:3" x14ac:dyDescent="0.25">
      <c r="A430" s="24" t="s">
        <v>656</v>
      </c>
      <c r="B430" s="24" t="s">
        <v>847</v>
      </c>
      <c r="C430" s="24" t="s">
        <v>655</v>
      </c>
    </row>
    <row r="431" spans="1:3" x14ac:dyDescent="0.25">
      <c r="A431" s="24" t="s">
        <v>386</v>
      </c>
      <c r="B431" s="24" t="s">
        <v>847</v>
      </c>
      <c r="C431" s="24" t="s">
        <v>829</v>
      </c>
    </row>
    <row r="432" spans="1:3" x14ac:dyDescent="0.25">
      <c r="A432" s="24" t="s">
        <v>831</v>
      </c>
      <c r="B432" s="24" t="s">
        <v>847</v>
      </c>
      <c r="C432" s="24" t="s">
        <v>830</v>
      </c>
    </row>
    <row r="433" spans="1:3" x14ac:dyDescent="0.25">
      <c r="A433" s="24" t="s">
        <v>402</v>
      </c>
      <c r="B433" s="24" t="s">
        <v>847</v>
      </c>
      <c r="C433" s="24" t="s">
        <v>99</v>
      </c>
    </row>
    <row r="434" spans="1:3" x14ac:dyDescent="0.25">
      <c r="A434" s="24" t="s">
        <v>659</v>
      </c>
      <c r="B434" s="24" t="s">
        <v>847</v>
      </c>
      <c r="C434" s="24" t="s">
        <v>658</v>
      </c>
    </row>
    <row r="435" spans="1:3" x14ac:dyDescent="0.25">
      <c r="A435" s="24" t="s">
        <v>282</v>
      </c>
      <c r="B435" s="24" t="s">
        <v>847</v>
      </c>
      <c r="C435" s="24" t="s">
        <v>44</v>
      </c>
    </row>
    <row r="436" spans="1:3" x14ac:dyDescent="0.25">
      <c r="A436" s="24" t="s">
        <v>284</v>
      </c>
      <c r="B436" s="24" t="s">
        <v>847</v>
      </c>
      <c r="C436" s="24" t="s">
        <v>45</v>
      </c>
    </row>
    <row r="437" spans="1:3" x14ac:dyDescent="0.25">
      <c r="A437" s="24" t="s">
        <v>834</v>
      </c>
      <c r="B437" s="24" t="s">
        <v>847</v>
      </c>
      <c r="C437" s="24" t="s">
        <v>833</v>
      </c>
    </row>
    <row r="438" spans="1:3" x14ac:dyDescent="0.25">
      <c r="A438" s="24" t="s">
        <v>846</v>
      </c>
      <c r="B438" s="24" t="s">
        <v>843</v>
      </c>
      <c r="C438" s="24" t="s">
        <v>1191</v>
      </c>
    </row>
    <row r="439" spans="1:3" x14ac:dyDescent="0.25">
      <c r="A439" s="24" t="s">
        <v>844</v>
      </c>
      <c r="B439" s="24" t="s">
        <v>843</v>
      </c>
      <c r="C439" s="24" t="s">
        <v>1190</v>
      </c>
    </row>
  </sheetData>
  <sheetProtection algorithmName="SHA-512" hashValue="dYEWIZ6TKpUkyx8eSb8GLhD0T0K2yN9IW+aYLJdpCJMvRWUBIgFlbf8cVorTx83rYmQ/xJvH1AV7uCQ8eoyOFw==" saltValue="Q/kKNqRdKiOuX1/Dnt6ZbA==" spinCount="100000" sheet="1" objects="1" scenarios="1" formatCells="0" formatColumns="0" formatRows="0"/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437</vt:i4>
      </vt:variant>
    </vt:vector>
  </HeadingPairs>
  <TitlesOfParts>
    <vt:vector size="442" baseType="lpstr">
      <vt:lpstr>Regulation</vt:lpstr>
      <vt:lpstr>Acreditation</vt:lpstr>
      <vt:lpstr>Lifelong Learning</vt:lpstr>
      <vt:lpstr>Validation</vt:lpstr>
      <vt:lpstr>Metadata</vt:lpstr>
      <vt:lpstr>_a0Tb0vzKk1m</vt:lpstr>
      <vt:lpstr>_aBpbcEgtzgw</vt:lpstr>
      <vt:lpstr>_ACalScnrl2I</vt:lpstr>
      <vt:lpstr>_adhcUwpwjrt</vt:lpstr>
      <vt:lpstr>_Adzexk8xbzD</vt:lpstr>
      <vt:lpstr>_aEDrisPWh6i</vt:lpstr>
      <vt:lpstr>_afgPWA9EO9d</vt:lpstr>
      <vt:lpstr>_AFIorEPU00q</vt:lpstr>
      <vt:lpstr>_AJBfDthkySs</vt:lpstr>
      <vt:lpstr>_AjeCGGb8H76</vt:lpstr>
      <vt:lpstr>_Ajnw1b8m6eL</vt:lpstr>
      <vt:lpstr>_ALBRKpJsddQ</vt:lpstr>
      <vt:lpstr>_aNIrqpwcKXv</vt:lpstr>
      <vt:lpstr>_aNkwiAZwM7f</vt:lpstr>
      <vt:lpstr>_apVWLKfARpb</vt:lpstr>
      <vt:lpstr>_AUStREIxT4s</vt:lpstr>
      <vt:lpstr>_AuztI35M2eU</vt:lpstr>
      <vt:lpstr>_av3fkpFxEXj</vt:lpstr>
      <vt:lpstr>_AYWCbVecRKQ</vt:lpstr>
      <vt:lpstr>_aZ7Bm5L90rn</vt:lpstr>
      <vt:lpstr>_AZdPnw0b1lm</vt:lpstr>
      <vt:lpstr>_B4iWc3gcDcn</vt:lpstr>
      <vt:lpstr>_B9p76UEP9T6</vt:lpstr>
      <vt:lpstr>_BABcY9z1yhJ</vt:lpstr>
      <vt:lpstr>_BAYPJS2PaYa</vt:lpstr>
      <vt:lpstr>_Bc3mYAhlY1a</vt:lpstr>
      <vt:lpstr>_bcy4159FETR</vt:lpstr>
      <vt:lpstr>_BGi4lPgaJ07</vt:lpstr>
      <vt:lpstr>_bGWaeVBrOcc</vt:lpstr>
      <vt:lpstr>_bhkJDAiqVKX</vt:lpstr>
      <vt:lpstr>_BK0kijGEWMy</vt:lpstr>
      <vt:lpstr>_BlC8wOVHBlb</vt:lpstr>
      <vt:lpstr>_BLpPqpMtgQY</vt:lpstr>
      <vt:lpstr>_BmTVMvJHVBO</vt:lpstr>
      <vt:lpstr>_bnQX2QIuIY9</vt:lpstr>
      <vt:lpstr>_Bon3xyAAWKf</vt:lpstr>
      <vt:lpstr>_bq7cDa5kIgG</vt:lpstr>
      <vt:lpstr>_buSEeeViTo3</vt:lpstr>
      <vt:lpstr>_Bvwo2Tnwg6K</vt:lpstr>
      <vt:lpstr>_bvyjEfI0d2V</vt:lpstr>
      <vt:lpstr>_BVzmce6DVeS</vt:lpstr>
      <vt:lpstr>_c3tvWVyotti</vt:lpstr>
      <vt:lpstr>_c82mDnhUQly</vt:lpstr>
      <vt:lpstr>_cCgL3J7Lsgn</vt:lpstr>
      <vt:lpstr>_CCl7hAqlrmE</vt:lpstr>
      <vt:lpstr>_cemAvj8TkMX</vt:lpstr>
      <vt:lpstr>_cfBaKMnsXd1</vt:lpstr>
      <vt:lpstr>_CHeEETUlnlu</vt:lpstr>
      <vt:lpstr>_cJU4qStc9QT</vt:lpstr>
      <vt:lpstr>_COs48yLdDvg</vt:lpstr>
      <vt:lpstr>_CPexoOTnUQZ</vt:lpstr>
      <vt:lpstr>_cpmmPDsQ3uG</vt:lpstr>
      <vt:lpstr>_CpV0L0Y9i9h</vt:lpstr>
      <vt:lpstr>_cRWrIpjzvVl</vt:lpstr>
      <vt:lpstr>_CVlyw498LdE</vt:lpstr>
      <vt:lpstr>_cWrL45je7mw</vt:lpstr>
      <vt:lpstr>_cZ8823L0fLJ</vt:lpstr>
      <vt:lpstr>_D4JnxOsqwE4</vt:lpstr>
      <vt:lpstr>_d5tEbnmf2Yl</vt:lpstr>
      <vt:lpstr>_DMyxTSpvKOp</vt:lpstr>
      <vt:lpstr>_Dn2P7GXFCTr</vt:lpstr>
      <vt:lpstr>_dNdiNzgxEAO</vt:lpstr>
      <vt:lpstr>_dNLjKwsVjod</vt:lpstr>
      <vt:lpstr>_dpcvWc01CeN</vt:lpstr>
      <vt:lpstr>_dscgTvwyCw8</vt:lpstr>
      <vt:lpstr>_DVnpk4xiXGJ</vt:lpstr>
      <vt:lpstr>_DzAOqCf0ots</vt:lpstr>
      <vt:lpstr>_E9G2aQpCs1A</vt:lpstr>
      <vt:lpstr>_e9IoKRAkYLO</vt:lpstr>
      <vt:lpstr>_eaxvIzrZDyz</vt:lpstr>
      <vt:lpstr>_EB4aSZN0eQr</vt:lpstr>
      <vt:lpstr>_EDHO4qOyY88</vt:lpstr>
      <vt:lpstr>_EgaLdA1UaEV</vt:lpstr>
      <vt:lpstr>_EGGz5kkdVNl</vt:lpstr>
      <vt:lpstr>_EGLpIMSAWhx</vt:lpstr>
      <vt:lpstr>_ehNfKt5LpG9</vt:lpstr>
      <vt:lpstr>_eizhjSo5svd</vt:lpstr>
      <vt:lpstr>_ejraR8DfZPf</vt:lpstr>
      <vt:lpstr>_el5QnfrCW5R</vt:lpstr>
      <vt:lpstr>_ElwEWppmGgv</vt:lpstr>
      <vt:lpstr>_er7MPiN3tdH</vt:lpstr>
      <vt:lpstr>_EubjsxqlA4d</vt:lpstr>
      <vt:lpstr>_EUuaZTsVCUP</vt:lpstr>
      <vt:lpstr>_eVEK7djdWqV</vt:lpstr>
      <vt:lpstr>_eVp1pvRfPKS</vt:lpstr>
      <vt:lpstr>_eyvitcZL4ex</vt:lpstr>
      <vt:lpstr>_f4ZFD2aswys</vt:lpstr>
      <vt:lpstr>_false</vt:lpstr>
      <vt:lpstr>_FbLuOUxYtvW</vt:lpstr>
      <vt:lpstr>_fg8TSIHSGHX</vt:lpstr>
      <vt:lpstr>_fGOgbIqsxDn</vt:lpstr>
      <vt:lpstr>_fHaKXfcKthe</vt:lpstr>
      <vt:lpstr>_fhe12emlYec</vt:lpstr>
      <vt:lpstr>_fHXW26zg2U6</vt:lpstr>
      <vt:lpstr>_Fi5lLVwe1Th</vt:lpstr>
      <vt:lpstr>_fIlPGTXBCUm</vt:lpstr>
      <vt:lpstr>_fkrzFaeuYDn</vt:lpstr>
      <vt:lpstr>_fLT65oEdyRn</vt:lpstr>
      <vt:lpstr>_FNduj2N3e8s</vt:lpstr>
      <vt:lpstr>_FOJUXD6f6lB</vt:lpstr>
      <vt:lpstr>_Fq9qs6Kn6wN</vt:lpstr>
      <vt:lpstr>_frJLJlrvNt0</vt:lpstr>
      <vt:lpstr>_Fu0P8tj6k3M</vt:lpstr>
      <vt:lpstr>_FUieyovDec8</vt:lpstr>
      <vt:lpstr>_fYeClLy8K2x</vt:lpstr>
      <vt:lpstr>_G037PAPU5dO</vt:lpstr>
      <vt:lpstr>_G3thRWUQAX9</vt:lpstr>
      <vt:lpstr>_g49fuSiB623</vt:lpstr>
      <vt:lpstr>_G8FCnT37gyb</vt:lpstr>
      <vt:lpstr>_G9o5ad4oJJX</vt:lpstr>
      <vt:lpstr>_Gan3VYicAWe</vt:lpstr>
      <vt:lpstr>_gb7vWtO7Wjp</vt:lpstr>
      <vt:lpstr>_GEDhlVgull2</vt:lpstr>
      <vt:lpstr>_gg9DH7dvdeD</vt:lpstr>
      <vt:lpstr>_gMz0MxjZcEt</vt:lpstr>
      <vt:lpstr>_GNErbB4poQO</vt:lpstr>
      <vt:lpstr>_Gnz4lqrVEMf</vt:lpstr>
      <vt:lpstr>_GPyOOoIby8R</vt:lpstr>
      <vt:lpstr>_grFSq6NI6Rv</vt:lpstr>
      <vt:lpstr>_GRpQAAvLFM6</vt:lpstr>
      <vt:lpstr>_GrU8zQv510v</vt:lpstr>
      <vt:lpstr>_GrZXd4osOGW</vt:lpstr>
      <vt:lpstr>_gs8HWsMAFFl</vt:lpstr>
      <vt:lpstr>_gUsLcRFoCG6</vt:lpstr>
      <vt:lpstr>_GuVpRPGCTK4</vt:lpstr>
      <vt:lpstr>_Gvox4WmLiYC</vt:lpstr>
      <vt:lpstr>_GWQBgBHdbbp</vt:lpstr>
      <vt:lpstr>_gxi9jcBYyrL</vt:lpstr>
      <vt:lpstr>_gytTkeQWyoA</vt:lpstr>
      <vt:lpstr>_H4L8KbENVVk</vt:lpstr>
      <vt:lpstr>_h580rDibPjP</vt:lpstr>
      <vt:lpstr>_H7lhdWUUWxH</vt:lpstr>
      <vt:lpstr>_HDN85xUGB65</vt:lpstr>
      <vt:lpstr>_HfUw03ynsgX</vt:lpstr>
      <vt:lpstr>_HfVjCurKxh2</vt:lpstr>
      <vt:lpstr>_hG1CNbw8wSF</vt:lpstr>
      <vt:lpstr>_hgGOTFYZxMO</vt:lpstr>
      <vt:lpstr>_HHu5mmkn9nI</vt:lpstr>
      <vt:lpstr>_HizhPCC5Ps5</vt:lpstr>
      <vt:lpstr>_hJJOo4gRjQA</vt:lpstr>
      <vt:lpstr>_hmZE3mVAZFf</vt:lpstr>
      <vt:lpstr>_hpXoMVtJpT3</vt:lpstr>
      <vt:lpstr>_hUTcFeRUFve</vt:lpstr>
      <vt:lpstr>_HwqfuL9pQz5</vt:lpstr>
      <vt:lpstr>_HX7fBSMCCbL</vt:lpstr>
      <vt:lpstr>_HYEuE8zV74t</vt:lpstr>
      <vt:lpstr>_HZci3ozLEL4</vt:lpstr>
      <vt:lpstr>_I3NxIqG7bD4</vt:lpstr>
      <vt:lpstr>_i3v8r9XNls2</vt:lpstr>
      <vt:lpstr>_I7m7EOrcrNa</vt:lpstr>
      <vt:lpstr>_I93t0K7b1oN</vt:lpstr>
      <vt:lpstr>_IbGbsybdeou</vt:lpstr>
      <vt:lpstr>_ibGsqmiVkoU</vt:lpstr>
      <vt:lpstr>_IFAb1JUZ0Fz</vt:lpstr>
      <vt:lpstr>_iFaKKDtb7nf</vt:lpstr>
      <vt:lpstr>_IjLnDADGraQ</vt:lpstr>
      <vt:lpstr>_iNT35p3jsEM</vt:lpstr>
      <vt:lpstr>_ipe4pT2TW7G</vt:lpstr>
      <vt:lpstr>_IPThC4rBaja</vt:lpstr>
      <vt:lpstr>_IRewF07UDgW</vt:lpstr>
      <vt:lpstr>_IS6oWwtsElu</vt:lpstr>
      <vt:lpstr>_iWRW6jXAzvP</vt:lpstr>
      <vt:lpstr>_Iz9uNISIBW5</vt:lpstr>
      <vt:lpstr>_IZSm5iPKkDg</vt:lpstr>
      <vt:lpstr>_IZy3ESdFnp5</vt:lpstr>
      <vt:lpstr>_j4pHY4ToKPi</vt:lpstr>
      <vt:lpstr>_J9kRmc46Slz</vt:lpstr>
      <vt:lpstr>_jCtFxm8aADJ</vt:lpstr>
      <vt:lpstr>_JEHwU064LAj</vt:lpstr>
      <vt:lpstr>_jFOZHDZpjPL</vt:lpstr>
      <vt:lpstr>_JI5lagoUJR4</vt:lpstr>
      <vt:lpstr>_JIr15Xt3EQn</vt:lpstr>
      <vt:lpstr>_jkyBvNzcTLl</vt:lpstr>
      <vt:lpstr>_JLq8DlnnFF9</vt:lpstr>
      <vt:lpstr>_jMGr96nGwHN</vt:lpstr>
      <vt:lpstr>_Jo5JCqQn6a4</vt:lpstr>
      <vt:lpstr>_jQ05qNtE9HB</vt:lpstr>
      <vt:lpstr>_JQ5qF3mRCMe</vt:lpstr>
      <vt:lpstr>_juBxu3AprlM</vt:lpstr>
      <vt:lpstr>_jVqoXv7rFns</vt:lpstr>
      <vt:lpstr>_JX7HJfPfbog</vt:lpstr>
      <vt:lpstr>_jXQq22U4Y2e</vt:lpstr>
      <vt:lpstr>_jZOt27rWre8</vt:lpstr>
      <vt:lpstr>_JzvGfLYkX17</vt:lpstr>
      <vt:lpstr>_K5u7PTVJDz9</vt:lpstr>
      <vt:lpstr>_K9YrD3rxhIm</vt:lpstr>
      <vt:lpstr>_KAUSOoBq5Ft</vt:lpstr>
      <vt:lpstr>_KcDPaDGLf9P</vt:lpstr>
      <vt:lpstr>_kf5mAEgzRro</vt:lpstr>
      <vt:lpstr>_kfQaLeZLepq</vt:lpstr>
      <vt:lpstr>_KI35YVBqwOH</vt:lpstr>
      <vt:lpstr>_KKBsggVfCTv</vt:lpstr>
      <vt:lpstr>_klUdBljsnYT</vt:lpstr>
      <vt:lpstr>_Km3h0ydFI2j</vt:lpstr>
      <vt:lpstr>_KM3j2qURZvm</vt:lpstr>
      <vt:lpstr>_KOUhvjWIy6V</vt:lpstr>
      <vt:lpstr>_kpFgAwwSjCZ</vt:lpstr>
      <vt:lpstr>_KPlsuTaezlc</vt:lpstr>
      <vt:lpstr>_KqaTbKanCG3</vt:lpstr>
      <vt:lpstr>_KrU8C1YTdao</vt:lpstr>
      <vt:lpstr>_KwgjnBBpe5b</vt:lpstr>
      <vt:lpstr>_kxeieT5f8wy</vt:lpstr>
      <vt:lpstr>_KyFesytPvpt</vt:lpstr>
      <vt:lpstr>_KYNXNZlaQBc</vt:lpstr>
      <vt:lpstr>_l1U9oBgd2Pg</vt:lpstr>
      <vt:lpstr>_L8r8I4WDRUp</vt:lpstr>
      <vt:lpstr>_LAPR4Iu2NVS</vt:lpstr>
      <vt:lpstr>_lbMrRSBsXh3</vt:lpstr>
      <vt:lpstr>_LbWpsX1FJcC</vt:lpstr>
      <vt:lpstr>_LDYaGTqoAd4</vt:lpstr>
      <vt:lpstr>_lGN2n7pZ6Ua</vt:lpstr>
      <vt:lpstr>_LHbCtHlZr3Y</vt:lpstr>
      <vt:lpstr>_LJNl2upvs8S</vt:lpstr>
      <vt:lpstr>_lKZR6UK0afN</vt:lpstr>
      <vt:lpstr>_lnvESj20mWZ</vt:lpstr>
      <vt:lpstr>_LTLHCOHyyWS</vt:lpstr>
      <vt:lpstr>_LTTnjIq6X6j</vt:lpstr>
      <vt:lpstr>_lVPoUAKCdmU</vt:lpstr>
      <vt:lpstr>_M09xmOtGx9r</vt:lpstr>
      <vt:lpstr>_m8xYEbXD3Ee</vt:lpstr>
      <vt:lpstr>_M9HrCkIwaKy</vt:lpstr>
      <vt:lpstr>_Mb9IYOFZYCv</vt:lpstr>
      <vt:lpstr>_mDSuyD9lOM5</vt:lpstr>
      <vt:lpstr>_mHNrhvqWd3X</vt:lpstr>
      <vt:lpstr>_mhWSEv79IJW</vt:lpstr>
      <vt:lpstr>_MJEntShoQVK</vt:lpstr>
      <vt:lpstr>_Mk7P920hkBa</vt:lpstr>
      <vt:lpstr>_mmJUi0PpvGi</vt:lpstr>
      <vt:lpstr>_mNa42CHbkO7</vt:lpstr>
      <vt:lpstr>_MPzyVWiSFF2</vt:lpstr>
      <vt:lpstr>_Mx06wOF9Edi</vt:lpstr>
      <vt:lpstr>_myv7amOYTHn</vt:lpstr>
      <vt:lpstr>_N2cOrvYlDJJ</vt:lpstr>
      <vt:lpstr>_n8iofJiiX4T</vt:lpstr>
      <vt:lpstr>_N9i1v07Ro0E</vt:lpstr>
      <vt:lpstr>_ncopO2Sj2RB</vt:lpstr>
      <vt:lpstr>_ngUSWwX0Oby</vt:lpstr>
      <vt:lpstr>_NhuW760cOQG</vt:lpstr>
      <vt:lpstr>_Nlv8oKkoAwp</vt:lpstr>
      <vt:lpstr>_Nrnay4JA8Ga</vt:lpstr>
      <vt:lpstr>_NUkOvK4bnj2</vt:lpstr>
      <vt:lpstr>_nwlPIKGV1gP</vt:lpstr>
      <vt:lpstr>_nwRqq6w8MKq</vt:lpstr>
      <vt:lpstr>_O0hWoXlHhIS</vt:lpstr>
      <vt:lpstr>_o64uNjIuRXr</vt:lpstr>
      <vt:lpstr>_O7BGyJhV2Tc</vt:lpstr>
      <vt:lpstr>_oBOgUPGLDM8</vt:lpstr>
      <vt:lpstr>_OBs444qCCU9</vt:lpstr>
      <vt:lpstr>_OFXJXWnOG0R</vt:lpstr>
      <vt:lpstr>_OJ2BPEwWYG9</vt:lpstr>
      <vt:lpstr>_oofyLUJJ6Vy</vt:lpstr>
      <vt:lpstr>_oroMC4mMzMq</vt:lpstr>
      <vt:lpstr>_oTTeFlxkljB</vt:lpstr>
      <vt:lpstr>_oWNF4d3PK8C</vt:lpstr>
      <vt:lpstr>_oy494aJtjTB</vt:lpstr>
      <vt:lpstr>_pbH6bmcioGw</vt:lpstr>
      <vt:lpstr>_PE5XG7ZZgdc</vt:lpstr>
      <vt:lpstr>_PevCwH17M73</vt:lpstr>
      <vt:lpstr>_Pf77Sb5TYCR</vt:lpstr>
      <vt:lpstr>_PFAtPR87fHs</vt:lpstr>
      <vt:lpstr>_pfhvgmllA9M</vt:lpstr>
      <vt:lpstr>_PG2MTqzwOAT</vt:lpstr>
      <vt:lpstr>_pGLy2Zj2lVg</vt:lpstr>
      <vt:lpstr>_phnE76RjYz8</vt:lpstr>
      <vt:lpstr>_PJS910L8KtX</vt:lpstr>
      <vt:lpstr>_pL6jJhifUxq</vt:lpstr>
      <vt:lpstr>_pMukkUmnnkh</vt:lpstr>
      <vt:lpstr>_pnySnJ6om1A</vt:lpstr>
      <vt:lpstr>_PPfHCBsbdGU</vt:lpstr>
      <vt:lpstr>_PpjdOoVUc7k</vt:lpstr>
      <vt:lpstr>_PRrdILmQQb3</vt:lpstr>
      <vt:lpstr>_PvrMV4NjbtR</vt:lpstr>
      <vt:lpstr>_pWAGDlaDi7y</vt:lpstr>
      <vt:lpstr>_Px7yHDZGBQS</vt:lpstr>
      <vt:lpstr>_PY4aKgi30fr</vt:lpstr>
      <vt:lpstr>_pyMHfUIDXRf</vt:lpstr>
      <vt:lpstr>_Pz0LCggcqES</vt:lpstr>
      <vt:lpstr>_pZ3XRBi9gYE</vt:lpstr>
      <vt:lpstr>_pZZriU4sY0l</vt:lpstr>
      <vt:lpstr>_q23bFLr2E5D</vt:lpstr>
      <vt:lpstr>_q2HqXV5OO3z</vt:lpstr>
      <vt:lpstr>_Q8De2VxoKXS</vt:lpstr>
      <vt:lpstr>_q9u7nkNkuGy</vt:lpstr>
      <vt:lpstr>_qbqrFLCJewu</vt:lpstr>
      <vt:lpstr>_QcMU3E5D2eN</vt:lpstr>
      <vt:lpstr>_qDrIfDpZQzJ</vt:lpstr>
      <vt:lpstr>_Qj97xn0ejxd</vt:lpstr>
      <vt:lpstr>_QkOClVdLto1</vt:lpstr>
      <vt:lpstr>_QLERXr2o7IE</vt:lpstr>
      <vt:lpstr>_QqAzWHtJ8VC</vt:lpstr>
      <vt:lpstr>_QSpLidCdqMU</vt:lpstr>
      <vt:lpstr>_quQpOfBIDFC</vt:lpstr>
      <vt:lpstr>_qZ9h4jv9cgO</vt:lpstr>
      <vt:lpstr>_rb6V38jgfFc</vt:lpstr>
      <vt:lpstr>_RBkF8N37tQl</vt:lpstr>
      <vt:lpstr>_RDiXMdNXg16</vt:lpstr>
      <vt:lpstr>_rEQqufy2KNi</vt:lpstr>
      <vt:lpstr>_Ri2tb7LBVtP</vt:lpstr>
      <vt:lpstr>_Rmy6DbwekE1</vt:lpstr>
      <vt:lpstr>_RQZXBtwBToV</vt:lpstr>
      <vt:lpstr>_RTdjvXHJdnH</vt:lpstr>
      <vt:lpstr>_rtLnlu4GUI2</vt:lpstr>
      <vt:lpstr>_RyAd6laKg3U</vt:lpstr>
      <vt:lpstr>_S0cJazBoB9r</vt:lpstr>
      <vt:lpstr>_s1mzBU7YOaZ</vt:lpstr>
      <vt:lpstr>_S52uSY3lb8V</vt:lpstr>
      <vt:lpstr>_s6Rrf01L045</vt:lpstr>
      <vt:lpstr>_SAsS1Kwc4iW</vt:lpstr>
      <vt:lpstr>_sg5v6c9tCZ3</vt:lpstr>
      <vt:lpstr>_shRXArPWh8H</vt:lpstr>
      <vt:lpstr>_sIxOvk6qfU2</vt:lpstr>
      <vt:lpstr>_slfNDnwGD4i</vt:lpstr>
      <vt:lpstr>_Snhh7MxvJ09</vt:lpstr>
      <vt:lpstr>_sNmNyudrFxw</vt:lpstr>
      <vt:lpstr>_SnYHrnchKjL</vt:lpstr>
      <vt:lpstr>_sRswNwJvzd2</vt:lpstr>
      <vt:lpstr>_SsAjVE1S87E</vt:lpstr>
      <vt:lpstr>_sSIYRwB1r74</vt:lpstr>
      <vt:lpstr>_ST86paYjRHP</vt:lpstr>
      <vt:lpstr>_SUvvKWCJO5S</vt:lpstr>
      <vt:lpstr>_SvnuCPrV3m8</vt:lpstr>
      <vt:lpstr>_T1irZBQ9gNW</vt:lpstr>
      <vt:lpstr>_T7tKHiW1Db1</vt:lpstr>
      <vt:lpstr>_tDFavWinSwr</vt:lpstr>
      <vt:lpstr>_TdnUj1l3Z4i</vt:lpstr>
      <vt:lpstr>_TIhakAVsQwM</vt:lpstr>
      <vt:lpstr>_TldYkeCwb5r</vt:lpstr>
      <vt:lpstr>_tnTRnfd2aVs</vt:lpstr>
      <vt:lpstr>_TpDwlm2Spev</vt:lpstr>
      <vt:lpstr>_Tr4i6jeDDqj</vt:lpstr>
      <vt:lpstr>_true</vt:lpstr>
      <vt:lpstr>_tSBEjAHKj9V</vt:lpstr>
      <vt:lpstr>_tV0rWhHr9cj</vt:lpstr>
      <vt:lpstr>_TVuwNm1PyRC</vt:lpstr>
      <vt:lpstr>_TWyMjVaaxmT</vt:lpstr>
      <vt:lpstr>_TYtubJjtDDs</vt:lpstr>
      <vt:lpstr>_u06rnfoY988</vt:lpstr>
      <vt:lpstr>_u3GOCB1Hu01</vt:lpstr>
      <vt:lpstr>_U5S2sbEnGT9</vt:lpstr>
      <vt:lpstr>_u7H4MyT2Y0A</vt:lpstr>
      <vt:lpstr>_U9JXvMTuigM</vt:lpstr>
      <vt:lpstr>_ubXH2Mko823</vt:lpstr>
      <vt:lpstr>_uEt3e82IzsK</vt:lpstr>
      <vt:lpstr>_UJVEh0g7qOo</vt:lpstr>
      <vt:lpstr>_UlQiEogy3wG</vt:lpstr>
      <vt:lpstr>_uvTw0Kus5KZ</vt:lpstr>
      <vt:lpstr>_v2B5AtYQV8H</vt:lpstr>
      <vt:lpstr>_v6O0oWTXY34</vt:lpstr>
      <vt:lpstr>_VbbSe7wgS9s</vt:lpstr>
      <vt:lpstr>_vboedbUs1As</vt:lpstr>
      <vt:lpstr>_VCZsq4EzHM1</vt:lpstr>
      <vt:lpstr>_vg4b11FL2Gl</vt:lpstr>
      <vt:lpstr>_VGOzFKfSazN</vt:lpstr>
      <vt:lpstr>_VJrTuNXAg9G</vt:lpstr>
      <vt:lpstr>_vKV2AVBhstz</vt:lpstr>
      <vt:lpstr>_vkXlj7ZPkGi</vt:lpstr>
      <vt:lpstr>_VMqDEughMuP</vt:lpstr>
      <vt:lpstr>_vnbnnSZXGTv</vt:lpstr>
      <vt:lpstr>_VnTycSnraEY</vt:lpstr>
      <vt:lpstr>_VPesUmegQpP</vt:lpstr>
      <vt:lpstr>_vPoFz9J1v6Y</vt:lpstr>
      <vt:lpstr>_VQk5aenfDR4</vt:lpstr>
      <vt:lpstr>_vRh6cPENAgr</vt:lpstr>
      <vt:lpstr>_VtVkbvygJnm</vt:lpstr>
      <vt:lpstr>_vVPyD60zs2c</vt:lpstr>
      <vt:lpstr>_VwqhqUCaMgk</vt:lpstr>
      <vt:lpstr>_VYVKdqiXo4b</vt:lpstr>
      <vt:lpstr>_W1nqjNXF8t7</vt:lpstr>
      <vt:lpstr>_w3IJVQhc8Rm</vt:lpstr>
      <vt:lpstr>_w3Lz42yCAiU</vt:lpstr>
      <vt:lpstr>_WApLDd37Yj2</vt:lpstr>
      <vt:lpstr>_WC5rU5fLMzY</vt:lpstr>
      <vt:lpstr>_wFkq5oB0dFS</vt:lpstr>
      <vt:lpstr>_wimH12ukPK5</vt:lpstr>
      <vt:lpstr>_wj7iV08dvFq</vt:lpstr>
      <vt:lpstr>_wMTP4GblKr8</vt:lpstr>
      <vt:lpstr>_wnuoeS9sVZR</vt:lpstr>
      <vt:lpstr>_Wpzccx0vjIP</vt:lpstr>
      <vt:lpstr>_wqcSEURdLVe</vt:lpstr>
      <vt:lpstr>_WsHpge8yVZM</vt:lpstr>
      <vt:lpstr>_WtcZBCTspgM</vt:lpstr>
      <vt:lpstr>_wTJuvXKZCrz</vt:lpstr>
      <vt:lpstr>_wTTVz32PAOn</vt:lpstr>
      <vt:lpstr>_wUBWZEHJm6Q</vt:lpstr>
      <vt:lpstr>_WuQvgvXKamv</vt:lpstr>
      <vt:lpstr>_wurYrdkfzFD</vt:lpstr>
      <vt:lpstr>_WXGcnQWJ0Qd</vt:lpstr>
      <vt:lpstr>_wY9lL47ojb6</vt:lpstr>
      <vt:lpstr>_wyKC2eWRH3y</vt:lpstr>
      <vt:lpstr>_x6DVvicRjYC</vt:lpstr>
      <vt:lpstr>_x9MXiBfrfFG</vt:lpstr>
      <vt:lpstr>_xb2ezJcUoSR</vt:lpstr>
      <vt:lpstr>_xB6nQN5Wtpg</vt:lpstr>
      <vt:lpstr>_XebDUbuPqVx</vt:lpstr>
      <vt:lpstr>_XeWqwCw9G5s</vt:lpstr>
      <vt:lpstr>_Xgr3PJxcWfJ</vt:lpstr>
      <vt:lpstr>_xIdJZgy5GSy</vt:lpstr>
      <vt:lpstr>_XiMIOSJ0d3c</vt:lpstr>
      <vt:lpstr>_XjHXb0aFH5w</vt:lpstr>
      <vt:lpstr>_XJscL6IuHpd</vt:lpstr>
      <vt:lpstr>_XKKI1hhyFxk</vt:lpstr>
      <vt:lpstr>_XQajU8YgbXg</vt:lpstr>
      <vt:lpstr>_XQgL1GHsnrT</vt:lpstr>
      <vt:lpstr>_xqjIL1cGrl1</vt:lpstr>
      <vt:lpstr>_Xr12mI7VPn3</vt:lpstr>
      <vt:lpstr>_XYpsN5j30R9</vt:lpstr>
      <vt:lpstr>_Xz7rnovuiOx</vt:lpstr>
      <vt:lpstr>_y582ESg0Vjo</vt:lpstr>
      <vt:lpstr>_Y7EAGQA1bfv</vt:lpstr>
      <vt:lpstr>_Y7fcspgsU43</vt:lpstr>
      <vt:lpstr>_YacgcRFGe70</vt:lpstr>
      <vt:lpstr>_yBqy4nxuOCA</vt:lpstr>
      <vt:lpstr>_YDkIX98NArQ</vt:lpstr>
      <vt:lpstr>_Ye7wRY6LeT4</vt:lpstr>
      <vt:lpstr>_Yg9QkNQk9p7</vt:lpstr>
      <vt:lpstr>_YOL13ptz4ef</vt:lpstr>
      <vt:lpstr>_yp7OM2HDp2q</vt:lpstr>
      <vt:lpstr>_YVbwt0lb1lA</vt:lpstr>
      <vt:lpstr>_yzAMOdV0Pmr</vt:lpstr>
      <vt:lpstr>_z51rgcc5R8V</vt:lpstr>
      <vt:lpstr>_z5ouOuycTPO</vt:lpstr>
      <vt:lpstr>_Z6c1T3O7q0S</vt:lpstr>
      <vt:lpstr>_zaluKz5Llai</vt:lpstr>
      <vt:lpstr>_zAN1yQdYbcB</vt:lpstr>
      <vt:lpstr>_Zav7juzGmEo</vt:lpstr>
      <vt:lpstr>_ZcrjvJaYQb7</vt:lpstr>
      <vt:lpstr>_Zdl3ad7PayF</vt:lpstr>
      <vt:lpstr>_zEYrsiNUGIo</vt:lpstr>
      <vt:lpstr>_zFInPJBZVbN</vt:lpstr>
      <vt:lpstr>_ZgsdoEiTlLq</vt:lpstr>
      <vt:lpstr>_zHNwRzmyOeL</vt:lpstr>
      <vt:lpstr>_zJNTztzEUjf</vt:lpstr>
      <vt:lpstr>_ZPpJ9xeJN6C</vt:lpstr>
      <vt:lpstr>_ZRxKEGQmkWI</vt:lpstr>
      <vt:lpstr>_ZVZnw9CazmI</vt:lpstr>
      <vt:lpstr>_zYQqFxQw5jj</vt:lpstr>
      <vt:lpstr>_ZzoDfdWIt6z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EyeSeeTea</dc:creator>
  <cp:lastModifiedBy>Alexis Rico</cp:lastModifiedBy>
  <dcterms:created xsi:type="dcterms:W3CDTF">2017-07-03T20:50:47Z</dcterms:created>
  <dcterms:modified xsi:type="dcterms:W3CDTF">2021-05-17T09:14:18Z</dcterms:modified>
</cp:coreProperties>
</file>